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240" yWindow="105" windowWidth="20115" windowHeight="7500"/>
  </bookViews>
  <sheets>
    <sheet name="C17924" sheetId="1" r:id="rId1"/>
  </sheets>
  <calcPr calcId="125725"/>
</workbook>
</file>

<file path=xl/calcChain.xml><?xml version="1.0" encoding="utf-8"?>
<calcChain xmlns="http://schemas.openxmlformats.org/spreadsheetml/2006/main">
  <c r="P2569" i="1"/>
  <c r="E2569"/>
  <c r="P2568"/>
  <c r="E2568"/>
  <c r="P2567"/>
  <c r="E2567"/>
  <c r="P2566"/>
  <c r="E2566"/>
  <c r="P2565"/>
  <c r="E2565"/>
  <c r="P2564"/>
  <c r="E2564"/>
  <c r="P2563"/>
  <c r="E2563"/>
  <c r="P2562"/>
  <c r="E2562"/>
  <c r="P2561"/>
  <c r="E2561"/>
  <c r="P2560"/>
  <c r="E2560"/>
  <c r="P2559"/>
  <c r="E2559"/>
  <c r="P2558"/>
  <c r="E2558"/>
  <c r="P2557"/>
  <c r="E2557"/>
  <c r="P2556"/>
  <c r="E2556"/>
  <c r="P2555"/>
  <c r="E2555"/>
  <c r="P2554"/>
  <c r="E2554"/>
  <c r="P2553"/>
  <c r="E2553"/>
  <c r="P2552"/>
  <c r="E2552"/>
  <c r="P2551"/>
  <c r="E2551"/>
  <c r="P2550"/>
  <c r="E2550"/>
  <c r="P2549"/>
  <c r="E2549"/>
  <c r="P2548"/>
  <c r="E2548"/>
  <c r="P2547"/>
  <c r="E2547"/>
  <c r="P2546"/>
  <c r="E2546"/>
  <c r="P2545"/>
  <c r="E2545"/>
  <c r="P2544"/>
  <c r="E2544"/>
  <c r="P2543"/>
  <c r="E2543"/>
  <c r="P2542"/>
  <c r="E2542"/>
  <c r="P2541"/>
  <c r="E2541"/>
  <c r="P2540"/>
  <c r="E2540"/>
  <c r="P2539"/>
  <c r="E2539"/>
  <c r="P2538"/>
  <c r="E2538"/>
  <c r="P2537"/>
  <c r="E2537"/>
  <c r="P2536"/>
  <c r="E2536"/>
  <c r="P2535"/>
  <c r="E2535"/>
  <c r="P2534"/>
  <c r="E2534"/>
  <c r="P2533"/>
  <c r="E2533"/>
  <c r="P2532"/>
  <c r="E2532"/>
  <c r="P2531"/>
  <c r="E2531"/>
  <c r="P2530"/>
  <c r="E2530"/>
  <c r="P2529"/>
  <c r="E2529"/>
  <c r="P2528"/>
  <c r="E2528"/>
  <c r="P2527"/>
  <c r="E2527"/>
  <c r="P2526"/>
  <c r="E2526"/>
  <c r="P2525"/>
  <c r="E2525"/>
  <c r="P2524"/>
  <c r="E2524"/>
  <c r="P2523"/>
  <c r="E2523"/>
  <c r="P2522"/>
  <c r="E2522"/>
  <c r="P2521"/>
  <c r="E2521"/>
  <c r="P2520"/>
  <c r="E2520"/>
  <c r="P2519"/>
  <c r="E2519"/>
  <c r="P2518"/>
  <c r="E2518"/>
  <c r="P2517"/>
  <c r="E2517"/>
  <c r="P2516"/>
  <c r="E2516"/>
  <c r="P2515"/>
  <c r="E2515"/>
  <c r="P2514"/>
  <c r="E2514"/>
  <c r="P2513"/>
  <c r="E2513"/>
  <c r="P2512"/>
  <c r="E2512"/>
  <c r="P2511"/>
  <c r="E2511"/>
  <c r="P2510"/>
  <c r="E2510"/>
  <c r="P2509"/>
  <c r="E2509"/>
  <c r="P2508"/>
  <c r="E2508"/>
  <c r="P2507"/>
  <c r="E2507"/>
  <c r="P2506"/>
  <c r="E2506"/>
  <c r="P2505"/>
  <c r="E2505"/>
  <c r="P2504"/>
  <c r="E2504"/>
  <c r="P2503"/>
  <c r="E2503"/>
  <c r="P2502"/>
  <c r="E2502"/>
  <c r="P2501"/>
  <c r="E2501"/>
  <c r="P2500"/>
  <c r="E2500"/>
  <c r="P2499"/>
  <c r="E2499"/>
  <c r="P2498"/>
  <c r="E2498"/>
  <c r="P2497"/>
  <c r="E2497"/>
  <c r="P2496"/>
  <c r="E2496"/>
  <c r="P2495"/>
  <c r="E2495"/>
  <c r="P2494"/>
  <c r="E2494"/>
  <c r="P2493"/>
  <c r="E2493"/>
  <c r="P2492"/>
  <c r="E2492"/>
  <c r="P2491"/>
  <c r="E2491"/>
  <c r="P2490"/>
  <c r="E2490"/>
  <c r="P2489"/>
  <c r="E2489"/>
  <c r="P2488"/>
  <c r="E2488"/>
  <c r="P2487"/>
  <c r="E2487"/>
  <c r="P2486"/>
  <c r="E2486"/>
  <c r="P2485"/>
  <c r="E2485"/>
  <c r="P2484"/>
  <c r="E2484"/>
  <c r="P2483"/>
  <c r="E2483"/>
  <c r="P2482"/>
  <c r="E2482"/>
  <c r="P2481"/>
  <c r="E2481"/>
  <c r="P2480"/>
  <c r="E2480"/>
  <c r="P2479"/>
  <c r="E2479"/>
  <c r="P2478"/>
  <c r="E2478"/>
  <c r="P2477"/>
  <c r="E2477"/>
  <c r="P2476"/>
  <c r="E2476"/>
  <c r="P2475"/>
  <c r="E2475"/>
  <c r="P2474"/>
  <c r="E2474"/>
  <c r="P2473"/>
  <c r="E2473"/>
  <c r="P2472"/>
  <c r="E2472"/>
  <c r="P2471"/>
  <c r="E2471"/>
  <c r="P2470"/>
  <c r="E2470"/>
  <c r="P2469"/>
  <c r="E2469"/>
  <c r="P2468"/>
  <c r="E2468"/>
  <c r="P2467"/>
  <c r="E2467"/>
  <c r="P2466"/>
  <c r="E2466"/>
  <c r="P2465"/>
  <c r="E2465"/>
  <c r="P2464"/>
  <c r="E2464"/>
  <c r="P2463"/>
  <c r="E2463"/>
  <c r="P2462"/>
  <c r="E2462"/>
  <c r="P2461"/>
  <c r="E2461"/>
  <c r="P2460"/>
  <c r="E2460"/>
  <c r="P2459"/>
  <c r="E2459"/>
  <c r="P2458"/>
  <c r="E2458"/>
  <c r="P2457"/>
  <c r="E2457"/>
  <c r="P2456"/>
  <c r="E2456"/>
  <c r="P2455"/>
  <c r="E2455"/>
  <c r="P2454"/>
  <c r="E2454"/>
  <c r="P2453"/>
  <c r="E2453"/>
  <c r="P2452"/>
  <c r="E2452"/>
  <c r="P2451"/>
  <c r="E2451"/>
  <c r="P2450"/>
  <c r="E2450"/>
  <c r="P2449"/>
  <c r="E2449"/>
  <c r="P2448"/>
  <c r="E2448"/>
  <c r="P2447"/>
  <c r="E2447"/>
  <c r="P2446"/>
  <c r="E2446"/>
  <c r="P2445"/>
  <c r="E2445"/>
  <c r="P2444"/>
  <c r="E2444"/>
  <c r="P2443"/>
  <c r="E2443"/>
  <c r="P2442"/>
  <c r="E2442"/>
  <c r="P2441"/>
  <c r="E2441"/>
  <c r="P2440"/>
  <c r="E2440"/>
  <c r="P2439"/>
  <c r="E2439"/>
  <c r="P2438"/>
  <c r="E2438"/>
  <c r="P2437"/>
  <c r="E2437"/>
  <c r="P2436"/>
  <c r="E2436"/>
  <c r="P2435"/>
  <c r="E2435"/>
  <c r="P2434"/>
  <c r="E2434"/>
  <c r="P2433"/>
  <c r="E2433"/>
  <c r="P2432"/>
  <c r="E2432"/>
  <c r="P2431"/>
  <c r="E2431"/>
  <c r="P2430"/>
  <c r="E2430"/>
  <c r="P2429"/>
  <c r="E2429"/>
  <c r="P2428"/>
  <c r="E2428"/>
  <c r="P2427"/>
  <c r="E2427"/>
  <c r="P2426"/>
  <c r="E2426"/>
  <c r="P2425"/>
  <c r="E2425"/>
  <c r="P2424"/>
  <c r="E2424"/>
  <c r="P2423"/>
  <c r="E2423"/>
  <c r="P2422"/>
  <c r="E2422"/>
  <c r="P2421"/>
  <c r="E2421"/>
  <c r="P2420"/>
  <c r="E2420"/>
  <c r="P2419"/>
  <c r="E2419"/>
  <c r="P2418"/>
  <c r="E2418"/>
  <c r="P2417"/>
  <c r="E2417"/>
  <c r="P2416"/>
  <c r="E2416"/>
  <c r="P2415"/>
  <c r="E2415"/>
  <c r="P2414"/>
  <c r="E2414"/>
  <c r="P2413"/>
  <c r="E2413"/>
  <c r="P2412"/>
  <c r="E2412"/>
  <c r="P2411"/>
  <c r="E2411"/>
  <c r="P2410"/>
  <c r="E2410"/>
  <c r="P2409"/>
  <c r="E2409"/>
  <c r="P2408"/>
  <c r="E2408"/>
  <c r="P2407"/>
  <c r="E2407"/>
  <c r="P2406"/>
  <c r="E2406"/>
  <c r="P2405"/>
  <c r="E2405"/>
  <c r="P2404"/>
  <c r="E2404"/>
  <c r="P2403"/>
  <c r="E2403"/>
  <c r="P2402"/>
  <c r="E2402"/>
  <c r="P2401"/>
  <c r="E2401"/>
  <c r="P2400"/>
  <c r="E2400"/>
  <c r="P2399"/>
  <c r="E2399"/>
  <c r="P2398"/>
  <c r="E2398"/>
  <c r="P2397"/>
  <c r="E2397"/>
  <c r="P2396"/>
  <c r="E2396"/>
  <c r="P2395"/>
  <c r="E2395"/>
  <c r="P2394"/>
  <c r="E2394"/>
  <c r="P2393"/>
  <c r="E2393"/>
  <c r="P2392"/>
  <c r="E2392"/>
  <c r="P2391"/>
  <c r="E2391"/>
  <c r="P2390"/>
  <c r="E2390"/>
  <c r="P2389"/>
  <c r="E2389"/>
  <c r="P2388"/>
  <c r="E2388"/>
  <c r="P2387"/>
  <c r="E2387"/>
  <c r="P2386"/>
  <c r="E2386"/>
  <c r="P2385"/>
  <c r="E2385"/>
  <c r="P2384"/>
  <c r="E2384"/>
  <c r="P2383"/>
  <c r="E2383"/>
  <c r="P2382"/>
  <c r="E2382"/>
  <c r="P2381"/>
  <c r="E2381"/>
  <c r="P2380"/>
  <c r="E2380"/>
  <c r="P2379"/>
  <c r="E2379"/>
  <c r="P2378"/>
  <c r="E2378"/>
  <c r="P2377"/>
  <c r="E2377"/>
  <c r="P2376"/>
  <c r="E2376"/>
  <c r="P2375"/>
  <c r="E2375"/>
  <c r="P2374"/>
  <c r="E2374"/>
  <c r="P2373"/>
  <c r="E2373"/>
  <c r="P2372"/>
  <c r="E2372"/>
  <c r="P2371"/>
  <c r="E2371"/>
  <c r="P2370"/>
  <c r="E2370"/>
  <c r="P2369"/>
  <c r="E2369"/>
  <c r="P2368"/>
  <c r="E2368"/>
  <c r="P2367"/>
  <c r="E2367"/>
  <c r="P2366"/>
  <c r="E2366"/>
  <c r="P2365"/>
  <c r="E2365"/>
  <c r="P2364"/>
  <c r="E2364"/>
  <c r="P2363"/>
  <c r="E2363"/>
  <c r="P2362"/>
  <c r="E2362"/>
  <c r="P2361"/>
  <c r="E2361"/>
  <c r="P2360"/>
  <c r="E2360"/>
  <c r="P2359"/>
  <c r="E2359"/>
  <c r="P2358"/>
  <c r="E2358"/>
  <c r="P2357"/>
  <c r="E2357"/>
  <c r="P2356"/>
  <c r="E2356"/>
  <c r="P2355"/>
  <c r="E2355"/>
  <c r="P2354"/>
  <c r="E2354"/>
  <c r="P2353"/>
  <c r="E2353"/>
  <c r="P2352"/>
  <c r="E2352"/>
  <c r="P2351"/>
  <c r="E2351"/>
  <c r="P2350"/>
  <c r="E2350"/>
  <c r="P2349"/>
  <c r="E2349"/>
  <c r="P2348"/>
  <c r="E2348"/>
  <c r="P2347"/>
  <c r="E2347"/>
  <c r="P2346"/>
  <c r="E2346"/>
  <c r="P2345"/>
  <c r="E2345"/>
  <c r="P2344"/>
  <c r="E2344"/>
  <c r="P2343"/>
  <c r="E2343"/>
  <c r="P2342"/>
  <c r="E2342"/>
  <c r="P2341"/>
  <c r="E2341"/>
  <c r="P2340"/>
  <c r="E2340"/>
  <c r="P2339"/>
  <c r="E2339"/>
  <c r="P2338"/>
  <c r="E2338"/>
  <c r="P2337"/>
  <c r="E2337"/>
  <c r="P2336"/>
  <c r="E2336"/>
  <c r="P2335"/>
  <c r="E2335"/>
  <c r="P2334"/>
  <c r="E2334"/>
  <c r="P2333"/>
  <c r="E2333"/>
  <c r="P2332"/>
  <c r="E2332"/>
  <c r="P2331"/>
  <c r="E2331"/>
  <c r="P2330"/>
  <c r="E2330"/>
  <c r="P2329"/>
  <c r="E2329"/>
  <c r="P2328"/>
  <c r="E2328"/>
  <c r="P2327"/>
  <c r="E2327"/>
  <c r="P2326"/>
  <c r="E2326"/>
  <c r="P2325"/>
  <c r="E2325"/>
  <c r="P2324"/>
  <c r="E2324"/>
  <c r="P2323"/>
  <c r="E2323"/>
  <c r="P2322"/>
  <c r="E2322"/>
  <c r="P2321"/>
  <c r="E2321"/>
  <c r="P2320"/>
  <c r="E2320"/>
  <c r="P2319"/>
  <c r="E2319"/>
  <c r="P2318"/>
  <c r="E2318"/>
  <c r="P2317"/>
  <c r="E2317"/>
  <c r="P2316"/>
  <c r="E2316"/>
  <c r="P2315"/>
  <c r="E2315"/>
  <c r="P2314"/>
  <c r="E2314"/>
  <c r="P2313"/>
  <c r="E2313"/>
  <c r="P2312"/>
  <c r="E2312"/>
  <c r="P2311"/>
  <c r="E2311"/>
  <c r="P2310"/>
  <c r="E2310"/>
  <c r="P2309"/>
  <c r="E2309"/>
  <c r="P2308"/>
  <c r="E2308"/>
  <c r="P2307"/>
  <c r="E2307"/>
  <c r="P2306"/>
  <c r="E2306"/>
  <c r="P2305"/>
  <c r="E2305"/>
  <c r="P2304"/>
  <c r="E2304"/>
  <c r="P2303"/>
  <c r="E2303"/>
  <c r="P2302"/>
  <c r="E2302"/>
  <c r="P2301"/>
  <c r="E2301"/>
  <c r="P2300"/>
  <c r="E2300"/>
  <c r="P2299"/>
  <c r="E2299"/>
  <c r="P2298"/>
  <c r="E2298"/>
  <c r="P2297"/>
  <c r="E2297"/>
  <c r="P2296"/>
  <c r="E2296"/>
  <c r="P2295"/>
  <c r="E2295"/>
  <c r="P2294"/>
  <c r="E2294"/>
  <c r="P2293"/>
  <c r="E2293"/>
  <c r="P2292"/>
  <c r="E2292"/>
  <c r="P2291"/>
  <c r="E2291"/>
  <c r="P2290"/>
  <c r="E2290"/>
  <c r="P2289"/>
  <c r="E2289"/>
  <c r="P2288"/>
  <c r="E2288"/>
  <c r="P2287"/>
  <c r="E2287"/>
  <c r="P2286"/>
  <c r="E2286"/>
  <c r="P2285"/>
  <c r="E2285"/>
  <c r="P2284"/>
  <c r="E2284"/>
  <c r="P2283"/>
  <c r="E2283"/>
  <c r="P2282"/>
  <c r="E2282"/>
  <c r="P2281"/>
  <c r="E2281"/>
  <c r="P2280"/>
  <c r="E2280"/>
  <c r="P2279"/>
  <c r="E2279"/>
  <c r="P2278"/>
  <c r="E2278"/>
  <c r="P2277"/>
  <c r="E2277"/>
  <c r="P2276"/>
  <c r="E2276"/>
  <c r="P2275"/>
  <c r="E2275"/>
  <c r="P2274"/>
  <c r="E2274"/>
  <c r="P2273"/>
  <c r="E2273"/>
  <c r="P2272"/>
  <c r="E2272"/>
  <c r="P2271"/>
  <c r="E2271"/>
  <c r="P2270"/>
  <c r="E2270"/>
  <c r="P2269"/>
  <c r="E2269"/>
  <c r="P2268"/>
  <c r="E2268"/>
  <c r="P2267"/>
  <c r="E2267"/>
  <c r="P2266"/>
  <c r="E2266"/>
  <c r="P2265"/>
  <c r="E2265"/>
  <c r="P2264"/>
  <c r="E2264"/>
  <c r="P2263"/>
  <c r="E2263"/>
  <c r="P2262"/>
  <c r="E2262"/>
  <c r="P2261"/>
  <c r="E2261"/>
  <c r="P2260"/>
  <c r="E2260"/>
  <c r="P2259"/>
  <c r="E2259"/>
  <c r="P2258"/>
  <c r="E2258"/>
  <c r="P2257"/>
  <c r="E2257"/>
  <c r="P2256"/>
  <c r="E2256"/>
  <c r="P2255"/>
  <c r="E2255"/>
  <c r="P2254"/>
  <c r="E2254"/>
  <c r="P2253"/>
  <c r="E2253"/>
  <c r="P2252"/>
  <c r="E2252"/>
  <c r="P2251"/>
  <c r="E2251"/>
  <c r="P2250"/>
  <c r="E2250"/>
  <c r="P2249"/>
  <c r="E2249"/>
  <c r="P2248"/>
  <c r="E2248"/>
  <c r="P2247"/>
  <c r="E2247"/>
  <c r="P2246"/>
  <c r="E2246"/>
  <c r="P2245"/>
  <c r="E2245"/>
  <c r="P2244"/>
  <c r="E2244"/>
  <c r="P2243"/>
  <c r="E2243"/>
  <c r="P2242"/>
  <c r="E2242"/>
  <c r="P2241"/>
  <c r="E2241"/>
  <c r="P2240"/>
  <c r="E2240"/>
  <c r="P2239"/>
  <c r="E2239"/>
  <c r="P2238"/>
  <c r="E2238"/>
  <c r="P2237"/>
  <c r="E2237"/>
  <c r="P2236"/>
  <c r="E2236"/>
  <c r="P2235"/>
  <c r="E2235"/>
  <c r="P2234"/>
  <c r="E2234"/>
  <c r="P2233"/>
  <c r="E2233"/>
  <c r="P2232"/>
  <c r="E2232"/>
  <c r="P2231"/>
  <c r="E2231"/>
  <c r="P2230"/>
  <c r="E2230"/>
  <c r="P2229"/>
  <c r="E2229"/>
  <c r="P2228"/>
  <c r="E2228"/>
  <c r="P2227"/>
  <c r="E2227"/>
  <c r="P2226"/>
  <c r="E2226"/>
  <c r="P2225"/>
  <c r="E2225"/>
  <c r="P2224"/>
  <c r="E2224"/>
  <c r="P2223"/>
  <c r="E2223"/>
  <c r="P2222"/>
  <c r="E2222"/>
  <c r="P2221"/>
  <c r="E2221"/>
  <c r="P2220"/>
  <c r="E2220"/>
  <c r="P2219"/>
  <c r="E2219"/>
  <c r="P2218"/>
  <c r="E2218"/>
  <c r="P2217"/>
  <c r="E2217"/>
  <c r="P2216"/>
  <c r="E2216"/>
  <c r="P2215"/>
  <c r="E2215"/>
  <c r="P2214"/>
  <c r="E2214"/>
  <c r="P2213"/>
  <c r="E2213"/>
  <c r="P2212"/>
  <c r="E2212"/>
  <c r="P2211"/>
  <c r="E2211"/>
  <c r="P2210"/>
  <c r="E2210"/>
  <c r="P2209"/>
  <c r="E2209"/>
  <c r="P2208"/>
  <c r="E2208"/>
  <c r="P2207"/>
  <c r="E2207"/>
  <c r="P2206"/>
  <c r="E2206"/>
  <c r="P2205"/>
  <c r="E2205"/>
  <c r="P2204"/>
  <c r="E2204"/>
  <c r="P2203"/>
  <c r="E2203"/>
  <c r="P2202"/>
  <c r="E2202"/>
  <c r="P2201"/>
  <c r="E2201"/>
  <c r="P2200"/>
  <c r="E2200"/>
  <c r="P2199"/>
  <c r="E2199"/>
  <c r="P2198"/>
  <c r="E2198"/>
  <c r="P2197"/>
  <c r="E2197"/>
  <c r="P2196"/>
  <c r="E2196"/>
  <c r="P2195"/>
  <c r="E2195"/>
  <c r="P2194"/>
  <c r="E2194"/>
  <c r="P2193"/>
  <c r="E2193"/>
  <c r="P2192"/>
  <c r="E2192"/>
  <c r="P2191"/>
  <c r="E2191"/>
  <c r="P2190"/>
  <c r="E2190"/>
  <c r="P2189"/>
  <c r="E2189"/>
  <c r="P2188"/>
  <c r="E2188"/>
  <c r="P2187"/>
  <c r="E2187"/>
  <c r="P2186"/>
  <c r="E2186"/>
  <c r="P2185"/>
  <c r="E2185"/>
  <c r="P2184"/>
  <c r="E2184"/>
  <c r="P2183"/>
  <c r="E2183"/>
  <c r="P2182"/>
  <c r="E2182"/>
  <c r="P2181"/>
  <c r="E2181"/>
  <c r="P2180"/>
  <c r="E2180"/>
  <c r="P2179"/>
  <c r="E2179"/>
  <c r="P2178"/>
  <c r="E2178"/>
  <c r="P2177"/>
  <c r="E2177"/>
  <c r="P2176"/>
  <c r="E2176"/>
  <c r="P2175"/>
  <c r="E2175"/>
  <c r="P2174"/>
  <c r="E2174"/>
  <c r="P2173"/>
  <c r="E2173"/>
  <c r="P2172"/>
  <c r="E2172"/>
  <c r="P2171"/>
  <c r="E2171"/>
  <c r="P2170"/>
  <c r="E2170"/>
  <c r="P2169"/>
  <c r="E2169"/>
  <c r="P2168"/>
  <c r="E2168"/>
  <c r="P2167"/>
  <c r="E2167"/>
  <c r="P2166"/>
  <c r="E2166"/>
  <c r="P2165"/>
  <c r="E2165"/>
  <c r="P2164"/>
  <c r="E2164"/>
  <c r="P2163"/>
  <c r="E2163"/>
  <c r="P2162"/>
  <c r="E2162"/>
  <c r="P2161"/>
  <c r="E2161"/>
  <c r="P2160"/>
  <c r="E2160"/>
  <c r="P2159"/>
  <c r="E2159"/>
  <c r="P2158"/>
  <c r="E2158"/>
  <c r="P2157"/>
  <c r="E2157"/>
  <c r="P2156"/>
  <c r="E2156"/>
  <c r="P2155"/>
  <c r="E2155"/>
  <c r="P2154"/>
  <c r="E2154"/>
  <c r="P2153"/>
  <c r="E2153"/>
  <c r="P2152"/>
  <c r="E2152"/>
  <c r="P2151"/>
  <c r="E2151"/>
  <c r="P2150"/>
  <c r="E2150"/>
  <c r="P2149"/>
  <c r="E2149"/>
  <c r="P2148"/>
  <c r="E2148"/>
  <c r="P2147"/>
  <c r="E2147"/>
  <c r="P2146"/>
  <c r="E2146"/>
  <c r="P2145"/>
  <c r="E2145"/>
  <c r="P2144"/>
  <c r="E2144"/>
  <c r="P2143"/>
  <c r="E2143"/>
  <c r="P2142"/>
  <c r="E2142"/>
  <c r="P2141"/>
  <c r="E2141"/>
  <c r="P2140"/>
  <c r="E2140"/>
  <c r="P2139"/>
  <c r="E2139"/>
  <c r="P2138"/>
  <c r="E2138"/>
  <c r="P2137"/>
  <c r="E2137"/>
  <c r="P2136"/>
  <c r="E2136"/>
  <c r="P2135"/>
  <c r="E2135"/>
  <c r="P2134"/>
  <c r="E2134"/>
  <c r="P2133"/>
  <c r="E2133"/>
  <c r="P2132"/>
  <c r="E2132"/>
  <c r="P2131"/>
  <c r="E2131"/>
  <c r="P2130"/>
  <c r="E2130"/>
  <c r="P2129"/>
  <c r="E2129"/>
  <c r="P2128"/>
  <c r="E2128"/>
  <c r="P2127"/>
  <c r="E2127"/>
  <c r="P2126"/>
  <c r="E2126"/>
  <c r="P2125"/>
  <c r="E2125"/>
  <c r="P2124"/>
  <c r="E2124"/>
  <c r="P2123"/>
  <c r="E2123"/>
  <c r="P2122"/>
  <c r="E2122"/>
  <c r="P2121"/>
  <c r="E2121"/>
  <c r="P2120"/>
  <c r="E2120"/>
  <c r="P2119"/>
  <c r="E2119"/>
  <c r="P2118"/>
  <c r="E2118"/>
  <c r="P2117"/>
  <c r="E2117"/>
  <c r="P2116"/>
  <c r="E2116"/>
  <c r="P2115"/>
  <c r="E2115"/>
  <c r="P2114"/>
  <c r="E2114"/>
  <c r="P2113"/>
  <c r="E2113"/>
  <c r="P2112"/>
  <c r="E2112"/>
  <c r="P2111"/>
  <c r="E2111"/>
  <c r="P2110"/>
  <c r="E2110"/>
  <c r="P2109"/>
  <c r="E2109"/>
  <c r="P2108"/>
  <c r="E2108"/>
  <c r="P2107"/>
  <c r="E2107"/>
  <c r="P2106"/>
  <c r="E2106"/>
  <c r="P2105"/>
  <c r="E2105"/>
  <c r="P2104"/>
  <c r="E2104"/>
  <c r="P2103"/>
  <c r="E2103"/>
  <c r="P2102"/>
  <c r="E2102"/>
  <c r="P2101"/>
  <c r="E2101"/>
  <c r="P2100"/>
  <c r="E2100"/>
  <c r="P2099"/>
  <c r="E2099"/>
  <c r="P2098"/>
  <c r="E2098"/>
  <c r="P2097"/>
  <c r="E2097"/>
  <c r="P2096"/>
  <c r="E2096"/>
  <c r="P2095"/>
  <c r="E2095"/>
  <c r="P2094"/>
  <c r="E2094"/>
  <c r="P2093"/>
  <c r="E2093"/>
  <c r="P2092"/>
  <c r="E2092"/>
  <c r="P2091"/>
  <c r="E2091"/>
  <c r="P2090"/>
  <c r="E2090"/>
  <c r="P2089"/>
  <c r="E2089"/>
  <c r="P2088"/>
  <c r="E2088"/>
  <c r="P2087"/>
  <c r="E2087"/>
  <c r="P2086"/>
  <c r="E2086"/>
  <c r="P2085"/>
  <c r="E2085"/>
  <c r="P2084"/>
  <c r="E2084"/>
  <c r="P2083"/>
  <c r="E2083"/>
  <c r="P2082"/>
  <c r="E2082"/>
  <c r="P2081"/>
  <c r="E2081"/>
  <c r="P2080"/>
  <c r="E2080"/>
  <c r="P2079"/>
  <c r="E2079"/>
  <c r="P2078"/>
  <c r="E2078"/>
  <c r="P2077"/>
  <c r="E2077"/>
  <c r="P2076"/>
  <c r="E2076"/>
  <c r="P2075"/>
  <c r="E2075"/>
  <c r="P2074"/>
  <c r="E2074"/>
  <c r="P2073"/>
  <c r="E2073"/>
  <c r="P2072"/>
  <c r="E2072"/>
  <c r="P2071"/>
  <c r="E2071"/>
  <c r="P2070"/>
  <c r="E2070"/>
  <c r="P2069"/>
  <c r="E2069"/>
  <c r="P2068"/>
  <c r="E2068"/>
  <c r="P2067"/>
  <c r="E2067"/>
  <c r="P2066"/>
  <c r="E2066"/>
  <c r="P2065"/>
  <c r="E2065"/>
  <c r="P2064"/>
  <c r="E2064"/>
  <c r="P2063"/>
  <c r="E2063"/>
  <c r="P2062"/>
  <c r="E2062"/>
  <c r="P2061"/>
  <c r="E2061"/>
  <c r="P2060"/>
  <c r="E2060"/>
  <c r="P2059"/>
  <c r="E2059"/>
  <c r="P2058"/>
  <c r="E2058"/>
  <c r="P2057"/>
  <c r="E2057"/>
  <c r="P2056"/>
  <c r="E2056"/>
  <c r="P2055"/>
  <c r="E2055"/>
  <c r="P2054"/>
  <c r="E2054"/>
  <c r="P2053"/>
  <c r="E2053"/>
  <c r="P2052"/>
  <c r="E2052"/>
  <c r="P2051"/>
  <c r="E2051"/>
  <c r="P2050"/>
  <c r="E2050"/>
  <c r="P2049"/>
  <c r="E2049"/>
  <c r="P2048"/>
  <c r="E2048"/>
  <c r="P2047"/>
  <c r="E2047"/>
  <c r="P2046"/>
  <c r="E2046"/>
  <c r="P2045"/>
  <c r="E2045"/>
  <c r="P2044"/>
  <c r="E2044"/>
  <c r="P2043"/>
  <c r="E2043"/>
  <c r="P2042"/>
  <c r="E2042"/>
  <c r="P2041"/>
  <c r="E2041"/>
  <c r="P2040"/>
  <c r="E2040"/>
  <c r="P2039"/>
  <c r="E2039"/>
  <c r="P2038"/>
  <c r="E2038"/>
  <c r="P2037"/>
  <c r="E2037"/>
  <c r="P2036"/>
  <c r="E2036"/>
  <c r="P2035"/>
  <c r="E2035"/>
  <c r="P2034"/>
  <c r="E2034"/>
  <c r="P2033"/>
  <c r="E2033"/>
  <c r="P2032"/>
  <c r="E2032"/>
  <c r="P2031"/>
  <c r="E2031"/>
  <c r="P2030"/>
  <c r="E2030"/>
  <c r="P2029"/>
  <c r="E2029"/>
  <c r="P2028"/>
  <c r="E2028"/>
  <c r="P2027"/>
  <c r="E2027"/>
  <c r="P2026"/>
  <c r="E2026"/>
  <c r="P2025"/>
  <c r="E2025"/>
  <c r="P2024"/>
  <c r="E2024"/>
  <c r="P2023"/>
  <c r="E2023"/>
  <c r="P2022"/>
  <c r="E2022"/>
  <c r="P2021"/>
  <c r="E2021"/>
  <c r="P2020"/>
  <c r="E2020"/>
  <c r="P2019"/>
  <c r="E2019"/>
  <c r="P2018"/>
  <c r="E2018"/>
  <c r="P2017"/>
  <c r="E2017"/>
  <c r="P2016"/>
  <c r="E2016"/>
  <c r="P2015"/>
  <c r="E2015"/>
  <c r="P2014"/>
  <c r="E2014"/>
  <c r="P2013"/>
  <c r="E2013"/>
  <c r="P2012"/>
  <c r="E2012"/>
  <c r="P2011"/>
  <c r="E2011"/>
  <c r="P2010"/>
  <c r="E2010"/>
  <c r="P2009"/>
  <c r="E2009"/>
  <c r="P2008"/>
  <c r="E2008"/>
  <c r="P2007"/>
  <c r="E2007"/>
  <c r="P2006"/>
  <c r="E2006"/>
  <c r="P2005"/>
  <c r="E2005"/>
  <c r="P2004"/>
  <c r="E2004"/>
  <c r="P2003"/>
  <c r="E2003"/>
  <c r="P2002"/>
  <c r="E2002"/>
  <c r="P2001"/>
  <c r="E2001"/>
  <c r="P2000"/>
  <c r="E2000"/>
  <c r="P1999"/>
  <c r="E1999"/>
  <c r="P1998"/>
  <c r="E1998"/>
  <c r="P1997"/>
  <c r="E1997"/>
  <c r="P1996"/>
  <c r="E1996"/>
  <c r="P1995"/>
  <c r="E1995"/>
  <c r="P1994"/>
  <c r="E1994"/>
  <c r="P1993"/>
  <c r="E1993"/>
  <c r="P1992"/>
  <c r="E1992"/>
  <c r="P1991"/>
  <c r="E1991"/>
  <c r="P1990"/>
  <c r="E1990"/>
  <c r="P1989"/>
  <c r="E1989"/>
  <c r="P1988"/>
  <c r="E1988"/>
  <c r="P1987"/>
  <c r="E1987"/>
  <c r="P1986"/>
  <c r="E1986"/>
  <c r="P1985"/>
  <c r="E1985"/>
  <c r="P1984"/>
  <c r="E1984"/>
  <c r="P1983"/>
  <c r="E1983"/>
  <c r="P1982"/>
  <c r="E1982"/>
  <c r="P1981"/>
  <c r="E1981"/>
  <c r="P1980"/>
  <c r="E1980"/>
  <c r="P1979"/>
  <c r="E1979"/>
  <c r="P1978"/>
  <c r="E1978"/>
  <c r="P1977"/>
  <c r="E1977"/>
  <c r="P1976"/>
  <c r="E1976"/>
  <c r="P1975"/>
  <c r="E1975"/>
  <c r="P1974"/>
  <c r="E1974"/>
  <c r="P1973"/>
  <c r="E1973"/>
  <c r="P1972"/>
  <c r="E1972"/>
  <c r="P1971"/>
  <c r="E1971"/>
  <c r="P1970"/>
  <c r="E1970"/>
  <c r="P1969"/>
  <c r="E1969"/>
  <c r="P1968"/>
  <c r="E1968"/>
  <c r="P1967"/>
  <c r="E1967"/>
  <c r="P1966"/>
  <c r="E1966"/>
  <c r="P1965"/>
  <c r="E1965"/>
  <c r="P1964"/>
  <c r="E1964"/>
  <c r="P1963"/>
  <c r="E1963"/>
  <c r="P1962"/>
  <c r="E1962"/>
  <c r="P1961"/>
  <c r="E1961"/>
  <c r="P1960"/>
  <c r="E1960"/>
  <c r="P1959"/>
  <c r="E1959"/>
  <c r="P1958"/>
  <c r="E1958"/>
  <c r="P1957"/>
  <c r="E1957"/>
  <c r="P1956"/>
  <c r="E1956"/>
  <c r="P1955"/>
  <c r="E1955"/>
  <c r="P1954"/>
  <c r="E1954"/>
  <c r="P1953"/>
  <c r="E1953"/>
  <c r="P1952"/>
  <c r="E1952"/>
  <c r="P1951"/>
  <c r="E1951"/>
  <c r="P1950"/>
  <c r="E1950"/>
  <c r="P1949"/>
  <c r="E1949"/>
  <c r="P1948"/>
  <c r="E1948"/>
  <c r="P1947"/>
  <c r="E1947"/>
  <c r="P1946"/>
  <c r="E1946"/>
  <c r="P1945"/>
  <c r="E1945"/>
  <c r="P1944"/>
  <c r="E1944"/>
  <c r="P1943"/>
  <c r="E1943"/>
  <c r="P1942"/>
  <c r="E1942"/>
  <c r="P1941"/>
  <c r="E1941"/>
  <c r="P1940"/>
  <c r="E1940"/>
  <c r="P1939"/>
  <c r="E1939"/>
  <c r="P1938"/>
  <c r="E1938"/>
  <c r="P1937"/>
  <c r="E1937"/>
  <c r="P1936"/>
  <c r="E1936"/>
  <c r="P1935"/>
  <c r="E1935"/>
  <c r="P1934"/>
  <c r="E1934"/>
  <c r="P1933"/>
  <c r="E1933"/>
  <c r="P1932"/>
  <c r="E1932"/>
  <c r="P1931"/>
  <c r="E1931"/>
  <c r="P1930"/>
  <c r="E1930"/>
  <c r="P1929"/>
  <c r="E1929"/>
  <c r="P1928"/>
  <c r="E1928"/>
  <c r="P1927"/>
  <c r="E1927"/>
  <c r="P1926"/>
  <c r="E1926"/>
  <c r="P1925"/>
  <c r="E1925"/>
  <c r="P1924"/>
  <c r="E1924"/>
  <c r="P1923"/>
  <c r="E1923"/>
  <c r="P1922"/>
  <c r="E1922"/>
  <c r="P1921"/>
  <c r="E1921"/>
  <c r="P1920"/>
  <c r="E1920"/>
  <c r="P1919"/>
  <c r="E1919"/>
  <c r="P1918"/>
  <c r="E1918"/>
  <c r="P1917"/>
  <c r="E1917"/>
  <c r="P1916"/>
  <c r="E1916"/>
  <c r="P1915"/>
  <c r="E1915"/>
  <c r="P1914"/>
  <c r="E1914"/>
  <c r="P1913"/>
  <c r="E1913"/>
  <c r="P1912"/>
  <c r="E1912"/>
  <c r="P1911"/>
  <c r="E1911"/>
  <c r="P1910"/>
  <c r="E1910"/>
  <c r="P1909"/>
  <c r="E1909"/>
  <c r="P1908"/>
  <c r="E1908"/>
  <c r="P1907"/>
  <c r="E1907"/>
  <c r="P1906"/>
  <c r="E1906"/>
  <c r="P1905"/>
  <c r="E1905"/>
  <c r="P1904"/>
  <c r="E1904"/>
  <c r="P1903"/>
  <c r="E1903"/>
  <c r="P1902"/>
  <c r="E1902"/>
  <c r="P1901"/>
  <c r="E1901"/>
  <c r="P1900"/>
  <c r="E1900"/>
  <c r="P1899"/>
  <c r="E1899"/>
  <c r="P1898"/>
  <c r="E1898"/>
  <c r="P1897"/>
  <c r="E1897"/>
  <c r="P1896"/>
  <c r="E1896"/>
  <c r="P1895"/>
  <c r="E1895"/>
  <c r="P1894"/>
  <c r="E1894"/>
  <c r="P1893"/>
  <c r="E1893"/>
  <c r="P1892"/>
  <c r="E1892"/>
  <c r="P1891"/>
  <c r="E1891"/>
  <c r="P1890"/>
  <c r="E1890"/>
  <c r="P1889"/>
  <c r="E1889"/>
  <c r="P1888"/>
  <c r="E1888"/>
  <c r="P1887"/>
  <c r="E1887"/>
  <c r="P1886"/>
  <c r="E1886"/>
  <c r="P1885"/>
  <c r="E1885"/>
  <c r="P1884"/>
  <c r="E1884"/>
  <c r="P1883"/>
  <c r="E1883"/>
  <c r="P1882"/>
  <c r="E1882"/>
  <c r="P1881"/>
  <c r="E1881"/>
  <c r="P1880"/>
  <c r="E1880"/>
  <c r="P1879"/>
  <c r="E1879"/>
  <c r="P1878"/>
  <c r="E1878"/>
  <c r="P1877"/>
  <c r="E1877"/>
  <c r="P1876"/>
  <c r="E1876"/>
  <c r="P1875"/>
  <c r="E1875"/>
  <c r="P1874"/>
  <c r="E1874"/>
  <c r="P1873"/>
  <c r="E1873"/>
  <c r="P1872"/>
  <c r="E1872"/>
  <c r="P1871"/>
  <c r="E1871"/>
  <c r="P1870"/>
  <c r="E1870"/>
  <c r="P1869"/>
  <c r="E1869"/>
  <c r="P1868"/>
  <c r="E1868"/>
  <c r="P1867"/>
  <c r="E1867"/>
  <c r="P1866"/>
  <c r="E1866"/>
  <c r="P1865"/>
  <c r="E1865"/>
  <c r="P1864"/>
  <c r="E1864"/>
  <c r="P1863"/>
  <c r="E1863"/>
  <c r="P1862"/>
  <c r="E1862"/>
  <c r="P1861"/>
  <c r="E1861"/>
  <c r="P1860"/>
  <c r="E1860"/>
  <c r="P1859"/>
  <c r="E1859"/>
  <c r="P1858"/>
  <c r="E1858"/>
  <c r="P1857"/>
  <c r="E1857"/>
  <c r="P1856"/>
  <c r="E1856"/>
  <c r="P1855"/>
  <c r="E1855"/>
  <c r="P1854"/>
  <c r="E1854"/>
  <c r="P1853"/>
  <c r="E1853"/>
  <c r="P1852"/>
  <c r="E1852"/>
  <c r="P1851"/>
  <c r="E1851"/>
  <c r="P1850"/>
  <c r="E1850"/>
  <c r="P1849"/>
  <c r="E1849"/>
  <c r="P1848"/>
  <c r="E1848"/>
  <c r="P1847"/>
  <c r="E1847"/>
  <c r="P1846"/>
  <c r="E1846"/>
  <c r="P1845"/>
  <c r="E1845"/>
  <c r="P1844"/>
  <c r="E1844"/>
  <c r="P1843"/>
  <c r="E1843"/>
  <c r="P1842"/>
  <c r="E1842"/>
  <c r="P1841"/>
  <c r="E1841"/>
  <c r="P1840"/>
  <c r="E1840"/>
  <c r="P1839"/>
  <c r="E1839"/>
  <c r="P1838"/>
  <c r="E1838"/>
  <c r="P1837"/>
  <c r="E1837"/>
  <c r="P1836"/>
  <c r="E1836"/>
  <c r="P1835"/>
  <c r="E1835"/>
  <c r="P1834"/>
  <c r="E1834"/>
  <c r="P1833"/>
  <c r="E1833"/>
  <c r="P1832"/>
  <c r="E1832"/>
  <c r="P1831"/>
  <c r="E1831"/>
  <c r="P1830"/>
  <c r="E1830"/>
  <c r="P1829"/>
  <c r="E1829"/>
  <c r="P1828"/>
  <c r="E1828"/>
  <c r="P1827"/>
  <c r="E1827"/>
  <c r="P1826"/>
  <c r="E1826"/>
  <c r="P1825"/>
  <c r="E1825"/>
  <c r="P1824"/>
  <c r="E1824"/>
  <c r="P1823"/>
  <c r="E1823"/>
  <c r="P1822"/>
  <c r="E1822"/>
  <c r="P1821"/>
  <c r="E1821"/>
  <c r="P1820"/>
  <c r="E1820"/>
  <c r="P1819"/>
  <c r="E1819"/>
  <c r="P1818"/>
  <c r="E1818"/>
  <c r="P1817"/>
  <c r="E1817"/>
  <c r="P1816"/>
  <c r="E1816"/>
  <c r="P1815"/>
  <c r="E1815"/>
  <c r="P1814"/>
  <c r="E1814"/>
  <c r="P1813"/>
  <c r="E1813"/>
  <c r="P1812"/>
  <c r="E1812"/>
  <c r="P1811"/>
  <c r="E1811"/>
  <c r="P1810"/>
  <c r="E1810"/>
  <c r="P1809"/>
  <c r="E1809"/>
  <c r="P1808"/>
  <c r="E1808"/>
  <c r="P1807"/>
  <c r="E1807"/>
  <c r="P1806"/>
  <c r="E1806"/>
  <c r="P1805"/>
  <c r="E1805"/>
  <c r="P1804"/>
  <c r="E1804"/>
  <c r="P1803"/>
  <c r="E1803"/>
  <c r="P1802"/>
  <c r="E1802"/>
  <c r="P1801"/>
  <c r="E1801"/>
  <c r="P1800"/>
  <c r="E1800"/>
  <c r="P1799"/>
  <c r="E1799"/>
  <c r="P1798"/>
  <c r="E1798"/>
  <c r="P1797"/>
  <c r="E1797"/>
  <c r="P1796"/>
  <c r="E1796"/>
  <c r="P1795"/>
  <c r="E1795"/>
  <c r="P1794"/>
  <c r="E1794"/>
  <c r="P1793"/>
  <c r="E1793"/>
  <c r="P1792"/>
  <c r="E1792"/>
  <c r="P1791"/>
  <c r="E1791"/>
  <c r="P1790"/>
  <c r="E1790"/>
  <c r="P1789"/>
  <c r="E1789"/>
  <c r="P1788"/>
  <c r="E1788"/>
  <c r="P1787"/>
  <c r="E1787"/>
  <c r="P1786"/>
  <c r="E1786"/>
  <c r="P1785"/>
  <c r="E1785"/>
  <c r="P1784"/>
  <c r="E1784"/>
  <c r="P1783"/>
  <c r="E1783"/>
  <c r="P1782"/>
  <c r="E1782"/>
  <c r="P1781"/>
  <c r="E1781"/>
  <c r="P1780"/>
  <c r="E1780"/>
  <c r="P1779"/>
  <c r="E1779"/>
  <c r="P1778"/>
  <c r="E1778"/>
  <c r="P1777"/>
  <c r="E1777"/>
  <c r="P1776"/>
  <c r="E1776"/>
  <c r="P1775"/>
  <c r="E1775"/>
  <c r="P1774"/>
  <c r="E1774"/>
  <c r="P1773"/>
  <c r="E1773"/>
  <c r="P1772"/>
  <c r="E1772"/>
  <c r="P1771"/>
  <c r="E1771"/>
  <c r="P1770"/>
  <c r="E1770"/>
  <c r="P1769"/>
  <c r="E1769"/>
  <c r="P1768"/>
  <c r="E1768"/>
  <c r="P1767"/>
  <c r="E1767"/>
  <c r="P1766"/>
  <c r="E1766"/>
  <c r="P1765"/>
  <c r="E1765"/>
  <c r="P1764"/>
  <c r="E1764"/>
  <c r="P1763"/>
  <c r="E1763"/>
  <c r="P1762"/>
  <c r="E1762"/>
  <c r="P1761"/>
  <c r="E1761"/>
  <c r="P1760"/>
  <c r="E1760"/>
  <c r="P1759"/>
  <c r="E1759"/>
  <c r="P1758"/>
  <c r="E1758"/>
  <c r="P1757"/>
  <c r="E1757"/>
  <c r="P1756"/>
  <c r="E1756"/>
  <c r="P1755"/>
  <c r="E1755"/>
  <c r="P1754"/>
  <c r="E1754"/>
  <c r="P1753"/>
  <c r="E1753"/>
  <c r="P1752"/>
  <c r="E1752"/>
  <c r="P1751"/>
  <c r="E1751"/>
  <c r="P1750"/>
  <c r="E1750"/>
  <c r="P1749"/>
  <c r="E1749"/>
  <c r="P1748"/>
  <c r="E1748"/>
  <c r="P1747"/>
  <c r="E1747"/>
  <c r="P1746"/>
  <c r="E1746"/>
  <c r="P1745"/>
  <c r="E1745"/>
  <c r="P1744"/>
  <c r="E1744"/>
  <c r="P1743"/>
  <c r="E1743"/>
  <c r="P1742"/>
  <c r="E1742"/>
  <c r="P1741"/>
  <c r="E1741"/>
  <c r="P1740"/>
  <c r="E1740"/>
  <c r="P1739"/>
  <c r="E1739"/>
  <c r="P1738"/>
  <c r="E1738"/>
  <c r="P1737"/>
  <c r="E1737"/>
  <c r="P1736"/>
  <c r="E1736"/>
  <c r="P1735"/>
  <c r="E1735"/>
  <c r="P1734"/>
  <c r="E1734"/>
  <c r="P1733"/>
  <c r="E1733"/>
  <c r="P1732"/>
  <c r="E1732"/>
  <c r="P1731"/>
  <c r="E1731"/>
  <c r="P1730"/>
  <c r="E1730"/>
  <c r="P1729"/>
  <c r="E1729"/>
  <c r="P1728"/>
  <c r="E1728"/>
  <c r="P1727"/>
  <c r="E1727"/>
  <c r="P1726"/>
  <c r="E1726"/>
  <c r="P1725"/>
  <c r="E1725"/>
  <c r="P1724"/>
  <c r="E1724"/>
  <c r="P1723"/>
  <c r="E1723"/>
  <c r="P1722"/>
  <c r="E1722"/>
  <c r="P1721"/>
  <c r="E1721"/>
  <c r="P1720"/>
  <c r="E1720"/>
  <c r="P1719"/>
  <c r="E1719"/>
  <c r="P1718"/>
  <c r="E1718"/>
  <c r="P1717"/>
  <c r="E1717"/>
  <c r="P1716"/>
  <c r="E1716"/>
  <c r="P1715"/>
  <c r="E1715"/>
  <c r="P1714"/>
  <c r="E1714"/>
  <c r="P1713"/>
  <c r="E1713"/>
  <c r="P1712"/>
  <c r="E1712"/>
  <c r="P1711"/>
  <c r="E1711"/>
  <c r="P1710"/>
  <c r="E1710"/>
  <c r="P1709"/>
  <c r="E1709"/>
  <c r="P1708"/>
  <c r="E1708"/>
  <c r="P1707"/>
  <c r="E1707"/>
  <c r="P1706"/>
  <c r="E1706"/>
  <c r="P1705"/>
  <c r="E1705"/>
  <c r="P1704"/>
  <c r="E1704"/>
  <c r="P1703"/>
  <c r="E1703"/>
  <c r="P1702"/>
  <c r="E1702"/>
  <c r="P1701"/>
  <c r="E1701"/>
  <c r="P1700"/>
  <c r="E1700"/>
  <c r="P1699"/>
  <c r="E1699"/>
  <c r="P1698"/>
  <c r="E1698"/>
  <c r="P1697"/>
  <c r="E1697"/>
  <c r="P1696"/>
  <c r="E1696"/>
  <c r="P1695"/>
  <c r="E1695"/>
  <c r="P1694"/>
  <c r="E1694"/>
  <c r="P1693"/>
  <c r="E1693"/>
  <c r="P1692"/>
  <c r="E1692"/>
  <c r="P1691"/>
  <c r="E1691"/>
  <c r="P1690"/>
  <c r="E1690"/>
  <c r="P1689"/>
  <c r="E1689"/>
  <c r="P1688"/>
  <c r="E1688"/>
  <c r="P1687"/>
  <c r="E1687"/>
  <c r="P1686"/>
  <c r="E1686"/>
  <c r="P1685"/>
  <c r="E1685"/>
  <c r="P1684"/>
  <c r="E1684"/>
  <c r="P1683"/>
  <c r="E1683"/>
  <c r="P1682"/>
  <c r="E1682"/>
  <c r="P1681"/>
  <c r="E1681"/>
  <c r="P1680"/>
  <c r="E1680"/>
  <c r="P1679"/>
  <c r="E1679"/>
  <c r="P1678"/>
  <c r="E1678"/>
  <c r="P1677"/>
  <c r="E1677"/>
  <c r="P1676"/>
  <c r="E1676"/>
  <c r="P1675"/>
  <c r="E1675"/>
  <c r="P1674"/>
  <c r="E1674"/>
  <c r="P1673"/>
  <c r="E1673"/>
  <c r="P1672"/>
  <c r="E1672"/>
  <c r="P1671"/>
  <c r="E1671"/>
  <c r="P1670"/>
  <c r="E1670"/>
  <c r="P1669"/>
  <c r="E1669"/>
  <c r="P1668"/>
  <c r="E1668"/>
  <c r="P1667"/>
  <c r="E1667"/>
  <c r="P1666"/>
  <c r="E1666"/>
  <c r="P1665"/>
  <c r="E1665"/>
  <c r="P1664"/>
  <c r="E1664"/>
  <c r="P1663"/>
  <c r="E1663"/>
  <c r="P1662"/>
  <c r="E1662"/>
  <c r="P1661"/>
  <c r="E1661"/>
  <c r="P1660"/>
  <c r="E1660"/>
  <c r="P1659"/>
  <c r="E1659"/>
  <c r="P1658"/>
  <c r="E1658"/>
  <c r="P1657"/>
  <c r="E1657"/>
  <c r="P1656"/>
  <c r="E1656"/>
  <c r="P1655"/>
  <c r="E1655"/>
  <c r="P1654"/>
  <c r="E1654"/>
  <c r="P1653"/>
  <c r="E1653"/>
  <c r="P1652"/>
  <c r="E1652"/>
  <c r="P1651"/>
  <c r="E1651"/>
  <c r="P1650"/>
  <c r="E1650"/>
  <c r="P1649"/>
  <c r="E1649"/>
  <c r="P1648"/>
  <c r="E1648"/>
  <c r="P1647"/>
  <c r="E1647"/>
  <c r="P1646"/>
  <c r="E1646"/>
  <c r="P1645"/>
  <c r="E1645"/>
  <c r="P1644"/>
  <c r="E1644"/>
  <c r="P1643"/>
  <c r="E1643"/>
  <c r="P1642"/>
  <c r="E1642"/>
  <c r="P1641"/>
  <c r="E1641"/>
  <c r="P1640"/>
  <c r="E1640"/>
  <c r="P1639"/>
  <c r="E1639"/>
  <c r="P1638"/>
  <c r="E1638"/>
  <c r="P1637"/>
  <c r="E1637"/>
  <c r="P1636"/>
  <c r="E1636"/>
  <c r="P1635"/>
  <c r="E1635"/>
  <c r="P1634"/>
  <c r="E1634"/>
  <c r="P1633"/>
  <c r="E1633"/>
  <c r="P1632"/>
  <c r="E1632"/>
  <c r="P1631"/>
  <c r="E1631"/>
  <c r="P1630"/>
  <c r="E1630"/>
  <c r="P1629"/>
  <c r="E1629"/>
  <c r="P1628"/>
  <c r="E1628"/>
  <c r="P1627"/>
  <c r="E1627"/>
  <c r="P1626"/>
  <c r="E1626"/>
  <c r="P1625"/>
  <c r="E1625"/>
  <c r="P1624"/>
  <c r="E1624"/>
  <c r="P1623"/>
  <c r="E1623"/>
  <c r="P1622"/>
  <c r="E1622"/>
  <c r="P1621"/>
  <c r="E1621"/>
  <c r="P1620"/>
  <c r="E1620"/>
  <c r="P1619"/>
  <c r="E1619"/>
  <c r="P1618"/>
  <c r="E1618"/>
  <c r="P1617"/>
  <c r="E1617"/>
  <c r="P1616"/>
  <c r="E1616"/>
  <c r="P1615"/>
  <c r="E1615"/>
  <c r="P1614"/>
  <c r="E1614"/>
  <c r="P1613"/>
  <c r="E1613"/>
  <c r="P1612"/>
  <c r="E1612"/>
  <c r="P1611"/>
  <c r="E1611"/>
  <c r="P1610"/>
  <c r="E1610"/>
  <c r="P1609"/>
  <c r="E1609"/>
  <c r="P1608"/>
  <c r="E1608"/>
  <c r="P1607"/>
  <c r="E1607"/>
  <c r="P1606"/>
  <c r="E1606"/>
  <c r="P1605"/>
  <c r="E1605"/>
  <c r="P1604"/>
  <c r="E1604"/>
  <c r="P1603"/>
  <c r="E1603"/>
  <c r="P1602"/>
  <c r="E1602"/>
  <c r="P1601"/>
  <c r="E1601"/>
  <c r="P1600"/>
  <c r="E1600"/>
  <c r="P1599"/>
  <c r="E1599"/>
  <c r="P1598"/>
  <c r="E1598"/>
  <c r="P1597"/>
  <c r="E1597"/>
  <c r="P1596"/>
  <c r="E1596"/>
  <c r="P1595"/>
  <c r="E1595"/>
  <c r="P1594"/>
  <c r="E1594"/>
  <c r="P1593"/>
  <c r="E1593"/>
  <c r="P1592"/>
  <c r="E1592"/>
  <c r="P1591"/>
  <c r="E1591"/>
  <c r="P1590"/>
  <c r="E1590"/>
  <c r="P1589"/>
  <c r="E1589"/>
  <c r="P1588"/>
  <c r="E1588"/>
  <c r="P1587"/>
  <c r="E1587"/>
  <c r="P1586"/>
  <c r="E1586"/>
  <c r="P1585"/>
  <c r="E1585"/>
  <c r="P1584"/>
  <c r="E1584"/>
  <c r="P1583"/>
  <c r="E1583"/>
  <c r="P1582"/>
  <c r="E1582"/>
  <c r="P1581"/>
  <c r="E1581"/>
  <c r="P1580"/>
  <c r="E1580"/>
  <c r="P1579"/>
  <c r="E1579"/>
  <c r="P1578"/>
  <c r="E1578"/>
  <c r="P1577"/>
  <c r="E1577"/>
  <c r="P1576"/>
  <c r="E1576"/>
  <c r="P1575"/>
  <c r="E1575"/>
  <c r="P1574"/>
  <c r="E1574"/>
  <c r="P1573"/>
  <c r="E1573"/>
  <c r="P1572"/>
  <c r="E1572"/>
  <c r="P1571"/>
  <c r="E1571"/>
  <c r="P1570"/>
  <c r="E1570"/>
  <c r="P1569"/>
  <c r="E1569"/>
  <c r="P1568"/>
  <c r="E1568"/>
  <c r="P1567"/>
  <c r="E1567"/>
  <c r="P1566"/>
  <c r="E1566"/>
  <c r="P1565"/>
  <c r="E1565"/>
  <c r="P1564"/>
  <c r="E1564"/>
  <c r="P1563"/>
  <c r="E1563"/>
  <c r="P1562"/>
  <c r="E1562"/>
  <c r="P1561"/>
  <c r="E1561"/>
  <c r="P1560"/>
  <c r="E1560"/>
  <c r="P1559"/>
  <c r="E1559"/>
  <c r="P1558"/>
  <c r="E1558"/>
  <c r="P1557"/>
  <c r="E1557"/>
  <c r="P1556"/>
  <c r="E1556"/>
  <c r="P1555"/>
  <c r="E1555"/>
  <c r="P1554"/>
  <c r="E1554"/>
  <c r="P1553"/>
  <c r="E1553"/>
  <c r="P1552"/>
  <c r="E1552"/>
  <c r="P1551"/>
  <c r="E1551"/>
  <c r="P1550"/>
  <c r="E1550"/>
  <c r="P1549"/>
  <c r="E1549"/>
  <c r="P1548"/>
  <c r="E1548"/>
  <c r="P1547"/>
  <c r="E1547"/>
  <c r="P1546"/>
  <c r="E1546"/>
  <c r="P1545"/>
  <c r="E1545"/>
  <c r="P1544"/>
  <c r="E1544"/>
  <c r="P1543"/>
  <c r="E1543"/>
  <c r="P1542"/>
  <c r="E1542"/>
  <c r="P1541"/>
  <c r="E1541"/>
  <c r="P1540"/>
  <c r="E1540"/>
  <c r="P1539"/>
  <c r="E1539"/>
  <c r="P1538"/>
  <c r="E1538"/>
  <c r="P1537"/>
  <c r="E1537"/>
  <c r="P1536"/>
  <c r="E1536"/>
  <c r="P1535"/>
  <c r="E1535"/>
  <c r="P1534"/>
  <c r="E1534"/>
  <c r="P1533"/>
  <c r="E1533"/>
  <c r="P1532"/>
  <c r="E1532"/>
  <c r="P1531"/>
  <c r="E1531"/>
  <c r="P1530"/>
  <c r="E1530"/>
  <c r="P1529"/>
  <c r="E1529"/>
  <c r="P1528"/>
  <c r="E1528"/>
  <c r="P1527"/>
  <c r="E1527"/>
  <c r="P1526"/>
  <c r="E1526"/>
  <c r="P1525"/>
  <c r="E1525"/>
  <c r="P1524"/>
  <c r="E1524"/>
  <c r="P1523"/>
  <c r="E1523"/>
  <c r="P1522"/>
  <c r="E1522"/>
  <c r="P1521"/>
  <c r="E1521"/>
  <c r="P1520"/>
  <c r="E1520"/>
  <c r="P1519"/>
  <c r="E1519"/>
  <c r="P1518"/>
  <c r="E1518"/>
  <c r="P1517"/>
  <c r="E1517"/>
  <c r="P1516"/>
  <c r="E1516"/>
  <c r="P1515"/>
  <c r="E1515"/>
  <c r="P1514"/>
  <c r="E1514"/>
  <c r="P1513"/>
  <c r="E1513"/>
  <c r="P1512"/>
  <c r="E1512"/>
  <c r="P1511"/>
  <c r="E1511"/>
  <c r="P1510"/>
  <c r="E1510"/>
  <c r="P1509"/>
  <c r="E1509"/>
  <c r="P1508"/>
  <c r="E1508"/>
  <c r="P1507"/>
  <c r="E1507"/>
  <c r="P1506"/>
  <c r="E1506"/>
  <c r="P1505"/>
  <c r="E1505"/>
  <c r="P1504"/>
  <c r="E1504"/>
  <c r="P1503"/>
  <c r="E1503"/>
  <c r="P1502"/>
  <c r="E1502"/>
  <c r="P1501"/>
  <c r="E1501"/>
  <c r="P1500"/>
  <c r="E1500"/>
  <c r="P1499"/>
  <c r="E1499"/>
  <c r="P1498"/>
  <c r="E1498"/>
  <c r="P1497"/>
  <c r="E1497"/>
  <c r="P1496"/>
  <c r="E1496"/>
  <c r="P1495"/>
  <c r="E1495"/>
  <c r="P1494"/>
  <c r="E1494"/>
  <c r="P1493"/>
  <c r="E1493"/>
  <c r="P1492"/>
  <c r="E1492"/>
  <c r="P1491"/>
  <c r="E1491"/>
  <c r="P1490"/>
  <c r="E1490"/>
  <c r="P1489"/>
  <c r="E1489"/>
  <c r="P1488"/>
  <c r="E1488"/>
  <c r="P1487"/>
  <c r="E1487"/>
  <c r="P1486"/>
  <c r="E1486"/>
  <c r="P1485"/>
  <c r="E1485"/>
  <c r="P1484"/>
  <c r="E1484"/>
  <c r="P1483"/>
  <c r="E1483"/>
  <c r="P1482"/>
  <c r="E1482"/>
  <c r="P1481"/>
  <c r="E1481"/>
  <c r="P1480"/>
  <c r="E1480"/>
  <c r="P1479"/>
  <c r="E1479"/>
  <c r="P1478"/>
  <c r="E1478"/>
  <c r="P1477"/>
  <c r="E1477"/>
  <c r="P1476"/>
  <c r="E1476"/>
  <c r="P1475"/>
  <c r="E1475"/>
  <c r="P1474"/>
  <c r="E1474"/>
  <c r="P1473"/>
  <c r="E1473"/>
  <c r="P1472"/>
  <c r="E1472"/>
  <c r="P1471"/>
  <c r="E1471"/>
  <c r="P1470"/>
  <c r="E1470"/>
  <c r="P1469"/>
  <c r="E1469"/>
  <c r="P1468"/>
  <c r="E1468"/>
  <c r="P1467"/>
  <c r="E1467"/>
  <c r="P1466"/>
  <c r="E1466"/>
  <c r="P1465"/>
  <c r="E1465"/>
  <c r="P1464"/>
  <c r="E1464"/>
  <c r="P1463"/>
  <c r="E1463"/>
  <c r="P1462"/>
  <c r="E1462"/>
  <c r="P1461"/>
  <c r="E1461"/>
  <c r="P1460"/>
  <c r="E1460"/>
  <c r="P1459"/>
  <c r="E1459"/>
  <c r="P1458"/>
  <c r="E1458"/>
  <c r="P1457"/>
  <c r="E1457"/>
  <c r="P1456"/>
  <c r="E1456"/>
  <c r="P1455"/>
  <c r="E1455"/>
  <c r="P1454"/>
  <c r="E1454"/>
  <c r="P1453"/>
  <c r="E1453"/>
  <c r="P1452"/>
  <c r="E1452"/>
  <c r="P1451"/>
  <c r="E1451"/>
  <c r="P1450"/>
  <c r="E1450"/>
  <c r="P1449"/>
  <c r="E1449"/>
  <c r="P1448"/>
  <c r="E1448"/>
  <c r="P1447"/>
  <c r="E1447"/>
  <c r="P1446"/>
  <c r="E1446"/>
  <c r="P1445"/>
  <c r="E1445"/>
  <c r="P1444"/>
  <c r="E1444"/>
  <c r="P1443"/>
  <c r="E1443"/>
  <c r="P1442"/>
  <c r="E1442"/>
  <c r="P1441"/>
  <c r="E1441"/>
  <c r="P1440"/>
  <c r="E1440"/>
  <c r="P1439"/>
  <c r="E1439"/>
  <c r="P1438"/>
  <c r="E1438"/>
  <c r="P1437"/>
  <c r="E1437"/>
  <c r="P1436"/>
  <c r="E1436"/>
  <c r="P1435"/>
  <c r="E1435"/>
  <c r="P1434"/>
  <c r="E1434"/>
  <c r="P1433"/>
  <c r="E1433"/>
  <c r="P1432"/>
  <c r="E1432"/>
  <c r="P1431"/>
  <c r="E1431"/>
  <c r="P1430"/>
  <c r="E1430"/>
  <c r="P1429"/>
  <c r="E1429"/>
  <c r="P1428"/>
  <c r="E1428"/>
  <c r="P1427"/>
  <c r="E1427"/>
  <c r="P1426"/>
  <c r="E1426"/>
  <c r="P1425"/>
  <c r="E1425"/>
  <c r="P1424"/>
  <c r="E1424"/>
  <c r="P1423"/>
  <c r="E1423"/>
  <c r="P1422"/>
  <c r="E1422"/>
  <c r="P1421"/>
  <c r="E1421"/>
  <c r="P1420"/>
  <c r="E1420"/>
  <c r="P1419"/>
  <c r="E1419"/>
  <c r="P1418"/>
  <c r="E1418"/>
  <c r="P1417"/>
  <c r="E1417"/>
  <c r="P1416"/>
  <c r="E1416"/>
  <c r="P1415"/>
  <c r="E1415"/>
  <c r="P1414"/>
  <c r="E1414"/>
  <c r="P1413"/>
  <c r="E1413"/>
  <c r="P1412"/>
  <c r="E1412"/>
  <c r="P1411"/>
  <c r="E1411"/>
  <c r="P1410"/>
  <c r="E1410"/>
  <c r="P1409"/>
  <c r="E1409"/>
  <c r="P1408"/>
  <c r="E1408"/>
  <c r="P1407"/>
  <c r="E1407"/>
  <c r="P1406"/>
  <c r="E1406"/>
  <c r="P1405"/>
  <c r="E1405"/>
  <c r="P1404"/>
  <c r="E1404"/>
  <c r="P1403"/>
  <c r="E1403"/>
  <c r="P1402"/>
  <c r="E1402"/>
  <c r="P1401"/>
  <c r="E1401"/>
  <c r="P1400"/>
  <c r="E1400"/>
  <c r="P1399"/>
  <c r="E1399"/>
  <c r="P1398"/>
  <c r="E1398"/>
  <c r="P1397"/>
  <c r="E1397"/>
  <c r="P1396"/>
  <c r="E1396"/>
  <c r="P1395"/>
  <c r="E1395"/>
  <c r="P1394"/>
  <c r="E1394"/>
  <c r="P1393"/>
  <c r="E1393"/>
  <c r="P1392"/>
  <c r="E1392"/>
  <c r="P1391"/>
  <c r="E1391"/>
  <c r="P1390"/>
  <c r="E1390"/>
  <c r="P1389"/>
  <c r="E1389"/>
  <c r="P1388"/>
  <c r="E1388"/>
  <c r="P1387"/>
  <c r="E1387"/>
  <c r="P1386"/>
  <c r="E1386"/>
  <c r="P1385"/>
  <c r="E1385"/>
  <c r="P1384"/>
  <c r="E1384"/>
  <c r="P1383"/>
  <c r="E1383"/>
  <c r="P1382"/>
  <c r="E1382"/>
  <c r="P1381"/>
  <c r="E1381"/>
  <c r="P1380"/>
  <c r="E1380"/>
  <c r="P1379"/>
  <c r="E1379"/>
  <c r="P1378"/>
  <c r="E1378"/>
  <c r="P1377"/>
  <c r="E1377"/>
  <c r="P1376"/>
  <c r="E1376"/>
  <c r="P1375"/>
  <c r="E1375"/>
  <c r="P1374"/>
  <c r="E1374"/>
  <c r="P1373"/>
  <c r="E1373"/>
  <c r="P1372"/>
  <c r="E1372"/>
  <c r="P1371"/>
  <c r="E1371"/>
  <c r="P1370"/>
  <c r="E1370"/>
  <c r="P1369"/>
  <c r="E1369"/>
  <c r="P1368"/>
  <c r="E1368"/>
  <c r="P1367"/>
  <c r="E1367"/>
  <c r="P1366"/>
  <c r="E1366"/>
  <c r="P1365"/>
  <c r="E1365"/>
  <c r="P1364"/>
  <c r="E1364"/>
  <c r="P1363"/>
  <c r="E1363"/>
  <c r="P1362"/>
  <c r="E1362"/>
  <c r="P1361"/>
  <c r="E1361"/>
  <c r="P1360"/>
  <c r="E1360"/>
  <c r="P1359"/>
  <c r="E1359"/>
  <c r="P1358"/>
  <c r="E1358"/>
  <c r="P1357"/>
  <c r="E1357"/>
  <c r="P1356"/>
  <c r="E1356"/>
  <c r="P1355"/>
  <c r="E1355"/>
  <c r="P1354"/>
  <c r="E1354"/>
  <c r="P1353"/>
  <c r="E1353"/>
  <c r="P1352"/>
  <c r="E1352"/>
  <c r="P1351"/>
  <c r="E1351"/>
  <c r="P1350"/>
  <c r="E1350"/>
  <c r="P1349"/>
  <c r="E1349"/>
  <c r="P1348"/>
  <c r="E1348"/>
  <c r="P1347"/>
  <c r="E1347"/>
  <c r="P1346"/>
  <c r="E1346"/>
  <c r="P1345"/>
  <c r="E1345"/>
  <c r="P1344"/>
  <c r="E1344"/>
  <c r="P1343"/>
  <c r="E1343"/>
  <c r="P1342"/>
  <c r="E1342"/>
  <c r="P1341"/>
  <c r="E1341"/>
  <c r="P1340"/>
  <c r="E1340"/>
  <c r="P1339"/>
  <c r="E1339"/>
  <c r="P1338"/>
  <c r="E1338"/>
  <c r="P1337"/>
  <c r="E1337"/>
  <c r="P1336"/>
  <c r="E1336"/>
  <c r="P1335"/>
  <c r="E1335"/>
  <c r="P1334"/>
  <c r="E1334"/>
  <c r="P1333"/>
  <c r="E1333"/>
  <c r="P1332"/>
  <c r="E1332"/>
  <c r="P1331"/>
  <c r="E1331"/>
  <c r="P1330"/>
  <c r="E1330"/>
  <c r="P1329"/>
  <c r="E1329"/>
  <c r="P1328"/>
  <c r="E1328"/>
  <c r="P1327"/>
  <c r="E1327"/>
  <c r="P1326"/>
  <c r="E1326"/>
  <c r="P1325"/>
  <c r="E1325"/>
  <c r="P1324"/>
  <c r="E1324"/>
  <c r="P1323"/>
  <c r="E1323"/>
  <c r="P1322"/>
  <c r="E1322"/>
  <c r="P1321"/>
  <c r="E1321"/>
  <c r="P1320"/>
  <c r="E1320"/>
  <c r="P1319"/>
  <c r="E1319"/>
  <c r="P1318"/>
  <c r="E1318"/>
  <c r="P1317"/>
  <c r="E1317"/>
  <c r="P1316"/>
  <c r="E1316"/>
  <c r="P1315"/>
  <c r="E1315"/>
  <c r="P1314"/>
  <c r="E1314"/>
  <c r="P1313"/>
  <c r="E1313"/>
  <c r="P1312"/>
  <c r="E1312"/>
  <c r="P1311"/>
  <c r="E1311"/>
  <c r="P1310"/>
  <c r="E1310"/>
  <c r="P1309"/>
  <c r="E1309"/>
  <c r="P1308"/>
  <c r="E1308"/>
  <c r="P1307"/>
  <c r="E1307"/>
  <c r="P1306"/>
  <c r="E1306"/>
  <c r="P1305"/>
  <c r="E1305"/>
  <c r="P1304"/>
  <c r="E1304"/>
  <c r="P1303"/>
  <c r="E1303"/>
  <c r="P1302"/>
  <c r="E1302"/>
  <c r="P1301"/>
  <c r="E1301"/>
  <c r="P1300"/>
  <c r="E1300"/>
  <c r="P1299"/>
  <c r="E1299"/>
  <c r="P1298"/>
  <c r="E1298"/>
  <c r="P1297"/>
  <c r="E1297"/>
  <c r="P1296"/>
  <c r="E1296"/>
  <c r="P1295"/>
  <c r="E1295"/>
  <c r="P1294"/>
  <c r="E1294"/>
  <c r="P1293"/>
  <c r="E1293"/>
  <c r="P1292"/>
  <c r="E1292"/>
  <c r="P1291"/>
  <c r="E1291"/>
  <c r="P1290"/>
  <c r="E1290"/>
  <c r="P1289"/>
  <c r="E1289"/>
  <c r="P1288"/>
  <c r="E1288"/>
  <c r="P1287"/>
  <c r="E1287"/>
  <c r="P1286"/>
  <c r="E1286"/>
  <c r="P1285"/>
  <c r="E1285"/>
  <c r="P1284"/>
  <c r="E1284"/>
  <c r="P1283"/>
  <c r="E1283"/>
  <c r="P1282"/>
  <c r="E1282"/>
  <c r="P1281"/>
  <c r="E1281"/>
  <c r="P1280"/>
  <c r="E1280"/>
  <c r="P1279"/>
  <c r="E1279"/>
  <c r="P1278"/>
  <c r="E1278"/>
  <c r="P1277"/>
  <c r="E1277"/>
  <c r="P1276"/>
  <c r="E1276"/>
  <c r="P1275"/>
  <c r="E1275"/>
  <c r="P1274"/>
  <c r="E1274"/>
  <c r="P1273"/>
  <c r="E1273"/>
  <c r="P1272"/>
  <c r="E1272"/>
  <c r="P1271"/>
  <c r="E1271"/>
  <c r="P1270"/>
  <c r="E1270"/>
  <c r="P1269"/>
  <c r="E1269"/>
  <c r="P1268"/>
  <c r="E1268"/>
  <c r="P1267"/>
  <c r="E1267"/>
  <c r="P1266"/>
  <c r="E1266"/>
  <c r="P1265"/>
  <c r="E1265"/>
  <c r="P1264"/>
  <c r="E1264"/>
  <c r="P1263"/>
  <c r="E1263"/>
  <c r="P1262"/>
  <c r="E1262"/>
  <c r="P1261"/>
  <c r="E1261"/>
  <c r="P1260"/>
  <c r="E1260"/>
  <c r="P1259"/>
  <c r="E1259"/>
  <c r="P1258"/>
  <c r="E1258"/>
  <c r="P1257"/>
  <c r="E1257"/>
  <c r="P1256"/>
  <c r="E1256"/>
  <c r="P1255"/>
  <c r="E1255"/>
  <c r="P1254"/>
  <c r="E1254"/>
  <c r="P1253"/>
  <c r="E1253"/>
  <c r="P1252"/>
  <c r="E1252"/>
  <c r="P1251"/>
  <c r="E1251"/>
  <c r="P1250"/>
  <c r="E1250"/>
  <c r="P1249"/>
  <c r="E1249"/>
  <c r="P1248"/>
  <c r="E1248"/>
  <c r="P1247"/>
  <c r="E1247"/>
  <c r="P1246"/>
  <c r="E1246"/>
  <c r="P1245"/>
  <c r="E1245"/>
  <c r="P1244"/>
  <c r="E1244"/>
  <c r="P1243"/>
  <c r="E1243"/>
  <c r="P1242"/>
  <c r="E1242"/>
  <c r="P1241"/>
  <c r="E1241"/>
  <c r="P1240"/>
  <c r="E1240"/>
  <c r="P1239"/>
  <c r="E1239"/>
  <c r="P1238"/>
  <c r="E1238"/>
  <c r="P1237"/>
  <c r="E1237"/>
  <c r="P1236"/>
  <c r="E1236"/>
  <c r="P1235"/>
  <c r="E1235"/>
  <c r="P1234"/>
  <c r="E1234"/>
  <c r="P1233"/>
  <c r="E1233"/>
  <c r="P1232"/>
  <c r="E1232"/>
  <c r="P1231"/>
  <c r="E1231"/>
  <c r="P1230"/>
  <c r="E1230"/>
  <c r="P1229"/>
  <c r="E1229"/>
  <c r="P1228"/>
  <c r="E1228"/>
  <c r="P1227"/>
  <c r="E1227"/>
  <c r="P1226"/>
  <c r="E1226"/>
  <c r="P1225"/>
  <c r="E1225"/>
  <c r="P1224"/>
  <c r="E1224"/>
  <c r="P1223"/>
  <c r="E1223"/>
  <c r="P1222"/>
  <c r="E1222"/>
  <c r="P1221"/>
  <c r="E1221"/>
  <c r="P1220"/>
  <c r="E1220"/>
  <c r="P1219"/>
  <c r="E1219"/>
  <c r="P1218"/>
  <c r="E1218"/>
  <c r="P1217"/>
  <c r="E1217"/>
  <c r="P1216"/>
  <c r="E1216"/>
  <c r="P1215"/>
  <c r="E1215"/>
  <c r="P1214"/>
  <c r="E1214"/>
  <c r="P1213"/>
  <c r="E1213"/>
  <c r="P1212"/>
  <c r="E1212"/>
  <c r="P1211"/>
  <c r="E1211"/>
  <c r="P1210"/>
  <c r="E1210"/>
  <c r="P1209"/>
  <c r="E1209"/>
  <c r="P1208"/>
  <c r="E1208"/>
  <c r="P1207"/>
  <c r="E1207"/>
  <c r="P1206"/>
  <c r="E1206"/>
  <c r="P1205"/>
  <c r="E1205"/>
  <c r="P1204"/>
  <c r="E1204"/>
  <c r="P1203"/>
  <c r="E1203"/>
  <c r="P1202"/>
  <c r="E1202"/>
  <c r="P1201"/>
  <c r="E1201"/>
  <c r="P1200"/>
  <c r="E1200"/>
  <c r="P1199"/>
  <c r="E1199"/>
  <c r="P1198"/>
  <c r="E1198"/>
  <c r="P1197"/>
  <c r="E1197"/>
  <c r="P1196"/>
  <c r="E1196"/>
  <c r="P1195"/>
  <c r="E1195"/>
  <c r="P1194"/>
  <c r="E1194"/>
  <c r="P1193"/>
  <c r="E1193"/>
  <c r="P1192"/>
  <c r="E1192"/>
  <c r="P1191"/>
  <c r="E1191"/>
  <c r="P1190"/>
  <c r="E1190"/>
  <c r="P1189"/>
  <c r="E1189"/>
  <c r="P1188"/>
  <c r="E1188"/>
  <c r="P1187"/>
  <c r="E1187"/>
  <c r="P1186"/>
  <c r="E1186"/>
  <c r="P1185"/>
  <c r="E1185"/>
  <c r="P1184"/>
  <c r="E1184"/>
  <c r="P1183"/>
  <c r="E1183"/>
  <c r="P1182"/>
  <c r="E1182"/>
  <c r="P1181"/>
  <c r="E1181"/>
  <c r="P1180"/>
  <c r="E1180"/>
  <c r="P1179"/>
  <c r="E1179"/>
  <c r="P1178"/>
  <c r="E1178"/>
  <c r="P1177"/>
  <c r="E1177"/>
  <c r="P1176"/>
  <c r="E1176"/>
  <c r="P1175"/>
  <c r="E1175"/>
  <c r="P1174"/>
  <c r="E1174"/>
  <c r="P1173"/>
  <c r="E1173"/>
  <c r="P1172"/>
  <c r="E1172"/>
  <c r="P1171"/>
  <c r="E1171"/>
  <c r="P1170"/>
  <c r="E1170"/>
  <c r="P1169"/>
  <c r="E1169"/>
  <c r="P1168"/>
  <c r="E1168"/>
  <c r="P1167"/>
  <c r="E1167"/>
  <c r="P1166"/>
  <c r="E1166"/>
  <c r="P1165"/>
  <c r="E1165"/>
  <c r="P1164"/>
  <c r="E1164"/>
  <c r="P1163"/>
  <c r="E1163"/>
  <c r="P1162"/>
  <c r="E1162"/>
  <c r="P1161"/>
  <c r="E1161"/>
  <c r="P1160"/>
  <c r="E1160"/>
  <c r="P1159"/>
  <c r="E1159"/>
  <c r="P1158"/>
  <c r="E1158"/>
  <c r="P1157"/>
  <c r="E1157"/>
  <c r="P1156"/>
  <c r="E1156"/>
  <c r="P1155"/>
  <c r="E1155"/>
  <c r="P1154"/>
  <c r="E1154"/>
  <c r="P1153"/>
  <c r="E1153"/>
  <c r="P1152"/>
  <c r="E1152"/>
  <c r="P1151"/>
  <c r="E1151"/>
  <c r="P1150"/>
  <c r="E1150"/>
  <c r="P1149"/>
  <c r="E1149"/>
  <c r="P1148"/>
  <c r="E1148"/>
  <c r="P1147"/>
  <c r="E1147"/>
  <c r="P1146"/>
  <c r="E1146"/>
  <c r="P1145"/>
  <c r="E1145"/>
  <c r="P1144"/>
  <c r="E1144"/>
  <c r="P1143"/>
  <c r="E1143"/>
  <c r="P1142"/>
  <c r="E1142"/>
  <c r="P1141"/>
  <c r="E1141"/>
  <c r="P1140"/>
  <c r="E1140"/>
  <c r="P1139"/>
  <c r="E1139"/>
  <c r="P1138"/>
  <c r="E1138"/>
  <c r="P1137"/>
  <c r="E1137"/>
  <c r="P1136"/>
  <c r="E1136"/>
  <c r="P1135"/>
  <c r="E1135"/>
  <c r="P1134"/>
  <c r="E1134"/>
  <c r="P1133"/>
  <c r="E1133"/>
  <c r="P1132"/>
  <c r="E1132"/>
  <c r="P1131"/>
  <c r="E1131"/>
  <c r="P1130"/>
  <c r="E1130"/>
  <c r="P1129"/>
  <c r="E1129"/>
  <c r="P1128"/>
  <c r="E1128"/>
  <c r="P1127"/>
  <c r="E1127"/>
  <c r="P1126"/>
  <c r="E1126"/>
  <c r="P1125"/>
  <c r="E1125"/>
  <c r="P1124"/>
  <c r="E1124"/>
  <c r="P1123"/>
  <c r="E1123"/>
  <c r="P1122"/>
  <c r="E1122"/>
  <c r="P1121"/>
  <c r="E1121"/>
  <c r="P1120"/>
  <c r="E1120"/>
  <c r="P1119"/>
  <c r="E1119"/>
  <c r="P1118"/>
  <c r="E1118"/>
  <c r="P1117"/>
  <c r="E1117"/>
  <c r="P1116"/>
  <c r="E1116"/>
  <c r="P1115"/>
  <c r="E1115"/>
  <c r="P1114"/>
  <c r="E1114"/>
  <c r="P1113"/>
  <c r="E1113"/>
  <c r="P1112"/>
  <c r="E1112"/>
  <c r="P1111"/>
  <c r="E1111"/>
  <c r="P1110"/>
  <c r="E1110"/>
  <c r="P1109"/>
  <c r="E1109"/>
  <c r="P1108"/>
  <c r="E1108"/>
  <c r="P1107"/>
  <c r="E1107"/>
  <c r="P1106"/>
  <c r="E1106"/>
  <c r="P1105"/>
  <c r="E1105"/>
  <c r="P1104"/>
  <c r="E1104"/>
  <c r="P1103"/>
  <c r="E1103"/>
  <c r="P1102"/>
  <c r="E1102"/>
  <c r="P1101"/>
  <c r="E1101"/>
  <c r="P1100"/>
  <c r="E1100"/>
  <c r="P1099"/>
  <c r="E1099"/>
  <c r="P1098"/>
  <c r="E1098"/>
  <c r="P1097"/>
  <c r="E1097"/>
  <c r="P1096"/>
  <c r="E1096"/>
  <c r="P1095"/>
  <c r="E1095"/>
  <c r="P1094"/>
  <c r="E1094"/>
  <c r="P1093"/>
  <c r="E1093"/>
  <c r="P1092"/>
  <c r="E1092"/>
  <c r="P1091"/>
  <c r="E1091"/>
  <c r="P1090"/>
  <c r="E1090"/>
  <c r="P1089"/>
  <c r="E1089"/>
  <c r="P1088"/>
  <c r="E1088"/>
  <c r="P1087"/>
  <c r="E1087"/>
  <c r="P1086"/>
  <c r="E1086"/>
  <c r="P1085"/>
  <c r="E1085"/>
  <c r="P1084"/>
  <c r="E1084"/>
  <c r="P1083"/>
  <c r="E1083"/>
  <c r="P1082"/>
  <c r="E1082"/>
  <c r="P1081"/>
  <c r="E1081"/>
  <c r="P1080"/>
  <c r="E1080"/>
  <c r="P1079"/>
  <c r="E1079"/>
  <c r="P1078"/>
  <c r="E1078"/>
  <c r="P1077"/>
  <c r="E1077"/>
  <c r="P1076"/>
  <c r="E1076"/>
  <c r="P1075"/>
  <c r="E1075"/>
  <c r="P1074"/>
  <c r="E1074"/>
  <c r="P1073"/>
  <c r="E1073"/>
  <c r="P1072"/>
  <c r="E1072"/>
  <c r="P1071"/>
  <c r="E1071"/>
  <c r="P1070"/>
  <c r="E1070"/>
  <c r="P1069"/>
  <c r="E1069"/>
  <c r="P1068"/>
  <c r="E1068"/>
  <c r="P1067"/>
  <c r="E1067"/>
  <c r="P1066"/>
  <c r="E1066"/>
  <c r="P1065"/>
  <c r="E1065"/>
  <c r="P1064"/>
  <c r="E1064"/>
  <c r="P1063"/>
  <c r="E1063"/>
  <c r="P1062"/>
  <c r="E1062"/>
  <c r="P1061"/>
  <c r="E1061"/>
  <c r="P1060"/>
  <c r="E1060"/>
  <c r="P1059"/>
  <c r="E1059"/>
  <c r="P1058"/>
  <c r="E1058"/>
  <c r="P1057"/>
  <c r="E1057"/>
  <c r="P1056"/>
  <c r="E1056"/>
  <c r="P1055"/>
  <c r="E1055"/>
  <c r="P1054"/>
  <c r="E1054"/>
  <c r="P1053"/>
  <c r="E1053"/>
  <c r="P1052"/>
  <c r="E1052"/>
  <c r="P1051"/>
  <c r="E1051"/>
  <c r="P1050"/>
  <c r="E1050"/>
  <c r="P1049"/>
  <c r="E1049"/>
  <c r="P1048"/>
  <c r="E1048"/>
  <c r="P1047"/>
  <c r="E1047"/>
  <c r="P1046"/>
  <c r="E1046"/>
  <c r="P1045"/>
  <c r="E1045"/>
  <c r="P1044"/>
  <c r="E1044"/>
  <c r="P1043"/>
  <c r="E1043"/>
  <c r="P1042"/>
  <c r="E1042"/>
  <c r="P1041"/>
  <c r="E1041"/>
  <c r="P1040"/>
  <c r="E1040"/>
  <c r="P1039"/>
  <c r="E1039"/>
  <c r="P1038"/>
  <c r="E1038"/>
  <c r="P1037"/>
  <c r="E1037"/>
  <c r="P1036"/>
  <c r="E1036"/>
  <c r="P1035"/>
  <c r="E1035"/>
  <c r="P1034"/>
  <c r="E1034"/>
  <c r="P1033"/>
  <c r="E1033"/>
  <c r="P1032"/>
  <c r="E1032"/>
  <c r="P1031"/>
  <c r="E1031"/>
  <c r="P1030"/>
  <c r="E1030"/>
  <c r="P1029"/>
  <c r="E1029"/>
  <c r="P1028"/>
  <c r="E1028"/>
  <c r="P1027"/>
  <c r="E1027"/>
  <c r="P1026"/>
  <c r="E1026"/>
  <c r="P1025"/>
  <c r="E1025"/>
  <c r="P1024"/>
  <c r="E1024"/>
  <c r="P1023"/>
  <c r="E1023"/>
  <c r="P1022"/>
  <c r="E1022"/>
  <c r="P1021"/>
  <c r="E1021"/>
  <c r="P1020"/>
  <c r="E1020"/>
  <c r="P1019"/>
  <c r="E1019"/>
  <c r="P1018"/>
  <c r="E1018"/>
  <c r="P1017"/>
  <c r="E1017"/>
  <c r="P1016"/>
  <c r="E1016"/>
  <c r="P1015"/>
  <c r="E1015"/>
  <c r="P1014"/>
  <c r="E1014"/>
  <c r="P1013"/>
  <c r="E1013"/>
  <c r="P1012"/>
  <c r="E1012"/>
  <c r="P1011"/>
  <c r="E1011"/>
  <c r="P1010"/>
  <c r="E1010"/>
  <c r="P1009"/>
  <c r="E1009"/>
  <c r="P1008"/>
  <c r="E1008"/>
  <c r="P1007"/>
  <c r="E1007"/>
  <c r="P1006"/>
  <c r="E1006"/>
  <c r="P1005"/>
  <c r="E1005"/>
  <c r="P1004"/>
  <c r="E1004"/>
  <c r="P1003"/>
  <c r="E1003"/>
  <c r="P1002"/>
  <c r="E1002"/>
  <c r="P1001"/>
  <c r="E1001"/>
  <c r="P1000"/>
  <c r="E1000"/>
  <c r="P999"/>
  <c r="E999"/>
  <c r="P998"/>
  <c r="E998"/>
  <c r="P997"/>
  <c r="E997"/>
  <c r="P996"/>
  <c r="E996"/>
  <c r="P995"/>
  <c r="E995"/>
  <c r="P994"/>
  <c r="E994"/>
  <c r="P993"/>
  <c r="E993"/>
  <c r="P992"/>
  <c r="E992"/>
  <c r="P991"/>
  <c r="E991"/>
  <c r="P990"/>
  <c r="E990"/>
  <c r="P989"/>
  <c r="E989"/>
  <c r="P988"/>
  <c r="E988"/>
  <c r="P987"/>
  <c r="E987"/>
  <c r="P986"/>
  <c r="E986"/>
  <c r="P985"/>
  <c r="E985"/>
  <c r="P984"/>
  <c r="E984"/>
  <c r="P983"/>
  <c r="E983"/>
  <c r="P982"/>
  <c r="E982"/>
  <c r="P981"/>
  <c r="E981"/>
  <c r="P980"/>
  <c r="E980"/>
  <c r="P979"/>
  <c r="E979"/>
  <c r="P978"/>
  <c r="E978"/>
  <c r="P977"/>
  <c r="E977"/>
  <c r="P976"/>
  <c r="E976"/>
  <c r="P975"/>
  <c r="E975"/>
  <c r="P974"/>
  <c r="E974"/>
  <c r="P973"/>
  <c r="E973"/>
  <c r="P972"/>
  <c r="E972"/>
  <c r="P971"/>
  <c r="E971"/>
  <c r="P970"/>
  <c r="E970"/>
  <c r="P969"/>
  <c r="E969"/>
  <c r="P968"/>
  <c r="E968"/>
  <c r="P967"/>
  <c r="E967"/>
  <c r="P966"/>
  <c r="E966"/>
  <c r="P965"/>
  <c r="E965"/>
  <c r="P964"/>
  <c r="E964"/>
  <c r="P963"/>
  <c r="E963"/>
  <c r="P962"/>
  <c r="E962"/>
  <c r="P961"/>
  <c r="E961"/>
  <c r="P960"/>
  <c r="E960"/>
  <c r="P959"/>
  <c r="E959"/>
  <c r="P958"/>
  <c r="E958"/>
  <c r="P957"/>
  <c r="E957"/>
  <c r="P956"/>
  <c r="E956"/>
  <c r="P955"/>
  <c r="E955"/>
  <c r="P954"/>
  <c r="E954"/>
  <c r="P953"/>
  <c r="E953"/>
  <c r="P952"/>
  <c r="E952"/>
  <c r="P951"/>
  <c r="E951"/>
  <c r="P950"/>
  <c r="E950"/>
  <c r="P949"/>
  <c r="E949"/>
  <c r="P948"/>
  <c r="E948"/>
  <c r="P947"/>
  <c r="E947"/>
  <c r="P946"/>
  <c r="E946"/>
  <c r="P945"/>
  <c r="E945"/>
  <c r="P944"/>
  <c r="E944"/>
  <c r="P943"/>
  <c r="E943"/>
  <c r="P942"/>
  <c r="E942"/>
  <c r="P941"/>
  <c r="E941"/>
  <c r="P940"/>
  <c r="E940"/>
  <c r="P939"/>
  <c r="E939"/>
  <c r="P938"/>
  <c r="E938"/>
  <c r="P937"/>
  <c r="E937"/>
  <c r="P936"/>
  <c r="E936"/>
  <c r="P935"/>
  <c r="E935"/>
  <c r="P934"/>
  <c r="E934"/>
  <c r="P933"/>
  <c r="E933"/>
  <c r="P932"/>
  <c r="E932"/>
  <c r="P931"/>
  <c r="E931"/>
  <c r="P930"/>
  <c r="E930"/>
  <c r="P929"/>
  <c r="E929"/>
  <c r="P928"/>
  <c r="E928"/>
  <c r="P927"/>
  <c r="E927"/>
  <c r="P926"/>
  <c r="E926"/>
  <c r="P925"/>
  <c r="E925"/>
  <c r="P924"/>
  <c r="E924"/>
  <c r="P923"/>
  <c r="E923"/>
  <c r="P922"/>
  <c r="E922"/>
  <c r="P921"/>
  <c r="E921"/>
  <c r="P920"/>
  <c r="E920"/>
  <c r="P919"/>
  <c r="E919"/>
  <c r="P918"/>
  <c r="E918"/>
  <c r="P917"/>
  <c r="E917"/>
  <c r="P916"/>
  <c r="E916"/>
  <c r="P915"/>
  <c r="E915"/>
  <c r="P914"/>
  <c r="E914"/>
  <c r="P913"/>
  <c r="E913"/>
  <c r="P912"/>
  <c r="E912"/>
  <c r="P911"/>
  <c r="E911"/>
  <c r="P910"/>
  <c r="E910"/>
  <c r="P909"/>
  <c r="E909"/>
  <c r="P908"/>
  <c r="E908"/>
  <c r="P907"/>
  <c r="E907"/>
  <c r="P906"/>
  <c r="E906"/>
  <c r="P905"/>
  <c r="E905"/>
  <c r="P904"/>
  <c r="E904"/>
  <c r="P903"/>
  <c r="E903"/>
  <c r="P902"/>
  <c r="E902"/>
  <c r="P901"/>
  <c r="E901"/>
  <c r="P900"/>
  <c r="E900"/>
  <c r="P899"/>
  <c r="E899"/>
  <c r="P898"/>
  <c r="E898"/>
  <c r="P897"/>
  <c r="E897"/>
  <c r="P896"/>
  <c r="E896"/>
  <c r="P895"/>
  <c r="E895"/>
  <c r="P894"/>
  <c r="E894"/>
  <c r="P893"/>
  <c r="E893"/>
  <c r="P892"/>
  <c r="E892"/>
  <c r="P891"/>
  <c r="E891"/>
  <c r="P890"/>
  <c r="E890"/>
  <c r="P889"/>
  <c r="E889"/>
  <c r="P888"/>
  <c r="E888"/>
  <c r="P887"/>
  <c r="E887"/>
  <c r="P886"/>
  <c r="E886"/>
  <c r="P885"/>
  <c r="E885"/>
  <c r="P884"/>
  <c r="E884"/>
  <c r="P883"/>
  <c r="E883"/>
  <c r="P882"/>
  <c r="E882"/>
  <c r="P881"/>
  <c r="E881"/>
  <c r="P880"/>
  <c r="E880"/>
  <c r="P879"/>
  <c r="E879"/>
  <c r="P878"/>
  <c r="E878"/>
  <c r="P877"/>
  <c r="E877"/>
  <c r="P876"/>
  <c r="E876"/>
  <c r="P875"/>
  <c r="E875"/>
  <c r="P874"/>
  <c r="E874"/>
  <c r="P873"/>
  <c r="E873"/>
  <c r="P872"/>
  <c r="E872"/>
  <c r="P871"/>
  <c r="E871"/>
  <c r="P870"/>
  <c r="E870"/>
  <c r="P869"/>
  <c r="E869"/>
  <c r="P868"/>
  <c r="E868"/>
  <c r="P867"/>
  <c r="E867"/>
  <c r="P866"/>
  <c r="E866"/>
  <c r="P865"/>
  <c r="E865"/>
  <c r="P864"/>
  <c r="E864"/>
  <c r="P863"/>
  <c r="E863"/>
  <c r="P862"/>
  <c r="E862"/>
  <c r="P861"/>
  <c r="E861"/>
  <c r="P860"/>
  <c r="E860"/>
  <c r="P859"/>
  <c r="E859"/>
  <c r="P858"/>
  <c r="E858"/>
  <c r="P857"/>
  <c r="E857"/>
  <c r="P856"/>
  <c r="E856"/>
  <c r="P855"/>
  <c r="E855"/>
  <c r="P854"/>
  <c r="E854"/>
  <c r="P853"/>
  <c r="E853"/>
  <c r="P852"/>
  <c r="E852"/>
  <c r="P851"/>
  <c r="E851"/>
  <c r="P850"/>
  <c r="E850"/>
  <c r="P849"/>
  <c r="E849"/>
  <c r="P848"/>
  <c r="E848"/>
  <c r="P847"/>
  <c r="E847"/>
  <c r="P846"/>
  <c r="E846"/>
  <c r="P845"/>
  <c r="E845"/>
  <c r="P844"/>
  <c r="E844"/>
  <c r="P843"/>
  <c r="E843"/>
  <c r="P842"/>
  <c r="E842"/>
  <c r="P841"/>
  <c r="E841"/>
  <c r="P840"/>
  <c r="E840"/>
  <c r="P839"/>
  <c r="E839"/>
  <c r="P838"/>
  <c r="E838"/>
  <c r="P837"/>
  <c r="E837"/>
  <c r="P836"/>
  <c r="E836"/>
  <c r="P835"/>
  <c r="E835"/>
  <c r="P834"/>
  <c r="E834"/>
  <c r="P833"/>
  <c r="E833"/>
  <c r="P832"/>
  <c r="E832"/>
  <c r="P831"/>
  <c r="E831"/>
  <c r="P830"/>
  <c r="E830"/>
  <c r="P829"/>
  <c r="E829"/>
  <c r="P828"/>
  <c r="E828"/>
  <c r="P827"/>
  <c r="E827"/>
  <c r="P826"/>
  <c r="E826"/>
  <c r="P825"/>
  <c r="E825"/>
  <c r="P824"/>
  <c r="E824"/>
  <c r="P823"/>
  <c r="E823"/>
  <c r="P822"/>
  <c r="E822"/>
  <c r="P821"/>
  <c r="E821"/>
  <c r="P820"/>
  <c r="E820"/>
  <c r="P819"/>
  <c r="E819"/>
  <c r="P818"/>
  <c r="E818"/>
  <c r="P817"/>
  <c r="E817"/>
  <c r="P816"/>
  <c r="E816"/>
  <c r="P815"/>
  <c r="E815"/>
  <c r="P814"/>
  <c r="E814"/>
  <c r="P813"/>
  <c r="E813"/>
  <c r="P812"/>
  <c r="E812"/>
  <c r="P811"/>
  <c r="E811"/>
  <c r="P810"/>
  <c r="E810"/>
  <c r="P809"/>
  <c r="E809"/>
  <c r="P808"/>
  <c r="E808"/>
  <c r="P807"/>
  <c r="E807"/>
  <c r="P806"/>
  <c r="E806"/>
  <c r="P805"/>
  <c r="E805"/>
  <c r="P804"/>
  <c r="E804"/>
  <c r="P803"/>
  <c r="E803"/>
  <c r="P802"/>
  <c r="E802"/>
  <c r="P801"/>
  <c r="E801"/>
  <c r="P800"/>
  <c r="E800"/>
  <c r="P799"/>
  <c r="E799"/>
  <c r="P798"/>
  <c r="E798"/>
  <c r="P797"/>
  <c r="E797"/>
  <c r="P796"/>
  <c r="E796"/>
  <c r="P795"/>
  <c r="E795"/>
  <c r="P794"/>
  <c r="E794"/>
  <c r="P793"/>
  <c r="E793"/>
  <c r="P792"/>
  <c r="E792"/>
  <c r="P791"/>
  <c r="E791"/>
  <c r="P790"/>
  <c r="E790"/>
  <c r="P789"/>
  <c r="E789"/>
  <c r="P788"/>
  <c r="E788"/>
  <c r="P787"/>
  <c r="E787"/>
  <c r="P786"/>
  <c r="E786"/>
  <c r="P785"/>
  <c r="E785"/>
  <c r="P784"/>
  <c r="E784"/>
  <c r="P783"/>
  <c r="E783"/>
  <c r="P782"/>
  <c r="E782"/>
  <c r="P781"/>
  <c r="E781"/>
  <c r="P780"/>
  <c r="E780"/>
  <c r="P779"/>
  <c r="E779"/>
  <c r="P778"/>
  <c r="E778"/>
  <c r="P777"/>
  <c r="E777"/>
  <c r="P776"/>
  <c r="E776"/>
  <c r="P775"/>
  <c r="E775"/>
  <c r="P774"/>
  <c r="E774"/>
  <c r="P773"/>
  <c r="E773"/>
  <c r="P772"/>
  <c r="E772"/>
  <c r="P771"/>
  <c r="E771"/>
  <c r="P770"/>
  <c r="E770"/>
  <c r="P769"/>
  <c r="E769"/>
  <c r="P768"/>
  <c r="E768"/>
  <c r="P767"/>
  <c r="E767"/>
  <c r="P766"/>
  <c r="E766"/>
  <c r="P765"/>
  <c r="E765"/>
  <c r="P764"/>
  <c r="E764"/>
  <c r="P763"/>
  <c r="E763"/>
  <c r="P762"/>
  <c r="E762"/>
  <c r="P761"/>
  <c r="E761"/>
  <c r="P760"/>
  <c r="E760"/>
  <c r="P759"/>
  <c r="E759"/>
  <c r="P758"/>
  <c r="E758"/>
  <c r="P757"/>
  <c r="E757"/>
  <c r="P756"/>
  <c r="E756"/>
  <c r="P755"/>
  <c r="E755"/>
  <c r="P754"/>
  <c r="E754"/>
  <c r="P753"/>
  <c r="E753"/>
  <c r="P752"/>
  <c r="E752"/>
  <c r="P751"/>
  <c r="E751"/>
  <c r="P750"/>
  <c r="E750"/>
  <c r="P749"/>
  <c r="E749"/>
  <c r="P748"/>
  <c r="E748"/>
  <c r="P747"/>
  <c r="E747"/>
  <c r="P746"/>
  <c r="E746"/>
  <c r="P745"/>
  <c r="E745"/>
  <c r="P744"/>
  <c r="E744"/>
  <c r="P743"/>
  <c r="E743"/>
  <c r="P742"/>
  <c r="E742"/>
  <c r="P741"/>
  <c r="E741"/>
  <c r="P740"/>
  <c r="E740"/>
  <c r="P739"/>
  <c r="E739"/>
  <c r="P738"/>
  <c r="E738"/>
  <c r="P737"/>
  <c r="E737"/>
  <c r="P736"/>
  <c r="E736"/>
  <c r="P735"/>
  <c r="E735"/>
  <c r="P734"/>
  <c r="E734"/>
  <c r="P733"/>
  <c r="E733"/>
  <c r="P732"/>
  <c r="E732"/>
  <c r="P731"/>
  <c r="E731"/>
  <c r="P730"/>
  <c r="E730"/>
  <c r="P729"/>
  <c r="E729"/>
  <c r="P728"/>
  <c r="E728"/>
  <c r="P727"/>
  <c r="E727"/>
  <c r="P726"/>
  <c r="E726"/>
  <c r="P725"/>
  <c r="E725"/>
  <c r="P724"/>
  <c r="E724"/>
  <c r="P723"/>
  <c r="E723"/>
  <c r="P722"/>
  <c r="E722"/>
  <c r="P721"/>
  <c r="E721"/>
  <c r="P720"/>
  <c r="E720"/>
  <c r="P719"/>
  <c r="E719"/>
  <c r="P718"/>
  <c r="E718"/>
  <c r="P717"/>
  <c r="E717"/>
  <c r="P716"/>
  <c r="E716"/>
  <c r="P715"/>
  <c r="E715"/>
  <c r="P714"/>
  <c r="E714"/>
  <c r="P713"/>
  <c r="E713"/>
  <c r="P712"/>
  <c r="E712"/>
  <c r="P711"/>
  <c r="E711"/>
  <c r="P710"/>
  <c r="E710"/>
  <c r="P709"/>
  <c r="E709"/>
  <c r="P708"/>
  <c r="E708"/>
  <c r="P707"/>
  <c r="E707"/>
  <c r="P706"/>
  <c r="E706"/>
  <c r="P705"/>
  <c r="E705"/>
  <c r="P704"/>
  <c r="E704"/>
  <c r="P703"/>
  <c r="E703"/>
  <c r="P702"/>
  <c r="E702"/>
  <c r="P701"/>
  <c r="E701"/>
  <c r="P700"/>
  <c r="E700"/>
  <c r="P699"/>
  <c r="E699"/>
  <c r="P698"/>
  <c r="E698"/>
  <c r="P697"/>
  <c r="E697"/>
  <c r="P696"/>
  <c r="E696"/>
  <c r="P695"/>
  <c r="E695"/>
  <c r="P694"/>
  <c r="E694"/>
  <c r="P693"/>
  <c r="E693"/>
  <c r="P692"/>
  <c r="E692"/>
  <c r="P691"/>
  <c r="E691"/>
  <c r="P690"/>
  <c r="E690"/>
  <c r="P689"/>
  <c r="E689"/>
  <c r="P688"/>
  <c r="E688"/>
  <c r="P687"/>
  <c r="E687"/>
  <c r="P686"/>
  <c r="E686"/>
  <c r="P685"/>
  <c r="E685"/>
  <c r="P684"/>
  <c r="E684"/>
  <c r="P683"/>
  <c r="E683"/>
  <c r="P682"/>
  <c r="E682"/>
  <c r="P681"/>
  <c r="E681"/>
  <c r="P680"/>
  <c r="E680"/>
  <c r="P679"/>
  <c r="E679"/>
  <c r="P678"/>
  <c r="E678"/>
  <c r="P677"/>
  <c r="E677"/>
  <c r="P676"/>
  <c r="E676"/>
  <c r="P675"/>
  <c r="E675"/>
  <c r="P674"/>
  <c r="E674"/>
  <c r="P673"/>
  <c r="E673"/>
  <c r="P672"/>
  <c r="E672"/>
  <c r="P671"/>
  <c r="E671"/>
  <c r="P670"/>
  <c r="E670"/>
  <c r="P669"/>
  <c r="E669"/>
  <c r="P668"/>
  <c r="E668"/>
  <c r="P667"/>
  <c r="E667"/>
  <c r="P666"/>
  <c r="E666"/>
  <c r="P665"/>
  <c r="E665"/>
  <c r="P664"/>
  <c r="E664"/>
  <c r="P663"/>
  <c r="E663"/>
  <c r="P662"/>
  <c r="E662"/>
  <c r="P661"/>
  <c r="E661"/>
  <c r="P660"/>
  <c r="E660"/>
  <c r="P659"/>
  <c r="E659"/>
  <c r="P658"/>
  <c r="E658"/>
  <c r="P657"/>
  <c r="E657"/>
  <c r="P656"/>
  <c r="E656"/>
  <c r="P655"/>
  <c r="E655"/>
  <c r="P654"/>
  <c r="E654"/>
  <c r="P653"/>
  <c r="E653"/>
  <c r="P652"/>
  <c r="E652"/>
  <c r="P651"/>
  <c r="E651"/>
  <c r="P650"/>
  <c r="E650"/>
  <c r="P649"/>
  <c r="E649"/>
  <c r="P648"/>
  <c r="E648"/>
  <c r="P647"/>
  <c r="E647"/>
  <c r="P646"/>
  <c r="E646"/>
  <c r="P645"/>
  <c r="E645"/>
  <c r="P644"/>
  <c r="E644"/>
  <c r="P643"/>
  <c r="E643"/>
  <c r="P642"/>
  <c r="E642"/>
  <c r="P641"/>
  <c r="E641"/>
  <c r="P640"/>
  <c r="E640"/>
  <c r="P639"/>
  <c r="E639"/>
  <c r="P638"/>
  <c r="E638"/>
  <c r="P637"/>
  <c r="E637"/>
  <c r="P636"/>
  <c r="E636"/>
  <c r="P635"/>
  <c r="E635"/>
  <c r="P634"/>
  <c r="E634"/>
  <c r="P633"/>
  <c r="E633"/>
  <c r="P632"/>
  <c r="E632"/>
  <c r="P631"/>
  <c r="E631"/>
  <c r="P630"/>
  <c r="E630"/>
  <c r="P629"/>
  <c r="E629"/>
  <c r="P628"/>
  <c r="E628"/>
  <c r="P627"/>
  <c r="E627"/>
  <c r="P626"/>
  <c r="E626"/>
  <c r="P625"/>
  <c r="E625"/>
  <c r="P624"/>
  <c r="E624"/>
  <c r="P623"/>
  <c r="E623"/>
  <c r="P622"/>
  <c r="E622"/>
  <c r="P621"/>
  <c r="E621"/>
  <c r="P620"/>
  <c r="E620"/>
  <c r="P619"/>
  <c r="E619"/>
  <c r="P618"/>
  <c r="E618"/>
  <c r="P617"/>
  <c r="E617"/>
  <c r="P616"/>
  <c r="E616"/>
  <c r="P615"/>
  <c r="E615"/>
  <c r="P614"/>
  <c r="E614"/>
  <c r="P613"/>
  <c r="E613"/>
  <c r="P612"/>
  <c r="E612"/>
  <c r="P611"/>
  <c r="E611"/>
  <c r="P610"/>
  <c r="E610"/>
  <c r="P609"/>
  <c r="E609"/>
  <c r="P608"/>
  <c r="E608"/>
  <c r="P607"/>
  <c r="E607"/>
  <c r="P606"/>
  <c r="E606"/>
  <c r="P605"/>
  <c r="E605"/>
  <c r="P604"/>
  <c r="E604"/>
  <c r="P603"/>
  <c r="E603"/>
  <c r="P602"/>
  <c r="E602"/>
  <c r="P601"/>
  <c r="E601"/>
  <c r="P600"/>
  <c r="E600"/>
  <c r="P599"/>
  <c r="E599"/>
  <c r="P598"/>
  <c r="E598"/>
  <c r="P597"/>
  <c r="E597"/>
  <c r="P596"/>
  <c r="E596"/>
  <c r="P595"/>
  <c r="E595"/>
  <c r="P594"/>
  <c r="E594"/>
  <c r="P593"/>
  <c r="E593"/>
  <c r="P592"/>
  <c r="E592"/>
  <c r="P591"/>
  <c r="E591"/>
  <c r="P590"/>
  <c r="E590"/>
  <c r="P589"/>
  <c r="E589"/>
  <c r="P588"/>
  <c r="E588"/>
  <c r="P587"/>
  <c r="E587"/>
  <c r="P586"/>
  <c r="E586"/>
  <c r="P585"/>
  <c r="E585"/>
  <c r="P584"/>
  <c r="E584"/>
  <c r="P583"/>
  <c r="E583"/>
  <c r="P582"/>
  <c r="E582"/>
  <c r="P581"/>
  <c r="E581"/>
  <c r="P580"/>
  <c r="E580"/>
  <c r="P579"/>
  <c r="E579"/>
  <c r="P578"/>
  <c r="E578"/>
  <c r="P577"/>
  <c r="E577"/>
  <c r="P576"/>
  <c r="E576"/>
  <c r="P575"/>
  <c r="E575"/>
  <c r="P574"/>
  <c r="E574"/>
  <c r="P573"/>
  <c r="E573"/>
  <c r="P572"/>
  <c r="E572"/>
  <c r="P571"/>
  <c r="E571"/>
  <c r="P570"/>
  <c r="E570"/>
  <c r="P569"/>
  <c r="E569"/>
  <c r="P568"/>
  <c r="E568"/>
  <c r="P567"/>
  <c r="E567"/>
  <c r="P566"/>
  <c r="E566"/>
  <c r="P565"/>
  <c r="E565"/>
  <c r="P564"/>
  <c r="E564"/>
  <c r="P563"/>
  <c r="E563"/>
  <c r="P562"/>
  <c r="E562"/>
  <c r="P561"/>
  <c r="E561"/>
  <c r="P560"/>
  <c r="E560"/>
  <c r="P559"/>
  <c r="E559"/>
  <c r="P558"/>
  <c r="E558"/>
  <c r="P557"/>
  <c r="E557"/>
  <c r="P556"/>
  <c r="E556"/>
  <c r="P555"/>
  <c r="E555"/>
  <c r="P554"/>
  <c r="E554"/>
  <c r="P553"/>
  <c r="E553"/>
  <c r="P552"/>
  <c r="E552"/>
  <c r="P551"/>
  <c r="E551"/>
  <c r="P550"/>
  <c r="E550"/>
  <c r="P549"/>
  <c r="E549"/>
  <c r="P548"/>
  <c r="E548"/>
  <c r="P547"/>
  <c r="E547"/>
  <c r="P546"/>
  <c r="E546"/>
  <c r="P545"/>
  <c r="E545"/>
  <c r="P544"/>
  <c r="E544"/>
  <c r="P543"/>
  <c r="E543"/>
  <c r="P542"/>
  <c r="E542"/>
  <c r="P541"/>
  <c r="E541"/>
  <c r="P540"/>
  <c r="E540"/>
  <c r="P539"/>
  <c r="E539"/>
  <c r="P538"/>
  <c r="E538"/>
  <c r="P537"/>
  <c r="E537"/>
  <c r="P536"/>
  <c r="E536"/>
  <c r="P535"/>
  <c r="E535"/>
  <c r="P534"/>
  <c r="E534"/>
  <c r="P533"/>
  <c r="E533"/>
  <c r="P532"/>
  <c r="E532"/>
  <c r="P531"/>
  <c r="E531"/>
  <c r="P530"/>
  <c r="E530"/>
  <c r="P529"/>
  <c r="E529"/>
  <c r="P528"/>
  <c r="E528"/>
  <c r="P527"/>
  <c r="E527"/>
  <c r="P526"/>
  <c r="E526"/>
  <c r="P525"/>
  <c r="E525"/>
  <c r="P524"/>
  <c r="E524"/>
  <c r="P523"/>
  <c r="E523"/>
  <c r="P522"/>
  <c r="E522"/>
  <c r="P521"/>
  <c r="E521"/>
  <c r="P520"/>
  <c r="E520"/>
  <c r="P519"/>
  <c r="E519"/>
  <c r="P518"/>
  <c r="E518"/>
  <c r="P517"/>
  <c r="E517"/>
  <c r="P516"/>
  <c r="E516"/>
  <c r="P515"/>
  <c r="E515"/>
  <c r="P514"/>
  <c r="E514"/>
  <c r="P513"/>
  <c r="E513"/>
  <c r="P512"/>
  <c r="E512"/>
  <c r="P511"/>
  <c r="E511"/>
  <c r="P510"/>
  <c r="E510"/>
  <c r="P509"/>
  <c r="E509"/>
  <c r="P508"/>
  <c r="E508"/>
  <c r="P507"/>
  <c r="E507"/>
  <c r="P506"/>
  <c r="E506"/>
  <c r="P505"/>
  <c r="E505"/>
  <c r="P504"/>
  <c r="E504"/>
  <c r="P503"/>
  <c r="E503"/>
  <c r="P502"/>
  <c r="E502"/>
  <c r="P501"/>
  <c r="E501"/>
  <c r="P500"/>
  <c r="E500"/>
  <c r="P499"/>
  <c r="E499"/>
  <c r="P498"/>
  <c r="E498"/>
  <c r="P497"/>
  <c r="E497"/>
  <c r="P496"/>
  <c r="E496"/>
  <c r="P495"/>
  <c r="E495"/>
  <c r="P494"/>
  <c r="E494"/>
  <c r="P493"/>
  <c r="E493"/>
  <c r="P492"/>
  <c r="E492"/>
  <c r="P491"/>
  <c r="E491"/>
  <c r="P490"/>
  <c r="E490"/>
  <c r="P489"/>
  <c r="E489"/>
  <c r="P488"/>
  <c r="E488"/>
  <c r="P487"/>
  <c r="E487"/>
  <c r="P486"/>
  <c r="E486"/>
  <c r="P485"/>
  <c r="E485"/>
  <c r="P484"/>
  <c r="E484"/>
  <c r="P483"/>
  <c r="E483"/>
  <c r="P482"/>
  <c r="E482"/>
  <c r="P481"/>
  <c r="E481"/>
  <c r="P480"/>
  <c r="E480"/>
  <c r="P479"/>
  <c r="E479"/>
  <c r="P478"/>
  <c r="E478"/>
  <c r="P477"/>
  <c r="E477"/>
  <c r="P476"/>
  <c r="E476"/>
  <c r="P475"/>
  <c r="E475"/>
  <c r="P474"/>
  <c r="E474"/>
  <c r="P473"/>
  <c r="E473"/>
  <c r="P472"/>
  <c r="E472"/>
  <c r="P471"/>
  <c r="E471"/>
  <c r="P470"/>
  <c r="E470"/>
  <c r="P469"/>
  <c r="E469"/>
  <c r="P468"/>
  <c r="E468"/>
  <c r="P467"/>
  <c r="E467"/>
  <c r="P466"/>
  <c r="E466"/>
  <c r="P465"/>
  <c r="E465"/>
  <c r="P464"/>
  <c r="E464"/>
  <c r="P463"/>
  <c r="E463"/>
  <c r="P462"/>
  <c r="E462"/>
  <c r="P461"/>
  <c r="E461"/>
  <c r="P460"/>
  <c r="E460"/>
  <c r="P459"/>
  <c r="E459"/>
  <c r="P458"/>
  <c r="E458"/>
  <c r="P457"/>
  <c r="E457"/>
  <c r="P456"/>
  <c r="E456"/>
  <c r="P455"/>
  <c r="E455"/>
  <c r="P454"/>
  <c r="E454"/>
  <c r="P453"/>
  <c r="E453"/>
  <c r="P452"/>
  <c r="E452"/>
  <c r="P451"/>
  <c r="E451"/>
  <c r="P450"/>
  <c r="E450"/>
  <c r="P449"/>
  <c r="E449"/>
  <c r="P448"/>
  <c r="E448"/>
  <c r="P447"/>
  <c r="E447"/>
  <c r="P446"/>
  <c r="E446"/>
  <c r="P445"/>
  <c r="E445"/>
  <c r="P444"/>
  <c r="E444"/>
  <c r="P443"/>
  <c r="E443"/>
  <c r="P442"/>
  <c r="E442"/>
  <c r="P441"/>
  <c r="E441"/>
  <c r="P440"/>
  <c r="E440"/>
  <c r="P439"/>
  <c r="E439"/>
  <c r="P438"/>
  <c r="E438"/>
  <c r="P437"/>
  <c r="E437"/>
  <c r="P436"/>
  <c r="E436"/>
  <c r="P435"/>
  <c r="E435"/>
  <c r="P434"/>
  <c r="E434"/>
  <c r="P433"/>
  <c r="E433"/>
  <c r="P432"/>
  <c r="E432"/>
  <c r="P431"/>
  <c r="E431"/>
  <c r="P430"/>
  <c r="E430"/>
  <c r="P429"/>
  <c r="E429"/>
  <c r="P428"/>
  <c r="E428"/>
  <c r="P427"/>
  <c r="E427"/>
  <c r="P426"/>
  <c r="E426"/>
  <c r="P425"/>
  <c r="E425"/>
  <c r="P424"/>
  <c r="E424"/>
  <c r="P423"/>
  <c r="E423"/>
  <c r="P422"/>
  <c r="E422"/>
  <c r="P421"/>
  <c r="E421"/>
  <c r="P420"/>
  <c r="E420"/>
  <c r="P419"/>
  <c r="E419"/>
  <c r="P418"/>
  <c r="E418"/>
  <c r="P417"/>
  <c r="E417"/>
  <c r="P416"/>
  <c r="E416"/>
  <c r="P415"/>
  <c r="E415"/>
  <c r="P414"/>
  <c r="E414"/>
  <c r="P413"/>
  <c r="E413"/>
  <c r="P412"/>
  <c r="E412"/>
  <c r="P411"/>
  <c r="E411"/>
  <c r="P410"/>
  <c r="E410"/>
  <c r="P409"/>
  <c r="E409"/>
  <c r="P408"/>
  <c r="E408"/>
  <c r="P407"/>
  <c r="E407"/>
  <c r="P406"/>
  <c r="E406"/>
  <c r="P405"/>
  <c r="E405"/>
  <c r="P404"/>
  <c r="E404"/>
  <c r="P403"/>
  <c r="E403"/>
  <c r="P402"/>
  <c r="E402"/>
  <c r="P401"/>
  <c r="E401"/>
  <c r="P400"/>
  <c r="E400"/>
  <c r="P399"/>
  <c r="E399"/>
  <c r="P398"/>
  <c r="E398"/>
  <c r="P397"/>
  <c r="E397"/>
  <c r="P396"/>
  <c r="E396"/>
  <c r="P395"/>
  <c r="E395"/>
  <c r="P394"/>
  <c r="E394"/>
  <c r="P393"/>
  <c r="E393"/>
  <c r="P392"/>
  <c r="E392"/>
  <c r="P391"/>
  <c r="E391"/>
  <c r="P390"/>
  <c r="E390"/>
  <c r="P389"/>
  <c r="E389"/>
  <c r="P388"/>
  <c r="E388"/>
  <c r="P387"/>
  <c r="E387"/>
  <c r="P386"/>
  <c r="E386"/>
  <c r="P385"/>
  <c r="E385"/>
  <c r="P384"/>
  <c r="E384"/>
  <c r="P383"/>
  <c r="E383"/>
  <c r="P382"/>
  <c r="E382"/>
  <c r="P381"/>
  <c r="E381"/>
  <c r="P380"/>
  <c r="E380"/>
  <c r="P379"/>
  <c r="E379"/>
  <c r="P378"/>
  <c r="E378"/>
  <c r="P377"/>
  <c r="E377"/>
  <c r="P376"/>
  <c r="E376"/>
  <c r="P375"/>
  <c r="E375"/>
  <c r="P374"/>
  <c r="E374"/>
  <c r="P373"/>
  <c r="E373"/>
  <c r="P372"/>
  <c r="E372"/>
  <c r="P371"/>
  <c r="E371"/>
  <c r="P370"/>
  <c r="E370"/>
  <c r="P369"/>
  <c r="E369"/>
  <c r="P368"/>
  <c r="E368"/>
  <c r="P367"/>
  <c r="E367"/>
  <c r="P366"/>
  <c r="E366"/>
  <c r="P365"/>
  <c r="E365"/>
  <c r="P364"/>
  <c r="E364"/>
  <c r="P363"/>
  <c r="E363"/>
  <c r="P362"/>
  <c r="E362"/>
  <c r="P361"/>
  <c r="E361"/>
  <c r="P360"/>
  <c r="E360"/>
  <c r="P359"/>
  <c r="E359"/>
  <c r="P358"/>
  <c r="E358"/>
  <c r="P357"/>
  <c r="E357"/>
  <c r="P356"/>
  <c r="E356"/>
  <c r="P355"/>
  <c r="E355"/>
  <c r="P354"/>
  <c r="E354"/>
  <c r="P353"/>
  <c r="E353"/>
  <c r="P352"/>
  <c r="E352"/>
  <c r="P351"/>
  <c r="E351"/>
  <c r="P350"/>
  <c r="E350"/>
  <c r="P349"/>
  <c r="E349"/>
  <c r="P348"/>
  <c r="E348"/>
  <c r="P347"/>
  <c r="E347"/>
  <c r="P346"/>
  <c r="E346"/>
  <c r="P345"/>
  <c r="E345"/>
  <c r="P344"/>
  <c r="E344"/>
  <c r="P343"/>
  <c r="E343"/>
  <c r="P342"/>
  <c r="E342"/>
  <c r="P341"/>
  <c r="E341"/>
  <c r="P340"/>
  <c r="E340"/>
  <c r="P339"/>
  <c r="E339"/>
  <c r="P338"/>
  <c r="E338"/>
  <c r="P337"/>
  <c r="E337"/>
  <c r="P336"/>
  <c r="E336"/>
  <c r="P335"/>
  <c r="E335"/>
  <c r="P334"/>
  <c r="E334"/>
  <c r="P333"/>
  <c r="E333"/>
  <c r="P332"/>
  <c r="E332"/>
  <c r="P331"/>
  <c r="E331"/>
  <c r="P330"/>
  <c r="E330"/>
  <c r="P329"/>
  <c r="E329"/>
  <c r="P328"/>
  <c r="E328"/>
  <c r="P327"/>
  <c r="E327"/>
  <c r="P326"/>
  <c r="E326"/>
  <c r="P325"/>
  <c r="E325"/>
  <c r="P324"/>
  <c r="E324"/>
  <c r="P323"/>
  <c r="E323"/>
  <c r="P322"/>
  <c r="E322"/>
  <c r="P321"/>
  <c r="E321"/>
  <c r="P320"/>
  <c r="E320"/>
  <c r="P319"/>
  <c r="E319"/>
  <c r="P318"/>
  <c r="E318"/>
  <c r="P317"/>
  <c r="E317"/>
  <c r="P316"/>
  <c r="E316"/>
  <c r="P315"/>
  <c r="E315"/>
  <c r="P314"/>
  <c r="E314"/>
  <c r="P313"/>
  <c r="E313"/>
  <c r="P312"/>
  <c r="E312"/>
  <c r="P311"/>
  <c r="E311"/>
  <c r="P310"/>
  <c r="E310"/>
  <c r="P309"/>
  <c r="E309"/>
  <c r="P308"/>
  <c r="E308"/>
  <c r="P307"/>
  <c r="E307"/>
  <c r="P306"/>
  <c r="E306"/>
  <c r="P305"/>
  <c r="E305"/>
  <c r="P304"/>
  <c r="E304"/>
  <c r="P303"/>
  <c r="E303"/>
  <c r="P302"/>
  <c r="E302"/>
  <c r="P301"/>
  <c r="E301"/>
  <c r="P300"/>
  <c r="E300"/>
  <c r="P299"/>
  <c r="E299"/>
  <c r="P298"/>
  <c r="E298"/>
  <c r="P297"/>
  <c r="E297"/>
  <c r="P296"/>
  <c r="E296"/>
  <c r="P295"/>
  <c r="E295"/>
  <c r="P294"/>
  <c r="E294"/>
  <c r="P293"/>
  <c r="E293"/>
  <c r="P292"/>
  <c r="E292"/>
  <c r="P291"/>
  <c r="E291"/>
  <c r="P290"/>
  <c r="E290"/>
  <c r="P289"/>
  <c r="E289"/>
  <c r="P288"/>
  <c r="E288"/>
  <c r="P287"/>
  <c r="E287"/>
  <c r="P286"/>
  <c r="E286"/>
  <c r="P285"/>
  <c r="E285"/>
  <c r="P284"/>
  <c r="E284"/>
  <c r="P283"/>
  <c r="E283"/>
  <c r="P282"/>
  <c r="E282"/>
  <c r="P281"/>
  <c r="E281"/>
  <c r="P280"/>
  <c r="E280"/>
  <c r="P279"/>
  <c r="E279"/>
  <c r="P278"/>
  <c r="E278"/>
  <c r="P277"/>
  <c r="E277"/>
  <c r="P276"/>
  <c r="E276"/>
  <c r="P275"/>
  <c r="E275"/>
  <c r="P274"/>
  <c r="E274"/>
  <c r="P273"/>
  <c r="E273"/>
  <c r="P272"/>
  <c r="E272"/>
  <c r="P271"/>
  <c r="E271"/>
  <c r="P270"/>
  <c r="E270"/>
  <c r="P269"/>
  <c r="E269"/>
  <c r="P268"/>
  <c r="E268"/>
  <c r="P267"/>
  <c r="E267"/>
  <c r="P266"/>
  <c r="E266"/>
  <c r="P265"/>
  <c r="E265"/>
  <c r="P264"/>
  <c r="E264"/>
  <c r="P263"/>
  <c r="E263"/>
  <c r="P262"/>
  <c r="E262"/>
  <c r="P261"/>
  <c r="E261"/>
  <c r="P260"/>
  <c r="E260"/>
  <c r="P259"/>
  <c r="E259"/>
  <c r="P258"/>
  <c r="E258"/>
  <c r="P257"/>
  <c r="E257"/>
  <c r="P256"/>
  <c r="E256"/>
  <c r="P255"/>
  <c r="E255"/>
  <c r="P254"/>
  <c r="E254"/>
  <c r="P253"/>
  <c r="E253"/>
  <c r="P252"/>
  <c r="E252"/>
  <c r="P251"/>
  <c r="E251"/>
  <c r="P250"/>
  <c r="E250"/>
  <c r="P249"/>
  <c r="E249"/>
  <c r="P248"/>
  <c r="E248"/>
  <c r="P247"/>
  <c r="E247"/>
  <c r="P246"/>
  <c r="E246"/>
  <c r="P245"/>
  <c r="E245"/>
  <c r="P244"/>
  <c r="E244"/>
  <c r="P243"/>
  <c r="E243"/>
  <c r="P242"/>
  <c r="E242"/>
  <c r="P241"/>
  <c r="E241"/>
  <c r="P240"/>
  <c r="E240"/>
  <c r="P239"/>
  <c r="E239"/>
  <c r="P238"/>
  <c r="E238"/>
  <c r="P237"/>
  <c r="E237"/>
  <c r="P236"/>
  <c r="E236"/>
  <c r="P235"/>
  <c r="E235"/>
  <c r="P234"/>
  <c r="E234"/>
  <c r="P233"/>
  <c r="E233"/>
  <c r="P232"/>
  <c r="E232"/>
  <c r="P231"/>
  <c r="E231"/>
  <c r="P230"/>
  <c r="E230"/>
  <c r="P229"/>
  <c r="E229"/>
  <c r="P228"/>
  <c r="E228"/>
  <c r="P227"/>
  <c r="E227"/>
  <c r="P226"/>
  <c r="E226"/>
  <c r="P225"/>
  <c r="E225"/>
  <c r="P224"/>
  <c r="E224"/>
  <c r="P223"/>
  <c r="E223"/>
  <c r="P222"/>
  <c r="E222"/>
  <c r="P221"/>
  <c r="E221"/>
  <c r="P220"/>
  <c r="E220"/>
  <c r="P219"/>
  <c r="E219"/>
  <c r="P218"/>
  <c r="E218"/>
  <c r="P217"/>
  <c r="E217"/>
  <c r="P216"/>
  <c r="E216"/>
  <c r="P215"/>
  <c r="E215"/>
  <c r="P214"/>
  <c r="E214"/>
  <c r="P213"/>
  <c r="E213"/>
  <c r="P212"/>
  <c r="E212"/>
  <c r="P211"/>
  <c r="E211"/>
  <c r="P210"/>
  <c r="E210"/>
  <c r="P209"/>
  <c r="E209"/>
  <c r="P208"/>
  <c r="E208"/>
  <c r="P207"/>
  <c r="E207"/>
  <c r="P206"/>
  <c r="E206"/>
  <c r="P205"/>
  <c r="E205"/>
  <c r="P204"/>
  <c r="E204"/>
  <c r="P203"/>
  <c r="E203"/>
  <c r="P202"/>
  <c r="E202"/>
  <c r="P201"/>
  <c r="E201"/>
  <c r="P200"/>
  <c r="E200"/>
  <c r="P199"/>
  <c r="E199"/>
  <c r="P198"/>
  <c r="E198"/>
  <c r="P197"/>
  <c r="E197"/>
  <c r="P196"/>
  <c r="E196"/>
  <c r="P195"/>
  <c r="E195"/>
  <c r="P194"/>
  <c r="E194"/>
  <c r="P193"/>
  <c r="E193"/>
  <c r="P192"/>
  <c r="E192"/>
  <c r="P191"/>
  <c r="E191"/>
  <c r="P190"/>
  <c r="E190"/>
  <c r="P189"/>
  <c r="E189"/>
  <c r="P188"/>
  <c r="E188"/>
  <c r="P187"/>
  <c r="E187"/>
  <c r="P186"/>
  <c r="E186"/>
  <c r="P185"/>
  <c r="E185"/>
  <c r="P184"/>
  <c r="E184"/>
  <c r="P183"/>
  <c r="E183"/>
  <c r="P182"/>
  <c r="E182"/>
  <c r="P181"/>
  <c r="E181"/>
  <c r="P180"/>
  <c r="E180"/>
  <c r="P179"/>
  <c r="E179"/>
  <c r="P178"/>
  <c r="E178"/>
  <c r="P177"/>
  <c r="E177"/>
  <c r="P176"/>
  <c r="E176"/>
  <c r="P175"/>
  <c r="E175"/>
  <c r="P174"/>
  <c r="E174"/>
  <c r="P173"/>
  <c r="E173"/>
  <c r="P172"/>
  <c r="E172"/>
  <c r="P171"/>
  <c r="E171"/>
  <c r="P170"/>
  <c r="E170"/>
  <c r="P169"/>
  <c r="E169"/>
  <c r="P168"/>
  <c r="E168"/>
  <c r="P167"/>
  <c r="E167"/>
  <c r="P166"/>
  <c r="E166"/>
  <c r="P165"/>
  <c r="E165"/>
  <c r="P164"/>
  <c r="E164"/>
  <c r="P163"/>
  <c r="E163"/>
  <c r="P162"/>
  <c r="E162"/>
  <c r="P161"/>
  <c r="E161"/>
  <c r="P160"/>
  <c r="E160"/>
  <c r="P159"/>
  <c r="E159"/>
  <c r="P158"/>
  <c r="E158"/>
  <c r="P157"/>
  <c r="E157"/>
  <c r="P156"/>
  <c r="E156"/>
  <c r="P155"/>
  <c r="E155"/>
  <c r="P154"/>
  <c r="E154"/>
  <c r="P153"/>
  <c r="E153"/>
  <c r="P152"/>
  <c r="E152"/>
  <c r="P151"/>
  <c r="E151"/>
  <c r="P150"/>
  <c r="E150"/>
  <c r="P149"/>
  <c r="E149"/>
  <c r="P148"/>
  <c r="E148"/>
  <c r="P147"/>
  <c r="E147"/>
  <c r="P146"/>
  <c r="E146"/>
  <c r="P145"/>
  <c r="E145"/>
  <c r="P144"/>
  <c r="E144"/>
  <c r="P143"/>
  <c r="E143"/>
  <c r="P142"/>
  <c r="E142"/>
  <c r="P141"/>
  <c r="E141"/>
  <c r="P140"/>
  <c r="E140"/>
  <c r="P139"/>
  <c r="E139"/>
  <c r="P138"/>
  <c r="E138"/>
  <c r="P137"/>
  <c r="E137"/>
  <c r="P136"/>
  <c r="E136"/>
  <c r="P135"/>
  <c r="E135"/>
  <c r="P134"/>
  <c r="E134"/>
  <c r="P133"/>
  <c r="E133"/>
  <c r="P132"/>
  <c r="E132"/>
  <c r="P131"/>
  <c r="E131"/>
  <c r="P130"/>
  <c r="E130"/>
  <c r="P129"/>
  <c r="E129"/>
  <c r="P128"/>
  <c r="E128"/>
  <c r="P127"/>
  <c r="E127"/>
  <c r="P126"/>
  <c r="E126"/>
  <c r="P125"/>
  <c r="E125"/>
  <c r="P124"/>
  <c r="E124"/>
  <c r="P123"/>
  <c r="E123"/>
  <c r="P122"/>
  <c r="E122"/>
  <c r="P121"/>
  <c r="E121"/>
  <c r="P120"/>
  <c r="E120"/>
  <c r="P119"/>
  <c r="E119"/>
  <c r="P118"/>
  <c r="E118"/>
  <c r="P117"/>
  <c r="E117"/>
  <c r="P116"/>
  <c r="E116"/>
  <c r="P115"/>
  <c r="E115"/>
  <c r="P114"/>
  <c r="E114"/>
  <c r="P113"/>
  <c r="E113"/>
  <c r="P112"/>
  <c r="E112"/>
  <c r="P111"/>
  <c r="E111"/>
  <c r="P110"/>
  <c r="E110"/>
  <c r="P109"/>
  <c r="E109"/>
  <c r="P108"/>
  <c r="E108"/>
  <c r="P107"/>
  <c r="E107"/>
  <c r="P106"/>
  <c r="E106"/>
  <c r="P105"/>
  <c r="E105"/>
  <c r="P104"/>
  <c r="E104"/>
  <c r="P103"/>
  <c r="E103"/>
  <c r="P102"/>
  <c r="E102"/>
  <c r="P101"/>
  <c r="E101"/>
  <c r="P100"/>
  <c r="E100"/>
  <c r="P99"/>
  <c r="E99"/>
  <c r="P98"/>
  <c r="E98"/>
  <c r="P97"/>
  <c r="E97"/>
  <c r="P96"/>
  <c r="E96"/>
  <c r="P95"/>
  <c r="E95"/>
  <c r="P94"/>
  <c r="E94"/>
  <c r="P93"/>
  <c r="E93"/>
  <c r="P92"/>
  <c r="E92"/>
  <c r="P91"/>
  <c r="E91"/>
  <c r="P90"/>
  <c r="E90"/>
  <c r="P89"/>
  <c r="E89"/>
  <c r="P88"/>
  <c r="E88"/>
  <c r="P87"/>
  <c r="E87"/>
  <c r="P86"/>
  <c r="E86"/>
  <c r="P85"/>
  <c r="E85"/>
  <c r="P84"/>
  <c r="E84"/>
  <c r="P83"/>
  <c r="E83"/>
  <c r="P82"/>
  <c r="E82"/>
  <c r="P81"/>
  <c r="E81"/>
  <c r="P80"/>
  <c r="E80"/>
  <c r="P79"/>
  <c r="E79"/>
  <c r="P78"/>
  <c r="E78"/>
  <c r="P77"/>
  <c r="E77"/>
  <c r="P76"/>
  <c r="E76"/>
  <c r="P75"/>
  <c r="E75"/>
  <c r="P74"/>
  <c r="E74"/>
  <c r="P73"/>
  <c r="E73"/>
  <c r="P72"/>
  <c r="E72"/>
  <c r="P71"/>
  <c r="E71"/>
  <c r="P70"/>
  <c r="E70"/>
  <c r="P69"/>
  <c r="E69"/>
  <c r="P68"/>
  <c r="E68"/>
  <c r="P67"/>
  <c r="E67"/>
  <c r="P66"/>
  <c r="E66"/>
  <c r="P65"/>
  <c r="E65"/>
  <c r="P64"/>
  <c r="E64"/>
  <c r="P63"/>
  <c r="E63"/>
  <c r="P62"/>
  <c r="E62"/>
  <c r="P61"/>
  <c r="E61"/>
  <c r="P60"/>
  <c r="E60"/>
  <c r="P59"/>
  <c r="E59"/>
  <c r="P58"/>
  <c r="E58"/>
  <c r="P57"/>
  <c r="E57"/>
  <c r="P56"/>
  <c r="E56"/>
  <c r="P55"/>
  <c r="E55"/>
  <c r="P54"/>
  <c r="E54"/>
  <c r="P53"/>
  <c r="E53"/>
  <c r="P52"/>
  <c r="E52"/>
  <c r="P51"/>
  <c r="E51"/>
  <c r="P50"/>
  <c r="E50"/>
  <c r="P49"/>
  <c r="E49"/>
  <c r="P48"/>
  <c r="E48"/>
  <c r="P47"/>
  <c r="E47"/>
  <c r="P46"/>
  <c r="E46"/>
  <c r="P45"/>
  <c r="E45"/>
  <c r="P44"/>
  <c r="E44"/>
  <c r="P43"/>
  <c r="E43"/>
  <c r="P42"/>
  <c r="E42"/>
  <c r="P41"/>
  <c r="E41"/>
  <c r="P40"/>
  <c r="E40"/>
  <c r="P39"/>
  <c r="E39"/>
  <c r="P38"/>
  <c r="E38"/>
  <c r="P37"/>
  <c r="E37"/>
  <c r="P36"/>
  <c r="E36"/>
  <c r="P35"/>
  <c r="E35"/>
  <c r="P34"/>
  <c r="E34"/>
  <c r="P33"/>
  <c r="E33"/>
  <c r="P32"/>
  <c r="E32"/>
  <c r="P31"/>
  <c r="E31"/>
  <c r="P30"/>
  <c r="E30"/>
  <c r="P29"/>
  <c r="E29"/>
  <c r="P28"/>
  <c r="E28"/>
  <c r="P27"/>
  <c r="E27"/>
  <c r="P26"/>
  <c r="E26"/>
  <c r="P25"/>
  <c r="E25"/>
  <c r="P24"/>
  <c r="E24"/>
  <c r="P23"/>
  <c r="E23"/>
  <c r="P22"/>
  <c r="E22"/>
  <c r="P21"/>
  <c r="E21"/>
  <c r="P20"/>
  <c r="E20"/>
  <c r="P19"/>
  <c r="E19"/>
  <c r="P18"/>
  <c r="E18"/>
  <c r="P17"/>
  <c r="E17"/>
  <c r="P16"/>
  <c r="E16"/>
  <c r="P15"/>
  <c r="E15"/>
  <c r="P14"/>
  <c r="E14"/>
  <c r="P13"/>
  <c r="E13"/>
  <c r="P12"/>
  <c r="E12"/>
  <c r="P11"/>
  <c r="E11"/>
  <c r="P10"/>
  <c r="E10"/>
  <c r="P9"/>
  <c r="E9"/>
  <c r="P8"/>
  <c r="E8"/>
  <c r="P7"/>
  <c r="E7"/>
  <c r="P6"/>
  <c r="E6"/>
  <c r="P5"/>
  <c r="E5"/>
  <c r="P4"/>
  <c r="E4"/>
  <c r="P3"/>
  <c r="E3"/>
  <c r="P2"/>
  <c r="E2"/>
</calcChain>
</file>

<file path=xl/sharedStrings.xml><?xml version="1.0" encoding="utf-8"?>
<sst xmlns="http://schemas.openxmlformats.org/spreadsheetml/2006/main" count="48905" uniqueCount="2653">
  <si>
    <t>Acc No</t>
  </si>
  <si>
    <t>Client</t>
  </si>
  <si>
    <t>Type</t>
  </si>
  <si>
    <t>Invoice no</t>
  </si>
  <si>
    <t>Wb No</t>
  </si>
  <si>
    <t>Date</t>
  </si>
  <si>
    <t>Period</t>
  </si>
  <si>
    <t>Start</t>
  </si>
  <si>
    <t>Start Town</t>
  </si>
  <si>
    <t>Sender</t>
  </si>
  <si>
    <t>Carrier</t>
  </si>
  <si>
    <t>Dest</t>
  </si>
  <si>
    <t>Destination Town</t>
  </si>
  <si>
    <t>Receiver</t>
  </si>
  <si>
    <t>Srv</t>
  </si>
  <si>
    <t>Client Ref</t>
  </si>
  <si>
    <t>AFT</t>
  </si>
  <si>
    <t>Disc</t>
  </si>
  <si>
    <t>AMB</t>
  </si>
  <si>
    <t>BDR</t>
  </si>
  <si>
    <t>BPS</t>
  </si>
  <si>
    <t>CSH</t>
  </si>
  <si>
    <t>CTL</t>
  </si>
  <si>
    <t>DS1</t>
  </si>
  <si>
    <t>DSD</t>
  </si>
  <si>
    <t>EAR</t>
  </si>
  <si>
    <t>EMB</t>
  </si>
  <si>
    <t>FUE</t>
  </si>
  <si>
    <t>FUX</t>
  </si>
  <si>
    <t>HAZ</t>
  </si>
  <si>
    <t>HND</t>
  </si>
  <si>
    <t>IFL</t>
  </si>
  <si>
    <t>INH</t>
  </si>
  <si>
    <t>INS</t>
  </si>
  <si>
    <t>LTE</t>
  </si>
  <si>
    <t>NDC</t>
  </si>
  <si>
    <t>OUT</t>
  </si>
  <si>
    <t>RTL</t>
  </si>
  <si>
    <t>Other Charges</t>
  </si>
  <si>
    <t>Prcls</t>
  </si>
  <si>
    <t>Tot KG</t>
  </si>
  <si>
    <t>Tot Vol</t>
  </si>
  <si>
    <t>Mass</t>
  </si>
  <si>
    <t>Amount</t>
  </si>
  <si>
    <t>Vat</t>
  </si>
  <si>
    <t>Total</t>
  </si>
  <si>
    <t>Outstand</t>
  </si>
  <si>
    <t>Special Instructions</t>
  </si>
  <si>
    <t>Consignee Contact</t>
  </si>
  <si>
    <t>Sender Contact</t>
  </si>
  <si>
    <t>POD Date</t>
  </si>
  <si>
    <t>POD Time</t>
  </si>
  <si>
    <t>POD Name</t>
  </si>
  <si>
    <t>STD POD</t>
  </si>
  <si>
    <t>Reason</t>
  </si>
  <si>
    <t>Reason Captured</t>
  </si>
  <si>
    <t>Total Vol Mass</t>
  </si>
  <si>
    <t>Options</t>
  </si>
  <si>
    <t>POD Comments</t>
  </si>
  <si>
    <t>X-Option</t>
  </si>
  <si>
    <t>Dest Town</t>
  </si>
  <si>
    <t>Dest Postal Code</t>
  </si>
  <si>
    <t>Description of Contents</t>
  </si>
  <si>
    <t>POD Scan Date</t>
  </si>
  <si>
    <t>Status</t>
  </si>
  <si>
    <t>MF Comments</t>
  </si>
  <si>
    <t>Actual Days</t>
  </si>
  <si>
    <t>Agreed Days</t>
  </si>
  <si>
    <t>Rate</t>
  </si>
  <si>
    <t>Early Delivery</t>
  </si>
  <si>
    <t>Early Delivery Time</t>
  </si>
  <si>
    <t>MA Info</t>
  </si>
  <si>
    <t>C17924</t>
  </si>
  <si>
    <t>MOVE ANALYTICS CC (FESTO DIRECT DEL</t>
  </si>
  <si>
    <t>WAY</t>
  </si>
  <si>
    <t>KEMPT</t>
  </si>
  <si>
    <t>KEMPTON PARK</t>
  </si>
  <si>
    <t xml:space="preserve">Festo                              </t>
  </si>
  <si>
    <t xml:space="preserve">                                   </t>
  </si>
  <si>
    <t>PORT3</t>
  </si>
  <si>
    <t>PORT ELIZABETH</t>
  </si>
  <si>
    <t xml:space="preserve">FESTO PLZ                          </t>
  </si>
  <si>
    <t>ON1</t>
  </si>
  <si>
    <t>BARRY JANE</t>
  </si>
  <si>
    <t>Abram Machaka</t>
  </si>
  <si>
    <t xml:space="preserve">joni                          </t>
  </si>
  <si>
    <t>yes</t>
  </si>
  <si>
    <t xml:space="preserve">POD received from cell 0610951998 M     </t>
  </si>
  <si>
    <t>Flyer</t>
  </si>
  <si>
    <t>no</t>
  </si>
  <si>
    <t>CAPET</t>
  </si>
  <si>
    <t>CAPE TOWN</t>
  </si>
  <si>
    <t xml:space="preserve">LIQUI BOX (PTY)LTD                 </t>
  </si>
  <si>
    <t>RECEIVING</t>
  </si>
  <si>
    <t>goolam</t>
  </si>
  <si>
    <t>POD received from cell 0833656676 M</t>
  </si>
  <si>
    <t>PARCEL</t>
  </si>
  <si>
    <t xml:space="preserve">JENDAMARK AUTOMATION PTY LTD       </t>
  </si>
  <si>
    <t>shaakir</t>
  </si>
  <si>
    <t>POD received from cell 0605616935 M</t>
  </si>
  <si>
    <t xml:space="preserve">FESTO                              </t>
  </si>
  <si>
    <t>preto</t>
  </si>
  <si>
    <t>PRETORIA</t>
  </si>
  <si>
    <t xml:space="preserve">PROMAX                             </t>
  </si>
  <si>
    <t>RD</t>
  </si>
  <si>
    <t>ABRAM MACHAKA</t>
  </si>
  <si>
    <t>Marenique</t>
  </si>
  <si>
    <t>POD received from cell 0780245853 M</t>
  </si>
  <si>
    <t>RDR</t>
  </si>
  <si>
    <t>capet</t>
  </si>
  <si>
    <t xml:space="preserve">HYDROMATIC                         </t>
  </si>
  <si>
    <t>Anthony</t>
  </si>
  <si>
    <t>POD received from cell 0738058187 M</t>
  </si>
  <si>
    <t>RD2</t>
  </si>
  <si>
    <t xml:space="preserve">goolam                        </t>
  </si>
  <si>
    <t xml:space="preserve">POD received from cell 0833656676 M     </t>
  </si>
  <si>
    <t>BOX</t>
  </si>
  <si>
    <t>BRAKP</t>
  </si>
  <si>
    <t>BRAKPAN</t>
  </si>
  <si>
    <t xml:space="preserve">TUPPERWARE SA                      </t>
  </si>
  <si>
    <t>Jacob</t>
  </si>
  <si>
    <t>POD received from cell 0625670397 M</t>
  </si>
  <si>
    <t>BOX PARCEL</t>
  </si>
  <si>
    <t>RDL</t>
  </si>
  <si>
    <t xml:space="preserve">FESTO CAPE TOWN                    </t>
  </si>
  <si>
    <t xml:space="preserve">FESTO ISANDO                       </t>
  </si>
  <si>
    <t>ROBBY ABRAM</t>
  </si>
  <si>
    <t>.</t>
  </si>
  <si>
    <t>bakker</t>
  </si>
  <si>
    <t xml:space="preserve">CONTINENTAL TYRE SA                </t>
  </si>
  <si>
    <t>Richard</t>
  </si>
  <si>
    <t>POD received from cell 0848977566 M</t>
  </si>
  <si>
    <t>VERWO</t>
  </si>
  <si>
    <t>CENTURION</t>
  </si>
  <si>
    <t xml:space="preserve">CSM ENGINEERING CC                 </t>
  </si>
  <si>
    <t>RECIEVING</t>
  </si>
  <si>
    <t>Shaun</t>
  </si>
  <si>
    <t>POD received from cell 0725230163 M</t>
  </si>
  <si>
    <t>GERMI</t>
  </si>
  <si>
    <t>GERMISTON</t>
  </si>
  <si>
    <t xml:space="preserve">TIGER BRANDS SNACKS   TREANTS      </t>
  </si>
  <si>
    <t>ENGINEERING STORES</t>
  </si>
  <si>
    <t>illeg</t>
  </si>
  <si>
    <t xml:space="preserve">LEDA ENGINEERING SERVICES CC       </t>
  </si>
  <si>
    <t>BRYAN</t>
  </si>
  <si>
    <t>POD received from cell 0636391488 M</t>
  </si>
  <si>
    <t xml:space="preserve">DISTELL                            </t>
  </si>
  <si>
    <t>Receiving</t>
  </si>
  <si>
    <t>DAVID</t>
  </si>
  <si>
    <t>Late linehaul</t>
  </si>
  <si>
    <t>LMA</t>
  </si>
  <si>
    <t>PRETO</t>
  </si>
  <si>
    <t>ROBBIE</t>
  </si>
  <si>
    <t>MARENIQUE</t>
  </si>
  <si>
    <t>Bakker</t>
  </si>
  <si>
    <t>POD received from cell 0739524922 M</t>
  </si>
  <si>
    <t>d</t>
  </si>
  <si>
    <t>rdl</t>
  </si>
  <si>
    <t xml:space="preserve">JENDERMARK                         </t>
  </si>
  <si>
    <t>BAKKER</t>
  </si>
  <si>
    <t>BAG</t>
  </si>
  <si>
    <t xml:space="preserve">MA AUTOMOTIVE TOOL   DIE           </t>
  </si>
  <si>
    <t xml:space="preserve">Herman                        </t>
  </si>
  <si>
    <t xml:space="preserve">POD received from cell 0729919507 M     </t>
  </si>
  <si>
    <t>EAST</t>
  </si>
  <si>
    <t>EAST LONDON</t>
  </si>
  <si>
    <t xml:space="preserve">VOESTALPINE STAMPTEC SA            </t>
  </si>
  <si>
    <t>Quinten</t>
  </si>
  <si>
    <t>POD received from cell 0844681051 M</t>
  </si>
  <si>
    <t>BOKSB</t>
  </si>
  <si>
    <t>BOKSBURG</t>
  </si>
  <si>
    <t xml:space="preserve">UNILEVER ANDERBOLT HOMECARE LI     </t>
  </si>
  <si>
    <t>Recieving</t>
  </si>
  <si>
    <t>david</t>
  </si>
  <si>
    <t>POD received from cell 0732937434 M</t>
  </si>
  <si>
    <t xml:space="preserve">SHATTERPRUFE TRADING SA            </t>
  </si>
  <si>
    <t>dylan</t>
  </si>
  <si>
    <t>BRONK</t>
  </si>
  <si>
    <t>BRONKHORSTSPRUIT</t>
  </si>
  <si>
    <t xml:space="preserve">SASOL DYNO NOBEL PTY LTD           </t>
  </si>
  <si>
    <t>james</t>
  </si>
  <si>
    <t>moo</t>
  </si>
  <si>
    <t>POD received from cell 0795897055 M</t>
  </si>
  <si>
    <t xml:space="preserve">FORD MOTOR CO. SA MANUFACTURIN     </t>
  </si>
  <si>
    <t>kurt</t>
  </si>
  <si>
    <t>POD received from cell 0825362192 M</t>
  </si>
  <si>
    <t>WORCE</t>
  </si>
  <si>
    <t>WORCESTER</t>
  </si>
  <si>
    <t xml:space="preserve">GRW ENGINERING                     </t>
  </si>
  <si>
    <t>TARRYN</t>
  </si>
  <si>
    <t>POD received from cell 0723786860 M</t>
  </si>
  <si>
    <t xml:space="preserve">RAGON INDUSTRIES                   </t>
  </si>
  <si>
    <t>BUKS GEYSER</t>
  </si>
  <si>
    <t>eva</t>
  </si>
  <si>
    <t xml:space="preserve">PFERD SA PTY LTD                   </t>
  </si>
  <si>
    <t>MAINTENANCE STORES</t>
  </si>
  <si>
    <t xml:space="preserve">Zakhele                       </t>
  </si>
  <si>
    <t xml:space="preserve">POD received from cell 0837323487 M     </t>
  </si>
  <si>
    <t>DURBA</t>
  </si>
  <si>
    <t>DURBAN</t>
  </si>
  <si>
    <t xml:space="preserve">TONGAAT HULETTS GROUP LIMITED      </t>
  </si>
  <si>
    <t>PINET</t>
  </si>
  <si>
    <t>PINETOWN</t>
  </si>
  <si>
    <t xml:space="preserve">PNEUMATIC AID                      </t>
  </si>
  <si>
    <t>audrey</t>
  </si>
  <si>
    <t>POD received from cell 0625063292 M</t>
  </si>
  <si>
    <t>gary</t>
  </si>
  <si>
    <t xml:space="preserve">CIM AUTOMATION                     </t>
  </si>
  <si>
    <t>Kathleen</t>
  </si>
  <si>
    <t>POD received from cell 0749641064 M</t>
  </si>
  <si>
    <t xml:space="preserve">GLEDHOW SUGAR CO. PTY LTD          </t>
  </si>
  <si>
    <t>sipho</t>
  </si>
  <si>
    <t>POD received from cell 0744435413 M</t>
  </si>
  <si>
    <t>UITEN</t>
  </si>
  <si>
    <t>UITENHAGE</t>
  </si>
  <si>
    <t xml:space="preserve">EAST CAPE MIDLANDS TVET COLLEG     </t>
  </si>
  <si>
    <t>SUPPLY CHAIN MANAGEMENT DEPART</t>
  </si>
  <si>
    <t>PJ ODEN DAAL</t>
  </si>
  <si>
    <t>cikizwa</t>
  </si>
  <si>
    <t xml:space="preserve">VICTORY ELECTRICAL CC              </t>
  </si>
  <si>
    <t>Saul</t>
  </si>
  <si>
    <t>PIET1</t>
  </si>
  <si>
    <t>PIETERMARITZBURG</t>
  </si>
  <si>
    <t xml:space="preserve">TRUDA SNACKS                       </t>
  </si>
  <si>
    <t>Chedza</t>
  </si>
  <si>
    <t>POD received from cell 0795396044 M</t>
  </si>
  <si>
    <t xml:space="preserve">JOHNSON MATTHEY PTY LTD            </t>
  </si>
  <si>
    <t>bongiwe</t>
  </si>
  <si>
    <t>Driver late</t>
  </si>
  <si>
    <t>mmd</t>
  </si>
  <si>
    <t>POD received from cell 0631962221 M</t>
  </si>
  <si>
    <t xml:space="preserve">PARMALAT SA (PTY) LTD              </t>
  </si>
  <si>
    <t>JOHN</t>
  </si>
  <si>
    <t>ivan</t>
  </si>
  <si>
    <t xml:space="preserve">Rand Refinery                      </t>
  </si>
  <si>
    <t>simphiwe</t>
  </si>
  <si>
    <t xml:space="preserve">EGLI PRECISION ENGENNERING PTY     </t>
  </si>
  <si>
    <t>Vukile</t>
  </si>
  <si>
    <t xml:space="preserve">FIRST NATIONAL BATTERY             </t>
  </si>
  <si>
    <t>buyile</t>
  </si>
  <si>
    <t>AMANZ</t>
  </si>
  <si>
    <t>AMANZIMTOTI</t>
  </si>
  <si>
    <t xml:space="preserve">DES GROUP (PTY) LTD                </t>
  </si>
  <si>
    <t>Nathan</t>
  </si>
  <si>
    <t>POD received from cell 0717313860 M</t>
  </si>
  <si>
    <t xml:space="preserve">0017063719 G.U.D Holding           </t>
  </si>
  <si>
    <t xml:space="preserve">annitha                       </t>
  </si>
  <si>
    <t xml:space="preserve">POD received from cell 0732912108 M     </t>
  </si>
  <si>
    <t xml:space="preserve">RAPID INDUSTRIAL SUPPLIES PTY      </t>
  </si>
  <si>
    <t>japie</t>
  </si>
  <si>
    <t>POD received from cell 0837842726 M</t>
  </si>
  <si>
    <t xml:space="preserve">ELUMATEC SOUTH AFRICA              </t>
  </si>
  <si>
    <t>petru</t>
  </si>
  <si>
    <t xml:space="preserve">REEF CONSTRUCTION MACHINERY        </t>
  </si>
  <si>
    <t>andre</t>
  </si>
  <si>
    <t xml:space="preserve">HALEWOOD INTERNATIONAL             </t>
  </si>
  <si>
    <t>RECEIVER</t>
  </si>
  <si>
    <t>RITA</t>
  </si>
  <si>
    <t>STEL2</t>
  </si>
  <si>
    <t>STELLENBOSCH</t>
  </si>
  <si>
    <t xml:space="preserve">CHILL BEVERAGES INTERNATIONAL      </t>
  </si>
  <si>
    <t>sharon</t>
  </si>
  <si>
    <t>POD received from cell 0634787633 M</t>
  </si>
  <si>
    <t xml:space="preserve">BMG EAST LONDON                    </t>
  </si>
  <si>
    <t xml:space="preserve">Erve                          </t>
  </si>
  <si>
    <t xml:space="preserve">POD received from cell 0736644806 M     </t>
  </si>
  <si>
    <t xml:space="preserve">RCL FOODS CONSUMER PTY             </t>
  </si>
  <si>
    <t>R BOOYSEN</t>
  </si>
  <si>
    <t xml:space="preserve">FILTEC AUTOMATION PTY LTD          </t>
  </si>
  <si>
    <t xml:space="preserve">pivem                         </t>
  </si>
  <si>
    <t xml:space="preserve">POD received from cell 0744435413 M     </t>
  </si>
  <si>
    <t xml:space="preserve">FAURECIA EMISSIONS CONTROL TEC     </t>
  </si>
  <si>
    <t>steven</t>
  </si>
  <si>
    <t>POD received from cell 0736814363 M</t>
  </si>
  <si>
    <t>STANG</t>
  </si>
  <si>
    <t>STANGER</t>
  </si>
  <si>
    <t xml:space="preserve">SAPPI SA LTD                       </t>
  </si>
  <si>
    <t>RECIEVER</t>
  </si>
  <si>
    <t>D PILLAY</t>
  </si>
  <si>
    <t>POD received from cell 0733986414 M</t>
  </si>
  <si>
    <t xml:space="preserve">NR EXTREME ENGINEERING   PIPIN     </t>
  </si>
  <si>
    <t>POD received from cell 0844941078 M</t>
  </si>
  <si>
    <t xml:space="preserve">ATLANTIS SPECIALIST                </t>
  </si>
  <si>
    <t>LanE</t>
  </si>
  <si>
    <t>NGF</t>
  </si>
  <si>
    <t>POD received from cell 0731234559 M</t>
  </si>
  <si>
    <t xml:space="preserve">MEXAN PRODUCTS                     </t>
  </si>
  <si>
    <t>MARK</t>
  </si>
  <si>
    <t>POD received from cell 0733966806 M</t>
  </si>
  <si>
    <t xml:space="preserve">NATIONAL BRANDS BIS   SNK DIV      </t>
  </si>
  <si>
    <t>MEMORY OOSTHUIZEN</t>
  </si>
  <si>
    <t>Sipho</t>
  </si>
  <si>
    <t xml:space="preserve">PIONEER FOODS (PTY) LTD            </t>
  </si>
  <si>
    <t>gcwabara</t>
  </si>
  <si>
    <t>POD received from cell 0725851046 M</t>
  </si>
  <si>
    <t xml:space="preserve">UNIQUE HYDRA (PTY)LTD              </t>
  </si>
  <si>
    <t>griffth</t>
  </si>
  <si>
    <t xml:space="preserve">COMPRESSED AIR EQUIPMENT           </t>
  </si>
  <si>
    <t>deez</t>
  </si>
  <si>
    <t>POD received from cell 0848255037 M</t>
  </si>
  <si>
    <t xml:space="preserve">EXCEL TOOLING                      </t>
  </si>
  <si>
    <t xml:space="preserve">gwen                          </t>
  </si>
  <si>
    <t xml:space="preserve">POD received from cell 0605616935 M     </t>
  </si>
  <si>
    <t xml:space="preserve">BENTELER AUTOMOTIVE SA (PTY) L     </t>
  </si>
  <si>
    <t>anele</t>
  </si>
  <si>
    <t xml:space="preserve">AEL MINING SERVICES LIMITED        </t>
  </si>
  <si>
    <t>Charles</t>
  </si>
  <si>
    <t>POD received from cell 0766412100 M</t>
  </si>
  <si>
    <t>PAARL</t>
  </si>
  <si>
    <t xml:space="preserve">HYDRAQUIP                          </t>
  </si>
  <si>
    <t>Leoni</t>
  </si>
  <si>
    <t>POD received from cell 0725006442 M</t>
  </si>
  <si>
    <t xml:space="preserve">ILLOVO SUGAR LTD                   </t>
  </si>
  <si>
    <t>ILLEG</t>
  </si>
  <si>
    <t>POD received from cell 0810382830 M</t>
  </si>
  <si>
    <t xml:space="preserve">POLYOAK PACKAGING (PTY) LTD        </t>
  </si>
  <si>
    <t>evette</t>
  </si>
  <si>
    <t xml:space="preserve">ENTERPRISE FOODS                   </t>
  </si>
  <si>
    <t>PHALANDWA</t>
  </si>
  <si>
    <t>cristo bosman</t>
  </si>
  <si>
    <t>POD received from cell 0833616148 M</t>
  </si>
  <si>
    <t xml:space="preserve">PROCESS DYNAMICS PTY LTD           </t>
  </si>
  <si>
    <t>AMANDA</t>
  </si>
  <si>
    <t>Cara</t>
  </si>
  <si>
    <t xml:space="preserve">EMENEM INDUSTRIAL CC               </t>
  </si>
  <si>
    <t xml:space="preserve">Nicolette                     </t>
  </si>
  <si>
    <t xml:space="preserve">VERTEX AUTOMATION PTY LTD          </t>
  </si>
  <si>
    <t>eugene</t>
  </si>
  <si>
    <t>POD received from cell 0796132179 M</t>
  </si>
  <si>
    <t xml:space="preserve">ATC INNOVATION (PTY) LTD           </t>
  </si>
  <si>
    <t>bridgette</t>
  </si>
  <si>
    <t>c17924</t>
  </si>
  <si>
    <t>JOHAN</t>
  </si>
  <si>
    <t>JOHANNESBURG</t>
  </si>
  <si>
    <t>KARAN</t>
  </si>
  <si>
    <t xml:space="preserve">BBF SAFETY GROUP PTY LTD           </t>
  </si>
  <si>
    <t>R S SARDA</t>
  </si>
  <si>
    <t xml:space="preserve">LEAR SEWING PTY LTD                </t>
  </si>
  <si>
    <t>nopinkie</t>
  </si>
  <si>
    <t>kgotso</t>
  </si>
  <si>
    <t>SASOL</t>
  </si>
  <si>
    <t>SASOLBURG</t>
  </si>
  <si>
    <t xml:space="preserve">COREL INSTRUMENTATION   CONTRO     </t>
  </si>
  <si>
    <t xml:space="preserve">WALKER                        </t>
  </si>
  <si>
    <t xml:space="preserve">                                        </t>
  </si>
  <si>
    <t xml:space="preserve">NATIONAL PACKAGING SYSTEMS         </t>
  </si>
  <si>
    <t>G LUNDALL</t>
  </si>
  <si>
    <t xml:space="preserve">OCEAN LEGACY MARINE ENGINEERIN     </t>
  </si>
  <si>
    <t>shirley</t>
  </si>
  <si>
    <t>Stacey</t>
  </si>
  <si>
    <t>BENON</t>
  </si>
  <si>
    <t>BENONI</t>
  </si>
  <si>
    <t xml:space="preserve">PETER MILLER   DAD                 </t>
  </si>
  <si>
    <t>CONNIE MILLER</t>
  </si>
  <si>
    <t>Emilly</t>
  </si>
  <si>
    <t>POD received from cell 0717669109 M</t>
  </si>
  <si>
    <t>KLEI1</t>
  </si>
  <si>
    <t>KLEINBOS</t>
  </si>
  <si>
    <t xml:space="preserve">SWARTLAND BOUDIENSTE PTY LTD       </t>
  </si>
  <si>
    <t>CHARL</t>
  </si>
  <si>
    <t>LESLIE</t>
  </si>
  <si>
    <t>DESPA</t>
  </si>
  <si>
    <t>DESPATCH</t>
  </si>
  <si>
    <t xml:space="preserve">DKT   PARTNERS                     </t>
  </si>
  <si>
    <t>lorinda</t>
  </si>
  <si>
    <t xml:space="preserve">LEAR SEWING (PTY)LTD P.E           </t>
  </si>
  <si>
    <t>hilton</t>
  </si>
  <si>
    <t>INCORRECT SUPPILED</t>
  </si>
  <si>
    <t>nathan</t>
  </si>
  <si>
    <t xml:space="preserve">HACKMACK ENTERPRISES               </t>
  </si>
  <si>
    <t>Afrika</t>
  </si>
  <si>
    <t>POD received from cell 0736644806 M</t>
  </si>
  <si>
    <t>j nel</t>
  </si>
  <si>
    <t xml:space="preserve">EBERSPACHER SOUTH AFRICA (PTY)     </t>
  </si>
  <si>
    <t>malvon</t>
  </si>
  <si>
    <t xml:space="preserve">WINTERTIDE TRADING 69 CC           </t>
  </si>
  <si>
    <t>Dom</t>
  </si>
  <si>
    <t xml:space="preserve">COCA COLA BEVERAGES SA             </t>
  </si>
  <si>
    <t>thula</t>
  </si>
  <si>
    <t xml:space="preserve">MERCEDES BENZ SOUTH AFRICA LIM     </t>
  </si>
  <si>
    <t xml:space="preserve">sandisile                     </t>
  </si>
  <si>
    <t xml:space="preserve">POD received from cell 0781885723 M     </t>
  </si>
  <si>
    <t xml:space="preserve">Sandisile                     </t>
  </si>
  <si>
    <t>QUEEN</t>
  </si>
  <si>
    <t>QUEENSTOWN</t>
  </si>
  <si>
    <t xml:space="preserve">TWIZZA CC                          </t>
  </si>
  <si>
    <t>T KWELETA</t>
  </si>
  <si>
    <t>malven</t>
  </si>
  <si>
    <t xml:space="preserve">CLURE PROJECTS CC                  </t>
  </si>
  <si>
    <t xml:space="preserve">FESTO CPT                          </t>
  </si>
  <si>
    <t>PIETER RAUBENHEIMER</t>
  </si>
  <si>
    <t>Pieter</t>
  </si>
  <si>
    <t>HUMAN</t>
  </si>
  <si>
    <t>HUMANSDORP</t>
  </si>
  <si>
    <t xml:space="preserve">WOODLANDS RESOURCE RECOVERY PL     </t>
  </si>
  <si>
    <t>WILLIAM</t>
  </si>
  <si>
    <t>SOME2</t>
  </si>
  <si>
    <t>SOMERSET WEST</t>
  </si>
  <si>
    <t xml:space="preserve">SOUTHERN PULP MACHINERY            </t>
  </si>
  <si>
    <t>Bronwon</t>
  </si>
  <si>
    <t>POD received from cell 0792561133 M</t>
  </si>
  <si>
    <t xml:space="preserve">VOLKSWAGEN OF SA                   </t>
  </si>
  <si>
    <t>andiswa</t>
  </si>
  <si>
    <t>gwen</t>
  </si>
  <si>
    <t>JACO1</t>
  </si>
  <si>
    <t>JACOBS</t>
  </si>
  <si>
    <t xml:space="preserve">AMS BEARING CC                     </t>
  </si>
  <si>
    <t>stan</t>
  </si>
  <si>
    <t>POD received from cell 0620923972 M</t>
  </si>
  <si>
    <t xml:space="preserve">NEOPAK                             </t>
  </si>
  <si>
    <t xml:space="preserve">David                         </t>
  </si>
  <si>
    <t xml:space="preserve">ADCOCK INGRAM HEALTHCARE (PTY)     </t>
  </si>
  <si>
    <t>sibusiso</t>
  </si>
  <si>
    <t>BOX BOX</t>
  </si>
  <si>
    <t xml:space="preserve">LINDE + WIEMANN (PTY) LTD          </t>
  </si>
  <si>
    <t>Rian</t>
  </si>
  <si>
    <t xml:space="preserve">YANFENG SA AUTOMOTIVE              </t>
  </si>
  <si>
    <t>Lydia</t>
  </si>
  <si>
    <t>K Covey</t>
  </si>
  <si>
    <t>POD received from cell 0847768401 M</t>
  </si>
  <si>
    <t xml:space="preserve">BASF SA PTY LTD                    </t>
  </si>
  <si>
    <t>sajini</t>
  </si>
  <si>
    <t xml:space="preserve">NATIONAL BRANDS LTD BECKETTS       </t>
  </si>
  <si>
    <t>Kenneth</t>
  </si>
  <si>
    <t xml:space="preserve">GUD HOLDINGS (PTY)LTD              </t>
  </si>
  <si>
    <t>Conraid</t>
  </si>
  <si>
    <t>Yvonne</t>
  </si>
  <si>
    <t xml:space="preserve">BEARINGS SPROCKETS   HOSE          </t>
  </si>
  <si>
    <t>collin</t>
  </si>
  <si>
    <t>bosch</t>
  </si>
  <si>
    <t>BRIT1</t>
  </si>
  <si>
    <t>BRITS</t>
  </si>
  <si>
    <t xml:space="preserve">PLASTIC OMNIUM AUTO INERGY SA      </t>
  </si>
  <si>
    <t>selby</t>
  </si>
  <si>
    <t>POD received from cell 0786510203 M</t>
  </si>
  <si>
    <t xml:space="preserve">TIGER BRANDS                       </t>
  </si>
  <si>
    <t>Engineering Stores</t>
  </si>
  <si>
    <t>mdi</t>
  </si>
  <si>
    <t xml:space="preserve">PBA EQUIPMENT PTY LTD              </t>
  </si>
  <si>
    <t>isak</t>
  </si>
  <si>
    <t>POD received from cell 0640497784 M</t>
  </si>
  <si>
    <t xml:space="preserve">FRONERI SOUTH AFRICA (PTY)LTD      </t>
  </si>
  <si>
    <t>george</t>
  </si>
  <si>
    <t xml:space="preserve">H.W.S INDUSTRIES (PTY) LTD         </t>
  </si>
  <si>
    <t>shamaine</t>
  </si>
  <si>
    <t xml:space="preserve">Gabrile                       </t>
  </si>
  <si>
    <t>ISIPI</t>
  </si>
  <si>
    <t>ISIPINGO</t>
  </si>
  <si>
    <t xml:space="preserve">ACAP HYDRO PNEUMATIC SUPPLY CC     </t>
  </si>
  <si>
    <t>Louis</t>
  </si>
  <si>
    <t>orae</t>
  </si>
  <si>
    <t>RICH2</t>
  </si>
  <si>
    <t>RICHMOND (NATAL)</t>
  </si>
  <si>
    <t xml:space="preserve">NORMANDIEN FARMS                   </t>
  </si>
  <si>
    <t>H Robb</t>
  </si>
  <si>
    <t>HAMME</t>
  </si>
  <si>
    <t>OLD HAMMARSDALE</t>
  </si>
  <si>
    <t xml:space="preserve">RCL FOODS CONSUMER (PTY)LTD        </t>
  </si>
  <si>
    <t xml:space="preserve">Vukani                        </t>
  </si>
  <si>
    <t xml:space="preserve">POD received from cell 0795396044 M     </t>
  </si>
  <si>
    <t xml:space="preserve">SOUTH AFRICAN BUREAU OF STANDA     </t>
  </si>
  <si>
    <t xml:space="preserve">ncebakazi                     </t>
  </si>
  <si>
    <t xml:space="preserve">POD received from cell 0659314860 M     </t>
  </si>
  <si>
    <t xml:space="preserve">AGV MANAGEMENT                     </t>
  </si>
  <si>
    <t xml:space="preserve">ruben                         </t>
  </si>
  <si>
    <t xml:space="preserve">STEPHENS VALVES                    </t>
  </si>
  <si>
    <t>MIKE</t>
  </si>
  <si>
    <t>Norman</t>
  </si>
  <si>
    <t>POD received from cell 0784468189 M</t>
  </si>
  <si>
    <t>HARRI</t>
  </si>
  <si>
    <t>HARRISMITH</t>
  </si>
  <si>
    <t xml:space="preserve">NESTLE SA                          </t>
  </si>
  <si>
    <t>RUDO</t>
  </si>
  <si>
    <t xml:space="preserve">HULAMIN OPERATIONS PTY LTD         </t>
  </si>
  <si>
    <t>Thami</t>
  </si>
  <si>
    <t>POD received from cell 0834103236 M</t>
  </si>
  <si>
    <t xml:space="preserve">MINOVA SA                          </t>
  </si>
  <si>
    <t>KHOSI MSIMANGO</t>
  </si>
  <si>
    <t>Thembisa</t>
  </si>
  <si>
    <t xml:space="preserve">BARNES REINFORCING INDUSTRIES      </t>
  </si>
  <si>
    <t xml:space="preserve">Lucas                         </t>
  </si>
  <si>
    <t xml:space="preserve">AUTO X PTY LTD                     </t>
  </si>
  <si>
    <t>sediadia</t>
  </si>
  <si>
    <t xml:space="preserve">CTP STATIONERY MANUFECTURERS       </t>
  </si>
  <si>
    <t>VERONA</t>
  </si>
  <si>
    <t xml:space="preserve">UNILEVER SOUTH AFRICA (PTY) LT     </t>
  </si>
  <si>
    <t>RECEVING   STORE</t>
  </si>
  <si>
    <t>kiven</t>
  </si>
  <si>
    <t>POD received from cell 0833938811 M</t>
  </si>
  <si>
    <t xml:space="preserve">GO DEO FUELING                     </t>
  </si>
  <si>
    <t>WESLEY</t>
  </si>
  <si>
    <t>ROODE</t>
  </si>
  <si>
    <t>ROODEPOORT</t>
  </si>
  <si>
    <t xml:space="preserve">CHEMPLUS CC                        </t>
  </si>
  <si>
    <t>MPHO</t>
  </si>
  <si>
    <t>lma</t>
  </si>
  <si>
    <t xml:space="preserve">FELTEX AUTOMOTIVE DIVISION         </t>
  </si>
  <si>
    <t>Sann</t>
  </si>
  <si>
    <t>BETHL</t>
  </si>
  <si>
    <t>BETHLEHEM</t>
  </si>
  <si>
    <t xml:space="preserve">BUILD IT BETLHEHEM                 </t>
  </si>
  <si>
    <t>J LE ROUX</t>
  </si>
  <si>
    <t>POD received from cell 0632978162 M</t>
  </si>
  <si>
    <t xml:space="preserve">ABI DIV OF SAB LTD                 </t>
  </si>
  <si>
    <t>sugan</t>
  </si>
  <si>
    <t xml:space="preserve">Kevin                         </t>
  </si>
  <si>
    <t>Appointment required</t>
  </si>
  <si>
    <t>SSH</t>
  </si>
  <si>
    <t xml:space="preserve">PRESSURE DIE CASTINGS PTY LTD      </t>
  </si>
  <si>
    <t>roy</t>
  </si>
  <si>
    <t xml:space="preserve">nkosinathi                    </t>
  </si>
  <si>
    <t xml:space="preserve">CALDEIRA ENGENEERING               </t>
  </si>
  <si>
    <t>VIOLET</t>
  </si>
  <si>
    <t xml:space="preserve">RCL FOODS CONSUMER (PTY) LTD       </t>
  </si>
  <si>
    <t xml:space="preserve">Musa                          </t>
  </si>
  <si>
    <t>UMHLA</t>
  </si>
  <si>
    <t>UMHLANGA ROCKS</t>
  </si>
  <si>
    <t xml:space="preserve">ILLOVO SUGAR                       </t>
  </si>
  <si>
    <t xml:space="preserve">sipho                         </t>
  </si>
  <si>
    <t xml:space="preserve">TOPLINE TOOLING (PTY) LTD          </t>
  </si>
  <si>
    <t>maxwell</t>
  </si>
  <si>
    <t xml:space="preserve">MAGNACORP 397 CC TA CONCEPT        </t>
  </si>
  <si>
    <t>NEIL</t>
  </si>
  <si>
    <t>Niel</t>
  </si>
  <si>
    <t>NIS</t>
  </si>
  <si>
    <t xml:space="preserve">UNILEVER SA PTY LTD                </t>
  </si>
  <si>
    <t>nikesh</t>
  </si>
  <si>
    <t xml:space="preserve">UCL COMPANY (PTY)LTD               </t>
  </si>
  <si>
    <t>ndumiso</t>
  </si>
  <si>
    <t>POD received from cell 0797318730 M</t>
  </si>
  <si>
    <t xml:space="preserve">AMCOR FLEXIBLE CAPE                </t>
  </si>
  <si>
    <t>tasneem</t>
  </si>
  <si>
    <t>POD received from cell 0638152011 M</t>
  </si>
  <si>
    <t xml:space="preserve">BMG ROSSLYN 0182                   </t>
  </si>
  <si>
    <t xml:space="preserve">Blessing                      </t>
  </si>
  <si>
    <t xml:space="preserve">ACEPAK PACKAGING SYSTEMS           </t>
  </si>
  <si>
    <t>Freddy</t>
  </si>
  <si>
    <t xml:space="preserve">CONSOL GLASS (PTY) LTD             </t>
  </si>
  <si>
    <t>mphaka</t>
  </si>
  <si>
    <t>POD received from cell 0761190287 M</t>
  </si>
  <si>
    <t xml:space="preserve">H.G MOLENAAR (PTY) LTD             </t>
  </si>
  <si>
    <t>Lincoln</t>
  </si>
  <si>
    <t>noma</t>
  </si>
  <si>
    <t xml:space="preserve">PRODUCTIVE ENGINEERING CC          </t>
  </si>
  <si>
    <t>SEAN IRWIN</t>
  </si>
  <si>
    <t xml:space="preserve">rowan                         </t>
  </si>
  <si>
    <t xml:space="preserve">POD received from cell 0736814363 M     </t>
  </si>
  <si>
    <t>pieter</t>
  </si>
  <si>
    <t xml:space="preserve">BMG BELLVILLE 0120                 </t>
  </si>
  <si>
    <t>iceron</t>
  </si>
  <si>
    <t>POD received from cell 07466644640 M</t>
  </si>
  <si>
    <t xml:space="preserve">RHEINMETALL DENEL MUNITION         </t>
  </si>
  <si>
    <t>STORES</t>
  </si>
  <si>
    <t>Paul</t>
  </si>
  <si>
    <t xml:space="preserve">ROBOTIC HANDLING SYSTEM Cc         </t>
  </si>
  <si>
    <t>Tony Tony</t>
  </si>
  <si>
    <t>Box</t>
  </si>
  <si>
    <t xml:space="preserve">MONDI LIMITED                      </t>
  </si>
  <si>
    <t>Gabrial</t>
  </si>
  <si>
    <t xml:space="preserve">COCA-COALA PENINSULA               </t>
  </si>
  <si>
    <t>Christopher</t>
  </si>
  <si>
    <t xml:space="preserve">KIMBERLEY-CLARK S.A                </t>
  </si>
  <si>
    <t>patrick</t>
  </si>
  <si>
    <t>POD received from cell 0745037779 M</t>
  </si>
  <si>
    <t>MARGA</t>
  </si>
  <si>
    <t>MARGATE</t>
  </si>
  <si>
    <t xml:space="preserve">ALBANY BAKERIES A DIVISION OF      </t>
  </si>
  <si>
    <t>priscila</t>
  </si>
  <si>
    <t>ntb</t>
  </si>
  <si>
    <t>POD received from cell 0658647001 M</t>
  </si>
  <si>
    <t xml:space="preserve">CAPITAL MAITANACE                  </t>
  </si>
  <si>
    <t>SIMON</t>
  </si>
  <si>
    <t xml:space="preserve">RCL FOODS SUGAR   MILLING PTY      </t>
  </si>
  <si>
    <t>E TUFER</t>
  </si>
  <si>
    <t xml:space="preserve">ANDERSON ENGINEERING               </t>
  </si>
  <si>
    <t>ROMANO</t>
  </si>
  <si>
    <t xml:space="preserve">pinky                         </t>
  </si>
  <si>
    <t>GEORG</t>
  </si>
  <si>
    <t>GEORGE</t>
  </si>
  <si>
    <t xml:space="preserve">SANMIK AGENCIES CC                 </t>
  </si>
  <si>
    <t>CLIVE</t>
  </si>
  <si>
    <t>Keanan</t>
  </si>
  <si>
    <t xml:space="preserve">OFFSET PRESS SUPPLIES (PTY) LT     </t>
  </si>
  <si>
    <t>SHANE</t>
  </si>
  <si>
    <t>Garth</t>
  </si>
  <si>
    <t xml:space="preserve">HYDRABERG HYDRAULICS CC            </t>
  </si>
  <si>
    <t>Patricia</t>
  </si>
  <si>
    <t>Zakhele</t>
  </si>
  <si>
    <t>POD received from cell 0837323487 M</t>
  </si>
  <si>
    <t>Lucy</t>
  </si>
  <si>
    <t xml:space="preserve">Jeff                          </t>
  </si>
  <si>
    <t xml:space="preserve">SHATTERPRUFE NEAVE PLANT           </t>
  </si>
  <si>
    <t>M Fatuse</t>
  </si>
  <si>
    <t>Late Linehaul Delayed Beyond Skynet Control</t>
  </si>
  <si>
    <t>lep</t>
  </si>
  <si>
    <t xml:space="preserve">GRUNDFOS                           </t>
  </si>
  <si>
    <t>HINA PARBHOO</t>
  </si>
  <si>
    <t xml:space="preserve">j botha                       </t>
  </si>
  <si>
    <t xml:space="preserve">ANALOG   DIGITAL POWER ELECTRO     </t>
  </si>
  <si>
    <t>graydon</t>
  </si>
  <si>
    <t xml:space="preserve">shaakir                       </t>
  </si>
  <si>
    <t xml:space="preserve">Vincent                       </t>
  </si>
  <si>
    <t xml:space="preserve">POD received from cell 0732603055 M     </t>
  </si>
  <si>
    <t xml:space="preserve">ADJ ENGINEERING WORKS              </t>
  </si>
  <si>
    <t>koos</t>
  </si>
  <si>
    <t xml:space="preserve">MSG SYSTEMS                        </t>
  </si>
  <si>
    <t>Yamkela</t>
  </si>
  <si>
    <t xml:space="preserve">PROJETECH CC                       </t>
  </si>
  <si>
    <t>MALINAD SHEPPARD</t>
  </si>
  <si>
    <t>Malinda</t>
  </si>
  <si>
    <t>MICHELLE   WESLEY</t>
  </si>
  <si>
    <t>amy</t>
  </si>
  <si>
    <t xml:space="preserve">TROPICAL PLASTICS   PACKAGING      </t>
  </si>
  <si>
    <t>assaa</t>
  </si>
  <si>
    <t xml:space="preserve">KNORR-BREMSE (S.A.)(PTY) LTD       </t>
  </si>
  <si>
    <t>HAMILTON</t>
  </si>
  <si>
    <t>Adele</t>
  </si>
  <si>
    <t>Returned to sender on waybill</t>
  </si>
  <si>
    <t>Client refused delivery</t>
  </si>
  <si>
    <t>SYSTEM</t>
  </si>
  <si>
    <t>Returned to sender on waybill number RFE</t>
  </si>
  <si>
    <t xml:space="preserve">MERPAK ENVELOPES                   </t>
  </si>
  <si>
    <t>EDWARD JACOBS</t>
  </si>
  <si>
    <t>mathapelo</t>
  </si>
  <si>
    <t>POD received from cell 0713017212 M</t>
  </si>
  <si>
    <t>SIGNATURE</t>
  </si>
  <si>
    <t>UMBOG</t>
  </si>
  <si>
    <t>UMBOGINTWINI</t>
  </si>
  <si>
    <t xml:space="preserve">RYMCO PTY LTD ACHOR YEAST          </t>
  </si>
  <si>
    <t>Crowley M</t>
  </si>
  <si>
    <t xml:space="preserve">FLOWROX PTY LTD                    </t>
  </si>
  <si>
    <t xml:space="preserve">david                         </t>
  </si>
  <si>
    <t>ALBE2</t>
  </si>
  <si>
    <t>ALBERTON</t>
  </si>
  <si>
    <t xml:space="preserve">THE SOUTH AFRICAN BREWERIES LT     </t>
  </si>
  <si>
    <t>mcedisi</t>
  </si>
  <si>
    <t xml:space="preserve">LINCON LUBRICATION SA              </t>
  </si>
  <si>
    <t>glerence</t>
  </si>
  <si>
    <t>nandipha</t>
  </si>
  <si>
    <t xml:space="preserve">DIVFOOD A DIV OF NAMPAK PRODUC     </t>
  </si>
  <si>
    <t>MTHA</t>
  </si>
  <si>
    <t>zama</t>
  </si>
  <si>
    <t>Martin</t>
  </si>
  <si>
    <t xml:space="preserve">ANGEL SHACK TRADING   INVESTME     </t>
  </si>
  <si>
    <t>vinocia</t>
  </si>
  <si>
    <t>William</t>
  </si>
  <si>
    <t>RUSTE</t>
  </si>
  <si>
    <t>RUSTENBURG</t>
  </si>
  <si>
    <t xml:space="preserve">FOODCORP PTY LTD                   </t>
  </si>
  <si>
    <t>Annette</t>
  </si>
  <si>
    <t>POD received from cell 0824745801 M</t>
  </si>
  <si>
    <t xml:space="preserve">TECTRA AUTOMATION                  </t>
  </si>
  <si>
    <t>ANDILE</t>
  </si>
  <si>
    <t xml:space="preserve">CONVEYALL NATAL CC                 </t>
  </si>
  <si>
    <t>Bradley</t>
  </si>
  <si>
    <t xml:space="preserve">AIR PRODUCTS                       </t>
  </si>
  <si>
    <t>Jack</t>
  </si>
  <si>
    <t xml:space="preserve">B Kirby                       </t>
  </si>
  <si>
    <t xml:space="preserve">MERCEDES - BENZ S.A LIMITED        </t>
  </si>
  <si>
    <t xml:space="preserve">DESCAI HYDRAULIC   PNEUMATIC D     </t>
  </si>
  <si>
    <t>Zola</t>
  </si>
  <si>
    <t>POD received from cell 0738698647 M</t>
  </si>
  <si>
    <t xml:space="preserve">COMPTECH ELECTRONICS               </t>
  </si>
  <si>
    <t>VELI   TANYA</t>
  </si>
  <si>
    <t>Veli</t>
  </si>
  <si>
    <t xml:space="preserve">RCL FOODS CONSUMER BEVERAGES       </t>
  </si>
  <si>
    <t>GERHARD VLOK</t>
  </si>
  <si>
    <t>RANDF</t>
  </si>
  <si>
    <t>RANDFONTEIN</t>
  </si>
  <si>
    <t xml:space="preserve">TIGER CONSUMER BRANDS LTD          </t>
  </si>
  <si>
    <t>stoltz</t>
  </si>
  <si>
    <t>VANDE</t>
  </si>
  <si>
    <t>VANDERBIJLPARK</t>
  </si>
  <si>
    <t xml:space="preserve">MITTAL STEEL SOUTH AFRICA LIMI     </t>
  </si>
  <si>
    <t>COLLIN - CENTRAL RECEIVING</t>
  </si>
  <si>
    <t xml:space="preserve">Returned to sender on waybill </t>
  </si>
  <si>
    <t>sedoadia</t>
  </si>
  <si>
    <t xml:space="preserve">PRO PROJECT MACHINERY PTY LTD      </t>
  </si>
  <si>
    <t>Roland</t>
  </si>
  <si>
    <t>Patrick</t>
  </si>
  <si>
    <t>le roux</t>
  </si>
  <si>
    <t xml:space="preserve">CSM BEARING AND PNEUMATIC SUPP     </t>
  </si>
  <si>
    <t>Carlize</t>
  </si>
  <si>
    <t xml:space="preserve">TI GROUP AUTOMOTIVE SYSTEM         </t>
  </si>
  <si>
    <t>ROSCOE</t>
  </si>
  <si>
    <t>thembi</t>
  </si>
  <si>
    <t xml:space="preserve">ENGEN PERTROLEM LTD                </t>
  </si>
  <si>
    <t>Trevor</t>
  </si>
  <si>
    <t>j wait</t>
  </si>
  <si>
    <t xml:space="preserve">DISTELL (PTY) LTD                  </t>
  </si>
  <si>
    <t>Spangenberg Kenny</t>
  </si>
  <si>
    <t xml:space="preserve">keith                         </t>
  </si>
  <si>
    <t>jam</t>
  </si>
  <si>
    <t xml:space="preserve">POD received from cell 0731478500 M     </t>
  </si>
  <si>
    <t xml:space="preserve">MICROMATH TRADING 168 CC           </t>
  </si>
  <si>
    <t>THEUNIS TALJAARD</t>
  </si>
  <si>
    <t>Leo</t>
  </si>
  <si>
    <t xml:space="preserve">EFAMATIC MACHINE TOOLS             </t>
  </si>
  <si>
    <t>WALTER MEYER</t>
  </si>
  <si>
    <t>manny</t>
  </si>
  <si>
    <t>POD received from cell 0844988662 M</t>
  </si>
  <si>
    <t xml:space="preserve">BEARING MAN GROUP                  </t>
  </si>
  <si>
    <t>b emma</t>
  </si>
  <si>
    <t xml:space="preserve">CONSOL GLASS                       </t>
  </si>
  <si>
    <t>GEORGE ANDERSON</t>
  </si>
  <si>
    <t>dimakatso</t>
  </si>
  <si>
    <t xml:space="preserve">FOODCORP PTY LTD MILLING           </t>
  </si>
  <si>
    <t>POD received from cell 0787652707 M</t>
  </si>
  <si>
    <t>silence</t>
  </si>
  <si>
    <t>VEREE</t>
  </si>
  <si>
    <t>VEREENIGING</t>
  </si>
  <si>
    <t xml:space="preserve">FERRERO SOUTH AFRICA (PTY) LTD     </t>
  </si>
  <si>
    <t>Gladys Moyo</t>
  </si>
  <si>
    <t>POD received from cell 0825884890 M</t>
  </si>
  <si>
    <t>SPRI3</t>
  </si>
  <si>
    <t>SPRINGS</t>
  </si>
  <si>
    <t xml:space="preserve">ELEMENT SIX PRODUCTION             </t>
  </si>
  <si>
    <t>?</t>
  </si>
  <si>
    <t>ICM CREDIT RETURN 1412503599   1412507220</t>
  </si>
  <si>
    <t>DOCS BAG</t>
  </si>
  <si>
    <t xml:space="preserve">MAHLE BEHR                         </t>
  </si>
  <si>
    <t>ALVIN</t>
  </si>
  <si>
    <t>rdd</t>
  </si>
  <si>
    <t xml:space="preserve">AFRIT                              </t>
  </si>
  <si>
    <t>WIMPIE</t>
  </si>
  <si>
    <t xml:space="preserve">HACKMAN ENTERPRISE                 </t>
  </si>
  <si>
    <t>JAMES</t>
  </si>
  <si>
    <t xml:space="preserve">AVION EAST RAND PTY LTD            </t>
  </si>
  <si>
    <t>PETER</t>
  </si>
  <si>
    <t>POD received from cell 0729630904 M</t>
  </si>
  <si>
    <t>Justin</t>
  </si>
  <si>
    <t>James</t>
  </si>
  <si>
    <t>industrial action</t>
  </si>
  <si>
    <t xml:space="preserve">WILMAR CONTINENTAL EDIBLE OILS     </t>
  </si>
  <si>
    <t>Jan</t>
  </si>
  <si>
    <t>POD received from cell 0780526579 M</t>
  </si>
  <si>
    <t xml:space="preserve">MARCOM PLASTICS CC                 </t>
  </si>
  <si>
    <t>thulani</t>
  </si>
  <si>
    <t xml:space="preserve">HEINEKEN SOUTH AFRICA (PTY)LTD     </t>
  </si>
  <si>
    <t>JULIA</t>
  </si>
  <si>
    <t>RDD</t>
  </si>
  <si>
    <t>RDX</t>
  </si>
  <si>
    <t>sboniso</t>
  </si>
  <si>
    <t>kelly</t>
  </si>
  <si>
    <t xml:space="preserve">LITTLE GREEN BEVERAGES             </t>
  </si>
  <si>
    <t xml:space="preserve">Reiardt                       </t>
  </si>
  <si>
    <t xml:space="preserve">POD received from cell 0739524922 M     </t>
  </si>
  <si>
    <t>charne</t>
  </si>
  <si>
    <t>amon</t>
  </si>
  <si>
    <t xml:space="preserve">COCA -COLA BEVERAGES SOUTH AFR     </t>
  </si>
  <si>
    <t>govendet</t>
  </si>
  <si>
    <t xml:space="preserve">S.A. LITHO PRINTINGS   PACK. (     </t>
  </si>
  <si>
    <t xml:space="preserve">A walters                     </t>
  </si>
  <si>
    <t xml:space="preserve">POD received from cell 0763378994 M     </t>
  </si>
  <si>
    <t>Rashaad</t>
  </si>
  <si>
    <t xml:space="preserve">FILMATIC PACKAGING SYSTEM (PTY     </t>
  </si>
  <si>
    <t xml:space="preserve">TFM INDUSTRIES PTY LTD             </t>
  </si>
  <si>
    <t>dickson</t>
  </si>
  <si>
    <t>SANTOS   MALI</t>
  </si>
  <si>
    <t>sindiswa</t>
  </si>
  <si>
    <t>zulfa</t>
  </si>
  <si>
    <t>sello</t>
  </si>
  <si>
    <t xml:space="preserve">FLEXICON AFRICA PTY LTD            </t>
  </si>
  <si>
    <t>a meyer</t>
  </si>
  <si>
    <t>Kyle</t>
  </si>
  <si>
    <t>africa</t>
  </si>
  <si>
    <t>POD received from cell 0834172191 M</t>
  </si>
  <si>
    <t xml:space="preserve">I M E SA                           </t>
  </si>
  <si>
    <t xml:space="preserve">DES GROUP (PTY)LTD                 </t>
  </si>
  <si>
    <t>nicky</t>
  </si>
  <si>
    <t xml:space="preserve">NAMPAK LIQUID PACKAGING            </t>
  </si>
  <si>
    <t xml:space="preserve">Keagan                        </t>
  </si>
  <si>
    <t xml:space="preserve">SIQALO FOODS (PTY)LTD              </t>
  </si>
  <si>
    <t xml:space="preserve">MAIN STREET 1310(PTY) L.T.D        </t>
  </si>
  <si>
    <t>Modise</t>
  </si>
  <si>
    <t xml:space="preserve">HENKEL S.A (PTY) LTD               </t>
  </si>
  <si>
    <t>meshack</t>
  </si>
  <si>
    <t>kyle</t>
  </si>
  <si>
    <t>POTCH</t>
  </si>
  <si>
    <t>POTCHEFSTROOM</t>
  </si>
  <si>
    <t xml:space="preserve">VESCOTECH                          </t>
  </si>
  <si>
    <t xml:space="preserve">Myron                         </t>
  </si>
  <si>
    <t xml:space="preserve">POD received from cell 0764111080 M     </t>
  </si>
  <si>
    <t xml:space="preserve">CLOVER WATERS PTY LTD              </t>
  </si>
  <si>
    <t>Talisa</t>
  </si>
  <si>
    <t>non</t>
  </si>
  <si>
    <t>POD received from cell 0735078103 M</t>
  </si>
  <si>
    <t xml:space="preserve">Marco                         </t>
  </si>
  <si>
    <t xml:space="preserve">POD received from cell 0725230163 M     </t>
  </si>
  <si>
    <t>NANDIPHA</t>
  </si>
  <si>
    <t xml:space="preserve">DE BEERS GROUP SERVICES            </t>
  </si>
  <si>
    <t>buyiseli</t>
  </si>
  <si>
    <t>cecil</t>
  </si>
  <si>
    <t>SDX</t>
  </si>
  <si>
    <t>ALICIA 081 270 7747</t>
  </si>
  <si>
    <t>Y BAUI</t>
  </si>
  <si>
    <t xml:space="preserve">SAPPI SA                           </t>
  </si>
  <si>
    <t xml:space="preserve">PAK 2000 (PTY) LTD                 </t>
  </si>
  <si>
    <t>SHAUN   ANDREW</t>
  </si>
  <si>
    <t>Precious</t>
  </si>
  <si>
    <t>joyce</t>
  </si>
  <si>
    <t>ashwin</t>
  </si>
  <si>
    <t xml:space="preserve">MAIN STREET 1310 PTY LTD           </t>
  </si>
  <si>
    <t>NOEL KING</t>
  </si>
  <si>
    <t>David</t>
  </si>
  <si>
    <t xml:space="preserve">ALDOR AFRICA                       </t>
  </si>
  <si>
    <t>CANDICE</t>
  </si>
  <si>
    <t xml:space="preserve">IRVIN   JOHNSON LTD                </t>
  </si>
  <si>
    <t>sharon erasmus</t>
  </si>
  <si>
    <t>POD received from cell 0747227056 M</t>
  </si>
  <si>
    <t>EMMA</t>
  </si>
  <si>
    <t xml:space="preserve">IMPROCHEM (PTY)LTD                 </t>
  </si>
  <si>
    <t>dumisani</t>
  </si>
  <si>
    <t xml:space="preserve">PIETER BOSCH                       </t>
  </si>
  <si>
    <t>struper</t>
  </si>
  <si>
    <t>FS THUSI</t>
  </si>
  <si>
    <t>Vishnu</t>
  </si>
  <si>
    <t xml:space="preserve">gert                          </t>
  </si>
  <si>
    <t xml:space="preserve">POD received from cell 07466644640 M    </t>
  </si>
  <si>
    <t>Cecil</t>
  </si>
  <si>
    <t xml:space="preserve">TF DESIGN (PTY) LTD                </t>
  </si>
  <si>
    <t>niki</t>
  </si>
  <si>
    <t xml:space="preserve">APEX AUTOMATIONN (PTY)LTD          </t>
  </si>
  <si>
    <t>mathew</t>
  </si>
  <si>
    <t xml:space="preserve">PIONEER FOOD PTY LTD               </t>
  </si>
  <si>
    <t xml:space="preserve">luyandie                      </t>
  </si>
  <si>
    <t xml:space="preserve">POD received from cell 0732937434 M     </t>
  </si>
  <si>
    <t>JENNY</t>
  </si>
  <si>
    <t>Linda</t>
  </si>
  <si>
    <t xml:space="preserve">CHC RESOURECES DEPORT              </t>
  </si>
  <si>
    <t>Sandile</t>
  </si>
  <si>
    <t xml:space="preserve">MASSAMATIC PTY LTD                 </t>
  </si>
  <si>
    <t>ARNOLD HOLMES</t>
  </si>
  <si>
    <t xml:space="preserve">Arnold holmes                 </t>
  </si>
  <si>
    <t xml:space="preserve">TENNECO EMISSION CONTROL           </t>
  </si>
  <si>
    <t>MARK BURRELL</t>
  </si>
  <si>
    <t>lucky</t>
  </si>
  <si>
    <t xml:space="preserve">CLOVER SA (PTY) LTD                </t>
  </si>
  <si>
    <t>Sanjay</t>
  </si>
  <si>
    <t>POD received from cell 0732237417 M</t>
  </si>
  <si>
    <t xml:space="preserve">CT INVENT PTY LTD                  </t>
  </si>
  <si>
    <t xml:space="preserve">ASIPHE                        </t>
  </si>
  <si>
    <t xml:space="preserve">FESTO DUR OFFICE                   </t>
  </si>
  <si>
    <t>Nickolas Tinkler</t>
  </si>
  <si>
    <t>lawrence</t>
  </si>
  <si>
    <t xml:space="preserve">DIYA VALVES INTERNATIONALS CC      </t>
  </si>
  <si>
    <t>niren</t>
  </si>
  <si>
    <t>POD received from cell 0737818615 M</t>
  </si>
  <si>
    <t>Eric</t>
  </si>
  <si>
    <t>HOWIC</t>
  </si>
  <si>
    <t>HOWICK</t>
  </si>
  <si>
    <t xml:space="preserve">FAIRFIELD DAIRY PTY LTD            </t>
  </si>
  <si>
    <t xml:space="preserve">ndumiso                       </t>
  </si>
  <si>
    <t xml:space="preserve">POD received from cell 0727287520 M     </t>
  </si>
  <si>
    <t xml:space="preserve">CAPE OIL AND MARGRAINE             </t>
  </si>
  <si>
    <t>john</t>
  </si>
  <si>
    <t xml:space="preserve">MECHANICAL CONCEPTS CC             </t>
  </si>
  <si>
    <t>melanie</t>
  </si>
  <si>
    <t xml:space="preserve">VANNPAX PACKAGING SUPPORT          </t>
  </si>
  <si>
    <t>Lindsay</t>
  </si>
  <si>
    <t>RANDB</t>
  </si>
  <si>
    <t>RANDBURG</t>
  </si>
  <si>
    <t xml:space="preserve">MITAS CORPORATION (PTY)LTD         </t>
  </si>
  <si>
    <t>DEAN</t>
  </si>
  <si>
    <t>KELLY</t>
  </si>
  <si>
    <t>Anita</t>
  </si>
  <si>
    <t>F STHUSI</t>
  </si>
  <si>
    <t>BLOE1</t>
  </si>
  <si>
    <t>BLOEMFONTEIN</t>
  </si>
  <si>
    <t xml:space="preserve">HARTMANS INDUTRIAL EQUIPMENT       </t>
  </si>
  <si>
    <t>Michelle</t>
  </si>
  <si>
    <t>POD received from cell 0815464056 M</t>
  </si>
  <si>
    <t xml:space="preserve">MBAKE  BAKERY EQUIPMENT            </t>
  </si>
  <si>
    <t xml:space="preserve">rayhaan                       </t>
  </si>
  <si>
    <t xml:space="preserve">POD received from cell 0728892773 M     </t>
  </si>
  <si>
    <t xml:space="preserve">OPEN DOOR TRADERS CC               </t>
  </si>
  <si>
    <t>zahid</t>
  </si>
  <si>
    <t>WALTER</t>
  </si>
  <si>
    <t xml:space="preserve">PG BISON A DIV OF KAP DIVERSIF     </t>
  </si>
  <si>
    <t xml:space="preserve">joseph                        </t>
  </si>
  <si>
    <t xml:space="preserve">HARVARD PROJECTS                   </t>
  </si>
  <si>
    <t>WAYNE</t>
  </si>
  <si>
    <t>Chevon</t>
  </si>
  <si>
    <t xml:space="preserve">BENTELER SA                        </t>
  </si>
  <si>
    <t>constance</t>
  </si>
  <si>
    <t xml:space="preserve">gary                          </t>
  </si>
  <si>
    <t xml:space="preserve">MARLYN INSTRUMENTATION CC          </t>
  </si>
  <si>
    <t>NATASHA</t>
  </si>
  <si>
    <t xml:space="preserve">Grant                         </t>
  </si>
  <si>
    <t xml:space="preserve">POD received from cell 0792561133 M     </t>
  </si>
  <si>
    <t xml:space="preserve">DANONE SA PTY LTD                  </t>
  </si>
  <si>
    <t>SAMUKELISIWE KOENAITE</t>
  </si>
  <si>
    <t>ilage</t>
  </si>
  <si>
    <t>Gary</t>
  </si>
  <si>
    <t>natal</t>
  </si>
  <si>
    <t xml:space="preserve">SODECIA SA                         </t>
  </si>
  <si>
    <t>TSHEPO MAMPYA</t>
  </si>
  <si>
    <t>boitumelo</t>
  </si>
  <si>
    <t>JEROME</t>
  </si>
  <si>
    <t>illage</t>
  </si>
  <si>
    <t xml:space="preserve">CTP PRINTERS CPT                   </t>
  </si>
  <si>
    <t xml:space="preserve">Africa                        </t>
  </si>
  <si>
    <t xml:space="preserve">ERGO MINING                        </t>
  </si>
  <si>
    <t>JOHN SCHOEMAN</t>
  </si>
  <si>
    <t>JACOB</t>
  </si>
  <si>
    <t>POD received from cell 0826644094 M</t>
  </si>
  <si>
    <t>PAULUS</t>
  </si>
  <si>
    <t xml:space="preserve">TM ENGINEERING                     </t>
  </si>
  <si>
    <t xml:space="preserve">gavin                         </t>
  </si>
  <si>
    <t xml:space="preserve">ALUVIN SECURISEAL                  </t>
  </si>
  <si>
    <t>MARIA MOOTHOSAMY</t>
  </si>
  <si>
    <t xml:space="preserve">maria                         </t>
  </si>
  <si>
    <t xml:space="preserve">POD received from cell 0631962221 M     </t>
  </si>
  <si>
    <t xml:space="preserve">GOSSAMER STRUCTURES CC             </t>
  </si>
  <si>
    <t xml:space="preserve">Janine                        </t>
  </si>
  <si>
    <t xml:space="preserve">FOXOLUTION SYSTEMS ENG CC          </t>
  </si>
  <si>
    <t>Fatima</t>
  </si>
  <si>
    <t>POD received from cell 0215903200 M</t>
  </si>
  <si>
    <t xml:space="preserve">TONGAAT HULETT STARCH PTY LTD      </t>
  </si>
  <si>
    <t>MANIE ELS</t>
  </si>
  <si>
    <t>Emanuel</t>
  </si>
  <si>
    <t xml:space="preserve">Sipho                         </t>
  </si>
  <si>
    <t xml:space="preserve">MPACT PLASTICS                     </t>
  </si>
  <si>
    <t>MABORE</t>
  </si>
  <si>
    <t xml:space="preserve">SEKOBO                        </t>
  </si>
  <si>
    <t xml:space="preserve">lucanne                       </t>
  </si>
  <si>
    <t>annemarie</t>
  </si>
  <si>
    <t xml:space="preserve">BOWLER PLASTICS (PTY) LTD          </t>
  </si>
  <si>
    <t>Wasiefa</t>
  </si>
  <si>
    <t>POD received from cell 0655572018 M</t>
  </si>
  <si>
    <t xml:space="preserve">NON FERROUS METAL WORKS SA PTY     </t>
  </si>
  <si>
    <t>SHARMALA LACHMAN</t>
  </si>
  <si>
    <t>F S THUSI</t>
  </si>
  <si>
    <t>Hardus</t>
  </si>
  <si>
    <t xml:space="preserve">FAURECIA EXHAUST SYSTEMS (PTY)     </t>
  </si>
  <si>
    <t>lungiswa</t>
  </si>
  <si>
    <t xml:space="preserve">BEARING MAN T A BMG0901            </t>
  </si>
  <si>
    <t>MARPUT</t>
  </si>
  <si>
    <t xml:space="preserve">CONTINENTAL BISCUITS (PTY)LTD      </t>
  </si>
  <si>
    <t>khethiwe</t>
  </si>
  <si>
    <t>Vincent</t>
  </si>
  <si>
    <t>POD received from cell 0609818648 M</t>
  </si>
  <si>
    <t>DAVID ROUSEL BRETT</t>
  </si>
  <si>
    <t>beverly</t>
  </si>
  <si>
    <t>DANRE</t>
  </si>
  <si>
    <t>collen</t>
  </si>
  <si>
    <t>POD received from cell 0726258782 M</t>
  </si>
  <si>
    <t xml:space="preserve">HERAEUS ELECTRO NITE               </t>
  </si>
  <si>
    <t>ROCHELLE</t>
  </si>
  <si>
    <t xml:space="preserve">moses                         </t>
  </si>
  <si>
    <t xml:space="preserve">POLYOAK PACKAGING PTY LTD          </t>
  </si>
  <si>
    <t>beytel</t>
  </si>
  <si>
    <t xml:space="preserve">DIMAKATSO                     </t>
  </si>
  <si>
    <t xml:space="preserve">LAFARGE INDUSTRIES SA              </t>
  </si>
  <si>
    <t>REKGOLISETSWE</t>
  </si>
  <si>
    <t>Ulrich</t>
  </si>
  <si>
    <t xml:space="preserve">AER O CURE CC                      </t>
  </si>
  <si>
    <t>TORKASKY FEFI</t>
  </si>
  <si>
    <t>Abbas</t>
  </si>
  <si>
    <t xml:space="preserve">FLS TECHNICAL SERVICE              </t>
  </si>
  <si>
    <t>r camp</t>
  </si>
  <si>
    <t xml:space="preserve">S.A.M.E WATER                      </t>
  </si>
  <si>
    <t>TINA KRUGER</t>
  </si>
  <si>
    <t>Simone</t>
  </si>
  <si>
    <t>POD received from cell 0727172649 M</t>
  </si>
  <si>
    <t xml:space="preserve">STRAIT ACCESS TECHNOLOGIES HOL     </t>
  </si>
  <si>
    <t>TEDDY MUDGE</t>
  </si>
  <si>
    <t>philipp frohmann</t>
  </si>
  <si>
    <t>POD received from cell 0617856156 M</t>
  </si>
  <si>
    <t xml:space="preserve">BRANDLINE PACKAGING (PTY)LTD       </t>
  </si>
  <si>
    <t>sthembiso</t>
  </si>
  <si>
    <t>SHERMAN</t>
  </si>
  <si>
    <t xml:space="preserve">Talisa                        </t>
  </si>
  <si>
    <t xml:space="preserve">POD received from cell 0735078103 M     </t>
  </si>
  <si>
    <t xml:space="preserve">QUALIPAK (PTY) LTD                 </t>
  </si>
  <si>
    <t>Tobie</t>
  </si>
  <si>
    <t>Craig</t>
  </si>
  <si>
    <t>Reggie</t>
  </si>
  <si>
    <t xml:space="preserve">PIONEER FOODS (PTY)LTD             </t>
  </si>
  <si>
    <t>chantel</t>
  </si>
  <si>
    <t xml:space="preserve">GUD HOLDINGS PE                    </t>
  </si>
  <si>
    <t>L Voets</t>
  </si>
  <si>
    <t>POD received from cell 0614103810 M</t>
  </si>
  <si>
    <t>shaun</t>
  </si>
  <si>
    <t>POD received from cell 0731478500 M</t>
  </si>
  <si>
    <t>simon mabena</t>
  </si>
  <si>
    <t>GELUK</t>
  </si>
  <si>
    <t>GELUKWAARTS</t>
  </si>
  <si>
    <t xml:space="preserve">PREMIER FMCG (PTY) LTD             </t>
  </si>
  <si>
    <t xml:space="preserve">c hitge                       </t>
  </si>
  <si>
    <t xml:space="preserve">GRIPPER   CO (PTY) LTD             </t>
  </si>
  <si>
    <t>tracy</t>
  </si>
  <si>
    <t xml:space="preserve">COLGATE PALMOLIVE LTD              </t>
  </si>
  <si>
    <t>MANDLA NKOSI</t>
  </si>
  <si>
    <t>joshua</t>
  </si>
  <si>
    <t xml:space="preserve">ETVAAL MEUBELVERVAARDIGERS         </t>
  </si>
  <si>
    <t xml:space="preserve">Theuns                        </t>
  </si>
  <si>
    <t xml:space="preserve">POD received from cell 0795897055 M     </t>
  </si>
  <si>
    <t xml:space="preserve">CONRO PRECISION                    </t>
  </si>
  <si>
    <t>kevin</t>
  </si>
  <si>
    <t xml:space="preserve">BORBET SA (PTY) LTD                </t>
  </si>
  <si>
    <t>HELENA</t>
  </si>
  <si>
    <t>nelson</t>
  </si>
  <si>
    <t xml:space="preserve">ORION INGENIEURSWERKE              </t>
  </si>
  <si>
    <t>De Wet</t>
  </si>
  <si>
    <t>POD received from cell 0842332441 M</t>
  </si>
  <si>
    <t xml:space="preserve">PREMIER FMCG                       </t>
  </si>
  <si>
    <t>JACQUES LE ROUX</t>
  </si>
  <si>
    <t>POD received from cell 0739633425 M</t>
  </si>
  <si>
    <t>LERATO</t>
  </si>
  <si>
    <t xml:space="preserve">BMS ENGINEERING                    </t>
  </si>
  <si>
    <t>POD received from cell 0618394832 M</t>
  </si>
  <si>
    <t>Erve</t>
  </si>
  <si>
    <t>Theo</t>
  </si>
  <si>
    <t>mark</t>
  </si>
  <si>
    <t xml:space="preserve">KELLOGGS CO OF SA                  </t>
  </si>
  <si>
    <t>EDWINA CLOETE</t>
  </si>
  <si>
    <t>ntokozo</t>
  </si>
  <si>
    <t xml:space="preserve">BEVCAN                             </t>
  </si>
  <si>
    <t>walter</t>
  </si>
  <si>
    <t xml:space="preserve">VEOLIA WATER SOLUTIONS  -          </t>
  </si>
  <si>
    <t>ROZITA SINGH</t>
  </si>
  <si>
    <t>LESIBA</t>
  </si>
  <si>
    <t xml:space="preserve">TECHNOVAA PACKAGING                </t>
  </si>
  <si>
    <t>vernon</t>
  </si>
  <si>
    <t>Moniqeu</t>
  </si>
  <si>
    <t>POD received from cell 0727287520 M</t>
  </si>
  <si>
    <t xml:space="preserve">T E M TOOLING CC                   </t>
  </si>
  <si>
    <t>Mark</t>
  </si>
  <si>
    <t>Anthea</t>
  </si>
  <si>
    <t>POD received from cell 0781885723 M</t>
  </si>
  <si>
    <t xml:space="preserve">BAGTECH INTERNATIONAL (PTY)LTD     </t>
  </si>
  <si>
    <t>Jarrad</t>
  </si>
  <si>
    <t>signature</t>
  </si>
  <si>
    <t xml:space="preserve">ALBANY BAKERY A DIVISION OF TI     </t>
  </si>
  <si>
    <t xml:space="preserve">lwellyn                       </t>
  </si>
  <si>
    <t>sugen</t>
  </si>
  <si>
    <t>ERVE</t>
  </si>
  <si>
    <t xml:space="preserve">INNOVATIVE WATER CARE S.A (PTY     </t>
  </si>
  <si>
    <t>Sizwe</t>
  </si>
  <si>
    <t xml:space="preserve">Slk Bolt And Nuts                  </t>
  </si>
  <si>
    <t>JOSEPH</t>
  </si>
  <si>
    <t>Charne</t>
  </si>
  <si>
    <t xml:space="preserve">HYBAR CC                           </t>
  </si>
  <si>
    <t>krifi</t>
  </si>
  <si>
    <t xml:space="preserve">PRODUCTIVE SYSTEMS CC              </t>
  </si>
  <si>
    <t>Ben</t>
  </si>
  <si>
    <t>Adriaan</t>
  </si>
  <si>
    <t xml:space="preserve">CASH ACC-CARMAKY GROUP             </t>
  </si>
  <si>
    <t>chris</t>
  </si>
  <si>
    <t>GAVIN</t>
  </si>
  <si>
    <t>KRUGE</t>
  </si>
  <si>
    <t>KRUGERSDORP</t>
  </si>
  <si>
    <t xml:space="preserve">AUTOLIV SA                         </t>
  </si>
  <si>
    <t>HANLIE</t>
  </si>
  <si>
    <t xml:space="preserve">WATCH TOWER BIBLE TRACT SOCIET     </t>
  </si>
  <si>
    <t>kegan</t>
  </si>
  <si>
    <t xml:space="preserve">CHEMLINK SA (PTY) LTD              </t>
  </si>
  <si>
    <t>Andrew</t>
  </si>
  <si>
    <t>Pauline</t>
  </si>
  <si>
    <t xml:space="preserve">ACTOM PTY LTD                      </t>
  </si>
  <si>
    <t xml:space="preserve">FIRST QUANTUM MINERALS SA (PTY     </t>
  </si>
  <si>
    <t xml:space="preserve">Dillon                        </t>
  </si>
  <si>
    <t xml:space="preserve">INDIGO BRANDS (PTY)LTD             </t>
  </si>
  <si>
    <t>ndlebe</t>
  </si>
  <si>
    <t>ephraim</t>
  </si>
  <si>
    <t>bem</t>
  </si>
  <si>
    <t>PIONEER FOODS  PTY LTD</t>
  </si>
  <si>
    <t xml:space="preserve">SUPERIOR PACKAGING INDUSTRIES      </t>
  </si>
  <si>
    <t>lanor</t>
  </si>
  <si>
    <t>rd2</t>
  </si>
  <si>
    <t>Iceronn</t>
  </si>
  <si>
    <t>POD received from cell 0718816995 M</t>
  </si>
  <si>
    <t>PARCEL PARCEL</t>
  </si>
  <si>
    <t>RD3</t>
  </si>
  <si>
    <t>m naidoo</t>
  </si>
  <si>
    <t>OIL</t>
  </si>
  <si>
    <t>hantel</t>
  </si>
  <si>
    <t xml:space="preserve">Bakker                        </t>
  </si>
  <si>
    <t>pcl</t>
  </si>
  <si>
    <t>Thompson</t>
  </si>
  <si>
    <t xml:space="preserve">COCA -COLA BEVERAGES SA (PTY)      </t>
  </si>
  <si>
    <t xml:space="preserve">SIGNATURE                     </t>
  </si>
  <si>
    <t xml:space="preserve">BREWBEV                            </t>
  </si>
  <si>
    <t>monica</t>
  </si>
  <si>
    <t>sigini</t>
  </si>
  <si>
    <t xml:space="preserve">NESTLE SOUTH AFRICA (PTY) L.T.     </t>
  </si>
  <si>
    <t>ROZELLE SCOTSON</t>
  </si>
  <si>
    <t>clinton</t>
  </si>
  <si>
    <t>wezley</t>
  </si>
  <si>
    <t xml:space="preserve">SCHAEFFLER SOUTH AFRICA            </t>
  </si>
  <si>
    <t>ayanda</t>
  </si>
  <si>
    <t xml:space="preserve">EVEREADY (PTY) LTD                 </t>
  </si>
  <si>
    <t>RAW MATERIALS (FACTORY)</t>
  </si>
  <si>
    <t>malissa</t>
  </si>
  <si>
    <t xml:space="preserve">BEARING   HYDRAULIC SPARES         </t>
  </si>
  <si>
    <t>nomvelo</t>
  </si>
  <si>
    <t>TES</t>
  </si>
  <si>
    <t xml:space="preserve">ACTISOL CC T A EX-ES GENERAL       </t>
  </si>
  <si>
    <t>jocelyn</t>
  </si>
  <si>
    <t>UAT</t>
  </si>
  <si>
    <t xml:space="preserve">S4 INTEGRATION (PTY) LTD           </t>
  </si>
  <si>
    <t>PLETT</t>
  </si>
  <si>
    <t>PLETTENBERG BAY</t>
  </si>
  <si>
    <t xml:space="preserve">GREG PERKS                         </t>
  </si>
  <si>
    <t>michael</t>
  </si>
  <si>
    <t>seb</t>
  </si>
  <si>
    <t>Keagan</t>
  </si>
  <si>
    <t>POD received from cell 0743151586 M</t>
  </si>
  <si>
    <t xml:space="preserve">ILLOVO SUGAR LTD - SEZELA          </t>
  </si>
  <si>
    <t>Anthia</t>
  </si>
  <si>
    <t>suaakir</t>
  </si>
  <si>
    <t xml:space="preserve">MECHATRONICS                       </t>
  </si>
  <si>
    <t>Brain</t>
  </si>
  <si>
    <t>m fatuse</t>
  </si>
  <si>
    <t xml:space="preserve">BEIER ENVIROTEC                    </t>
  </si>
  <si>
    <t>Ronnie</t>
  </si>
  <si>
    <t xml:space="preserve">EAST COAST INSTRUMENTATION SAL     </t>
  </si>
  <si>
    <t>pauline</t>
  </si>
  <si>
    <t>brendy</t>
  </si>
  <si>
    <t>Ayanda</t>
  </si>
  <si>
    <t xml:space="preserve">BEARING MAN GROUP (PTY)LTD         </t>
  </si>
  <si>
    <t>PLS EARLY DELIVERY BY 8:30AM</t>
  </si>
  <si>
    <t>Hendricks</t>
  </si>
  <si>
    <t xml:space="preserve">CTP WEB PRINTERS JOHANNESBURG      </t>
  </si>
  <si>
    <t xml:space="preserve">Elijah                        </t>
  </si>
  <si>
    <t>jarryd</t>
  </si>
  <si>
    <t xml:space="preserve">FORD OF SOUTHERN AFRICA AX9WA      </t>
  </si>
  <si>
    <t xml:space="preserve">DYNAMIC SYSTEMS                    </t>
  </si>
  <si>
    <t>LINDIWE</t>
  </si>
  <si>
    <t>POD received from cell 0748410312 M</t>
  </si>
  <si>
    <t xml:space="preserve">BME PACKAGING CC                   </t>
  </si>
  <si>
    <t>SARAH KGANYAGO</t>
  </si>
  <si>
    <t xml:space="preserve">FOODSERV SOLUTIONS                 </t>
  </si>
  <si>
    <t>TIAAN</t>
  </si>
  <si>
    <t>mama</t>
  </si>
  <si>
    <t xml:space="preserve">BM FOOD MANUFACTURERS              </t>
  </si>
  <si>
    <t xml:space="preserve">Teresa                        </t>
  </si>
  <si>
    <t xml:space="preserve">POD received from cell 0719210626 M     </t>
  </si>
  <si>
    <t xml:space="preserve">JONES INDUSTRIAL MIXES             </t>
  </si>
  <si>
    <t>G Lyndon</t>
  </si>
  <si>
    <t xml:space="preserve">Conraid                       </t>
  </si>
  <si>
    <t>PHINDILE</t>
  </si>
  <si>
    <t xml:space="preserve">IPACKCHEM PTY LTD                  </t>
  </si>
  <si>
    <t>carolyn</t>
  </si>
  <si>
    <t xml:space="preserve">PREMIER CAPE TOWN WHEAT MILL       </t>
  </si>
  <si>
    <t>c du plooy</t>
  </si>
  <si>
    <t>ANDRIES</t>
  </si>
  <si>
    <t>charme</t>
  </si>
  <si>
    <t xml:space="preserve">TIGER CONSUMER BRANDS LTD T A      </t>
  </si>
  <si>
    <t xml:space="preserve">nobuhle                       </t>
  </si>
  <si>
    <t>dumsani</t>
  </si>
  <si>
    <t xml:space="preserve">PACIFIC FLUID COMPONENTS CC        </t>
  </si>
  <si>
    <t>Vivian</t>
  </si>
  <si>
    <t>vincent</t>
  </si>
  <si>
    <t xml:space="preserve">lungiswa                      </t>
  </si>
  <si>
    <t xml:space="preserve">POD received from cell 0848977566 M     </t>
  </si>
  <si>
    <t xml:space="preserve">DCD PROTECETED MOBILITY            </t>
  </si>
  <si>
    <t>NA</t>
  </si>
  <si>
    <t>CHERSL</t>
  </si>
  <si>
    <t xml:space="preserve">COMPRESS AIR EQUIPMENT             </t>
  </si>
  <si>
    <t>NAMA</t>
  </si>
  <si>
    <t>Hold for Collection</t>
  </si>
  <si>
    <t>ssh</t>
  </si>
  <si>
    <t>rd1</t>
  </si>
  <si>
    <t xml:space="preserve">CONRO                              </t>
  </si>
  <si>
    <t>HOFFMAN</t>
  </si>
  <si>
    <t>PCL</t>
  </si>
  <si>
    <t xml:space="preserve">CLIFFORD MACHINES ^  TECH          </t>
  </si>
  <si>
    <t>SANJEEV</t>
  </si>
  <si>
    <t>NIGEL</t>
  </si>
  <si>
    <t xml:space="preserve">SETON SA PTY LTD                   </t>
  </si>
  <si>
    <t>HELEEN VERMAAK</t>
  </si>
  <si>
    <t>SIBUSISO</t>
  </si>
  <si>
    <t>PORT4</t>
  </si>
  <si>
    <t>PORT SHEPSTONE</t>
  </si>
  <si>
    <t xml:space="preserve">HYDROMATIC ENTERPRISES PTY LTD     </t>
  </si>
  <si>
    <t>Sharishna</t>
  </si>
  <si>
    <t>rajeshnee</t>
  </si>
  <si>
    <t>andries</t>
  </si>
  <si>
    <t xml:space="preserve">ALBANY BAKERIES                    </t>
  </si>
  <si>
    <t>ANDRIES WILTZ</t>
  </si>
  <si>
    <t>Hope</t>
  </si>
  <si>
    <t>LADYS</t>
  </si>
  <si>
    <t>LADYSMITH (NTL)</t>
  </si>
  <si>
    <t xml:space="preserve">LADYSMITH TRADING CO.              </t>
  </si>
  <si>
    <t>RIA</t>
  </si>
  <si>
    <t>POD received from cell 0735504483 M</t>
  </si>
  <si>
    <t>Rico</t>
  </si>
  <si>
    <t xml:space="preserve">FEDERAL MOGUL ENGINE BEARINGS      </t>
  </si>
  <si>
    <t>Sharla</t>
  </si>
  <si>
    <t xml:space="preserve">IRVIN   JONSON LTD                 </t>
  </si>
  <si>
    <t>Samuel</t>
  </si>
  <si>
    <t xml:space="preserve">METIER MIXED CONCRETE              </t>
  </si>
  <si>
    <t>KELVIN PADAYACHEE</t>
  </si>
  <si>
    <t>zinhle</t>
  </si>
  <si>
    <t xml:space="preserve">PROGETTO INTERNATIONAL             </t>
  </si>
  <si>
    <t>Nico</t>
  </si>
  <si>
    <t xml:space="preserve">JFE ELECTRONIC ENGINEERING         </t>
  </si>
  <si>
    <t>warrick</t>
  </si>
  <si>
    <t xml:space="preserve">Justin                        </t>
  </si>
  <si>
    <t xml:space="preserve">UMICORE CATALYST SA PTY LTD        </t>
  </si>
  <si>
    <t>BRANDON   ANDY</t>
  </si>
  <si>
    <t xml:space="preserve">chris                         </t>
  </si>
  <si>
    <t xml:space="preserve">DANRE                         </t>
  </si>
  <si>
    <t xml:space="preserve">POD received from cell 0723786860 M     </t>
  </si>
  <si>
    <t xml:space="preserve">j wait                        </t>
  </si>
  <si>
    <t xml:space="preserve">TIGER BRANDS SNACKS   TREATS       </t>
  </si>
  <si>
    <t xml:space="preserve">conrad                        </t>
  </si>
  <si>
    <t xml:space="preserve">POD received from cell 0609818648 M     </t>
  </si>
  <si>
    <t xml:space="preserve">LIQUI BOX                          </t>
  </si>
  <si>
    <t xml:space="preserve">zeenat                        </t>
  </si>
  <si>
    <t xml:space="preserve">INDUSTRIAL CONTROL AUTOMATION      </t>
  </si>
  <si>
    <t xml:space="preserve">siyabonga                     </t>
  </si>
  <si>
    <t xml:space="preserve">POD received from cell 0625063292 M     </t>
  </si>
  <si>
    <t xml:space="preserve">TOYOTA BOSHOKU SA PTY LTD          </t>
  </si>
  <si>
    <t>MZWANDILE MAZIBUKO</t>
  </si>
  <si>
    <t xml:space="preserve">zama                          </t>
  </si>
  <si>
    <t xml:space="preserve">POD received from cell 0717313860 M     </t>
  </si>
  <si>
    <t>cidney</t>
  </si>
  <si>
    <t>DUMA</t>
  </si>
  <si>
    <t xml:space="preserve">DALEIN AGRI PLAN PTY LTD           </t>
  </si>
  <si>
    <t>trevor</t>
  </si>
  <si>
    <t>POD received from cell 0649888746 M</t>
  </si>
  <si>
    <t xml:space="preserve">Rico                          </t>
  </si>
  <si>
    <t xml:space="preserve">POD received from cell 0847768401 M     </t>
  </si>
  <si>
    <t xml:space="preserve">JONKER SAILPLANES (PTY)LTD         </t>
  </si>
  <si>
    <t>MARYLINE</t>
  </si>
  <si>
    <t>POD received from cell 0844718665 M</t>
  </si>
  <si>
    <t xml:space="preserve">rekgolisetswe                 </t>
  </si>
  <si>
    <t xml:space="preserve">POD received from cell 0731156546 M     </t>
  </si>
  <si>
    <t>Collen</t>
  </si>
  <si>
    <t>amt</t>
  </si>
  <si>
    <t>POD received from cell 0838232663 M</t>
  </si>
  <si>
    <t xml:space="preserve">FV PACKING SYSTEM                  </t>
  </si>
  <si>
    <t xml:space="preserve">katlego                       </t>
  </si>
  <si>
    <t>PARCEL PARCEL PARCEL BOX</t>
  </si>
  <si>
    <t xml:space="preserve">Marenique                     </t>
  </si>
  <si>
    <t xml:space="preserve">POD received from cell 0780245853 M     </t>
  </si>
  <si>
    <t xml:space="preserve">BMW ROSSLYN                        </t>
  </si>
  <si>
    <t xml:space="preserve">Tony                          </t>
  </si>
  <si>
    <t>noluthando</t>
  </si>
  <si>
    <t>RESEND</t>
  </si>
  <si>
    <t>xoli</t>
  </si>
  <si>
    <t xml:space="preserve">SHATTERPRUFE TRADING AS A          </t>
  </si>
  <si>
    <t>zead</t>
  </si>
  <si>
    <t xml:space="preserve">beloana                       </t>
  </si>
  <si>
    <t xml:space="preserve">THE COMBUSTION GROUP (PTY) LTD     </t>
  </si>
  <si>
    <t xml:space="preserve">Pat                           </t>
  </si>
  <si>
    <t xml:space="preserve">POD received from cell 0738698647 M     </t>
  </si>
  <si>
    <t xml:space="preserve">FAMOUS BRANDS MANAGEMENT           </t>
  </si>
  <si>
    <t>PETROS MAKHANYA</t>
  </si>
  <si>
    <t>RACHEL</t>
  </si>
  <si>
    <t>THEO</t>
  </si>
  <si>
    <t>Missed cutoff</t>
  </si>
  <si>
    <t>JEG</t>
  </si>
  <si>
    <t>H KIRBY</t>
  </si>
  <si>
    <t xml:space="preserve">ZIPCORD INDUSTRIES (PTY)LTD        </t>
  </si>
  <si>
    <t>cs machacha</t>
  </si>
  <si>
    <t>phumlani</t>
  </si>
  <si>
    <t xml:space="preserve">richard                       </t>
  </si>
  <si>
    <t>erve</t>
  </si>
  <si>
    <t xml:space="preserve">DICKON HALL FOODS                  </t>
  </si>
  <si>
    <t xml:space="preserve">lizzy                         </t>
  </si>
  <si>
    <t xml:space="preserve">POD received from cell 0768934183 M     </t>
  </si>
  <si>
    <t xml:space="preserve">UNILEVER SOUTH AFRICA (PTY)LTD     </t>
  </si>
  <si>
    <t>sygan</t>
  </si>
  <si>
    <t>Alfred</t>
  </si>
  <si>
    <t>william</t>
  </si>
  <si>
    <t>GOODMAN</t>
  </si>
  <si>
    <t>TINUS</t>
  </si>
  <si>
    <t>MIDRA</t>
  </si>
  <si>
    <t>MIDRAND</t>
  </si>
  <si>
    <t xml:space="preserve">PARMALAT SA                        </t>
  </si>
  <si>
    <t>ISHAN GOPIE</t>
  </si>
  <si>
    <t>masoko</t>
  </si>
  <si>
    <t xml:space="preserve">Patrick                       </t>
  </si>
  <si>
    <t xml:space="preserve">POD received from cell 0725006442 M     </t>
  </si>
  <si>
    <t xml:space="preserve">Tony Tony                     </t>
  </si>
  <si>
    <t xml:space="preserve">Richaed                       </t>
  </si>
  <si>
    <t>A Paulse</t>
  </si>
  <si>
    <t>mandla</t>
  </si>
  <si>
    <t xml:space="preserve">NESTLE SOUTH AFRICA (PTY) LTD      </t>
  </si>
  <si>
    <t>TREVOR GROENEWALD</t>
  </si>
  <si>
    <t>Terry</t>
  </si>
  <si>
    <t>POD received from cell 0835478757 M</t>
  </si>
  <si>
    <t>Fourie</t>
  </si>
  <si>
    <t>LEO</t>
  </si>
  <si>
    <t>marenique</t>
  </si>
  <si>
    <t xml:space="preserve">PHARMACARE LTD T A ASPEN           </t>
  </si>
  <si>
    <t xml:space="preserve">shyco                         </t>
  </si>
  <si>
    <t xml:space="preserve">MPACT PLASTICS COMPRESSION MOU     </t>
  </si>
  <si>
    <t>MABORE PHASOANE</t>
  </si>
  <si>
    <t>TONY</t>
  </si>
  <si>
    <t xml:space="preserve">USS PACTECH PTY LTD                </t>
  </si>
  <si>
    <t>SIFISO</t>
  </si>
  <si>
    <t>richard</t>
  </si>
  <si>
    <t>GONUB</t>
  </si>
  <si>
    <t>GONUBIE</t>
  </si>
  <si>
    <t xml:space="preserve">TITUS CONSULTING Cc                </t>
  </si>
  <si>
    <t>GARY</t>
  </si>
  <si>
    <t>POD received from cell 0845733114 M</t>
  </si>
  <si>
    <t>BUTTE</t>
  </si>
  <si>
    <t>BUTTERWORTH</t>
  </si>
  <si>
    <t xml:space="preserve">SUNTEX PTY LTD                     </t>
  </si>
  <si>
    <t>nomawetu</t>
  </si>
  <si>
    <t xml:space="preserve">Werner                        </t>
  </si>
  <si>
    <t>DUMO</t>
  </si>
  <si>
    <t>STEPHAN</t>
  </si>
  <si>
    <t xml:space="preserve">UNIVERSITY OF STELLENBOSCH-CRE     </t>
  </si>
  <si>
    <t>P Hough</t>
  </si>
  <si>
    <t>c zetman</t>
  </si>
  <si>
    <t xml:space="preserve">FILKRAFT ( PTY) LTD                </t>
  </si>
  <si>
    <t xml:space="preserve">Wernich                       </t>
  </si>
  <si>
    <t>KINGW</t>
  </si>
  <si>
    <t>KINGWILLIAMSTOWN</t>
  </si>
  <si>
    <t xml:space="preserve">REHAU POLYMER (PTY) LTD            </t>
  </si>
  <si>
    <t>PETRUS</t>
  </si>
  <si>
    <t xml:space="preserve">APPLIED COATING TECHNOLOGIES S     </t>
  </si>
  <si>
    <t>SAMANTHA</t>
  </si>
  <si>
    <t xml:space="preserve">VEOLIA WATER SOLUTIONS             </t>
  </si>
  <si>
    <t>Dylan</t>
  </si>
  <si>
    <t xml:space="preserve">CHEMPLUS                           </t>
  </si>
  <si>
    <t>SDX***SDX</t>
  </si>
  <si>
    <t>GREG</t>
  </si>
  <si>
    <t>DSD / FUE</t>
  </si>
  <si>
    <t>sahwin</t>
  </si>
  <si>
    <t>emma</t>
  </si>
  <si>
    <t xml:space="preserve">UNIVERSAL AUTOMATED SYSTEMS PT     </t>
  </si>
  <si>
    <t>williem</t>
  </si>
  <si>
    <t>natasha</t>
  </si>
  <si>
    <t>MANDI</t>
  </si>
  <si>
    <t>MANDINI</t>
  </si>
  <si>
    <t xml:space="preserve">WHIRLPOOL S.A                      </t>
  </si>
  <si>
    <t>ERIC</t>
  </si>
  <si>
    <t>Company Closed</t>
  </si>
  <si>
    <t>m dipha</t>
  </si>
  <si>
    <t xml:space="preserve">THE SIMBA GROUP PTY LTD            </t>
  </si>
  <si>
    <t>ABRAM AT ENGINEERING STORES</t>
  </si>
  <si>
    <t>Kalebelo</t>
  </si>
  <si>
    <t>ON2</t>
  </si>
  <si>
    <t xml:space="preserve">MULTIX PLASTIC TRADING             </t>
  </si>
  <si>
    <t>P.LLOYD</t>
  </si>
  <si>
    <t>BOXES</t>
  </si>
  <si>
    <t xml:space="preserve">VANNPAX                            </t>
  </si>
  <si>
    <t>J VAN DEVENTER</t>
  </si>
  <si>
    <t xml:space="preserve">KIMBERLY CLARK                     </t>
  </si>
  <si>
    <t>DENISA CONACHE</t>
  </si>
  <si>
    <t>sbusiso</t>
  </si>
  <si>
    <t>Isaac</t>
  </si>
  <si>
    <t>POD received from cell 0794663323 M</t>
  </si>
  <si>
    <t xml:space="preserve">Saint-Gobain Construction Prod     </t>
  </si>
  <si>
    <t>theo</t>
  </si>
  <si>
    <t>swacela</t>
  </si>
  <si>
    <t>NTB</t>
  </si>
  <si>
    <t xml:space="preserve">VENUS STAR 120CC                   </t>
  </si>
  <si>
    <t>Venesa</t>
  </si>
  <si>
    <t>POD received from cell 0729919507 M</t>
  </si>
  <si>
    <t>menzi</t>
  </si>
  <si>
    <t xml:space="preserve">GRW ENGINEERING PTY LTD            </t>
  </si>
  <si>
    <t>Elroy</t>
  </si>
  <si>
    <t>POD received from cell 0619762165 M</t>
  </si>
  <si>
    <t>Lauretta</t>
  </si>
  <si>
    <t>POD received from cell 0827418949 M</t>
  </si>
  <si>
    <t xml:space="preserve">keagan                        </t>
  </si>
  <si>
    <t xml:space="preserve">POD received from cell 0843680350 M     </t>
  </si>
  <si>
    <t>morne</t>
  </si>
  <si>
    <t xml:space="preserve">Ayanda                        </t>
  </si>
  <si>
    <t xml:space="preserve">CONTROL SYSTEMS                    </t>
  </si>
  <si>
    <t>MAGDA DU PLESSIS</t>
  </si>
  <si>
    <t>hanne</t>
  </si>
  <si>
    <t xml:space="preserve">NNOVATIVE AUTOMATION (PTY)LTD      </t>
  </si>
  <si>
    <t>MIDD2</t>
  </si>
  <si>
    <t>MIDDELBURG (Mpumalanga)</t>
  </si>
  <si>
    <t xml:space="preserve">KABO KWABELA SUPPLIES              </t>
  </si>
  <si>
    <t xml:space="preserve">ZANELE                        </t>
  </si>
  <si>
    <t>HAP</t>
  </si>
  <si>
    <t xml:space="preserve">MARTIN   MARTIN PTY LTD            </t>
  </si>
  <si>
    <t>Elize</t>
  </si>
  <si>
    <t>emest</t>
  </si>
  <si>
    <t>lerato</t>
  </si>
  <si>
    <t>Nqoba</t>
  </si>
  <si>
    <t xml:space="preserve">BEARING   ACCESSORIES CC           </t>
  </si>
  <si>
    <t>Lenny</t>
  </si>
  <si>
    <t>elisha</t>
  </si>
  <si>
    <t xml:space="preserve">NON FERROUS METAL WORKS            </t>
  </si>
  <si>
    <t xml:space="preserve">Ntokozo                       </t>
  </si>
  <si>
    <t xml:space="preserve">KERRY INGREDIENTS SOUTH AFRICA     </t>
  </si>
  <si>
    <t>tonderal</t>
  </si>
  <si>
    <t xml:space="preserve">WEBBING PRODUCTS                   </t>
  </si>
  <si>
    <t>jaco</t>
  </si>
  <si>
    <t xml:space="preserve">suz                           </t>
  </si>
  <si>
    <t xml:space="preserve">POD received from cell 0658647001 M     </t>
  </si>
  <si>
    <t>THOBILE</t>
  </si>
  <si>
    <t>JENNIFER</t>
  </si>
  <si>
    <t xml:space="preserve">ACCUTECH WEIGHING SERVICES         </t>
  </si>
  <si>
    <t>sanna</t>
  </si>
  <si>
    <t>POD received from cell 0742059629 M</t>
  </si>
  <si>
    <t>signed</t>
  </si>
  <si>
    <t>zahied</t>
  </si>
  <si>
    <t xml:space="preserve">HIGH FORCE HYDRAULIC PNEUMATIC     </t>
  </si>
  <si>
    <t>shanon</t>
  </si>
  <si>
    <t xml:space="preserve">dickson                       </t>
  </si>
  <si>
    <t xml:space="preserve">POD received from cell 0833616148 M     </t>
  </si>
  <si>
    <t>junaid</t>
  </si>
  <si>
    <t xml:space="preserve">RESCUE TECHNOLOGY CC               </t>
  </si>
  <si>
    <t>STEWART</t>
  </si>
  <si>
    <t xml:space="preserve">Charles                       </t>
  </si>
  <si>
    <t xml:space="preserve">POD received from cell 0794663323 M     </t>
  </si>
  <si>
    <t>Sandy</t>
  </si>
  <si>
    <t xml:space="preserve">Bridgette                     </t>
  </si>
  <si>
    <t xml:space="preserve">ISOWAL SA PTY LTD                  </t>
  </si>
  <si>
    <t>charl</t>
  </si>
  <si>
    <t>POD received from cell 0731643511 M</t>
  </si>
  <si>
    <t xml:space="preserve">DYNAMIC FLUID CONTROL              </t>
  </si>
  <si>
    <t xml:space="preserve">TSHEPO                        </t>
  </si>
  <si>
    <t xml:space="preserve">Tebogo                        </t>
  </si>
  <si>
    <t xml:space="preserve">CONSOLIDATED WIRE INDUSTRIES (     </t>
  </si>
  <si>
    <t>Tshepo</t>
  </si>
  <si>
    <t>Sthembiso</t>
  </si>
  <si>
    <t xml:space="preserve">japie                         </t>
  </si>
  <si>
    <t xml:space="preserve">POD received from cell 0837842726 M     </t>
  </si>
  <si>
    <t>jennifer</t>
  </si>
  <si>
    <t xml:space="preserve">m naidoo                      </t>
  </si>
  <si>
    <t xml:space="preserve">POD received from cell 0737818615 M     </t>
  </si>
  <si>
    <t xml:space="preserve">Louis                         </t>
  </si>
  <si>
    <t xml:space="preserve">NEOPAK PTY LTD                     </t>
  </si>
  <si>
    <t>GERT VAN NIEKERK</t>
  </si>
  <si>
    <t>thabo</t>
  </si>
  <si>
    <t xml:space="preserve">UNILIVER                           </t>
  </si>
  <si>
    <t>ANDREAS XABA</t>
  </si>
  <si>
    <t>andreas</t>
  </si>
  <si>
    <t xml:space="preserve">AM SYSTEMS INTEGRATION             </t>
  </si>
  <si>
    <t>RIAAN COETZE</t>
  </si>
  <si>
    <t>dumondt</t>
  </si>
  <si>
    <t xml:space="preserve">PREMIER FMCG (PTY)LTD              </t>
  </si>
  <si>
    <t>MELVIN</t>
  </si>
  <si>
    <t xml:space="preserve">HYBRID AUTOMATION CC               </t>
  </si>
  <si>
    <t>Shakespeare</t>
  </si>
  <si>
    <t>Strydom</t>
  </si>
  <si>
    <t xml:space="preserve">TRANSVAAL HYDRAULICS               </t>
  </si>
  <si>
    <t>Booyens</t>
  </si>
  <si>
    <t>R  Kanisa</t>
  </si>
  <si>
    <t>nolits</t>
  </si>
  <si>
    <t xml:space="preserve">C   M HYDRAULIC SERVICES           </t>
  </si>
  <si>
    <t>Quinton</t>
  </si>
  <si>
    <t>Grant</t>
  </si>
  <si>
    <t>Satan</t>
  </si>
  <si>
    <t>Cecilia</t>
  </si>
  <si>
    <t xml:space="preserve">ACK SOLUTIONS PTY LTD              </t>
  </si>
  <si>
    <t>Franklin</t>
  </si>
  <si>
    <t>lorna</t>
  </si>
  <si>
    <t xml:space="preserve">ADIENT PASDEC PTY                  </t>
  </si>
  <si>
    <t>s a adams</t>
  </si>
  <si>
    <t>laura</t>
  </si>
  <si>
    <t xml:space="preserve">DNH MANUFACTURING (PTY) LTD        </t>
  </si>
  <si>
    <t>ROBERT</t>
  </si>
  <si>
    <t>robert</t>
  </si>
  <si>
    <t xml:space="preserve">GSK CONSUMER HEALTHCARE SA PTY     </t>
  </si>
  <si>
    <t>IMRAN LEUKES</t>
  </si>
  <si>
    <t>jaque</t>
  </si>
  <si>
    <t>gert</t>
  </si>
  <si>
    <t>VINCENT</t>
  </si>
  <si>
    <t xml:space="preserve">MR CARRIERS                        </t>
  </si>
  <si>
    <t>ARMSTRONG SETLOLELA</t>
  </si>
  <si>
    <t>lucy</t>
  </si>
  <si>
    <t>Incorrect product</t>
  </si>
  <si>
    <t xml:space="preserve">RG BROSE AUTOMOTIVE COMPONENTS     </t>
  </si>
  <si>
    <t>nkululeko</t>
  </si>
  <si>
    <t xml:space="preserve">PAILPAC PTY LTD                    </t>
  </si>
  <si>
    <t>msa</t>
  </si>
  <si>
    <t xml:space="preserve">MAXION WHEELS SA                   </t>
  </si>
  <si>
    <t>ERNEST MOREMEDI</t>
  </si>
  <si>
    <t xml:space="preserve">wellington                    </t>
  </si>
  <si>
    <t>symon</t>
  </si>
  <si>
    <t xml:space="preserve">VINCENT                       </t>
  </si>
  <si>
    <t xml:space="preserve">Trevor                        </t>
  </si>
  <si>
    <t xml:space="preserve">POD received from cell 0649888746 M     </t>
  </si>
  <si>
    <t>SANDT</t>
  </si>
  <si>
    <t>SANDTON</t>
  </si>
  <si>
    <t xml:space="preserve">PRIME INTERNATINAL TRDAING         </t>
  </si>
  <si>
    <t>adelaide</t>
  </si>
  <si>
    <t>POD received from cell 0835980151 M</t>
  </si>
  <si>
    <t xml:space="preserve">MACSTEEL COIL PROCESSING           </t>
  </si>
  <si>
    <t>HENRICH VAN DEN BERG</t>
  </si>
  <si>
    <t xml:space="preserve">BEARING MAN GROUP T A BMG 0901     </t>
  </si>
  <si>
    <t xml:space="preserve">IMARA AUTOMATION                   </t>
  </si>
  <si>
    <t xml:space="preserve">HULAMIN OPERATIONTS PTY LTD        </t>
  </si>
  <si>
    <t>POD received from cell 0843680350 M</t>
  </si>
  <si>
    <t>MKHULULI</t>
  </si>
  <si>
    <t>marius</t>
  </si>
  <si>
    <t>BYRON</t>
  </si>
  <si>
    <t xml:space="preserve">CTP GRAVURE                        </t>
  </si>
  <si>
    <t>BEVRLEY</t>
  </si>
  <si>
    <t xml:space="preserve">ATELIER SA PTY LTD                 </t>
  </si>
  <si>
    <t>CATHRINE SMITH</t>
  </si>
  <si>
    <t>Catherine</t>
  </si>
  <si>
    <t>HAMMA</t>
  </si>
  <si>
    <t>HAMMANSKRAAL</t>
  </si>
  <si>
    <t>moses</t>
  </si>
  <si>
    <t>Janine</t>
  </si>
  <si>
    <t>RANDALL</t>
  </si>
  <si>
    <t>SMYDER</t>
  </si>
  <si>
    <t>roux</t>
  </si>
  <si>
    <t xml:space="preserve">REGRADE MASTERS                    </t>
  </si>
  <si>
    <t>angela</t>
  </si>
  <si>
    <t xml:space="preserve">SPRINGS BEE GEE ELECT WHOLE CC     </t>
  </si>
  <si>
    <t>JUSTINE MCALPINE</t>
  </si>
  <si>
    <t xml:space="preserve">Tommy                         </t>
  </si>
  <si>
    <t>Rita</t>
  </si>
  <si>
    <t>POD received from cell 0844982935 M</t>
  </si>
  <si>
    <t xml:space="preserve">Solly                         </t>
  </si>
  <si>
    <t>j p</t>
  </si>
  <si>
    <t xml:space="preserve">AUTOMA MULTI STYRENE               </t>
  </si>
  <si>
    <t>Jeanette</t>
  </si>
  <si>
    <t>Nditsheni</t>
  </si>
  <si>
    <t>Puncho</t>
  </si>
  <si>
    <t>hlengiwe</t>
  </si>
  <si>
    <t>Vehicle breakdown</t>
  </si>
  <si>
    <t xml:space="preserve">VANESCO PTY LTD                    </t>
  </si>
  <si>
    <t xml:space="preserve">nicolet                       </t>
  </si>
  <si>
    <t xml:space="preserve">POD received from cell 0783350261 M     </t>
  </si>
  <si>
    <t xml:space="preserve">elmar                         </t>
  </si>
  <si>
    <t xml:space="preserve">BALLENA TRADING 31 PTY LTD         </t>
  </si>
  <si>
    <t>RISHAL RAMKISSORE</t>
  </si>
  <si>
    <t>gremmah</t>
  </si>
  <si>
    <t xml:space="preserve">RCL FOODCORP (PTY) LTD             </t>
  </si>
  <si>
    <t>Marita</t>
  </si>
  <si>
    <t>Gert</t>
  </si>
  <si>
    <t xml:space="preserve">stamp                         </t>
  </si>
  <si>
    <t xml:space="preserve">raj                           </t>
  </si>
  <si>
    <t>paula</t>
  </si>
  <si>
    <t xml:space="preserve">SIMON                         </t>
  </si>
  <si>
    <t>lesego</t>
  </si>
  <si>
    <t>GREASE</t>
  </si>
  <si>
    <t>Marco</t>
  </si>
  <si>
    <t>PARCXEL</t>
  </si>
  <si>
    <t xml:space="preserve">SASOL INFRACHEM                    </t>
  </si>
  <si>
    <t>MADELEINE</t>
  </si>
  <si>
    <t>Krishni</t>
  </si>
  <si>
    <t>MANIE KILIAN</t>
  </si>
  <si>
    <t xml:space="preserve">mama                          </t>
  </si>
  <si>
    <t>letta</t>
  </si>
  <si>
    <t xml:space="preserve">CONSUPAQ (PTY) LTD                 </t>
  </si>
  <si>
    <t>Shivesh Sohawan</t>
  </si>
  <si>
    <t>nonto</t>
  </si>
  <si>
    <t xml:space="preserve">MAVTECH TECHNOLOGIES LTD           </t>
  </si>
  <si>
    <t>Neo</t>
  </si>
  <si>
    <t>PARCEL BOX</t>
  </si>
  <si>
    <t>THAB1</t>
  </si>
  <si>
    <t>THABAZIMBI</t>
  </si>
  <si>
    <t xml:space="preserve">PPC CEMENT SA (PTY) LTD            </t>
  </si>
  <si>
    <t>SIGNED</t>
  </si>
  <si>
    <t xml:space="preserve">MICOMATH TRADING                   </t>
  </si>
  <si>
    <t xml:space="preserve">PAK 200 PTY LTD                    </t>
  </si>
  <si>
    <t>TATJAARD</t>
  </si>
  <si>
    <t>AYANDA</t>
  </si>
  <si>
    <t xml:space="preserve">GREIF SA PTY LTD                   </t>
  </si>
  <si>
    <t xml:space="preserve">Alina                         </t>
  </si>
  <si>
    <t xml:space="preserve">POD received from cell 0726258782 M     </t>
  </si>
  <si>
    <t>Ruan</t>
  </si>
  <si>
    <t>k covert</t>
  </si>
  <si>
    <t>POD received from cell 0610951998 M</t>
  </si>
  <si>
    <t xml:space="preserve">NJC MANUFACTURING (PTY) LTD        </t>
  </si>
  <si>
    <t xml:space="preserve">L OREAL MANUFACTURING (PTY)LTD     </t>
  </si>
  <si>
    <t>busi</t>
  </si>
  <si>
    <t>PARCL</t>
  </si>
  <si>
    <t xml:space="preserve">KOOGAN PLASTICS                    </t>
  </si>
  <si>
    <t>Muhammed Ismail</t>
  </si>
  <si>
    <t>ALVINO</t>
  </si>
  <si>
    <t xml:space="preserve">TOTAL MINING CC                    </t>
  </si>
  <si>
    <t>RENE COETZEE</t>
  </si>
  <si>
    <t xml:space="preserve">RCL FOODS CONSUMER                 </t>
  </si>
  <si>
    <t>ALBERTO HLATSHAYO</t>
  </si>
  <si>
    <t>NOMBUSO</t>
  </si>
  <si>
    <t>Outlying delivery location</t>
  </si>
  <si>
    <t>Werner</t>
  </si>
  <si>
    <t xml:space="preserve">PPC CEMENT SA (PTY)LTD             </t>
  </si>
  <si>
    <t>morris</t>
  </si>
  <si>
    <t>katlego</t>
  </si>
  <si>
    <t xml:space="preserve">CIRCUIT BREAKER INDUSTRIES PTY     </t>
  </si>
  <si>
    <t>respect</t>
  </si>
  <si>
    <t xml:space="preserve">PRO PROJECT ENGINEERING            </t>
  </si>
  <si>
    <t>r burgers</t>
  </si>
  <si>
    <t xml:space="preserve">sugan                         </t>
  </si>
  <si>
    <t xml:space="preserve">NATIONAL BIOPRODUCTS INST          </t>
  </si>
  <si>
    <t>NIKI DEELEY-BARNARD</t>
  </si>
  <si>
    <t>vusi</t>
  </si>
  <si>
    <t xml:space="preserve">SEECOR BLOW MOULDERS               </t>
  </si>
  <si>
    <t>c botha</t>
  </si>
  <si>
    <t xml:space="preserve">CHET CHEMICALS A DIV OF            </t>
  </si>
  <si>
    <t>Joel</t>
  </si>
  <si>
    <t xml:space="preserve">SMITHS MANUFACTURING PTY LTD       </t>
  </si>
  <si>
    <t>larpie</t>
  </si>
  <si>
    <t>Khethiwe</t>
  </si>
  <si>
    <t xml:space="preserve">nathan                        </t>
  </si>
  <si>
    <t>Syll</t>
  </si>
  <si>
    <t xml:space="preserve">SMMF SOFTWARE TECHNOLOGIES         </t>
  </si>
  <si>
    <t>LETICIA   BRYAN</t>
  </si>
  <si>
    <t>l gorda</t>
  </si>
  <si>
    <t xml:space="preserve">CBI ELECTRIC TELECOM CABLES        </t>
  </si>
  <si>
    <t>NARISKA EVELEIGH</t>
  </si>
  <si>
    <t>marcus</t>
  </si>
  <si>
    <t xml:space="preserve">DURR SOUTH AFRICA                  </t>
  </si>
  <si>
    <t>yaseen</t>
  </si>
  <si>
    <t xml:space="preserve">PETROLEUM REPAIR                   </t>
  </si>
  <si>
    <t>Dean</t>
  </si>
  <si>
    <t xml:space="preserve">PREFORMED LINE PRODUCTS SA         </t>
  </si>
  <si>
    <t>Peter</t>
  </si>
  <si>
    <t>POD received from cell 0732912108 M</t>
  </si>
  <si>
    <t>Chris</t>
  </si>
  <si>
    <t>keizer</t>
  </si>
  <si>
    <t xml:space="preserve">VOMAK INDUSTRIAL                   </t>
  </si>
  <si>
    <t>yandisa</t>
  </si>
  <si>
    <t xml:space="preserve">NEUMATICS KZN                      </t>
  </si>
  <si>
    <t>arnold</t>
  </si>
  <si>
    <t xml:space="preserve">ADCOCK INGRAM HEALTHCARE           </t>
  </si>
  <si>
    <t>PHINDIWE GABA</t>
  </si>
  <si>
    <t>jabullani</t>
  </si>
  <si>
    <t>Wezley</t>
  </si>
  <si>
    <t xml:space="preserve">NOVUS PRINT (PTY) LTD              </t>
  </si>
  <si>
    <t>suprise</t>
  </si>
  <si>
    <t xml:space="preserve">PAK 2000                           </t>
  </si>
  <si>
    <t xml:space="preserve">MICROMATH TRADING                  </t>
  </si>
  <si>
    <t>PRECIOUS</t>
  </si>
  <si>
    <t>ABRAM BAKER</t>
  </si>
  <si>
    <t>hennie</t>
  </si>
  <si>
    <t>Bad address</t>
  </si>
  <si>
    <t xml:space="preserve">BOX                                               </t>
  </si>
  <si>
    <t xml:space="preserve">JOHN BEAN TECHNOLOGIES PTY LTD     </t>
  </si>
  <si>
    <t>Dimakatso</t>
  </si>
  <si>
    <t>aya</t>
  </si>
  <si>
    <t xml:space="preserve">DE BEERS CONSOLIDATE MINES LTD     </t>
  </si>
  <si>
    <t>AMANDA LIEBENBERG</t>
  </si>
  <si>
    <t>Flyer BOX</t>
  </si>
  <si>
    <t xml:space="preserve">EASTCAPE MIDLANDS TVET COLLEGE     </t>
  </si>
  <si>
    <t xml:space="preserve">FESTO CAPE TOWN OFFICE             </t>
  </si>
  <si>
    <t>FDC</t>
  </si>
  <si>
    <t>SUPPLY CHAIN DE PART</t>
  </si>
  <si>
    <t>HARDES</t>
  </si>
  <si>
    <t xml:space="preserve">DE BEERS CONSODATE MINE            </t>
  </si>
  <si>
    <t>BAKER</t>
  </si>
  <si>
    <t>AMAMDA</t>
  </si>
  <si>
    <t>Kabelo</t>
  </si>
  <si>
    <t>Japie</t>
  </si>
  <si>
    <t>JACKIE</t>
  </si>
  <si>
    <t>Darel</t>
  </si>
  <si>
    <t>POD received from cell 0828088659 M</t>
  </si>
  <si>
    <t>marinda</t>
  </si>
  <si>
    <t>Wayne</t>
  </si>
  <si>
    <t xml:space="preserve">TENNECO RIDE CONTROL SA            </t>
  </si>
  <si>
    <t>lifa</t>
  </si>
  <si>
    <t>silebce</t>
  </si>
  <si>
    <t xml:space="preserve">PRECISION METAL PRODUCTS           </t>
  </si>
  <si>
    <t>gasoff</t>
  </si>
  <si>
    <t xml:space="preserve">CAXTON WORKS                       </t>
  </si>
  <si>
    <t>JOHANNA SEKABATE</t>
  </si>
  <si>
    <t>Gift</t>
  </si>
  <si>
    <t>POD received from cell 0783350261 M</t>
  </si>
  <si>
    <t>GCWALI</t>
  </si>
  <si>
    <t xml:space="preserve">adrian                        </t>
  </si>
  <si>
    <t xml:space="preserve">POD received from cell 0833938811 M     </t>
  </si>
  <si>
    <t xml:space="preserve">CLIFFORD MACHINES   TECHNOLOGY     </t>
  </si>
  <si>
    <t>Snothi</t>
  </si>
  <si>
    <t>jenny</t>
  </si>
  <si>
    <t xml:space="preserve">F booysen                     </t>
  </si>
  <si>
    <t xml:space="preserve">noma                          </t>
  </si>
  <si>
    <t xml:space="preserve">POD received from cell 0848255037 M     </t>
  </si>
  <si>
    <t>may</t>
  </si>
  <si>
    <t>Oscar</t>
  </si>
  <si>
    <t xml:space="preserve">karrima dramat                </t>
  </si>
  <si>
    <t xml:space="preserve">POD received from cell 0747227056 M     </t>
  </si>
  <si>
    <t>Randal</t>
  </si>
  <si>
    <t xml:space="preserve">UNILEVER SOUTH AFRICA PTY LTD      </t>
  </si>
  <si>
    <t>MARLON PILLAY</t>
  </si>
  <si>
    <t>aaron</t>
  </si>
  <si>
    <t xml:space="preserve">LEONARD DIGLER (PTY)LTD            </t>
  </si>
  <si>
    <t>joseph</t>
  </si>
  <si>
    <t>wwb</t>
  </si>
  <si>
    <t>DELMA</t>
  </si>
  <si>
    <t>DELMAS</t>
  </si>
  <si>
    <t xml:space="preserve">MCCAIN FOOD SOUTH AFRICA PTY L     </t>
  </si>
  <si>
    <t>daphney</t>
  </si>
  <si>
    <t>POD received from cell 0716086241 M</t>
  </si>
  <si>
    <t xml:space="preserve">UV + IR ENGINEERING PTY LTD        </t>
  </si>
  <si>
    <t>DEWALD</t>
  </si>
  <si>
    <t>LEANDRI</t>
  </si>
  <si>
    <t xml:space="preserve">CDP MANUFACTURING CC               </t>
  </si>
  <si>
    <t>stuart</t>
  </si>
  <si>
    <t>POD received from cell 0729209886 M</t>
  </si>
  <si>
    <t>ROBYN</t>
  </si>
  <si>
    <t xml:space="preserve">MAVTECH                            </t>
  </si>
  <si>
    <t>Sarie</t>
  </si>
  <si>
    <t xml:space="preserve">HALL LONGMORE HOLDINGS PTY LTD     </t>
  </si>
  <si>
    <t>PENIEL MARX</t>
  </si>
  <si>
    <t>MATILDA</t>
  </si>
  <si>
    <t xml:space="preserve">BMG PORT ELIZABETH 0142            </t>
  </si>
  <si>
    <t>roloun</t>
  </si>
  <si>
    <t>GIFT</t>
  </si>
  <si>
    <t xml:space="preserve">JIMMY                         </t>
  </si>
  <si>
    <t xml:space="preserve">VIDEX WIRE PRODUCTS PTY LTD        </t>
  </si>
  <si>
    <t>Bridgette</t>
  </si>
  <si>
    <t>E Jacobsz</t>
  </si>
  <si>
    <t>SANNA</t>
  </si>
  <si>
    <t>JVD</t>
  </si>
  <si>
    <t>j steyn</t>
  </si>
  <si>
    <t>MOSES</t>
  </si>
  <si>
    <t>Consignee not available)</t>
  </si>
  <si>
    <t>jap</t>
  </si>
  <si>
    <t>Verona Singh</t>
  </si>
  <si>
    <t>Coullie</t>
  </si>
  <si>
    <t>reshik</t>
  </si>
  <si>
    <t xml:space="preserve">strini                        </t>
  </si>
  <si>
    <t xml:space="preserve">HENDOK DISTRIBUTION (PTY) LTD      </t>
  </si>
  <si>
    <t>conrad</t>
  </si>
  <si>
    <t>stamp</t>
  </si>
  <si>
    <t xml:space="preserve">MAHLE BEHR SOUTH AFRCA (PTY) L     </t>
  </si>
  <si>
    <t>nokuthula</t>
  </si>
  <si>
    <t>R Strydom</t>
  </si>
  <si>
    <t xml:space="preserve">NATANO                        </t>
  </si>
  <si>
    <t xml:space="preserve">POD received from cell 0745037779 M     </t>
  </si>
  <si>
    <t xml:space="preserve">COCA COLA PENINSULA BEVERAGES      </t>
  </si>
  <si>
    <t>CINDY</t>
  </si>
  <si>
    <t>cindy</t>
  </si>
  <si>
    <t xml:space="preserve">ECHAR CONSTRACTION EQUIPMENT M     </t>
  </si>
  <si>
    <t>CORNEL</t>
  </si>
  <si>
    <t xml:space="preserve">PREMIER BAKERY                     </t>
  </si>
  <si>
    <t>mtolo</t>
  </si>
  <si>
    <t xml:space="preserve">BEVCAN A DIV OF NAMPAK PRODUCT     </t>
  </si>
  <si>
    <t>Donald</t>
  </si>
  <si>
    <t>Chantelle</t>
  </si>
  <si>
    <t>Natasha</t>
  </si>
  <si>
    <t>Loren</t>
  </si>
  <si>
    <t xml:space="preserve">DUNLOP INDUSTRIAL PRODUCTS PTY     </t>
  </si>
  <si>
    <t>WARREN   Julian Chetty</t>
  </si>
  <si>
    <t>zano</t>
  </si>
  <si>
    <t>sne</t>
  </si>
  <si>
    <t xml:space="preserve">FUEL INDUSTRY SERVICES PTY LTD     </t>
  </si>
  <si>
    <t>G Ermer</t>
  </si>
  <si>
    <t xml:space="preserve">GENERAL PNEUMATICS NATAL PTY L     </t>
  </si>
  <si>
    <t>bongani</t>
  </si>
  <si>
    <t>vireny</t>
  </si>
  <si>
    <t>lwellyn</t>
  </si>
  <si>
    <t>randel</t>
  </si>
  <si>
    <t xml:space="preserve">MISTER SWEET PTY LTD               </t>
  </si>
  <si>
    <t>KOOS COETZE</t>
  </si>
  <si>
    <t>THABO</t>
  </si>
  <si>
    <t xml:space="preserve">SMA ENGINEERING S.A. (PTY) LTD     </t>
  </si>
  <si>
    <t>veon</t>
  </si>
  <si>
    <t xml:space="preserve">BOYSEN EXHAUST TECHNOLOGY RSA      </t>
  </si>
  <si>
    <t>pindinga</t>
  </si>
  <si>
    <t xml:space="preserve">COLUMBIT PTY  T A INDUSTRIES       </t>
  </si>
  <si>
    <t>ALBERT RANDALL</t>
  </si>
  <si>
    <t>albert</t>
  </si>
  <si>
    <t xml:space="preserve">CULINARY A DIV OF TIGER CONSUM     </t>
  </si>
  <si>
    <t>SIGN</t>
  </si>
  <si>
    <t xml:space="preserve">ADCOCK INGRAM CRITICAL CARE PT     </t>
  </si>
  <si>
    <t>PAUL</t>
  </si>
  <si>
    <t>PATEN</t>
  </si>
  <si>
    <t>PATENSIE</t>
  </si>
  <si>
    <t xml:space="preserve">G N MOTOR REWINDING                </t>
  </si>
  <si>
    <t>LEON</t>
  </si>
  <si>
    <t xml:space="preserve">POLYOAK PACKAGING                  </t>
  </si>
  <si>
    <t>YVONNE</t>
  </si>
  <si>
    <t>tilena baai</t>
  </si>
  <si>
    <t>SIPHO</t>
  </si>
  <si>
    <t xml:space="preserve">CASCADE SALES   DISTRIBUTION (     </t>
  </si>
  <si>
    <t>DANZIL</t>
  </si>
  <si>
    <t xml:space="preserve">DISA                               </t>
  </si>
  <si>
    <t xml:space="preserve">GRANROTH (PTY)LTD                  </t>
  </si>
  <si>
    <t>lelakhe</t>
  </si>
  <si>
    <t xml:space="preserve">SIGNAL INSTRUMENTATION CC          </t>
  </si>
  <si>
    <t>FAAN</t>
  </si>
  <si>
    <t>d marais</t>
  </si>
  <si>
    <t xml:space="preserve">AGRIPLAS                           </t>
  </si>
  <si>
    <t>Monique</t>
  </si>
  <si>
    <t xml:space="preserve">I.M.S ENGINEERING                  </t>
  </si>
  <si>
    <t>Gladys</t>
  </si>
  <si>
    <t>maudla</t>
  </si>
  <si>
    <t>bruce</t>
  </si>
  <si>
    <t xml:space="preserve">SAINT GOBAIN CONSTRUCTION PROD     </t>
  </si>
  <si>
    <t>REG PADDY</t>
  </si>
  <si>
    <t xml:space="preserve">SABASTIAN ELECTRICAL WHOLESALE     </t>
  </si>
  <si>
    <t>w whiffler</t>
  </si>
  <si>
    <t>Nelson</t>
  </si>
  <si>
    <t>let</t>
  </si>
  <si>
    <t>WALKER</t>
  </si>
  <si>
    <t>PARCEL PARCEL PARCEL</t>
  </si>
  <si>
    <t>SIGNATUIRE</t>
  </si>
  <si>
    <t>BERDUS JANSE VAN RENSBURG</t>
  </si>
  <si>
    <t>J Steyn</t>
  </si>
  <si>
    <t xml:space="preserve">SOUTHERN SERVICES CC               </t>
  </si>
  <si>
    <t>FRANS MARE</t>
  </si>
  <si>
    <t>MICKEY</t>
  </si>
  <si>
    <t>Heather</t>
  </si>
  <si>
    <t>Derrick</t>
  </si>
  <si>
    <t>BENTELER AUTOMOTIVE SA  PTY  L</t>
  </si>
  <si>
    <t>lin</t>
  </si>
  <si>
    <t>Vish</t>
  </si>
  <si>
    <t>rachel</t>
  </si>
  <si>
    <t xml:space="preserve">SIME DARBY HUDSON   KINGHT         </t>
  </si>
  <si>
    <t>ASHLEY</t>
  </si>
  <si>
    <t>BOIPELO</t>
  </si>
  <si>
    <t xml:space="preserve">VAAL FLUID SYSTEMS SA (PTY) LT     </t>
  </si>
  <si>
    <t xml:space="preserve">Nozi                          </t>
  </si>
  <si>
    <t xml:space="preserve">POD received from cell 0838232663 M     </t>
  </si>
  <si>
    <t xml:space="preserve">KESSIE                        </t>
  </si>
  <si>
    <t>BERVELY</t>
  </si>
  <si>
    <t xml:space="preserve">DR OETKER SOUTH AFRICA (PTY) L     </t>
  </si>
  <si>
    <t xml:space="preserve">BOBO                          </t>
  </si>
  <si>
    <t xml:space="preserve">BOIPELO                       </t>
  </si>
  <si>
    <t xml:space="preserve">UNILEVER SA                        </t>
  </si>
  <si>
    <t>KANYANE</t>
  </si>
  <si>
    <t>DELPORT</t>
  </si>
  <si>
    <t>DUBE</t>
  </si>
  <si>
    <t xml:space="preserve">FAIR CAPE DAIRIES (PTY) LTD        </t>
  </si>
  <si>
    <t>Neville</t>
  </si>
  <si>
    <t xml:space="preserve">COCHRANE STEEL                     </t>
  </si>
  <si>
    <t>Donna</t>
  </si>
  <si>
    <t xml:space="preserve">UNILEVER S.A (PTY)LTD              </t>
  </si>
  <si>
    <t>Raseen</t>
  </si>
  <si>
    <t>DINO</t>
  </si>
  <si>
    <t xml:space="preserve">Saul                          </t>
  </si>
  <si>
    <t>jabu</t>
  </si>
  <si>
    <t xml:space="preserve">JACQUES DU PLESSIS                 </t>
  </si>
  <si>
    <t>Emmanuel</t>
  </si>
  <si>
    <t xml:space="preserve">GORDAN                        </t>
  </si>
  <si>
    <t>Derek</t>
  </si>
  <si>
    <t>TIMOTHY</t>
  </si>
  <si>
    <t>Romano</t>
  </si>
  <si>
    <t xml:space="preserve">Randal                        </t>
  </si>
  <si>
    <t xml:space="preserve">POD received from cell 0738058187 M     </t>
  </si>
  <si>
    <t xml:space="preserve">brenda                        </t>
  </si>
  <si>
    <t xml:space="preserve">POD received from cell 0749641064 M     </t>
  </si>
  <si>
    <t xml:space="preserve">EXPERSE A DIVISION OF AECI LIM     </t>
  </si>
  <si>
    <t>Dean w</t>
  </si>
  <si>
    <t>JOUBERT</t>
  </si>
  <si>
    <t xml:space="preserve">TONGAAT HULLETTS GROUP LTD         </t>
  </si>
  <si>
    <t>Confidence</t>
  </si>
  <si>
    <t>POD received from cell 0656213221 M</t>
  </si>
  <si>
    <t>ISABELLA ROUX</t>
  </si>
  <si>
    <t>derel</t>
  </si>
  <si>
    <t xml:space="preserve">JOHNSON AND JOHNSON (PTY) LTD      </t>
  </si>
  <si>
    <t>victor</t>
  </si>
  <si>
    <t>marum</t>
  </si>
  <si>
    <t>ATLAN</t>
  </si>
  <si>
    <t>ATLANTIS</t>
  </si>
  <si>
    <t xml:space="preserve">ATLANTIS FOUNDRY                   </t>
  </si>
  <si>
    <t xml:space="preserve">Richard                       </t>
  </si>
  <si>
    <t xml:space="preserve">POD received from cell 0844549356 M     </t>
  </si>
  <si>
    <t xml:space="preserve">patrick                       </t>
  </si>
  <si>
    <t xml:space="preserve">VALIDUS MEDICAL (PTY) LTD          </t>
  </si>
  <si>
    <t>JOEL</t>
  </si>
  <si>
    <t xml:space="preserve">CLOVER SA (PTY)LTD                 </t>
  </si>
  <si>
    <t>V posthumous</t>
  </si>
  <si>
    <t xml:space="preserve">DG IMPEX CC                        </t>
  </si>
  <si>
    <t xml:space="preserve">JOSEPH                        </t>
  </si>
  <si>
    <t>themba</t>
  </si>
  <si>
    <t xml:space="preserve">SANOFI INDUSTRIES SA (PTY)LTD      </t>
  </si>
  <si>
    <t xml:space="preserve">PRAGA TECHNICAL PTY LTD            </t>
  </si>
  <si>
    <t>LOOTIE VERMELULEN</t>
  </si>
  <si>
    <t>rfes1162728156</t>
  </si>
  <si>
    <t xml:space="preserve">MARCE FIRE FIGHTING TECHNOLOGY     </t>
  </si>
  <si>
    <t>rfes1162728188</t>
  </si>
  <si>
    <t>STILF</t>
  </si>
  <si>
    <t>STILFONTEIN</t>
  </si>
  <si>
    <t xml:space="preserve">PRIME INSTRUMENTATION Cc           </t>
  </si>
  <si>
    <t>Ephraim</t>
  </si>
  <si>
    <t>POD received from cell 0722147261 M</t>
  </si>
  <si>
    <t>mish</t>
  </si>
  <si>
    <t>kaizer</t>
  </si>
  <si>
    <t xml:space="preserve">TRANSNET ENGINEERING               </t>
  </si>
  <si>
    <t>rfes1162728242</t>
  </si>
  <si>
    <t>NANDIPHO</t>
  </si>
  <si>
    <t xml:space="preserve">ADVANCED COMPRESSOR TECHNOLOGY     </t>
  </si>
  <si>
    <t>PIET STEYN</t>
  </si>
  <si>
    <t>A VISSER</t>
  </si>
  <si>
    <t>catherine</t>
  </si>
  <si>
    <t xml:space="preserve">RFES1162728404                </t>
  </si>
  <si>
    <t>nis</t>
  </si>
  <si>
    <t>ESTCO</t>
  </si>
  <si>
    <t>ESTCOURT</t>
  </si>
  <si>
    <t xml:space="preserve">NESTLE SOUTH AFRICA PTY LTD        </t>
  </si>
  <si>
    <t xml:space="preserve">VIDESH                        </t>
  </si>
  <si>
    <t xml:space="preserve">CAVALETTO 98                       </t>
  </si>
  <si>
    <t xml:space="preserve">BLENDCOR (PTY) LTD                 </t>
  </si>
  <si>
    <t>bheku</t>
  </si>
  <si>
    <t>nicholas</t>
  </si>
  <si>
    <t xml:space="preserve">CROWN CHICKENS (PTY) LTD           </t>
  </si>
  <si>
    <t>CROWN CHICKENS  PTY  LTD</t>
  </si>
  <si>
    <t xml:space="preserve">OPTIMUSBIO PTY LTD                 </t>
  </si>
  <si>
    <t>joni</t>
  </si>
  <si>
    <t>potjie</t>
  </si>
  <si>
    <t xml:space="preserve">KANTEY   TEMPLER PTY LTD           </t>
  </si>
  <si>
    <t>dudu</t>
  </si>
  <si>
    <t>POD received from cell 0837429668 M</t>
  </si>
  <si>
    <t>kebin</t>
  </si>
  <si>
    <t xml:space="preserve">CAPE GATE                          </t>
  </si>
  <si>
    <t xml:space="preserve">kenny                         </t>
  </si>
  <si>
    <t xml:space="preserve">PAARL PNEUMATICS CC                </t>
  </si>
  <si>
    <t>jevan</t>
  </si>
  <si>
    <t>POD received from cell 0643414757 M</t>
  </si>
  <si>
    <t>SELLO</t>
  </si>
  <si>
    <t xml:space="preserve">PRIME INSTRUMENTATION CC           </t>
  </si>
  <si>
    <t>Carina Thiat</t>
  </si>
  <si>
    <t xml:space="preserve">ACDC DYNAMICS CC                   </t>
  </si>
  <si>
    <t>kamogelo</t>
  </si>
  <si>
    <t xml:space="preserve">PAMODZI UNIQUE ENGINEERING         </t>
  </si>
  <si>
    <t>ELIZE FERREIRA</t>
  </si>
  <si>
    <t>nunu</t>
  </si>
  <si>
    <t>NHLANHLA</t>
  </si>
  <si>
    <t>anneke</t>
  </si>
  <si>
    <t xml:space="preserve">COEGA DAIRY (PTY) LTD              </t>
  </si>
  <si>
    <t>KIRSTEN LEE DEARY</t>
  </si>
  <si>
    <t xml:space="preserve">nivan                         </t>
  </si>
  <si>
    <t xml:space="preserve">POD received from cell 0825362192 M     </t>
  </si>
  <si>
    <t>Gavin</t>
  </si>
  <si>
    <t>MAX</t>
  </si>
  <si>
    <t xml:space="preserve">n nel                         </t>
  </si>
  <si>
    <t>Varetia</t>
  </si>
  <si>
    <t xml:space="preserve">lorinda                       </t>
  </si>
  <si>
    <t xml:space="preserve">VOLKSWAGEN OF SA (VC 3055)         </t>
  </si>
  <si>
    <t>VOLKSWAGEN OF SA  VC 3055</t>
  </si>
  <si>
    <t>S  Minnie</t>
  </si>
  <si>
    <t>Johan</t>
  </si>
  <si>
    <t>GHR</t>
  </si>
  <si>
    <t>POD received from cell 0836333439 M</t>
  </si>
  <si>
    <t xml:space="preserve">BAYER PTY LTD                      </t>
  </si>
  <si>
    <t xml:space="preserve">riaan                         </t>
  </si>
  <si>
    <t xml:space="preserve">TRM SUPPLIES CC                    </t>
  </si>
  <si>
    <t>JOAN WOLFE</t>
  </si>
  <si>
    <t>Fazel</t>
  </si>
  <si>
    <t xml:space="preserve">AUTOMATION TECHNIQUES              </t>
  </si>
  <si>
    <t xml:space="preserve">wayne                         </t>
  </si>
  <si>
    <t>STAND</t>
  </si>
  <si>
    <t>STANDERTON</t>
  </si>
  <si>
    <t xml:space="preserve">NESTLE SOUTH AFRICA (PTY)LTD       </t>
  </si>
  <si>
    <t xml:space="preserve">PIONEER FOOD T A ESCOURT MILL      </t>
  </si>
  <si>
    <t xml:space="preserve">KASH                          </t>
  </si>
  <si>
    <t>antjies</t>
  </si>
  <si>
    <t>POD received from cell 0710864689 M</t>
  </si>
  <si>
    <t>Maglen</t>
  </si>
  <si>
    <t xml:space="preserve">FRESENIUS KABI MANUFACTURING       </t>
  </si>
  <si>
    <t>PHILLYS</t>
  </si>
  <si>
    <t>ANALOG   DIGITAL POWER ELECTRO</t>
  </si>
  <si>
    <t xml:space="preserve">SERITI NEW VAAL COLLIERY           </t>
  </si>
  <si>
    <t>ELVIS</t>
  </si>
  <si>
    <t>Wesley</t>
  </si>
  <si>
    <t>l  goeda</t>
  </si>
  <si>
    <t xml:space="preserve">hendrik                       </t>
  </si>
  <si>
    <t xml:space="preserve">POD received from cell 0634787633 M     </t>
  </si>
  <si>
    <t xml:space="preserve">hughes                        </t>
  </si>
  <si>
    <t xml:space="preserve">zeet                          </t>
  </si>
  <si>
    <t>THULANI</t>
  </si>
  <si>
    <t>khanyi</t>
  </si>
  <si>
    <t>UMKOM</t>
  </si>
  <si>
    <t>UMKOMAAS</t>
  </si>
  <si>
    <t xml:space="preserve">FONTANA MANUFACTURERS PTY LTD      </t>
  </si>
  <si>
    <t>GIVEN</t>
  </si>
  <si>
    <t>DSD / FUE / INS</t>
  </si>
  <si>
    <t xml:space="preserve">CONTITECH AFRICA PTY LTD           </t>
  </si>
  <si>
    <t>berochea</t>
  </si>
  <si>
    <t>Stanley</t>
  </si>
  <si>
    <t>Mandisi</t>
  </si>
  <si>
    <t>KGOTISO</t>
  </si>
  <si>
    <t xml:space="preserve">BEIR SAFETY FOOTWEAR A DIVISIO     </t>
  </si>
  <si>
    <t>Pieter Henning</t>
  </si>
  <si>
    <t xml:space="preserve">sherandy                      </t>
  </si>
  <si>
    <t>ludwe</t>
  </si>
  <si>
    <t>THEMBELA</t>
  </si>
  <si>
    <t xml:space="preserve">m dupha                       </t>
  </si>
  <si>
    <t>amona</t>
  </si>
  <si>
    <t>gevrs</t>
  </si>
  <si>
    <t xml:space="preserve">gerald                        </t>
  </si>
  <si>
    <t xml:space="preserve">DUNLOP BELTING PRODUCTS PTY LT     </t>
  </si>
  <si>
    <t>chelsey</t>
  </si>
  <si>
    <t>adrian</t>
  </si>
  <si>
    <t>funeka</t>
  </si>
  <si>
    <t xml:space="preserve">KELPACK MANUFACTURING (PTY)LTD     </t>
  </si>
  <si>
    <t>RECEIVING.</t>
  </si>
  <si>
    <t>R COOKE</t>
  </si>
  <si>
    <t>shaakjr</t>
  </si>
  <si>
    <t>Neil</t>
  </si>
  <si>
    <t xml:space="preserve">ZF LEMFORDER SA (PTY)LTD           </t>
  </si>
  <si>
    <t>Benn</t>
  </si>
  <si>
    <t>Nicolette</t>
  </si>
  <si>
    <t xml:space="preserve">roux                          </t>
  </si>
  <si>
    <t>v d merwe</t>
  </si>
  <si>
    <t xml:space="preserve">R Strydom                     </t>
  </si>
  <si>
    <t xml:space="preserve">POD received from cell 0828088659 M     </t>
  </si>
  <si>
    <t xml:space="preserve">PELCHEM   NECSA PTY                </t>
  </si>
  <si>
    <t>Brian Britton   ABEL</t>
  </si>
  <si>
    <t>Signed</t>
  </si>
  <si>
    <t xml:space="preserve">Michelle                      </t>
  </si>
  <si>
    <t xml:space="preserve">NATIONAL BRANDS LIMITED            </t>
  </si>
  <si>
    <t>Grace</t>
  </si>
  <si>
    <t xml:space="preserve">morco                         </t>
  </si>
  <si>
    <t xml:space="preserve">SEALED AIR AFRICA (PTY) LTD        </t>
  </si>
  <si>
    <t>Belofte</t>
  </si>
  <si>
    <t xml:space="preserve">GOLDMANN ENGINEERING CC            </t>
  </si>
  <si>
    <t>rehaan</t>
  </si>
  <si>
    <t xml:space="preserve">LESEDI SKILLS ACADEMY              </t>
  </si>
  <si>
    <t>PFANO MAREMBA</t>
  </si>
  <si>
    <t xml:space="preserve">poven                         </t>
  </si>
  <si>
    <t xml:space="preserve">AUTO INDUSTRIAL MACHINING          </t>
  </si>
  <si>
    <t>jvd</t>
  </si>
  <si>
    <t xml:space="preserve">ISOFA   STROCAM                    </t>
  </si>
  <si>
    <t xml:space="preserve"> ian                          </t>
  </si>
  <si>
    <t xml:space="preserve">POD received from cell 0769790129 M     </t>
  </si>
  <si>
    <t>shoni</t>
  </si>
  <si>
    <t>thompson</t>
  </si>
  <si>
    <t xml:space="preserve">lanor                         </t>
  </si>
  <si>
    <t xml:space="preserve">POD received from cell 0638152011 M     </t>
  </si>
  <si>
    <t xml:space="preserve">VENTURE DIVERSIFIED PRODUCTS(P     </t>
  </si>
  <si>
    <t>Tsumbedzi</t>
  </si>
  <si>
    <t xml:space="preserve">STARLIGHT WHOLESALERS              </t>
  </si>
  <si>
    <t>rodger</t>
  </si>
  <si>
    <t xml:space="preserve">SHATTERPRUFE TRADING               </t>
  </si>
  <si>
    <t>JANN SCHNEPEL</t>
  </si>
  <si>
    <t>Mohale</t>
  </si>
  <si>
    <t>POD received from cell 0726847990 M</t>
  </si>
  <si>
    <t xml:space="preserve">SASOL CHEMICALS SA                 </t>
  </si>
  <si>
    <t xml:space="preserve">signed                        </t>
  </si>
  <si>
    <t xml:space="preserve">Phillip                       </t>
  </si>
  <si>
    <t xml:space="preserve">Quinton                       </t>
  </si>
  <si>
    <t>D Ferguson</t>
  </si>
  <si>
    <t>Shirley</t>
  </si>
  <si>
    <t xml:space="preserve">graydon                       </t>
  </si>
  <si>
    <t>Vukani</t>
  </si>
  <si>
    <t>kush</t>
  </si>
  <si>
    <t xml:space="preserve">FEDERAL MOGUL FRICTION PRODUCT     </t>
  </si>
  <si>
    <t>MPUME NGOBESE</t>
  </si>
  <si>
    <t>BOXC</t>
  </si>
  <si>
    <t>Travor</t>
  </si>
  <si>
    <t xml:space="preserve">TIGER CONSUMER BRANDS              </t>
  </si>
  <si>
    <t>CECIL</t>
  </si>
  <si>
    <t xml:space="preserve">merle                         </t>
  </si>
  <si>
    <t>Phillys</t>
  </si>
  <si>
    <t>fourie</t>
  </si>
  <si>
    <t xml:space="preserve">thabile                       </t>
  </si>
  <si>
    <t>mundzhedzi</t>
  </si>
  <si>
    <t>DIRK COETZEE</t>
  </si>
  <si>
    <t xml:space="preserve">esther                        </t>
  </si>
  <si>
    <t xml:space="preserve">THE SIMBA GROUP                    </t>
  </si>
  <si>
    <t>Randy</t>
  </si>
  <si>
    <t>SWART</t>
  </si>
  <si>
    <t>SWARTRUGGENS</t>
  </si>
  <si>
    <t xml:space="preserve">BLUEBIRD MANUFACTURING 54 CC       </t>
  </si>
  <si>
    <t>HOLD FOR COLLECTION</t>
  </si>
  <si>
    <t>Eddie</t>
  </si>
  <si>
    <t xml:space="preserve">NOVUS PRINT PTY LTD                </t>
  </si>
  <si>
    <t>HILTON</t>
  </si>
  <si>
    <t xml:space="preserve">BUHLER PTY LTD                     </t>
  </si>
  <si>
    <t>MOSES MATHE</t>
  </si>
  <si>
    <t>xolani</t>
  </si>
  <si>
    <t>BALF2</t>
  </si>
  <si>
    <t>BALFOUR (TVL)</t>
  </si>
  <si>
    <t xml:space="preserve">KARAN BEEF (PTY) LTD               </t>
  </si>
  <si>
    <t>luyanda</t>
  </si>
  <si>
    <t>POD received from cell 0834970420 M</t>
  </si>
  <si>
    <t>tertuis</t>
  </si>
  <si>
    <t xml:space="preserve">INDECON CC                         </t>
  </si>
  <si>
    <t>A NEL</t>
  </si>
  <si>
    <t>bheki</t>
  </si>
  <si>
    <t>pavilla</t>
  </si>
  <si>
    <t>d pillay</t>
  </si>
  <si>
    <t>KUSH</t>
  </si>
  <si>
    <t xml:space="preserve">RUDI                          </t>
  </si>
  <si>
    <t xml:space="preserve">POD received from cell 0632978162 M     </t>
  </si>
  <si>
    <t xml:space="preserve">EIS ENGINEERING   IND SUPPLIES     </t>
  </si>
  <si>
    <t>EMMANUEL RAMSAAK</t>
  </si>
  <si>
    <t>Bongani</t>
  </si>
  <si>
    <t xml:space="preserve">ONESOURCE GENERSL                  </t>
  </si>
  <si>
    <t>N ESSOP</t>
  </si>
  <si>
    <t xml:space="preserve">SP AUTOMOTIVE PROFILE SCALING      </t>
  </si>
  <si>
    <t>LEFA</t>
  </si>
  <si>
    <t>POD received from cell 0763378994 M</t>
  </si>
  <si>
    <t>Sarah</t>
  </si>
  <si>
    <t xml:space="preserve">INNOVATIVE MINING PRODUCTS (PT     </t>
  </si>
  <si>
    <t>Fraser</t>
  </si>
  <si>
    <t>WELLI</t>
  </si>
  <si>
    <t>WELLINGTON</t>
  </si>
  <si>
    <t xml:space="preserve">MALUTS PTY LTD                     </t>
  </si>
  <si>
    <t>Mandy</t>
  </si>
  <si>
    <t>odette</t>
  </si>
  <si>
    <t>m botha</t>
  </si>
  <si>
    <t>minnie</t>
  </si>
  <si>
    <t xml:space="preserve">r BOOYSEN                     </t>
  </si>
  <si>
    <t>AYSHEMS</t>
  </si>
  <si>
    <t xml:space="preserve">EVERITE BUILDING DIVISION          </t>
  </si>
  <si>
    <t>Njabulo</t>
  </si>
  <si>
    <t>MCEDISI</t>
  </si>
  <si>
    <t>Tommy</t>
  </si>
  <si>
    <t>Chanelle</t>
  </si>
  <si>
    <t xml:space="preserve">PROPET S.A (PTY) LTD               </t>
  </si>
  <si>
    <t>P Maart</t>
  </si>
  <si>
    <t xml:space="preserve">COCA COLA CANNERS OF SA            </t>
  </si>
  <si>
    <t>DEIRDRE PLINT</t>
  </si>
  <si>
    <t>FRAGILE - OILS INSIDE THE BOX</t>
  </si>
  <si>
    <t>BOX BOX BOX</t>
  </si>
  <si>
    <t>HEID2</t>
  </si>
  <si>
    <t>HEIDELBERG (TVL)</t>
  </si>
  <si>
    <t xml:space="preserve">BRITISH AMERICAN TOBACCO SA (P     </t>
  </si>
  <si>
    <t>PRODUCTION PLANT</t>
  </si>
  <si>
    <t>BONGS</t>
  </si>
  <si>
    <t xml:space="preserve">Carlize                       </t>
  </si>
  <si>
    <t>chantelle</t>
  </si>
  <si>
    <t>Cyril</t>
  </si>
  <si>
    <t xml:space="preserve">GOODMAN                       </t>
  </si>
  <si>
    <t xml:space="preserve">POD received from cell 0733966806 M     </t>
  </si>
  <si>
    <t xml:space="preserve">UTILITY SYSTEM                     </t>
  </si>
  <si>
    <t xml:space="preserve">Khanyisile                    </t>
  </si>
  <si>
    <t xml:space="preserve">WEIR MINERALS AFRICA               </t>
  </si>
  <si>
    <t>ANNA DU TOIT</t>
  </si>
  <si>
    <t>werner</t>
  </si>
  <si>
    <t>dcater</t>
  </si>
  <si>
    <t>sylvester</t>
  </si>
  <si>
    <t xml:space="preserve">s a adams                     </t>
  </si>
  <si>
    <t xml:space="preserve">ZAKES                         </t>
  </si>
  <si>
    <t xml:space="preserve">POD received from cell 0810382830 M     </t>
  </si>
  <si>
    <t xml:space="preserve">LABOTEC (PTY) LTD                  </t>
  </si>
  <si>
    <t>jerry</t>
  </si>
  <si>
    <t>Connie</t>
  </si>
  <si>
    <t>renette</t>
  </si>
  <si>
    <t xml:space="preserve">b emma                        </t>
  </si>
  <si>
    <t xml:space="preserve">POD received from cell 0844988662 M     </t>
  </si>
  <si>
    <t xml:space="preserve">HEUNIS STEEL PTY LTD               </t>
  </si>
  <si>
    <t>yvonne</t>
  </si>
  <si>
    <t xml:space="preserve">FORD MOTORING CO OF SA             </t>
  </si>
  <si>
    <t>Brian</t>
  </si>
  <si>
    <t>ENOCK</t>
  </si>
  <si>
    <t>VEENA</t>
  </si>
  <si>
    <t>SHORT SUPPLIED</t>
  </si>
  <si>
    <t>NICOLETTE</t>
  </si>
  <si>
    <t xml:space="preserve">Chantelle                     </t>
  </si>
  <si>
    <t xml:space="preserve">Mandisi                       </t>
  </si>
  <si>
    <t>Ian</t>
  </si>
  <si>
    <t>POD received from cell 0769790129 M</t>
  </si>
  <si>
    <t>nomvula</t>
  </si>
  <si>
    <t>lufuno</t>
  </si>
  <si>
    <t>julia</t>
  </si>
  <si>
    <t xml:space="preserve">SENIOR FLEXONICS (SA) (PTY) LT     </t>
  </si>
  <si>
    <t>brown</t>
  </si>
  <si>
    <t>peter</t>
  </si>
  <si>
    <t>juanita</t>
  </si>
  <si>
    <t xml:space="preserve">caitlin                       </t>
  </si>
  <si>
    <t xml:space="preserve">POD received from cell 0729630904 M     </t>
  </si>
  <si>
    <t>simon</t>
  </si>
  <si>
    <t xml:space="preserve">silence                       </t>
  </si>
  <si>
    <t>Bernard</t>
  </si>
  <si>
    <t>Sergio</t>
  </si>
  <si>
    <t>J Schelpel</t>
  </si>
  <si>
    <t>DHA00000385669</t>
  </si>
  <si>
    <t>kimmi</t>
  </si>
  <si>
    <t>M van der nest</t>
  </si>
  <si>
    <t>v merwe</t>
  </si>
  <si>
    <t xml:space="preserve">REHAU POLYMER PTY LTD              </t>
  </si>
  <si>
    <t xml:space="preserve">REHAU POLYMER PTY LTD         </t>
  </si>
  <si>
    <t>rico</t>
  </si>
  <si>
    <t>CERES</t>
  </si>
  <si>
    <t xml:space="preserve">PIONEER FOOD GROCERIES PTY LTD     </t>
  </si>
  <si>
    <t>nontethelelo</t>
  </si>
  <si>
    <t>POD received from cell 0834895581 M</t>
  </si>
  <si>
    <t xml:space="preserve">CLOVER MILKWAY (PTY)LTD            </t>
  </si>
  <si>
    <t>tumelo</t>
  </si>
  <si>
    <t xml:space="preserve">ATC INNOVATION (PTY)LTD            </t>
  </si>
  <si>
    <t xml:space="preserve">SKYNET RUSTENBURG                  </t>
  </si>
  <si>
    <t xml:space="preserve">T Bester                      </t>
  </si>
  <si>
    <t>win</t>
  </si>
  <si>
    <t xml:space="preserve">POD received from cell 0787652707 M     </t>
  </si>
  <si>
    <t>Ronnel</t>
  </si>
  <si>
    <t>cathirine</t>
  </si>
  <si>
    <t>Willie</t>
  </si>
  <si>
    <t xml:space="preserve">sibusiso                      </t>
  </si>
  <si>
    <t xml:space="preserve">TIME FREIGHT LADY SMITH            </t>
  </si>
  <si>
    <t xml:space="preserve">MEGA - PAK                         </t>
  </si>
  <si>
    <t>RESHMA</t>
  </si>
  <si>
    <t xml:space="preserve">SIGNED                        </t>
  </si>
  <si>
    <t>Ssbelo</t>
  </si>
  <si>
    <t>FES1162728968</t>
  </si>
  <si>
    <t>JOYCE</t>
  </si>
  <si>
    <t>Zeko</t>
  </si>
  <si>
    <t xml:space="preserve">MARLEY PIPE SYSTEMS SA PTY LTD     </t>
  </si>
  <si>
    <t>ELSA LENNOX</t>
  </si>
  <si>
    <t xml:space="preserve">POD received from cell 0833788669 M     </t>
  </si>
  <si>
    <t>vish</t>
  </si>
  <si>
    <t xml:space="preserve">DISTELL (PTY)LTD                   </t>
  </si>
  <si>
    <t>Malcolm</t>
  </si>
  <si>
    <t>ernest</t>
  </si>
  <si>
    <t>precious</t>
  </si>
  <si>
    <t>Sabelo</t>
  </si>
  <si>
    <t xml:space="preserve">RHODES FOOD GROUP                  </t>
  </si>
  <si>
    <t>Pedro</t>
  </si>
  <si>
    <t>r BOOYSEN</t>
  </si>
  <si>
    <t>brian</t>
  </si>
  <si>
    <t>DEREK</t>
  </si>
  <si>
    <t xml:space="preserve">VAKTIN HYDRAULICS (PTY)LTD         </t>
  </si>
  <si>
    <t>G V WYK</t>
  </si>
  <si>
    <t>g jooste</t>
  </si>
  <si>
    <t xml:space="preserve">ESKORT LTD                         </t>
  </si>
  <si>
    <t>Diresh</t>
  </si>
  <si>
    <t>POD received from cell 0849917765 M</t>
  </si>
  <si>
    <t>M Van Der Nest</t>
  </si>
  <si>
    <t xml:space="preserve">africa                        </t>
  </si>
  <si>
    <t xml:space="preserve">POD received from cell 0643414757 M     </t>
  </si>
  <si>
    <t xml:space="preserve">DEW CRISP PTY LTD                  </t>
  </si>
  <si>
    <t>petro</t>
  </si>
  <si>
    <t>Noel</t>
  </si>
  <si>
    <t>ellistine</t>
  </si>
  <si>
    <t>Fourier</t>
  </si>
  <si>
    <t>MCEDU</t>
  </si>
  <si>
    <t>Betie</t>
  </si>
  <si>
    <t>RFES1162728839</t>
  </si>
  <si>
    <t xml:space="preserve">gcali                         </t>
  </si>
  <si>
    <t>Branes</t>
  </si>
  <si>
    <t xml:space="preserve">BLISS CHEMICALS                    </t>
  </si>
  <si>
    <t>mitesh</t>
  </si>
  <si>
    <t>philile</t>
  </si>
  <si>
    <t>Ashley</t>
  </si>
  <si>
    <t xml:space="preserve">UNIVERSAL PAPER   PLASTIC          </t>
  </si>
  <si>
    <t>J DE VILLIERS</t>
  </si>
  <si>
    <t>M Tsonope</t>
  </si>
  <si>
    <t xml:space="preserve">kev8n                         </t>
  </si>
  <si>
    <t>ENAANNRD</t>
  </si>
  <si>
    <t>Geraldine</t>
  </si>
  <si>
    <t>Bruce</t>
  </si>
  <si>
    <t>Nomvula</t>
  </si>
  <si>
    <t xml:space="preserve">KROMBERG   SCHUBERT CABLE   WI     </t>
  </si>
  <si>
    <t>ANNATJIE VAN NIEKERK</t>
  </si>
  <si>
    <t xml:space="preserve">MARLEY SA PTY LTD                  </t>
  </si>
  <si>
    <t>LUCAS</t>
  </si>
  <si>
    <t>Stephan</t>
  </si>
  <si>
    <t xml:space="preserve">THE SIMBA GROUP LTD                </t>
  </si>
  <si>
    <t>Lebelo</t>
  </si>
  <si>
    <t>tuco</t>
  </si>
  <si>
    <t>Graeme</t>
  </si>
  <si>
    <t xml:space="preserve">KHP HYDRAULICS   PNEUMATICS (P     </t>
  </si>
  <si>
    <t>Dauie</t>
  </si>
  <si>
    <t>POD received from cell 0813071298 M</t>
  </si>
  <si>
    <t>CHRIS</t>
  </si>
  <si>
    <t>dawn</t>
  </si>
  <si>
    <t xml:space="preserve">COCA COLA BEVERAGES SA(Pty) LT     </t>
  </si>
  <si>
    <t>abys</t>
  </si>
  <si>
    <t>POD received from cell 0796216495 M</t>
  </si>
  <si>
    <t>ISAAC</t>
  </si>
  <si>
    <t xml:space="preserve">wezley                        </t>
  </si>
  <si>
    <t>C  frost</t>
  </si>
  <si>
    <t xml:space="preserve">PFG BUILDING GLASS                 </t>
  </si>
  <si>
    <t xml:space="preserve">KARAN BEEF FEEDLOT                 </t>
  </si>
  <si>
    <t>leoni</t>
  </si>
  <si>
    <t>POD received from cell 0833788669 M</t>
  </si>
  <si>
    <t xml:space="preserve">siya                          </t>
  </si>
  <si>
    <t>TREVOR</t>
  </si>
  <si>
    <t>JACQUES</t>
  </si>
  <si>
    <t>BINGO</t>
  </si>
  <si>
    <t xml:space="preserve">TIGER BRANDS CHOCOLATE UNIT        </t>
  </si>
  <si>
    <t>DANE JOUBERT</t>
  </si>
  <si>
    <t>michelle</t>
  </si>
  <si>
    <t xml:space="preserve">GRANT                         </t>
  </si>
  <si>
    <t>L  Motherwell</t>
  </si>
  <si>
    <t>Aubrey</t>
  </si>
  <si>
    <t>VICKY</t>
  </si>
  <si>
    <t>R Geuld</t>
  </si>
  <si>
    <t>gorge</t>
  </si>
  <si>
    <t xml:space="preserve">MARK                          </t>
  </si>
  <si>
    <t>bingo</t>
  </si>
  <si>
    <t>nombuso</t>
  </si>
  <si>
    <t>Ntombi</t>
  </si>
  <si>
    <t xml:space="preserve">AFRICAN SUPPLY SOLUTION            </t>
  </si>
  <si>
    <t xml:space="preserve">SPECIAL FORMWORK (PTY) LTD         </t>
  </si>
  <si>
    <t>RIETTE</t>
  </si>
  <si>
    <t xml:space="preserve">william                       </t>
  </si>
  <si>
    <t xml:space="preserve">STAR HYDRAULICS   PNEUMATICS       </t>
  </si>
  <si>
    <t>Olifant</t>
  </si>
  <si>
    <t>DOC BAG</t>
  </si>
  <si>
    <t>CARLE</t>
  </si>
  <si>
    <t>CARLETONVILLE</t>
  </si>
  <si>
    <t xml:space="preserve">CNL INDUSTRIAL MINING SUPPLIES     </t>
  </si>
  <si>
    <t>TIM</t>
  </si>
  <si>
    <t xml:space="preserve">GOLDEN ERA PRINTER                 </t>
  </si>
  <si>
    <t>rebecca</t>
  </si>
  <si>
    <t>Elias</t>
  </si>
  <si>
    <t xml:space="preserve">ABERDARE CABLES (PTY) LTD          </t>
  </si>
  <si>
    <t>MATTHEW</t>
  </si>
  <si>
    <t xml:space="preserve">BADER SA PTY LTD                   </t>
  </si>
  <si>
    <t>TEBOGO BAPELA</t>
  </si>
  <si>
    <t>Stephen</t>
  </si>
  <si>
    <t>SHARISHNA</t>
  </si>
  <si>
    <t>courtlin</t>
  </si>
  <si>
    <t>Lilian</t>
  </si>
  <si>
    <t xml:space="preserve">M   C BEARINGS   TRANSMISSION      </t>
  </si>
  <si>
    <t>PRSISCILLA</t>
  </si>
  <si>
    <t xml:space="preserve">MPHO                          </t>
  </si>
  <si>
    <t xml:space="preserve">ALBANY BAKERY RANDFONTEIN          </t>
  </si>
  <si>
    <t>mixo</t>
  </si>
  <si>
    <t xml:space="preserve">APPLE CONTROLS CC T  A APPLECO     </t>
  </si>
  <si>
    <t>mkhululi</t>
  </si>
  <si>
    <t xml:space="preserve">EASTERN TRADING CO.                </t>
  </si>
  <si>
    <t>Roger</t>
  </si>
  <si>
    <t xml:space="preserve">S.G PLASTIC CONSTRUCION CC         </t>
  </si>
  <si>
    <t>GARETH</t>
  </si>
  <si>
    <t xml:space="preserve">PREMIER FOODS (PTY) LTD            </t>
  </si>
  <si>
    <t>Muis</t>
  </si>
  <si>
    <t>shail</t>
  </si>
  <si>
    <t xml:space="preserve">AFGRI POULTRY (PTY)LTD             </t>
  </si>
  <si>
    <t>refiloe</t>
  </si>
  <si>
    <t>BURG1</t>
  </si>
  <si>
    <t>BURGERSFORT</t>
  </si>
  <si>
    <t xml:space="preserve">GLENCORE OPERATION SA(PTY)LTD      </t>
  </si>
  <si>
    <t xml:space="preserve">eric                          </t>
  </si>
  <si>
    <t xml:space="preserve">POD received from cell 0725506697 M     </t>
  </si>
  <si>
    <t xml:space="preserve">leani                         </t>
  </si>
  <si>
    <t>Sbusiso</t>
  </si>
  <si>
    <t xml:space="preserve">NATIONAL CERAMIC INDUSTRIES SA     </t>
  </si>
  <si>
    <t>landi</t>
  </si>
  <si>
    <t xml:space="preserve">THERMITEC CC                       </t>
  </si>
  <si>
    <t>diana</t>
  </si>
  <si>
    <t xml:space="preserve">philipp frohmann              </t>
  </si>
  <si>
    <t xml:space="preserve">POD received from cell 0617856156 M     </t>
  </si>
  <si>
    <t>AVION EAST RAND PTY LTD</t>
  </si>
  <si>
    <t>Patra</t>
  </si>
  <si>
    <t xml:space="preserve">ACT LOGISTICS                      </t>
  </si>
  <si>
    <t>FAIZEL</t>
  </si>
  <si>
    <t>CATHRINE</t>
  </si>
  <si>
    <t>Lofty</t>
  </si>
  <si>
    <t>HANS</t>
  </si>
  <si>
    <t>ATLANTIS SPECIALIST</t>
  </si>
  <si>
    <t>dipha</t>
  </si>
  <si>
    <t>POD received from cell 0764958693 M</t>
  </si>
  <si>
    <t>TEBOHO</t>
  </si>
  <si>
    <t>afrika</t>
  </si>
  <si>
    <t>gugu</t>
  </si>
  <si>
    <t>karam</t>
  </si>
  <si>
    <t>tebogo</t>
  </si>
  <si>
    <t xml:space="preserve">SMITHS PLASTICS PTY LTD            </t>
  </si>
  <si>
    <t>CHRIS BOTHA</t>
  </si>
  <si>
    <t xml:space="preserve">G LUNDALL                     </t>
  </si>
  <si>
    <t>VERUL</t>
  </si>
  <si>
    <t>VERULAM</t>
  </si>
  <si>
    <t xml:space="preserve">EVEREST FLEXIBLES (PTY) LTD        </t>
  </si>
  <si>
    <t>SUNIL</t>
  </si>
  <si>
    <t>Niresha</t>
  </si>
  <si>
    <t>POD received from cell 0732603055 M</t>
  </si>
  <si>
    <t>Hlengiwe</t>
  </si>
  <si>
    <t>Vishni</t>
  </si>
  <si>
    <t xml:space="preserve">B M S C ENGINEERING CC             </t>
  </si>
  <si>
    <t>KATLEGO</t>
  </si>
  <si>
    <t xml:space="preserve">CROWN CHICKENS                     </t>
  </si>
  <si>
    <t xml:space="preserve">peter                         </t>
  </si>
  <si>
    <t xml:space="preserve">POD received from cell 0786510203 M     </t>
  </si>
  <si>
    <t xml:space="preserve">IDWALA CARBONATES                  </t>
  </si>
  <si>
    <t>anusha</t>
  </si>
  <si>
    <t>POD received from cell 0823984226 M</t>
  </si>
  <si>
    <t>mpumelelo</t>
  </si>
  <si>
    <t xml:space="preserve">SUNBAKE BENONI                     </t>
  </si>
  <si>
    <t>JANUARY</t>
  </si>
  <si>
    <t>luke</t>
  </si>
  <si>
    <t>PARCEL BOX BOX</t>
  </si>
  <si>
    <t xml:space="preserve">KANSAI PLASCON KRUGERSDORP         </t>
  </si>
  <si>
    <t>ZELDA</t>
  </si>
  <si>
    <t>THOTOGELO</t>
  </si>
  <si>
    <t xml:space="preserve">STARKE INDUSTRIES CC               </t>
  </si>
  <si>
    <t>franco</t>
  </si>
  <si>
    <t>BOC</t>
  </si>
  <si>
    <t>j walh</t>
  </si>
  <si>
    <t>martin</t>
  </si>
  <si>
    <t xml:space="preserve">HARDWARE MECCA (PTY)LTD            </t>
  </si>
  <si>
    <t xml:space="preserve">BENMLE                        </t>
  </si>
  <si>
    <t xml:space="preserve"> w f festo                    </t>
  </si>
  <si>
    <t xml:space="preserve">POD received from cell 0737617518 M     </t>
  </si>
  <si>
    <t>buyisele</t>
  </si>
  <si>
    <t xml:space="preserve">PRECISION SEPARATORS               </t>
  </si>
  <si>
    <t>Tria</t>
  </si>
  <si>
    <t>POD received from cell 0726813383 M</t>
  </si>
  <si>
    <t xml:space="preserve">TOP LINE STEEL SYSTEMS CC          </t>
  </si>
  <si>
    <t xml:space="preserve">Deriek                        </t>
  </si>
  <si>
    <t xml:space="preserve">Zola                          </t>
  </si>
  <si>
    <t>teb</t>
  </si>
  <si>
    <t>freeman</t>
  </si>
  <si>
    <t>ian</t>
  </si>
  <si>
    <t>k a moloto</t>
  </si>
  <si>
    <t>nicolette</t>
  </si>
  <si>
    <t>POD received from cell 0727949491 M</t>
  </si>
  <si>
    <t xml:space="preserve">CHEMPLUSS CC                       </t>
  </si>
  <si>
    <t xml:space="preserve">M C BEARINGS                       </t>
  </si>
  <si>
    <t xml:space="preserve">craig                         </t>
  </si>
  <si>
    <t>JAPTA</t>
  </si>
  <si>
    <t xml:space="preserve">DALE TECHNICAL SERVICES (PTY)      </t>
  </si>
  <si>
    <t xml:space="preserve">ROBOTIC INNOVATIONS PTY            </t>
  </si>
  <si>
    <t xml:space="preserve">Marg                          </t>
  </si>
  <si>
    <t xml:space="preserve">RYMCO PTY LTD T A ANCHOR YEAST     </t>
  </si>
  <si>
    <t>RESEND JHB</t>
  </si>
  <si>
    <t>MIA</t>
  </si>
  <si>
    <t>p laerss</t>
  </si>
  <si>
    <t>momo</t>
  </si>
  <si>
    <t xml:space="preserve">BMG GEORGE 0122                    </t>
  </si>
  <si>
    <t>RYAN</t>
  </si>
  <si>
    <t>NICHOLAS</t>
  </si>
  <si>
    <t>mthoko</t>
  </si>
  <si>
    <t>althea</t>
  </si>
  <si>
    <t>POD received from cell 0832527254 M</t>
  </si>
  <si>
    <t xml:space="preserve">KSNACKS                            </t>
  </si>
  <si>
    <t>KHULELANI</t>
  </si>
  <si>
    <t xml:space="preserve">AFRISAM SA                         </t>
  </si>
  <si>
    <t>YVONNE NDHLAU</t>
  </si>
  <si>
    <t xml:space="preserve">RHEEM SA PTY LTD                   </t>
  </si>
  <si>
    <t>LEENA BUNWARIE</t>
  </si>
  <si>
    <t>Leena</t>
  </si>
  <si>
    <t xml:space="preserve">LW TANK SYSTEMS CC                 </t>
  </si>
  <si>
    <t>SIGNED   STAMPED</t>
  </si>
  <si>
    <t xml:space="preserve">ESCAPE GAGUGESS CC                 </t>
  </si>
  <si>
    <t>Curis</t>
  </si>
  <si>
    <t>Kevin</t>
  </si>
  <si>
    <t xml:space="preserve">SAPPI GLOBAL BUSINESS SERVICES     </t>
  </si>
  <si>
    <t>sindiswe</t>
  </si>
  <si>
    <t>l goeda</t>
  </si>
  <si>
    <t xml:space="preserve">STEELWOOD INTERNATIONAL PTY LT     </t>
  </si>
  <si>
    <t>jan</t>
  </si>
  <si>
    <t>Jeandre</t>
  </si>
  <si>
    <t>monubisu</t>
  </si>
  <si>
    <t xml:space="preserve">ASPEN NUTRITIONALS                 </t>
  </si>
  <si>
    <t>n fourie</t>
  </si>
  <si>
    <t>POD received from cell 0733568082 M</t>
  </si>
  <si>
    <t xml:space="preserve">REMA TIP TOP SOUTH AFRICA          </t>
  </si>
  <si>
    <t>clelsey</t>
  </si>
  <si>
    <t>R Booysen</t>
  </si>
  <si>
    <t>POD received from cell 0829677210 M</t>
  </si>
  <si>
    <t xml:space="preserve">VUKANI                        </t>
  </si>
  <si>
    <t>THABISO</t>
  </si>
  <si>
    <t>aflor</t>
  </si>
  <si>
    <t>QUINTON BAILEY</t>
  </si>
  <si>
    <t>aluwani</t>
  </si>
  <si>
    <t xml:space="preserve">GRINDING MEDIA SOUTH AFRICA        </t>
  </si>
  <si>
    <t>Frank</t>
  </si>
  <si>
    <t xml:space="preserve">COCA-COLA BEVERAGE SOUTH AFRIC     </t>
  </si>
  <si>
    <t>awelani</t>
  </si>
  <si>
    <t>kousile</t>
  </si>
  <si>
    <t>STANLEY</t>
  </si>
  <si>
    <t xml:space="preserve">MCCAIN FOODS SA PTY LTD            </t>
  </si>
  <si>
    <t>REFILOE MOROPA</t>
  </si>
  <si>
    <t>GLORIA</t>
  </si>
  <si>
    <t>Joyce</t>
  </si>
  <si>
    <t xml:space="preserve">BRADCHER INDUSTRIAL                </t>
  </si>
  <si>
    <t>Cheren</t>
  </si>
  <si>
    <t xml:space="preserve">ABERDER CABLES                     </t>
  </si>
  <si>
    <t>COLLEN   FLOYD</t>
  </si>
  <si>
    <t>PIET</t>
  </si>
  <si>
    <t xml:space="preserve">CHRIS OR ALEX 082 742 3905         </t>
  </si>
  <si>
    <t>alex</t>
  </si>
  <si>
    <t>VICTOR</t>
  </si>
  <si>
    <t>TO SKY</t>
  </si>
  <si>
    <t>NICKOLAS TINKLER</t>
  </si>
  <si>
    <t>skye</t>
  </si>
  <si>
    <t>JACO</t>
  </si>
  <si>
    <t xml:space="preserve">TOPLINE TOOLING (PTY)LTD           </t>
  </si>
  <si>
    <t>Zachary</t>
  </si>
  <si>
    <t>rhyno</t>
  </si>
  <si>
    <t>DIMPHO</t>
  </si>
  <si>
    <t xml:space="preserve">METROCAS CC                        </t>
  </si>
  <si>
    <t xml:space="preserve">NIC                           </t>
  </si>
  <si>
    <t xml:space="preserve">SPIRAX SARCO SA                    </t>
  </si>
  <si>
    <t>ZONIKA JACOBS</t>
  </si>
  <si>
    <t>Tebogo</t>
  </si>
  <si>
    <t>petros</t>
  </si>
  <si>
    <t>Juan</t>
  </si>
  <si>
    <t>Alex</t>
  </si>
  <si>
    <t xml:space="preserve">POD received from cell 0620923972 M     </t>
  </si>
  <si>
    <t xml:space="preserve">ISEGEN S. A                        </t>
  </si>
  <si>
    <t>Marcia</t>
  </si>
  <si>
    <t>dzaulo</t>
  </si>
  <si>
    <t xml:space="preserve">ISUZU MOTORS S.A (PTY)LTD          </t>
  </si>
  <si>
    <t>brendon</t>
  </si>
  <si>
    <t>jason</t>
  </si>
  <si>
    <t>sylvia</t>
  </si>
  <si>
    <t>TSITS</t>
  </si>
  <si>
    <t>TSITSIKAMMA</t>
  </si>
  <si>
    <t xml:space="preserve">TSITSIKAMMA CRYSTAL WATER          </t>
  </si>
  <si>
    <t>A VAN NIEKERK</t>
  </si>
  <si>
    <t>Charmelle</t>
  </si>
  <si>
    <t>Buyile</t>
  </si>
  <si>
    <t xml:space="preserve">THYSSENKRUPP SOUTH AFRICA          </t>
  </si>
  <si>
    <t>Seipati</t>
  </si>
  <si>
    <t>POD received from cell 0781381006 M</t>
  </si>
  <si>
    <t>Jimmy</t>
  </si>
  <si>
    <t>Goosen</t>
  </si>
  <si>
    <t xml:space="preserve">CFW INDUSTRIES (PTY) LTD           </t>
  </si>
  <si>
    <t>Vlok Laubscher</t>
  </si>
  <si>
    <t>tyron</t>
  </si>
  <si>
    <t>kishen</t>
  </si>
  <si>
    <t>lisa</t>
  </si>
  <si>
    <t>GREYT</t>
  </si>
  <si>
    <t>GREYTOWN</t>
  </si>
  <si>
    <t xml:space="preserve">ILLOVO SUGAR LTD DALTON            </t>
  </si>
  <si>
    <t>INBA KUPANANDUM</t>
  </si>
  <si>
    <t>lindiwe</t>
  </si>
  <si>
    <t>POD received from cell 0848151688 M</t>
  </si>
  <si>
    <t xml:space="preserve">MUDI APPLIEDTECHNOLOGY             </t>
  </si>
  <si>
    <t>DAN VON BARGEN</t>
  </si>
  <si>
    <t xml:space="preserve">ILLOVO SUGAR LTD-SEZELA            </t>
  </si>
  <si>
    <t>THEMBA NHLANGULELA</t>
  </si>
  <si>
    <t>Niki</t>
  </si>
  <si>
    <t>anand</t>
  </si>
  <si>
    <t>merlin</t>
  </si>
  <si>
    <t>beloana</t>
  </si>
  <si>
    <t xml:space="preserve">Theo                          </t>
  </si>
  <si>
    <t xml:space="preserve">RHEINMETALL LAINGSDALE (PTY) L     </t>
  </si>
  <si>
    <t>colin</t>
  </si>
  <si>
    <t>RFES1162727717</t>
  </si>
  <si>
    <t>MORNE</t>
  </si>
  <si>
    <t>orea</t>
  </si>
  <si>
    <t xml:space="preserve">Leoni                         </t>
  </si>
  <si>
    <t>fes1162727736</t>
  </si>
  <si>
    <t>M ZUMA</t>
  </si>
  <si>
    <t>predon</t>
  </si>
  <si>
    <t>ERUE</t>
  </si>
  <si>
    <t>sheily</t>
  </si>
  <si>
    <t xml:space="preserve">KRONES SA PTY LTD                  </t>
  </si>
  <si>
    <t>nare</t>
  </si>
  <si>
    <t xml:space="preserve">RECKITT BENCKISER SA               </t>
  </si>
  <si>
    <t>KAVEER KISSON</t>
  </si>
  <si>
    <t>Sulane</t>
  </si>
  <si>
    <t>stephany</t>
  </si>
  <si>
    <t>kanyae</t>
  </si>
  <si>
    <t>lavona</t>
  </si>
  <si>
    <t>bobo</t>
  </si>
  <si>
    <t>POD received from cell 0768934183 M</t>
  </si>
  <si>
    <t xml:space="preserve">SPRING MEADOW DAIRY FARM (PTY)     </t>
  </si>
  <si>
    <t>spihephelo</t>
  </si>
  <si>
    <t>lionel</t>
  </si>
  <si>
    <t xml:space="preserve">VEENA                         </t>
  </si>
  <si>
    <t xml:space="preserve">POD received from cell 0735504483 M     </t>
  </si>
  <si>
    <t>vukile</t>
  </si>
  <si>
    <t>POD received from cell 0827850225 M</t>
  </si>
  <si>
    <t xml:space="preserve">ENTYCE BEVERAGES                   </t>
  </si>
  <si>
    <t>Matthew Orchard</t>
  </si>
  <si>
    <t xml:space="preserve">Mohammed                      </t>
  </si>
  <si>
    <t xml:space="preserve">POD received from cell 0731123851 M     </t>
  </si>
  <si>
    <t xml:space="preserve">CRABTREE ELECTRICAL ACCESSORIE     </t>
  </si>
  <si>
    <t>freda</t>
  </si>
  <si>
    <t xml:space="preserve">GROUP 1 ENGENEERING INTERNATIO     </t>
  </si>
  <si>
    <t>zipho</t>
  </si>
  <si>
    <t xml:space="preserve">Shaakir                       </t>
  </si>
  <si>
    <t xml:space="preserve">POWER TEAM SA (PTY) L.T.D          </t>
  </si>
  <si>
    <t>MORIS</t>
  </si>
  <si>
    <t xml:space="preserve">INDOCO REMEDIES                    </t>
  </si>
  <si>
    <t xml:space="preserve">leraato                       </t>
  </si>
  <si>
    <t>Bobo</t>
  </si>
  <si>
    <t>wayne</t>
  </si>
  <si>
    <t>jerusha</t>
  </si>
  <si>
    <t>vukule</t>
  </si>
  <si>
    <t>BHEKI</t>
  </si>
  <si>
    <t>N Naidoo</t>
  </si>
  <si>
    <t>ELMAR</t>
  </si>
  <si>
    <t xml:space="preserve">UMOYA AUTOMATION CC                </t>
  </si>
  <si>
    <t>SASH</t>
  </si>
  <si>
    <t xml:space="preserve">Berne                         </t>
  </si>
  <si>
    <t xml:space="preserve">POD received from cell 0727172649 M     </t>
  </si>
  <si>
    <t>CARA</t>
  </si>
  <si>
    <t xml:space="preserve">ANGELA                        </t>
  </si>
  <si>
    <t>warren</t>
  </si>
  <si>
    <t>PARTS</t>
  </si>
  <si>
    <t xml:space="preserve">FESTO JHB                          </t>
  </si>
  <si>
    <t>ATT 9CC DEPT</t>
  </si>
  <si>
    <t xml:space="preserve">BRIDGESTONE FIRESTONE SA PTY L     </t>
  </si>
  <si>
    <t xml:space="preserve">Esther                        </t>
  </si>
  <si>
    <t xml:space="preserve">DAPHNEY                       </t>
  </si>
  <si>
    <t xml:space="preserve">FESTO (PTY)LTD                     </t>
  </si>
  <si>
    <t xml:space="preserve">FESTO (PTY) LTD                    </t>
  </si>
  <si>
    <t>ROBBY MOFOKENG</t>
  </si>
  <si>
    <t>A STOLTZ</t>
  </si>
  <si>
    <t xml:space="preserve">MAVERICK                           </t>
  </si>
  <si>
    <t>..</t>
  </si>
  <si>
    <t>NASHMA</t>
  </si>
  <si>
    <t>thabiso</t>
  </si>
  <si>
    <t>qwase</t>
  </si>
  <si>
    <t>POD received from cell 0672422497 M</t>
  </si>
  <si>
    <t>Tracy</t>
  </si>
  <si>
    <t xml:space="preserve">Des Group (Pty) Ltd                </t>
  </si>
  <si>
    <t>Collect from Security</t>
  </si>
  <si>
    <t>TONY WILLIAMS</t>
  </si>
  <si>
    <t>Glenn de Klerk</t>
  </si>
  <si>
    <t xml:space="preserve">AUTOMATION WORKS GAUTENG (PTY)     </t>
  </si>
  <si>
    <t>Phincas</t>
  </si>
  <si>
    <t>mpho</t>
  </si>
  <si>
    <t>nobuhle</t>
  </si>
  <si>
    <t>kego</t>
  </si>
  <si>
    <t>Senzo</t>
  </si>
  <si>
    <t>GERALD</t>
  </si>
  <si>
    <t>DAPHNEY</t>
  </si>
  <si>
    <t xml:space="preserve">MMAPOLASE TRADING AND PROJECT      </t>
  </si>
  <si>
    <t>Solomon</t>
  </si>
  <si>
    <t>R S SARDHA</t>
  </si>
  <si>
    <t xml:space="preserve">Tshaka                        </t>
  </si>
  <si>
    <t xml:space="preserve">POD received from cell 0738726261 M     </t>
  </si>
  <si>
    <t>Danni</t>
  </si>
  <si>
    <t>MARCELLE</t>
  </si>
  <si>
    <t xml:space="preserve">A.P.L CARTONS PTY LTD              </t>
  </si>
  <si>
    <t>wezile</t>
  </si>
  <si>
    <t>olebo</t>
  </si>
  <si>
    <t>matthew</t>
  </si>
  <si>
    <t xml:space="preserve">FLSMIDTH (PTY) LTD                 </t>
  </si>
  <si>
    <t xml:space="preserve">jonas                         </t>
  </si>
  <si>
    <t xml:space="preserve">POD received from cell 0734890643 M     </t>
  </si>
  <si>
    <t>berochia</t>
  </si>
  <si>
    <t xml:space="preserve">PRECIOUS                      </t>
  </si>
  <si>
    <t>jeff</t>
  </si>
  <si>
    <t>derek</t>
  </si>
  <si>
    <t>SMASH</t>
  </si>
  <si>
    <t>terius</t>
  </si>
  <si>
    <t>m zuma</t>
  </si>
  <si>
    <t>Mina</t>
  </si>
  <si>
    <t>Roderick</t>
  </si>
  <si>
    <t>JNAIDE</t>
  </si>
  <si>
    <t>tertius</t>
  </si>
  <si>
    <t>Lefa</t>
  </si>
  <si>
    <t>Robert</t>
  </si>
  <si>
    <t>Desmond</t>
  </si>
  <si>
    <t>rozelle</t>
  </si>
  <si>
    <t xml:space="preserve">THEO                          </t>
  </si>
  <si>
    <t xml:space="preserve">RCL FOODS CONSUMER PTY        </t>
  </si>
  <si>
    <t xml:space="preserve">POD received from cell 0829677210 M     </t>
  </si>
  <si>
    <t>nonhlanhla</t>
  </si>
  <si>
    <t xml:space="preserve">dzaulo                        </t>
  </si>
  <si>
    <t xml:space="preserve">RACHEL                        </t>
  </si>
  <si>
    <t>AMSTE</t>
  </si>
  <si>
    <t>AMSTERDAM</t>
  </si>
  <si>
    <t xml:space="preserve">AGM 2 TRUST                        </t>
  </si>
  <si>
    <t>JOHANNES VAN ZYL</t>
  </si>
  <si>
    <t>Dawid</t>
  </si>
  <si>
    <t>POD received from cell 0733250519 M</t>
  </si>
  <si>
    <t xml:space="preserve">PCS GLOBAL (PTY) LTD               </t>
  </si>
  <si>
    <t>k gibbs</t>
  </si>
  <si>
    <t>Andrie</t>
  </si>
  <si>
    <t>DELIVER BEFOR 10:30</t>
  </si>
  <si>
    <t>PIETERNELLA</t>
  </si>
  <si>
    <t xml:space="preserve">shadrack                      </t>
  </si>
  <si>
    <t xml:space="preserve">Isaac                         </t>
  </si>
  <si>
    <t xml:space="preserve">PACKAGED METERING   PUMPING SO     </t>
  </si>
  <si>
    <t>braam</t>
  </si>
  <si>
    <t xml:space="preserve">Ricky                         </t>
  </si>
  <si>
    <t xml:space="preserve">MPUMATECH STAINLESS TUBES (PTY     </t>
  </si>
  <si>
    <t>SEBEBE</t>
  </si>
  <si>
    <t>Thabiso</t>
  </si>
  <si>
    <t xml:space="preserve">PIONEER FOODS GROCERIES (PTY)      </t>
  </si>
  <si>
    <t>PUMZO</t>
  </si>
  <si>
    <t>BOX BOX PARCEL</t>
  </si>
  <si>
    <t>rils</t>
  </si>
  <si>
    <t>Thabang</t>
  </si>
  <si>
    <t xml:space="preserve">CRICKLEY DAIRY CC                  </t>
  </si>
  <si>
    <t>MILLY</t>
  </si>
  <si>
    <t>RDY</t>
  </si>
  <si>
    <t>LAZARUS</t>
  </si>
  <si>
    <t>Account Total</t>
  </si>
</sst>
</file>

<file path=xl/styles.xml><?xml version="1.0" encoding="utf-8"?>
<styleSheet xmlns="http://schemas.openxmlformats.org/spreadsheetml/2006/main">
  <fonts count="2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6">
    <xf numFmtId="0" fontId="0" fillId="0" borderId="0" xfId="0"/>
    <xf numFmtId="0" fontId="1" fillId="0" borderId="0" xfId="0" applyFont="1" applyAlignment="1">
      <alignment horizontal="center" vertical="center" wrapText="1"/>
    </xf>
    <xf numFmtId="2" fontId="1" fillId="0" borderId="0" xfId="0" applyNumberFormat="1" applyFont="1" applyAlignment="1">
      <alignment horizontal="center" vertical="center" wrapText="1"/>
    </xf>
    <xf numFmtId="14" fontId="0" fillId="0" borderId="0" xfId="0" applyNumberFormat="1"/>
    <xf numFmtId="2" fontId="0" fillId="0" borderId="0" xfId="0" applyNumberFormat="1"/>
    <xf numFmtId="20" fontId="0" fillId="0" borderId="0" xfId="0" applyNumberFormat="1"/>
  </cellXfs>
  <cellStyles count="1"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>
  <dimension ref="A1:CN2571"/>
  <sheetViews>
    <sheetView tabSelected="1" workbookViewId="0">
      <selection activeCell="I2581" sqref="I2581"/>
    </sheetView>
  </sheetViews>
  <sheetFormatPr defaultRowHeight="15"/>
  <cols>
    <col min="6" max="6" width="14.28515625" customWidth="1"/>
    <col min="64" max="64" width="9.5703125" style="4" bestFit="1" customWidth="1"/>
    <col min="65" max="65" width="9.28515625" style="4" bestFit="1" customWidth="1"/>
    <col min="66" max="66" width="9.5703125" style="4" bestFit="1" customWidth="1"/>
    <col min="67" max="67" width="9.28515625" style="4" bestFit="1" customWidth="1"/>
  </cols>
  <sheetData>
    <row r="1" spans="1:92" ht="4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17</v>
      </c>
      <c r="U1" s="1" t="s">
        <v>19</v>
      </c>
      <c r="V1" s="1" t="s">
        <v>17</v>
      </c>
      <c r="W1" s="1" t="s">
        <v>20</v>
      </c>
      <c r="X1" s="1" t="s">
        <v>17</v>
      </c>
      <c r="Y1" s="1" t="s">
        <v>21</v>
      </c>
      <c r="Z1" s="1" t="s">
        <v>17</v>
      </c>
      <c r="AA1" s="1" t="s">
        <v>22</v>
      </c>
      <c r="AB1" s="1" t="s">
        <v>17</v>
      </c>
      <c r="AC1" s="1" t="s">
        <v>23</v>
      </c>
      <c r="AD1" s="1" t="s">
        <v>17</v>
      </c>
      <c r="AE1" s="1" t="s">
        <v>24</v>
      </c>
      <c r="AF1" s="1" t="s">
        <v>17</v>
      </c>
      <c r="AG1" s="1" t="s">
        <v>25</v>
      </c>
      <c r="AH1" s="1" t="s">
        <v>17</v>
      </c>
      <c r="AI1" s="1" t="s">
        <v>26</v>
      </c>
      <c r="AJ1" s="1" t="s">
        <v>17</v>
      </c>
      <c r="AK1" s="1" t="s">
        <v>27</v>
      </c>
      <c r="AL1" s="1" t="s">
        <v>17</v>
      </c>
      <c r="AM1" s="1" t="s">
        <v>28</v>
      </c>
      <c r="AN1" s="1" t="s">
        <v>17</v>
      </c>
      <c r="AO1" s="1" t="s">
        <v>29</v>
      </c>
      <c r="AP1" s="1" t="s">
        <v>17</v>
      </c>
      <c r="AQ1" s="1" t="s">
        <v>30</v>
      </c>
      <c r="AR1" s="1" t="s">
        <v>17</v>
      </c>
      <c r="AS1" s="1" t="s">
        <v>31</v>
      </c>
      <c r="AT1" s="1" t="s">
        <v>17</v>
      </c>
      <c r="AU1" s="1" t="s">
        <v>32</v>
      </c>
      <c r="AV1" s="1" t="s">
        <v>17</v>
      </c>
      <c r="AW1" s="1" t="s">
        <v>33</v>
      </c>
      <c r="AX1" s="1" t="s">
        <v>17</v>
      </c>
      <c r="AY1" s="1" t="s">
        <v>34</v>
      </c>
      <c r="AZ1" s="1" t="s">
        <v>17</v>
      </c>
      <c r="BA1" s="1" t="s">
        <v>35</v>
      </c>
      <c r="BB1" s="1" t="s">
        <v>17</v>
      </c>
      <c r="BC1" s="1" t="s">
        <v>36</v>
      </c>
      <c r="BD1" s="1" t="s">
        <v>17</v>
      </c>
      <c r="BE1" s="1" t="s">
        <v>37</v>
      </c>
      <c r="BF1" s="1" t="s">
        <v>17</v>
      </c>
      <c r="BG1" s="1" t="s">
        <v>38</v>
      </c>
      <c r="BH1" s="1" t="s">
        <v>39</v>
      </c>
      <c r="BI1" s="1" t="s">
        <v>40</v>
      </c>
      <c r="BJ1" s="1" t="s">
        <v>41</v>
      </c>
      <c r="BK1" s="1" t="s">
        <v>42</v>
      </c>
      <c r="BL1" s="2" t="s">
        <v>43</v>
      </c>
      <c r="BM1" s="2" t="s">
        <v>44</v>
      </c>
      <c r="BN1" s="2" t="s">
        <v>45</v>
      </c>
      <c r="BO1" s="2" t="s">
        <v>46</v>
      </c>
      <c r="BP1" s="1" t="s">
        <v>47</v>
      </c>
      <c r="BQ1" s="1" t="s">
        <v>48</v>
      </c>
      <c r="BR1" s="1" t="s">
        <v>49</v>
      </c>
      <c r="BS1" s="1" t="s">
        <v>50</v>
      </c>
      <c r="BT1" s="1" t="s">
        <v>51</v>
      </c>
      <c r="BU1" s="1" t="s">
        <v>52</v>
      </c>
      <c r="BV1" s="1" t="s">
        <v>53</v>
      </c>
      <c r="BW1" s="1" t="s">
        <v>54</v>
      </c>
      <c r="BX1" s="1" t="s">
        <v>55</v>
      </c>
      <c r="BY1" s="1" t="s">
        <v>56</v>
      </c>
      <c r="BZ1" s="1" t="s">
        <v>57</v>
      </c>
      <c r="CA1" s="1" t="s">
        <v>58</v>
      </c>
      <c r="CB1" s="1" t="s">
        <v>59</v>
      </c>
      <c r="CC1" s="1" t="s">
        <v>60</v>
      </c>
      <c r="CD1" s="1" t="s">
        <v>61</v>
      </c>
      <c r="CE1" s="1" t="s">
        <v>62</v>
      </c>
      <c r="CF1" s="1" t="s">
        <v>63</v>
      </c>
      <c r="CG1" s="1" t="s">
        <v>64</v>
      </c>
      <c r="CH1" s="1" t="s">
        <v>65</v>
      </c>
      <c r="CI1" s="1" t="s">
        <v>66</v>
      </c>
      <c r="CJ1" s="1" t="s">
        <v>67</v>
      </c>
      <c r="CK1" s="1" t="s">
        <v>68</v>
      </c>
      <c r="CL1" s="1" t="s">
        <v>69</v>
      </c>
      <c r="CM1" s="1" t="s">
        <v>70</v>
      </c>
      <c r="CN1" s="1" t="s">
        <v>71</v>
      </c>
    </row>
    <row r="2" spans="1:92">
      <c r="A2" t="s">
        <v>72</v>
      </c>
      <c r="B2" t="s">
        <v>73</v>
      </c>
      <c r="C2" t="s">
        <v>74</v>
      </c>
      <c r="E2" t="str">
        <f>"FES1162729088"</f>
        <v>FES1162729088</v>
      </c>
      <c r="F2" s="3">
        <v>43818</v>
      </c>
      <c r="G2">
        <v>202006</v>
      </c>
      <c r="H2" t="s">
        <v>75</v>
      </c>
      <c r="I2" t="s">
        <v>76</v>
      </c>
      <c r="J2" t="s">
        <v>77</v>
      </c>
      <c r="K2" t="s">
        <v>78</v>
      </c>
      <c r="L2" t="s">
        <v>79</v>
      </c>
      <c r="M2" t="s">
        <v>80</v>
      </c>
      <c r="N2" t="s">
        <v>81</v>
      </c>
      <c r="O2" t="s">
        <v>82</v>
      </c>
      <c r="P2" t="str">
        <f>"21707320445                   "</f>
        <v xml:space="preserve">21707320445                   </v>
      </c>
      <c r="Q2">
        <v>0</v>
      </c>
      <c r="R2">
        <v>0</v>
      </c>
      <c r="S2">
        <v>0</v>
      </c>
      <c r="T2">
        <v>0</v>
      </c>
      <c r="U2">
        <v>0</v>
      </c>
      <c r="V2">
        <v>0</v>
      </c>
      <c r="W2">
        <v>0</v>
      </c>
      <c r="X2">
        <v>0</v>
      </c>
      <c r="Y2">
        <v>0</v>
      </c>
      <c r="Z2">
        <v>0</v>
      </c>
      <c r="AA2">
        <v>0</v>
      </c>
      <c r="AB2">
        <v>0</v>
      </c>
      <c r="AC2">
        <v>0</v>
      </c>
      <c r="AD2">
        <v>0</v>
      </c>
      <c r="AE2">
        <v>0</v>
      </c>
      <c r="AF2">
        <v>0</v>
      </c>
      <c r="AG2">
        <v>0</v>
      </c>
      <c r="AH2">
        <v>0</v>
      </c>
      <c r="AI2">
        <v>0</v>
      </c>
      <c r="AJ2">
        <v>0</v>
      </c>
      <c r="AK2">
        <v>0</v>
      </c>
      <c r="AL2">
        <v>0</v>
      </c>
      <c r="AM2">
        <v>8.58</v>
      </c>
      <c r="AN2">
        <v>0</v>
      </c>
      <c r="AO2">
        <v>0</v>
      </c>
      <c r="AP2">
        <v>0</v>
      </c>
      <c r="AQ2">
        <v>0</v>
      </c>
      <c r="AR2">
        <v>0</v>
      </c>
      <c r="AS2">
        <v>0</v>
      </c>
      <c r="AT2">
        <v>0</v>
      </c>
      <c r="AU2">
        <v>0</v>
      </c>
      <c r="AV2">
        <v>0</v>
      </c>
      <c r="AW2">
        <v>0</v>
      </c>
      <c r="AX2">
        <v>0</v>
      </c>
      <c r="AY2">
        <v>0</v>
      </c>
      <c r="AZ2">
        <v>0</v>
      </c>
      <c r="BA2">
        <v>0</v>
      </c>
      <c r="BB2">
        <v>0</v>
      </c>
      <c r="BC2">
        <v>0</v>
      </c>
      <c r="BD2">
        <v>0</v>
      </c>
      <c r="BE2">
        <v>0</v>
      </c>
      <c r="BF2">
        <v>0</v>
      </c>
      <c r="BG2">
        <v>0</v>
      </c>
      <c r="BH2">
        <v>1</v>
      </c>
      <c r="BI2">
        <v>1</v>
      </c>
      <c r="BJ2">
        <v>0.2</v>
      </c>
      <c r="BK2">
        <v>1</v>
      </c>
      <c r="BL2" s="4">
        <v>50.45</v>
      </c>
      <c r="BM2" s="4">
        <v>7.57</v>
      </c>
      <c r="BN2" s="4">
        <v>58.02</v>
      </c>
      <c r="BO2" s="4">
        <v>58.02</v>
      </c>
      <c r="BQ2" t="s">
        <v>83</v>
      </c>
      <c r="BR2" t="s">
        <v>84</v>
      </c>
      <c r="BS2" s="3">
        <v>43819</v>
      </c>
      <c r="BT2" s="5">
        <v>0.38680555555555557</v>
      </c>
      <c r="BU2" t="s">
        <v>85</v>
      </c>
      <c r="BV2" t="s">
        <v>86</v>
      </c>
      <c r="BY2">
        <v>1200</v>
      </c>
      <c r="CA2" t="s">
        <v>87</v>
      </c>
      <c r="CC2" t="s">
        <v>80</v>
      </c>
      <c r="CD2">
        <v>6045</v>
      </c>
      <c r="CE2" t="s">
        <v>88</v>
      </c>
      <c r="CF2" s="3">
        <v>43822</v>
      </c>
      <c r="CI2">
        <v>1</v>
      </c>
      <c r="CJ2">
        <v>1</v>
      </c>
      <c r="CK2">
        <v>21</v>
      </c>
      <c r="CL2" t="s">
        <v>89</v>
      </c>
    </row>
    <row r="3" spans="1:92">
      <c r="A3" t="s">
        <v>72</v>
      </c>
      <c r="B3" t="s">
        <v>73</v>
      </c>
      <c r="C3" t="s">
        <v>74</v>
      </c>
      <c r="E3" t="str">
        <f>"FES1162727080"</f>
        <v>FES1162727080</v>
      </c>
      <c r="F3" s="3">
        <v>43804</v>
      </c>
      <c r="G3">
        <v>202006</v>
      </c>
      <c r="H3" t="s">
        <v>75</v>
      </c>
      <c r="I3" t="s">
        <v>76</v>
      </c>
      <c r="J3" t="s">
        <v>77</v>
      </c>
      <c r="K3" t="s">
        <v>78</v>
      </c>
      <c r="L3" t="s">
        <v>90</v>
      </c>
      <c r="M3" t="s">
        <v>91</v>
      </c>
      <c r="N3" t="s">
        <v>92</v>
      </c>
      <c r="O3" t="s">
        <v>82</v>
      </c>
      <c r="P3" t="str">
        <f>"2170708555                    "</f>
        <v xml:space="preserve">2170708555                    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8.58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1</v>
      </c>
      <c r="BI3">
        <v>0.2</v>
      </c>
      <c r="BJ3">
        <v>1.4</v>
      </c>
      <c r="BK3">
        <v>1.5</v>
      </c>
      <c r="BL3" s="4">
        <v>50.45</v>
      </c>
      <c r="BM3" s="4">
        <v>7.57</v>
      </c>
      <c r="BN3" s="4">
        <v>58.02</v>
      </c>
      <c r="BO3" s="4">
        <v>58.02</v>
      </c>
      <c r="BQ3" t="s">
        <v>93</v>
      </c>
      <c r="BR3" t="s">
        <v>84</v>
      </c>
      <c r="BS3" s="3">
        <v>43805</v>
      </c>
      <c r="BT3" s="5">
        <v>0.37361111111111112</v>
      </c>
      <c r="BU3" t="s">
        <v>94</v>
      </c>
      <c r="BV3" t="s">
        <v>86</v>
      </c>
      <c r="BY3">
        <v>7048.58</v>
      </c>
      <c r="CA3" t="s">
        <v>95</v>
      </c>
      <c r="CC3" t="s">
        <v>91</v>
      </c>
      <c r="CD3">
        <v>7764</v>
      </c>
      <c r="CE3" t="s">
        <v>96</v>
      </c>
      <c r="CF3" s="3">
        <v>43808</v>
      </c>
      <c r="CI3">
        <v>1</v>
      </c>
      <c r="CJ3">
        <v>1</v>
      </c>
      <c r="CK3">
        <v>21</v>
      </c>
      <c r="CL3" t="s">
        <v>89</v>
      </c>
    </row>
    <row r="4" spans="1:92">
      <c r="A4" t="s">
        <v>72</v>
      </c>
      <c r="B4" t="s">
        <v>73</v>
      </c>
      <c r="C4" t="s">
        <v>74</v>
      </c>
      <c r="E4" t="str">
        <f>"FES1162727057"</f>
        <v>FES1162727057</v>
      </c>
      <c r="F4" s="3">
        <v>43804</v>
      </c>
      <c r="G4">
        <v>202006</v>
      </c>
      <c r="H4" t="s">
        <v>75</v>
      </c>
      <c r="I4" t="s">
        <v>76</v>
      </c>
      <c r="J4" t="s">
        <v>77</v>
      </c>
      <c r="K4" t="s">
        <v>78</v>
      </c>
      <c r="L4" t="s">
        <v>79</v>
      </c>
      <c r="M4" t="s">
        <v>80</v>
      </c>
      <c r="N4" t="s">
        <v>97</v>
      </c>
      <c r="O4" t="s">
        <v>82</v>
      </c>
      <c r="P4" t="str">
        <f>"2170720531                    "</f>
        <v xml:space="preserve">2170720531                    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8.58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1</v>
      </c>
      <c r="BI4">
        <v>1</v>
      </c>
      <c r="BJ4">
        <v>0.2</v>
      </c>
      <c r="BK4">
        <v>1</v>
      </c>
      <c r="BL4" s="4">
        <v>50.45</v>
      </c>
      <c r="BM4" s="4">
        <v>7.57</v>
      </c>
      <c r="BN4" s="4">
        <v>58.02</v>
      </c>
      <c r="BO4" s="4">
        <v>58.02</v>
      </c>
      <c r="BQ4" t="s">
        <v>93</v>
      </c>
      <c r="BR4" t="s">
        <v>84</v>
      </c>
      <c r="BS4" s="3">
        <v>43805</v>
      </c>
      <c r="BT4" s="5">
        <v>0.33888888888888885</v>
      </c>
      <c r="BU4" t="s">
        <v>98</v>
      </c>
      <c r="BV4" t="s">
        <v>86</v>
      </c>
      <c r="BY4">
        <v>1200</v>
      </c>
      <c r="CA4" t="s">
        <v>99</v>
      </c>
      <c r="CC4" t="s">
        <v>80</v>
      </c>
      <c r="CD4">
        <v>6001</v>
      </c>
      <c r="CE4" t="s">
        <v>88</v>
      </c>
      <c r="CF4" s="3">
        <v>43808</v>
      </c>
      <c r="CI4">
        <v>1</v>
      </c>
      <c r="CJ4">
        <v>1</v>
      </c>
      <c r="CK4">
        <v>21</v>
      </c>
      <c r="CL4" t="s">
        <v>89</v>
      </c>
    </row>
    <row r="5" spans="1:92">
      <c r="A5" t="s">
        <v>72</v>
      </c>
      <c r="B5" t="s">
        <v>73</v>
      </c>
      <c r="C5" t="s">
        <v>74</v>
      </c>
      <c r="E5" t="str">
        <f>"FES1162725791"</f>
        <v>FES1162725791</v>
      </c>
      <c r="F5" s="3">
        <v>43798</v>
      </c>
      <c r="G5">
        <v>202006</v>
      </c>
      <c r="H5" t="s">
        <v>75</v>
      </c>
      <c r="I5" t="s">
        <v>76</v>
      </c>
      <c r="J5" t="s">
        <v>100</v>
      </c>
      <c r="K5" t="s">
        <v>78</v>
      </c>
      <c r="L5" t="s">
        <v>101</v>
      </c>
      <c r="M5" t="s">
        <v>102</v>
      </c>
      <c r="N5" t="s">
        <v>103</v>
      </c>
      <c r="O5" t="s">
        <v>104</v>
      </c>
      <c r="P5" t="str">
        <f>"2170715852                    "</f>
        <v xml:space="preserve">2170715852                    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14.75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1</v>
      </c>
      <c r="BI5">
        <v>5.0999999999999996</v>
      </c>
      <c r="BJ5">
        <v>9.1999999999999993</v>
      </c>
      <c r="BK5">
        <v>10</v>
      </c>
      <c r="BL5" s="4">
        <v>91.71</v>
      </c>
      <c r="BM5" s="4">
        <v>13.76</v>
      </c>
      <c r="BN5" s="4">
        <v>105.47</v>
      </c>
      <c r="BO5" s="4">
        <v>105.47</v>
      </c>
      <c r="BQ5" t="s">
        <v>93</v>
      </c>
      <c r="BR5" t="s">
        <v>105</v>
      </c>
      <c r="BS5" s="3">
        <v>43801</v>
      </c>
      <c r="BT5" s="5">
        <v>0.33958333333333335</v>
      </c>
      <c r="BU5" t="s">
        <v>106</v>
      </c>
      <c r="BV5" t="s">
        <v>86</v>
      </c>
      <c r="BY5">
        <v>45914.57</v>
      </c>
      <c r="CA5" t="s">
        <v>107</v>
      </c>
      <c r="CC5" t="s">
        <v>102</v>
      </c>
      <c r="CD5">
        <v>1</v>
      </c>
      <c r="CE5" t="s">
        <v>96</v>
      </c>
      <c r="CF5" s="3">
        <v>43802</v>
      </c>
      <c r="CI5">
        <v>0</v>
      </c>
      <c r="CJ5">
        <v>0</v>
      </c>
      <c r="CK5" t="s">
        <v>108</v>
      </c>
      <c r="CL5" t="s">
        <v>89</v>
      </c>
    </row>
    <row r="6" spans="1:92">
      <c r="A6" t="s">
        <v>72</v>
      </c>
      <c r="B6" t="s">
        <v>73</v>
      </c>
      <c r="C6" t="s">
        <v>74</v>
      </c>
      <c r="E6" t="str">
        <f>"FES1162725910"</f>
        <v>FES1162725910</v>
      </c>
      <c r="F6" s="3">
        <v>43798</v>
      </c>
      <c r="G6">
        <v>202006</v>
      </c>
      <c r="H6" t="s">
        <v>75</v>
      </c>
      <c r="I6" t="s">
        <v>76</v>
      </c>
      <c r="J6" t="s">
        <v>100</v>
      </c>
      <c r="K6" t="s">
        <v>78</v>
      </c>
      <c r="L6" t="s">
        <v>109</v>
      </c>
      <c r="M6" t="s">
        <v>91</v>
      </c>
      <c r="N6" t="s">
        <v>110</v>
      </c>
      <c r="O6" t="s">
        <v>104</v>
      </c>
      <c r="P6" t="str">
        <f>"2170719455                    "</f>
        <v xml:space="preserve">2170719455                    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29.61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1</v>
      </c>
      <c r="BI6">
        <v>20.7</v>
      </c>
      <c r="BJ6">
        <v>31</v>
      </c>
      <c r="BK6">
        <v>31</v>
      </c>
      <c r="BL6" s="4">
        <v>179.04</v>
      </c>
      <c r="BM6" s="4">
        <v>26.86</v>
      </c>
      <c r="BN6" s="4">
        <v>205.9</v>
      </c>
      <c r="BO6" s="4">
        <v>205.9</v>
      </c>
      <c r="BQ6" t="s">
        <v>93</v>
      </c>
      <c r="BR6" t="s">
        <v>105</v>
      </c>
      <c r="BS6" s="3">
        <v>43801</v>
      </c>
      <c r="BT6" s="5">
        <v>0.29444444444444445</v>
      </c>
      <c r="BU6" t="s">
        <v>111</v>
      </c>
      <c r="BV6" t="s">
        <v>86</v>
      </c>
      <c r="BY6">
        <v>155044.56</v>
      </c>
      <c r="CA6" t="s">
        <v>112</v>
      </c>
      <c r="CC6" t="s">
        <v>91</v>
      </c>
      <c r="CD6">
        <v>7405</v>
      </c>
      <c r="CE6" t="s">
        <v>96</v>
      </c>
      <c r="CF6" s="3">
        <v>43802</v>
      </c>
      <c r="CI6">
        <v>2</v>
      </c>
      <c r="CJ6">
        <v>1</v>
      </c>
      <c r="CK6" t="s">
        <v>113</v>
      </c>
      <c r="CL6" t="s">
        <v>89</v>
      </c>
    </row>
    <row r="7" spans="1:92">
      <c r="A7" t="s">
        <v>72</v>
      </c>
      <c r="B7" t="s">
        <v>73</v>
      </c>
      <c r="C7" t="s">
        <v>74</v>
      </c>
      <c r="E7" t="str">
        <f>"FES1162725825"</f>
        <v>FES1162725825</v>
      </c>
      <c r="F7" s="3">
        <v>43798</v>
      </c>
      <c r="G7">
        <v>202006</v>
      </c>
      <c r="H7" t="s">
        <v>75</v>
      </c>
      <c r="I7" t="s">
        <v>76</v>
      </c>
      <c r="J7" t="s">
        <v>100</v>
      </c>
      <c r="K7" t="s">
        <v>78</v>
      </c>
      <c r="L7" t="s">
        <v>109</v>
      </c>
      <c r="M7" t="s">
        <v>91</v>
      </c>
      <c r="N7" t="s">
        <v>92</v>
      </c>
      <c r="O7" t="s">
        <v>104</v>
      </c>
      <c r="P7" t="str">
        <f>"2170719401                    "</f>
        <v xml:space="preserve">2170719401                    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22.84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1</v>
      </c>
      <c r="BI7">
        <v>10</v>
      </c>
      <c r="BJ7">
        <v>21.6</v>
      </c>
      <c r="BK7">
        <v>22</v>
      </c>
      <c r="BL7" s="4">
        <v>139.24</v>
      </c>
      <c r="BM7" s="4">
        <v>20.89</v>
      </c>
      <c r="BN7" s="4">
        <v>160.13</v>
      </c>
      <c r="BO7" s="4">
        <v>160.13</v>
      </c>
      <c r="BQ7" t="s">
        <v>93</v>
      </c>
      <c r="BR7" t="s">
        <v>105</v>
      </c>
      <c r="BS7" s="3">
        <v>43801</v>
      </c>
      <c r="BT7" s="5">
        <v>0.36180555555555555</v>
      </c>
      <c r="BU7" t="s">
        <v>114</v>
      </c>
      <c r="BV7" t="s">
        <v>86</v>
      </c>
      <c r="BY7">
        <v>107942.04</v>
      </c>
      <c r="CA7" t="s">
        <v>115</v>
      </c>
      <c r="CC7" t="s">
        <v>91</v>
      </c>
      <c r="CD7">
        <v>7764</v>
      </c>
      <c r="CE7" t="s">
        <v>116</v>
      </c>
      <c r="CF7" s="3">
        <v>43802</v>
      </c>
      <c r="CI7">
        <v>2</v>
      </c>
      <c r="CJ7">
        <v>1</v>
      </c>
      <c r="CK7" t="s">
        <v>113</v>
      </c>
      <c r="CL7" t="s">
        <v>89</v>
      </c>
    </row>
    <row r="8" spans="1:92">
      <c r="A8" t="s">
        <v>72</v>
      </c>
      <c r="B8" t="s">
        <v>73</v>
      </c>
      <c r="C8" t="s">
        <v>74</v>
      </c>
      <c r="E8" t="str">
        <f>"FES1162725909"</f>
        <v>FES1162725909</v>
      </c>
      <c r="F8" s="3">
        <v>43797</v>
      </c>
      <c r="G8">
        <v>202006</v>
      </c>
      <c r="H8" t="s">
        <v>75</v>
      </c>
      <c r="I8" t="s">
        <v>76</v>
      </c>
      <c r="J8" t="s">
        <v>100</v>
      </c>
      <c r="K8" t="s">
        <v>78</v>
      </c>
      <c r="L8" t="s">
        <v>117</v>
      </c>
      <c r="M8" t="s">
        <v>118</v>
      </c>
      <c r="N8" t="s">
        <v>119</v>
      </c>
      <c r="O8" t="s">
        <v>104</v>
      </c>
      <c r="P8" t="str">
        <f>"2170719453                    "</f>
        <v xml:space="preserve">2170719453                    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13.69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2</v>
      </c>
      <c r="BI8">
        <v>18.8</v>
      </c>
      <c r="BJ8">
        <v>13.2</v>
      </c>
      <c r="BK8">
        <v>19</v>
      </c>
      <c r="BL8" s="4">
        <v>85.45</v>
      </c>
      <c r="BM8" s="4">
        <v>12.82</v>
      </c>
      <c r="BN8" s="4">
        <v>98.27</v>
      </c>
      <c r="BO8" s="4">
        <v>98.27</v>
      </c>
      <c r="BQ8" t="s">
        <v>93</v>
      </c>
      <c r="BR8" t="s">
        <v>105</v>
      </c>
      <c r="BS8" s="3">
        <v>43798</v>
      </c>
      <c r="BT8" s="5">
        <v>0.42222222222222222</v>
      </c>
      <c r="BU8" t="s">
        <v>120</v>
      </c>
      <c r="BV8" t="s">
        <v>86</v>
      </c>
      <c r="BY8">
        <v>65826.13</v>
      </c>
      <c r="CA8" t="s">
        <v>121</v>
      </c>
      <c r="CC8" t="s">
        <v>118</v>
      </c>
      <c r="CD8">
        <v>1540</v>
      </c>
      <c r="CE8" t="s">
        <v>122</v>
      </c>
      <c r="CF8" s="3">
        <v>43801</v>
      </c>
      <c r="CI8">
        <v>1</v>
      </c>
      <c r="CJ8">
        <v>1</v>
      </c>
      <c r="CK8" t="s">
        <v>123</v>
      </c>
      <c r="CL8" t="s">
        <v>89</v>
      </c>
    </row>
    <row r="9" spans="1:92">
      <c r="A9" t="s">
        <v>72</v>
      </c>
      <c r="B9" t="s">
        <v>73</v>
      </c>
      <c r="C9" t="s">
        <v>74</v>
      </c>
      <c r="E9" t="str">
        <f>"019911311453"</f>
        <v>019911311453</v>
      </c>
      <c r="F9" s="3">
        <v>43797</v>
      </c>
      <c r="G9">
        <v>202006</v>
      </c>
      <c r="H9" t="s">
        <v>90</v>
      </c>
      <c r="I9" t="s">
        <v>91</v>
      </c>
      <c r="J9" t="s">
        <v>124</v>
      </c>
      <c r="K9" t="s">
        <v>78</v>
      </c>
      <c r="L9" t="s">
        <v>75</v>
      </c>
      <c r="M9" t="s">
        <v>76</v>
      </c>
      <c r="N9" t="s">
        <v>125</v>
      </c>
      <c r="O9" t="s">
        <v>104</v>
      </c>
      <c r="P9" t="str">
        <f>"1703                          "</f>
        <v xml:space="preserve">1703                          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35.630000000000003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1</v>
      </c>
      <c r="BI9">
        <v>17.7</v>
      </c>
      <c r="BJ9">
        <v>38.700000000000003</v>
      </c>
      <c r="BK9">
        <v>39</v>
      </c>
      <c r="BL9" s="4">
        <v>214.42</v>
      </c>
      <c r="BM9" s="4">
        <v>32.159999999999997</v>
      </c>
      <c r="BN9" s="4">
        <v>246.58</v>
      </c>
      <c r="BO9" s="4">
        <v>246.58</v>
      </c>
      <c r="BQ9" t="s">
        <v>126</v>
      </c>
      <c r="BR9" t="s">
        <v>127</v>
      </c>
      <c r="BS9" s="3">
        <v>43798</v>
      </c>
      <c r="BT9" s="5">
        <v>0.33333333333333331</v>
      </c>
      <c r="BU9" t="s">
        <v>128</v>
      </c>
      <c r="BV9" t="s">
        <v>86</v>
      </c>
      <c r="BY9">
        <v>193477.68</v>
      </c>
      <c r="CC9" t="s">
        <v>76</v>
      </c>
      <c r="CD9">
        <v>1619</v>
      </c>
      <c r="CE9" t="s">
        <v>116</v>
      </c>
      <c r="CF9" s="3">
        <v>43801</v>
      </c>
      <c r="CI9">
        <v>2</v>
      </c>
      <c r="CJ9">
        <v>1</v>
      </c>
      <c r="CK9" t="s">
        <v>113</v>
      </c>
      <c r="CL9" t="s">
        <v>89</v>
      </c>
    </row>
    <row r="10" spans="1:92">
      <c r="A10" t="s">
        <v>72</v>
      </c>
      <c r="B10" t="s">
        <v>73</v>
      </c>
      <c r="C10" t="s">
        <v>74</v>
      </c>
      <c r="E10" t="str">
        <f>"FES1162725647"</f>
        <v>FES1162725647</v>
      </c>
      <c r="F10" s="3">
        <v>43798</v>
      </c>
      <c r="G10">
        <v>202006</v>
      </c>
      <c r="H10" t="s">
        <v>75</v>
      </c>
      <c r="I10" t="s">
        <v>76</v>
      </c>
      <c r="J10" t="s">
        <v>100</v>
      </c>
      <c r="K10" t="s">
        <v>78</v>
      </c>
      <c r="L10" t="s">
        <v>79</v>
      </c>
      <c r="M10" t="s">
        <v>80</v>
      </c>
      <c r="N10" t="s">
        <v>129</v>
      </c>
      <c r="O10" t="s">
        <v>104</v>
      </c>
      <c r="P10" t="str">
        <f>"2170715445                    "</f>
        <v xml:space="preserve">2170715445                    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27.35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1</v>
      </c>
      <c r="BI10">
        <v>19.600000000000001</v>
      </c>
      <c r="BJ10">
        <v>27.9</v>
      </c>
      <c r="BK10">
        <v>28</v>
      </c>
      <c r="BL10" s="4">
        <v>165.77</v>
      </c>
      <c r="BM10" s="4">
        <v>24.87</v>
      </c>
      <c r="BN10" s="4">
        <v>190.64</v>
      </c>
      <c r="BO10" s="4">
        <v>190.64</v>
      </c>
      <c r="BQ10" t="s">
        <v>93</v>
      </c>
      <c r="BR10" t="s">
        <v>105</v>
      </c>
      <c r="BS10" s="3">
        <v>43801</v>
      </c>
      <c r="BT10" s="5">
        <v>0.39374999999999999</v>
      </c>
      <c r="BU10" t="s">
        <v>130</v>
      </c>
      <c r="BV10" t="s">
        <v>86</v>
      </c>
      <c r="BY10">
        <v>139615.13</v>
      </c>
      <c r="CA10" t="s">
        <v>131</v>
      </c>
      <c r="CC10" t="s">
        <v>80</v>
      </c>
      <c r="CD10">
        <v>6001</v>
      </c>
      <c r="CE10" t="s">
        <v>116</v>
      </c>
      <c r="CF10" s="3">
        <v>43802</v>
      </c>
      <c r="CI10">
        <v>2</v>
      </c>
      <c r="CJ10">
        <v>1</v>
      </c>
      <c r="CK10" t="s">
        <v>113</v>
      </c>
      <c r="CL10" t="s">
        <v>89</v>
      </c>
    </row>
    <row r="11" spans="1:92">
      <c r="A11" t="s">
        <v>72</v>
      </c>
      <c r="B11" t="s">
        <v>73</v>
      </c>
      <c r="C11" t="s">
        <v>74</v>
      </c>
      <c r="E11" t="str">
        <f>"FES1162725747"</f>
        <v>FES1162725747</v>
      </c>
      <c r="F11" s="3">
        <v>43798</v>
      </c>
      <c r="G11">
        <v>202006</v>
      </c>
      <c r="H11" t="s">
        <v>75</v>
      </c>
      <c r="I11" t="s">
        <v>76</v>
      </c>
      <c r="J11" t="s">
        <v>100</v>
      </c>
      <c r="K11" t="s">
        <v>78</v>
      </c>
      <c r="L11" t="s">
        <v>132</v>
      </c>
      <c r="M11" t="s">
        <v>133</v>
      </c>
      <c r="N11" t="s">
        <v>134</v>
      </c>
      <c r="O11" t="s">
        <v>104</v>
      </c>
      <c r="P11" t="str">
        <f>"217071418                     "</f>
        <v xml:space="preserve">217071418                     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14.75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1</v>
      </c>
      <c r="BI11">
        <v>10.5</v>
      </c>
      <c r="BJ11">
        <v>6.4</v>
      </c>
      <c r="BK11">
        <v>11</v>
      </c>
      <c r="BL11" s="4">
        <v>91.71</v>
      </c>
      <c r="BM11" s="4">
        <v>13.76</v>
      </c>
      <c r="BN11" s="4">
        <v>105.47</v>
      </c>
      <c r="BO11" s="4">
        <v>105.47</v>
      </c>
      <c r="BQ11" t="s">
        <v>135</v>
      </c>
      <c r="BR11" t="s">
        <v>105</v>
      </c>
      <c r="BS11" s="3">
        <v>43801</v>
      </c>
      <c r="BT11" s="5">
        <v>0.33680555555555558</v>
      </c>
      <c r="BU11" t="s">
        <v>136</v>
      </c>
      <c r="BV11" t="s">
        <v>86</v>
      </c>
      <c r="BY11">
        <v>31997.86</v>
      </c>
      <c r="CA11" t="s">
        <v>137</v>
      </c>
      <c r="CC11" t="s">
        <v>133</v>
      </c>
      <c r="CD11">
        <v>157</v>
      </c>
      <c r="CE11" t="s">
        <v>116</v>
      </c>
      <c r="CF11" s="3">
        <v>43802</v>
      </c>
      <c r="CI11">
        <v>0</v>
      </c>
      <c r="CJ11">
        <v>0</v>
      </c>
      <c r="CK11" t="s">
        <v>108</v>
      </c>
      <c r="CL11" t="s">
        <v>89</v>
      </c>
    </row>
    <row r="12" spans="1:92">
      <c r="A12" t="s">
        <v>72</v>
      </c>
      <c r="B12" t="s">
        <v>73</v>
      </c>
      <c r="C12" t="s">
        <v>74</v>
      </c>
      <c r="E12" t="str">
        <f>"FES1162725899"</f>
        <v>FES1162725899</v>
      </c>
      <c r="F12" s="3">
        <v>43797</v>
      </c>
      <c r="G12">
        <v>202006</v>
      </c>
      <c r="H12" t="s">
        <v>75</v>
      </c>
      <c r="I12" t="s">
        <v>76</v>
      </c>
      <c r="J12" t="s">
        <v>100</v>
      </c>
      <c r="K12" t="s">
        <v>78</v>
      </c>
      <c r="L12" t="s">
        <v>138</v>
      </c>
      <c r="M12" t="s">
        <v>139</v>
      </c>
      <c r="N12" t="s">
        <v>140</v>
      </c>
      <c r="O12" t="s">
        <v>104</v>
      </c>
      <c r="P12" t="str">
        <f>"2170719445                    "</f>
        <v xml:space="preserve">2170719445                    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19.34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1</v>
      </c>
      <c r="BI12">
        <v>16.8</v>
      </c>
      <c r="BJ12">
        <v>32.200000000000003</v>
      </c>
      <c r="BK12">
        <v>33</v>
      </c>
      <c r="BL12" s="4">
        <v>118.68</v>
      </c>
      <c r="BM12" s="4">
        <v>17.8</v>
      </c>
      <c r="BN12" s="4">
        <v>136.47999999999999</v>
      </c>
      <c r="BO12" s="4">
        <v>136.47999999999999</v>
      </c>
      <c r="BQ12" t="s">
        <v>141</v>
      </c>
      <c r="BR12" t="s">
        <v>105</v>
      </c>
      <c r="BS12" s="3">
        <v>43798</v>
      </c>
      <c r="BT12" s="5">
        <v>0.43402777777777773</v>
      </c>
      <c r="BU12" t="s">
        <v>142</v>
      </c>
      <c r="BV12" t="s">
        <v>86</v>
      </c>
      <c r="BY12">
        <v>161187.89000000001</v>
      </c>
      <c r="CC12" t="s">
        <v>139</v>
      </c>
      <c r="CD12">
        <v>1401</v>
      </c>
      <c r="CE12" t="s">
        <v>96</v>
      </c>
      <c r="CF12" s="3">
        <v>43801</v>
      </c>
      <c r="CI12">
        <v>1</v>
      </c>
      <c r="CJ12">
        <v>1</v>
      </c>
      <c r="CK12" t="s">
        <v>123</v>
      </c>
      <c r="CL12" t="s">
        <v>89</v>
      </c>
    </row>
    <row r="13" spans="1:92">
      <c r="A13" t="s">
        <v>72</v>
      </c>
      <c r="B13" t="s">
        <v>73</v>
      </c>
      <c r="C13" t="s">
        <v>74</v>
      </c>
      <c r="E13" t="str">
        <f>"FES1162725817"</f>
        <v>FES1162725817</v>
      </c>
      <c r="F13" s="3">
        <v>43798</v>
      </c>
      <c r="G13">
        <v>202006</v>
      </c>
      <c r="H13" t="s">
        <v>75</v>
      </c>
      <c r="I13" t="s">
        <v>76</v>
      </c>
      <c r="J13" t="s">
        <v>100</v>
      </c>
      <c r="K13" t="s">
        <v>78</v>
      </c>
      <c r="L13" t="s">
        <v>109</v>
      </c>
      <c r="M13" t="s">
        <v>91</v>
      </c>
      <c r="N13" t="s">
        <v>143</v>
      </c>
      <c r="O13" t="s">
        <v>104</v>
      </c>
      <c r="P13" t="str">
        <f>"2170719387                    "</f>
        <v xml:space="preserve">2170719387                    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29.61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1</v>
      </c>
      <c r="BI13">
        <v>16.7</v>
      </c>
      <c r="BJ13">
        <v>30.2</v>
      </c>
      <c r="BK13">
        <v>31</v>
      </c>
      <c r="BL13" s="4">
        <v>179.04</v>
      </c>
      <c r="BM13" s="4">
        <v>26.86</v>
      </c>
      <c r="BN13" s="4">
        <v>205.9</v>
      </c>
      <c r="BO13" s="4">
        <v>205.9</v>
      </c>
      <c r="BQ13" t="s">
        <v>93</v>
      </c>
      <c r="BR13" t="s">
        <v>105</v>
      </c>
      <c r="BS13" s="3">
        <v>43801</v>
      </c>
      <c r="BT13" s="5">
        <v>0.40416666666666662</v>
      </c>
      <c r="BU13" t="s">
        <v>144</v>
      </c>
      <c r="BV13" t="s">
        <v>86</v>
      </c>
      <c r="BY13">
        <v>151122.35999999999</v>
      </c>
      <c r="CA13" t="s">
        <v>145</v>
      </c>
      <c r="CC13" t="s">
        <v>91</v>
      </c>
      <c r="CD13">
        <v>7441</v>
      </c>
      <c r="CE13" t="s">
        <v>96</v>
      </c>
      <c r="CF13" s="3">
        <v>43802</v>
      </c>
      <c r="CI13">
        <v>2</v>
      </c>
      <c r="CJ13">
        <v>1</v>
      </c>
      <c r="CK13" t="s">
        <v>113</v>
      </c>
      <c r="CL13" t="s">
        <v>89</v>
      </c>
    </row>
    <row r="14" spans="1:92">
      <c r="A14" t="s">
        <v>72</v>
      </c>
      <c r="B14" t="s">
        <v>73</v>
      </c>
      <c r="C14" t="s">
        <v>74</v>
      </c>
      <c r="E14" t="str">
        <f>"FES1162726489"</f>
        <v>FES1162726489</v>
      </c>
      <c r="F14" s="3">
        <v>43802</v>
      </c>
      <c r="G14">
        <v>202006</v>
      </c>
      <c r="H14" t="s">
        <v>75</v>
      </c>
      <c r="I14" t="s">
        <v>76</v>
      </c>
      <c r="J14" t="s">
        <v>77</v>
      </c>
      <c r="K14" t="s">
        <v>78</v>
      </c>
      <c r="L14" t="s">
        <v>138</v>
      </c>
      <c r="M14" t="s">
        <v>139</v>
      </c>
      <c r="N14" t="s">
        <v>146</v>
      </c>
      <c r="O14" t="s">
        <v>82</v>
      </c>
      <c r="P14" t="str">
        <f>"2170719923                    "</f>
        <v xml:space="preserve">2170719923                    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6.71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1</v>
      </c>
      <c r="BI14">
        <v>1</v>
      </c>
      <c r="BJ14">
        <v>0.2</v>
      </c>
      <c r="BK14">
        <v>1</v>
      </c>
      <c r="BL14" s="4">
        <v>39.42</v>
      </c>
      <c r="BM14" s="4">
        <v>5.91</v>
      </c>
      <c r="BN14" s="4">
        <v>45.33</v>
      </c>
      <c r="BO14" s="4">
        <v>45.33</v>
      </c>
      <c r="BQ14" t="s">
        <v>147</v>
      </c>
      <c r="BR14" t="s">
        <v>84</v>
      </c>
      <c r="BS14" s="3">
        <v>43803</v>
      </c>
      <c r="BT14" s="5">
        <v>0.61944444444444446</v>
      </c>
      <c r="BU14" t="s">
        <v>148</v>
      </c>
      <c r="BV14" t="s">
        <v>89</v>
      </c>
      <c r="BW14" t="s">
        <v>149</v>
      </c>
      <c r="BX14" t="s">
        <v>150</v>
      </c>
      <c r="BY14">
        <v>1200</v>
      </c>
      <c r="CC14" t="s">
        <v>139</v>
      </c>
      <c r="CD14">
        <v>1428</v>
      </c>
      <c r="CE14" t="s">
        <v>88</v>
      </c>
      <c r="CF14" s="3">
        <v>43804</v>
      </c>
      <c r="CI14">
        <v>1</v>
      </c>
      <c r="CJ14">
        <v>1</v>
      </c>
      <c r="CK14">
        <v>22</v>
      </c>
      <c r="CL14" t="s">
        <v>89</v>
      </c>
    </row>
    <row r="15" spans="1:92">
      <c r="A15" t="s">
        <v>72</v>
      </c>
      <c r="B15" t="s">
        <v>73</v>
      </c>
      <c r="C15" t="s">
        <v>74</v>
      </c>
      <c r="E15" t="str">
        <f>"009939264328"</f>
        <v>009939264328</v>
      </c>
      <c r="F15" s="3">
        <v>43798</v>
      </c>
      <c r="G15">
        <v>202006</v>
      </c>
      <c r="H15" t="s">
        <v>151</v>
      </c>
      <c r="I15" t="s">
        <v>102</v>
      </c>
      <c r="J15" t="s">
        <v>103</v>
      </c>
      <c r="K15" t="s">
        <v>78</v>
      </c>
      <c r="L15" t="s">
        <v>75</v>
      </c>
      <c r="M15" t="s">
        <v>76</v>
      </c>
      <c r="N15" t="s">
        <v>100</v>
      </c>
      <c r="O15" t="s">
        <v>104</v>
      </c>
      <c r="P15" t="str">
        <f>"NO REF                        "</f>
        <v xml:space="preserve">NO REF                        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12.07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1</v>
      </c>
      <c r="BI15">
        <v>5</v>
      </c>
      <c r="BJ15">
        <v>1.2</v>
      </c>
      <c r="BK15">
        <v>5</v>
      </c>
      <c r="BL15" s="4">
        <v>75.95</v>
      </c>
      <c r="BM15" s="4">
        <v>11.39</v>
      </c>
      <c r="BN15" s="4">
        <v>87.34</v>
      </c>
      <c r="BO15" s="4">
        <v>87.34</v>
      </c>
      <c r="BQ15" t="s">
        <v>152</v>
      </c>
      <c r="BR15" t="s">
        <v>153</v>
      </c>
      <c r="BS15" s="3">
        <v>43801</v>
      </c>
      <c r="BT15" s="5">
        <v>0.35000000000000003</v>
      </c>
      <c r="BU15" t="s">
        <v>154</v>
      </c>
      <c r="BV15" t="s">
        <v>86</v>
      </c>
      <c r="BY15">
        <v>5950</v>
      </c>
      <c r="CA15" t="s">
        <v>155</v>
      </c>
      <c r="CC15" t="s">
        <v>76</v>
      </c>
      <c r="CD15">
        <v>1600</v>
      </c>
      <c r="CE15" t="s">
        <v>156</v>
      </c>
      <c r="CF15" s="3">
        <v>43802</v>
      </c>
      <c r="CI15">
        <v>0</v>
      </c>
      <c r="CJ15">
        <v>0</v>
      </c>
      <c r="CK15" t="s">
        <v>157</v>
      </c>
      <c r="CL15" t="s">
        <v>89</v>
      </c>
    </row>
    <row r="16" spans="1:92">
      <c r="A16" t="s">
        <v>72</v>
      </c>
      <c r="B16" t="s">
        <v>73</v>
      </c>
      <c r="C16" t="s">
        <v>74</v>
      </c>
      <c r="E16" t="str">
        <f>"009939306800"</f>
        <v>009939306800</v>
      </c>
      <c r="F16" s="3">
        <v>43798</v>
      </c>
      <c r="G16">
        <v>202006</v>
      </c>
      <c r="H16" t="s">
        <v>79</v>
      </c>
      <c r="I16" t="s">
        <v>80</v>
      </c>
      <c r="J16" t="s">
        <v>158</v>
      </c>
      <c r="K16" t="s">
        <v>78</v>
      </c>
      <c r="L16" t="s">
        <v>75</v>
      </c>
      <c r="M16" t="s">
        <v>76</v>
      </c>
      <c r="N16" t="s">
        <v>100</v>
      </c>
      <c r="O16" t="s">
        <v>104</v>
      </c>
      <c r="P16" t="str">
        <f>"                              "</f>
        <v xml:space="preserve">                              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17.57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1</v>
      </c>
      <c r="BI16">
        <v>1</v>
      </c>
      <c r="BJ16">
        <v>0.2</v>
      </c>
      <c r="BK16">
        <v>1</v>
      </c>
      <c r="BL16" s="4">
        <v>108.28</v>
      </c>
      <c r="BM16" s="4">
        <v>16.239999999999998</v>
      </c>
      <c r="BN16" s="4">
        <v>124.52</v>
      </c>
      <c r="BO16" s="4">
        <v>124.52</v>
      </c>
      <c r="BQ16" t="s">
        <v>159</v>
      </c>
      <c r="BS16" s="3">
        <v>43801</v>
      </c>
      <c r="BT16" s="5">
        <v>0.35000000000000003</v>
      </c>
      <c r="BU16" t="s">
        <v>154</v>
      </c>
      <c r="BV16" t="s">
        <v>86</v>
      </c>
      <c r="BY16">
        <v>1200</v>
      </c>
      <c r="CA16" t="s">
        <v>155</v>
      </c>
      <c r="CC16" t="s">
        <v>76</v>
      </c>
      <c r="CD16">
        <v>1600</v>
      </c>
      <c r="CE16" t="s">
        <v>160</v>
      </c>
      <c r="CF16" s="3">
        <v>43802</v>
      </c>
      <c r="CI16">
        <v>2</v>
      </c>
      <c r="CJ16">
        <v>1</v>
      </c>
      <c r="CK16" t="s">
        <v>113</v>
      </c>
      <c r="CL16" t="s">
        <v>89</v>
      </c>
    </row>
    <row r="17" spans="1:90">
      <c r="A17" t="s">
        <v>72</v>
      </c>
      <c r="B17" t="s">
        <v>73</v>
      </c>
      <c r="C17" t="s">
        <v>74</v>
      </c>
      <c r="E17" t="str">
        <f>"FES1162726358"</f>
        <v>FES1162726358</v>
      </c>
      <c r="F17" s="3">
        <v>43802</v>
      </c>
      <c r="G17">
        <v>202006</v>
      </c>
      <c r="H17" t="s">
        <v>75</v>
      </c>
      <c r="I17" t="s">
        <v>76</v>
      </c>
      <c r="J17" t="s">
        <v>77</v>
      </c>
      <c r="K17" t="s">
        <v>78</v>
      </c>
      <c r="L17" t="s">
        <v>101</v>
      </c>
      <c r="M17" t="s">
        <v>102</v>
      </c>
      <c r="N17" t="s">
        <v>161</v>
      </c>
      <c r="O17" t="s">
        <v>104</v>
      </c>
      <c r="P17" t="str">
        <f>"2170718930                    "</f>
        <v xml:space="preserve">2170718930                    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16.579999999999998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1</v>
      </c>
      <c r="BI17">
        <v>19</v>
      </c>
      <c r="BJ17">
        <v>7.9</v>
      </c>
      <c r="BK17">
        <v>19</v>
      </c>
      <c r="BL17" s="4">
        <v>102.46</v>
      </c>
      <c r="BM17" s="4">
        <v>15.37</v>
      </c>
      <c r="BN17" s="4">
        <v>117.83</v>
      </c>
      <c r="BO17" s="4">
        <v>117.83</v>
      </c>
      <c r="BQ17" t="s">
        <v>147</v>
      </c>
      <c r="BR17" t="s">
        <v>84</v>
      </c>
      <c r="BS17" s="3">
        <v>43803</v>
      </c>
      <c r="BT17" s="5">
        <v>0.41666666666666669</v>
      </c>
      <c r="BU17" t="s">
        <v>162</v>
      </c>
      <c r="BV17" t="s">
        <v>86</v>
      </c>
      <c r="BY17">
        <v>39436.65</v>
      </c>
      <c r="CA17" t="s">
        <v>163</v>
      </c>
      <c r="CC17" t="s">
        <v>102</v>
      </c>
      <c r="CD17">
        <v>200</v>
      </c>
      <c r="CE17" t="s">
        <v>96</v>
      </c>
      <c r="CF17" s="3">
        <v>43804</v>
      </c>
      <c r="CI17">
        <v>0</v>
      </c>
      <c r="CJ17">
        <v>0</v>
      </c>
      <c r="CK17" t="s">
        <v>108</v>
      </c>
      <c r="CL17" t="s">
        <v>89</v>
      </c>
    </row>
    <row r="18" spans="1:90">
      <c r="A18" t="s">
        <v>72</v>
      </c>
      <c r="B18" t="s">
        <v>73</v>
      </c>
      <c r="C18" t="s">
        <v>74</v>
      </c>
      <c r="E18" t="str">
        <f>"FES1162726192"</f>
        <v>FES1162726192</v>
      </c>
      <c r="F18" s="3">
        <v>43801</v>
      </c>
      <c r="G18">
        <v>202006</v>
      </c>
      <c r="H18" t="s">
        <v>75</v>
      </c>
      <c r="I18" t="s">
        <v>76</v>
      </c>
      <c r="J18" t="s">
        <v>77</v>
      </c>
      <c r="K18" t="s">
        <v>78</v>
      </c>
      <c r="L18" t="s">
        <v>164</v>
      </c>
      <c r="M18" t="s">
        <v>165</v>
      </c>
      <c r="N18" t="s">
        <v>166</v>
      </c>
      <c r="O18" t="s">
        <v>82</v>
      </c>
      <c r="P18" t="str">
        <f>"2170719702                    "</f>
        <v xml:space="preserve">2170719702                    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8.58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1</v>
      </c>
      <c r="BI18">
        <v>1</v>
      </c>
      <c r="BJ18">
        <v>0.2</v>
      </c>
      <c r="BK18">
        <v>1</v>
      </c>
      <c r="BL18" s="4">
        <v>50.45</v>
      </c>
      <c r="BM18" s="4">
        <v>7.57</v>
      </c>
      <c r="BN18" s="4">
        <v>58.02</v>
      </c>
      <c r="BO18" s="4">
        <v>58.02</v>
      </c>
      <c r="BQ18" t="s">
        <v>147</v>
      </c>
      <c r="BR18" t="s">
        <v>84</v>
      </c>
      <c r="BS18" s="3">
        <v>43802</v>
      </c>
      <c r="BT18" s="5">
        <v>0.38472222222222219</v>
      </c>
      <c r="BU18" t="s">
        <v>167</v>
      </c>
      <c r="BV18" t="s">
        <v>86</v>
      </c>
      <c r="BY18">
        <v>1200</v>
      </c>
      <c r="BZ18" t="s">
        <v>27</v>
      </c>
      <c r="CA18" t="s">
        <v>168</v>
      </c>
      <c r="CC18" t="s">
        <v>165</v>
      </c>
      <c r="CD18">
        <v>5201</v>
      </c>
      <c r="CE18" t="s">
        <v>88</v>
      </c>
      <c r="CF18" s="3">
        <v>43803</v>
      </c>
      <c r="CI18">
        <v>1</v>
      </c>
      <c r="CJ18">
        <v>1</v>
      </c>
      <c r="CK18">
        <v>21</v>
      </c>
      <c r="CL18" t="s">
        <v>89</v>
      </c>
    </row>
    <row r="19" spans="1:90">
      <c r="A19" t="s">
        <v>72</v>
      </c>
      <c r="B19" t="s">
        <v>73</v>
      </c>
      <c r="C19" t="s">
        <v>74</v>
      </c>
      <c r="E19" t="str">
        <f>"FES1162726456"</f>
        <v>FES1162726456</v>
      </c>
      <c r="F19" s="3">
        <v>43802</v>
      </c>
      <c r="G19">
        <v>202006</v>
      </c>
      <c r="H19" t="s">
        <v>75</v>
      </c>
      <c r="I19" t="s">
        <v>76</v>
      </c>
      <c r="J19" t="s">
        <v>77</v>
      </c>
      <c r="K19" t="s">
        <v>78</v>
      </c>
      <c r="L19" t="s">
        <v>169</v>
      </c>
      <c r="M19" t="s">
        <v>170</v>
      </c>
      <c r="N19" t="s">
        <v>171</v>
      </c>
      <c r="O19" t="s">
        <v>82</v>
      </c>
      <c r="P19" t="str">
        <f>"2170719884                    "</f>
        <v xml:space="preserve">2170719884                    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6.71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1</v>
      </c>
      <c r="BI19">
        <v>1</v>
      </c>
      <c r="BJ19">
        <v>0.2</v>
      </c>
      <c r="BK19">
        <v>1</v>
      </c>
      <c r="BL19" s="4">
        <v>39.42</v>
      </c>
      <c r="BM19" s="4">
        <v>5.91</v>
      </c>
      <c r="BN19" s="4">
        <v>45.33</v>
      </c>
      <c r="BO19" s="4">
        <v>45.33</v>
      </c>
      <c r="BQ19" t="s">
        <v>172</v>
      </c>
      <c r="BR19" t="s">
        <v>84</v>
      </c>
      <c r="BS19" s="3">
        <v>43803</v>
      </c>
      <c r="BT19" s="5">
        <v>0.29097222222222224</v>
      </c>
      <c r="BU19" t="s">
        <v>173</v>
      </c>
      <c r="BV19" t="s">
        <v>86</v>
      </c>
      <c r="BY19">
        <v>1200</v>
      </c>
      <c r="CA19" t="s">
        <v>174</v>
      </c>
      <c r="CC19" t="s">
        <v>170</v>
      </c>
      <c r="CD19">
        <v>1459</v>
      </c>
      <c r="CE19" t="s">
        <v>88</v>
      </c>
      <c r="CF19" s="3">
        <v>43804</v>
      </c>
      <c r="CI19">
        <v>1</v>
      </c>
      <c r="CJ19">
        <v>1</v>
      </c>
      <c r="CK19">
        <v>22</v>
      </c>
      <c r="CL19" t="s">
        <v>89</v>
      </c>
    </row>
    <row r="20" spans="1:90">
      <c r="A20" t="s">
        <v>72</v>
      </c>
      <c r="B20" t="s">
        <v>73</v>
      </c>
      <c r="C20" t="s">
        <v>74</v>
      </c>
      <c r="E20" t="str">
        <f>"FES1162726236"</f>
        <v>FES1162726236</v>
      </c>
      <c r="F20" s="3">
        <v>43801</v>
      </c>
      <c r="G20">
        <v>202006</v>
      </c>
      <c r="H20" t="s">
        <v>75</v>
      </c>
      <c r="I20" t="s">
        <v>76</v>
      </c>
      <c r="J20" t="s">
        <v>77</v>
      </c>
      <c r="K20" t="s">
        <v>78</v>
      </c>
      <c r="L20" t="s">
        <v>79</v>
      </c>
      <c r="M20" t="s">
        <v>80</v>
      </c>
      <c r="N20" t="s">
        <v>175</v>
      </c>
      <c r="O20" t="s">
        <v>82</v>
      </c>
      <c r="P20" t="str">
        <f>"2170718658                    "</f>
        <v xml:space="preserve">2170718658                    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8.58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1</v>
      </c>
      <c r="BI20">
        <v>1</v>
      </c>
      <c r="BJ20">
        <v>0.2</v>
      </c>
      <c r="BK20">
        <v>1</v>
      </c>
      <c r="BL20" s="4">
        <v>50.45</v>
      </c>
      <c r="BM20" s="4">
        <v>7.57</v>
      </c>
      <c r="BN20" s="4">
        <v>58.02</v>
      </c>
      <c r="BO20" s="4">
        <v>58.02</v>
      </c>
      <c r="BQ20" t="s">
        <v>147</v>
      </c>
      <c r="BR20" t="s">
        <v>84</v>
      </c>
      <c r="BS20" s="3">
        <v>43802</v>
      </c>
      <c r="BT20" s="5">
        <v>0.35069444444444442</v>
      </c>
      <c r="BU20" t="s">
        <v>176</v>
      </c>
      <c r="BV20" t="s">
        <v>86</v>
      </c>
      <c r="BY20">
        <v>1200</v>
      </c>
      <c r="BZ20" t="s">
        <v>27</v>
      </c>
      <c r="CA20" t="s">
        <v>131</v>
      </c>
      <c r="CC20" t="s">
        <v>80</v>
      </c>
      <c r="CD20">
        <v>6001</v>
      </c>
      <c r="CE20" t="s">
        <v>88</v>
      </c>
      <c r="CF20" s="3">
        <v>43804</v>
      </c>
      <c r="CI20">
        <v>1</v>
      </c>
      <c r="CJ20">
        <v>1</v>
      </c>
      <c r="CK20">
        <v>21</v>
      </c>
      <c r="CL20" t="s">
        <v>89</v>
      </c>
    </row>
    <row r="21" spans="1:90">
      <c r="A21" t="s">
        <v>72</v>
      </c>
      <c r="B21" t="s">
        <v>73</v>
      </c>
      <c r="C21" t="s">
        <v>74</v>
      </c>
      <c r="E21" t="str">
        <f>"FES1162726421"</f>
        <v>FES1162726421</v>
      </c>
      <c r="F21" s="3">
        <v>43802</v>
      </c>
      <c r="G21">
        <v>202006</v>
      </c>
      <c r="H21" t="s">
        <v>75</v>
      </c>
      <c r="I21" t="s">
        <v>76</v>
      </c>
      <c r="J21" t="s">
        <v>77</v>
      </c>
      <c r="K21" t="s">
        <v>78</v>
      </c>
      <c r="L21" t="s">
        <v>177</v>
      </c>
      <c r="M21" t="s">
        <v>178</v>
      </c>
      <c r="N21" t="s">
        <v>179</v>
      </c>
      <c r="O21" t="s">
        <v>82</v>
      </c>
      <c r="P21" t="str">
        <f>"2170719555                    "</f>
        <v xml:space="preserve">2170719555                    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12.07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1</v>
      </c>
      <c r="BI21">
        <v>1</v>
      </c>
      <c r="BJ21">
        <v>0.2</v>
      </c>
      <c r="BK21">
        <v>1</v>
      </c>
      <c r="BL21" s="4">
        <v>70.95</v>
      </c>
      <c r="BM21" s="4">
        <v>10.64</v>
      </c>
      <c r="BN21" s="4">
        <v>81.59</v>
      </c>
      <c r="BO21" s="4">
        <v>81.59</v>
      </c>
      <c r="BQ21" t="s">
        <v>147</v>
      </c>
      <c r="BR21" t="s">
        <v>84</v>
      </c>
      <c r="BS21" s="3">
        <v>43804</v>
      </c>
      <c r="BT21" s="5">
        <v>0.62847222222222221</v>
      </c>
      <c r="BU21" t="s">
        <v>180</v>
      </c>
      <c r="BV21" t="s">
        <v>89</v>
      </c>
      <c r="BW21" t="s">
        <v>149</v>
      </c>
      <c r="BX21" t="s">
        <v>181</v>
      </c>
      <c r="BY21">
        <v>1200</v>
      </c>
      <c r="CA21" t="s">
        <v>182</v>
      </c>
      <c r="CC21" t="s">
        <v>178</v>
      </c>
      <c r="CD21">
        <v>1028</v>
      </c>
      <c r="CE21" t="s">
        <v>88</v>
      </c>
      <c r="CF21" s="3">
        <v>43805</v>
      </c>
      <c r="CI21">
        <v>1</v>
      </c>
      <c r="CJ21">
        <v>2</v>
      </c>
      <c r="CK21">
        <v>24</v>
      </c>
      <c r="CL21" t="s">
        <v>89</v>
      </c>
    </row>
    <row r="22" spans="1:90">
      <c r="A22" t="s">
        <v>72</v>
      </c>
      <c r="B22" t="s">
        <v>73</v>
      </c>
      <c r="C22" t="s">
        <v>74</v>
      </c>
      <c r="E22" t="str">
        <f>"FES1162726207"</f>
        <v>FES1162726207</v>
      </c>
      <c r="F22" s="3">
        <v>43801</v>
      </c>
      <c r="G22">
        <v>202006</v>
      </c>
      <c r="H22" t="s">
        <v>75</v>
      </c>
      <c r="I22" t="s">
        <v>76</v>
      </c>
      <c r="J22" t="s">
        <v>77</v>
      </c>
      <c r="K22" t="s">
        <v>78</v>
      </c>
      <c r="L22" t="s">
        <v>79</v>
      </c>
      <c r="M22" t="s">
        <v>80</v>
      </c>
      <c r="N22" t="s">
        <v>183</v>
      </c>
      <c r="O22" t="s">
        <v>82</v>
      </c>
      <c r="P22" t="str">
        <f>"2170715056                    "</f>
        <v xml:space="preserve">2170715056                    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40.75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1</v>
      </c>
      <c r="BI22">
        <v>9.1</v>
      </c>
      <c r="BJ22">
        <v>3.8</v>
      </c>
      <c r="BK22">
        <v>9.5</v>
      </c>
      <c r="BL22" s="4">
        <v>239.52</v>
      </c>
      <c r="BM22" s="4">
        <v>35.93</v>
      </c>
      <c r="BN22" s="4">
        <v>275.45</v>
      </c>
      <c r="BO22" s="4">
        <v>275.45</v>
      </c>
      <c r="BQ22" t="s">
        <v>147</v>
      </c>
      <c r="BR22" t="s">
        <v>84</v>
      </c>
      <c r="BS22" s="3">
        <v>43802</v>
      </c>
      <c r="BT22" s="5">
        <v>0.36944444444444446</v>
      </c>
      <c r="BU22" t="s">
        <v>184</v>
      </c>
      <c r="BV22" t="s">
        <v>86</v>
      </c>
      <c r="BY22">
        <v>18922.18</v>
      </c>
      <c r="BZ22" t="s">
        <v>27</v>
      </c>
      <c r="CA22" t="s">
        <v>185</v>
      </c>
      <c r="CC22" t="s">
        <v>80</v>
      </c>
      <c r="CD22">
        <v>6001</v>
      </c>
      <c r="CE22" t="s">
        <v>96</v>
      </c>
      <c r="CF22" s="3">
        <v>43804</v>
      </c>
      <c r="CI22">
        <v>1</v>
      </c>
      <c r="CJ22">
        <v>1</v>
      </c>
      <c r="CK22">
        <v>21</v>
      </c>
      <c r="CL22" t="s">
        <v>89</v>
      </c>
    </row>
    <row r="23" spans="1:90">
      <c r="A23" t="s">
        <v>72</v>
      </c>
      <c r="B23" t="s">
        <v>73</v>
      </c>
      <c r="C23" t="s">
        <v>74</v>
      </c>
      <c r="E23" t="str">
        <f>"FES1162726426"</f>
        <v>FES1162726426</v>
      </c>
      <c r="F23" s="3">
        <v>43802</v>
      </c>
      <c r="G23">
        <v>202006</v>
      </c>
      <c r="H23" t="s">
        <v>75</v>
      </c>
      <c r="I23" t="s">
        <v>76</v>
      </c>
      <c r="J23" t="s">
        <v>77</v>
      </c>
      <c r="K23" t="s">
        <v>78</v>
      </c>
      <c r="L23" t="s">
        <v>186</v>
      </c>
      <c r="M23" t="s">
        <v>187</v>
      </c>
      <c r="N23" t="s">
        <v>188</v>
      </c>
      <c r="O23" t="s">
        <v>82</v>
      </c>
      <c r="P23" t="str">
        <f>"2170719612                    "</f>
        <v xml:space="preserve">2170719612                    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16.63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1</v>
      </c>
      <c r="BI23">
        <v>1</v>
      </c>
      <c r="BJ23">
        <v>0.2</v>
      </c>
      <c r="BK23">
        <v>1</v>
      </c>
      <c r="BL23" s="4">
        <v>97.75</v>
      </c>
      <c r="BM23" s="4">
        <v>14.66</v>
      </c>
      <c r="BN23" s="4">
        <v>112.41</v>
      </c>
      <c r="BO23" s="4">
        <v>112.41</v>
      </c>
      <c r="BQ23" t="s">
        <v>93</v>
      </c>
      <c r="BR23" t="s">
        <v>84</v>
      </c>
      <c r="BS23" s="3">
        <v>43804</v>
      </c>
      <c r="BT23" s="5">
        <v>0.37291666666666662</v>
      </c>
      <c r="BU23" t="s">
        <v>189</v>
      </c>
      <c r="BV23" t="s">
        <v>86</v>
      </c>
      <c r="BY23">
        <v>1200</v>
      </c>
      <c r="CA23" t="s">
        <v>190</v>
      </c>
      <c r="CC23" t="s">
        <v>187</v>
      </c>
      <c r="CD23">
        <v>6849</v>
      </c>
      <c r="CE23" t="s">
        <v>88</v>
      </c>
      <c r="CF23" s="3">
        <v>43805</v>
      </c>
      <c r="CI23">
        <v>3</v>
      </c>
      <c r="CJ23">
        <v>2</v>
      </c>
      <c r="CK23">
        <v>23</v>
      </c>
      <c r="CL23" t="s">
        <v>89</v>
      </c>
    </row>
    <row r="24" spans="1:90">
      <c r="A24" t="s">
        <v>72</v>
      </c>
      <c r="B24" t="s">
        <v>73</v>
      </c>
      <c r="C24" t="s">
        <v>74</v>
      </c>
      <c r="E24" t="str">
        <f>"FES1162726417"</f>
        <v>FES1162726417</v>
      </c>
      <c r="F24" s="3">
        <v>43802</v>
      </c>
      <c r="G24">
        <v>202006</v>
      </c>
      <c r="H24" t="s">
        <v>75</v>
      </c>
      <c r="I24" t="s">
        <v>76</v>
      </c>
      <c r="J24" t="s">
        <v>77</v>
      </c>
      <c r="K24" t="s">
        <v>78</v>
      </c>
      <c r="L24" t="s">
        <v>151</v>
      </c>
      <c r="M24" t="s">
        <v>102</v>
      </c>
      <c r="N24" t="s">
        <v>191</v>
      </c>
      <c r="O24" t="s">
        <v>82</v>
      </c>
      <c r="P24" t="str">
        <f>"2170719451                    "</f>
        <v xml:space="preserve">2170719451                    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8.58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1</v>
      </c>
      <c r="BI24">
        <v>1.8</v>
      </c>
      <c r="BJ24">
        <v>1.3</v>
      </c>
      <c r="BK24">
        <v>2</v>
      </c>
      <c r="BL24" s="4">
        <v>50.45</v>
      </c>
      <c r="BM24" s="4">
        <v>7.57</v>
      </c>
      <c r="BN24" s="4">
        <v>58.02</v>
      </c>
      <c r="BO24" s="4">
        <v>58.02</v>
      </c>
      <c r="BQ24" t="s">
        <v>192</v>
      </c>
      <c r="BR24" t="s">
        <v>84</v>
      </c>
      <c r="BS24" s="3">
        <v>43803</v>
      </c>
      <c r="BT24" s="5">
        <v>0.40277777777777773</v>
      </c>
      <c r="BU24" t="s">
        <v>193</v>
      </c>
      <c r="BV24" t="s">
        <v>86</v>
      </c>
      <c r="BY24">
        <v>6574.1</v>
      </c>
      <c r="CC24" t="s">
        <v>102</v>
      </c>
      <c r="CD24">
        <v>182</v>
      </c>
      <c r="CE24" t="s">
        <v>96</v>
      </c>
      <c r="CF24" s="3">
        <v>43804</v>
      </c>
      <c r="CI24">
        <v>1</v>
      </c>
      <c r="CJ24">
        <v>1</v>
      </c>
      <c r="CK24">
        <v>21</v>
      </c>
      <c r="CL24" t="s">
        <v>89</v>
      </c>
    </row>
    <row r="25" spans="1:90">
      <c r="A25" t="s">
        <v>72</v>
      </c>
      <c r="B25" t="s">
        <v>73</v>
      </c>
      <c r="C25" t="s">
        <v>74</v>
      </c>
      <c r="E25" t="str">
        <f>"FES1162726329"</f>
        <v>FES1162726329</v>
      </c>
      <c r="F25" s="3">
        <v>43801</v>
      </c>
      <c r="G25">
        <v>202006</v>
      </c>
      <c r="H25" t="s">
        <v>75</v>
      </c>
      <c r="I25" t="s">
        <v>76</v>
      </c>
      <c r="J25" t="s">
        <v>77</v>
      </c>
      <c r="K25" t="s">
        <v>78</v>
      </c>
      <c r="L25" t="s">
        <v>75</v>
      </c>
      <c r="M25" t="s">
        <v>76</v>
      </c>
      <c r="N25" t="s">
        <v>194</v>
      </c>
      <c r="O25" t="s">
        <v>82</v>
      </c>
      <c r="P25" t="str">
        <f>"2170719284                    "</f>
        <v xml:space="preserve">2170719284                    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6.71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1</v>
      </c>
      <c r="BI25">
        <v>1</v>
      </c>
      <c r="BJ25">
        <v>0.2</v>
      </c>
      <c r="BK25">
        <v>1</v>
      </c>
      <c r="BL25" s="4">
        <v>39.42</v>
      </c>
      <c r="BM25" s="4">
        <v>5.91</v>
      </c>
      <c r="BN25" s="4">
        <v>45.33</v>
      </c>
      <c r="BO25" s="4">
        <v>45.33</v>
      </c>
      <c r="BQ25" t="s">
        <v>195</v>
      </c>
      <c r="BR25" t="s">
        <v>84</v>
      </c>
      <c r="BS25" s="3">
        <v>43802</v>
      </c>
      <c r="BT25" s="5">
        <v>0.3263888888888889</v>
      </c>
      <c r="BU25" t="s">
        <v>196</v>
      </c>
      <c r="BV25" t="s">
        <v>86</v>
      </c>
      <c r="BY25">
        <v>1200</v>
      </c>
      <c r="BZ25" t="s">
        <v>27</v>
      </c>
      <c r="CA25" t="s">
        <v>197</v>
      </c>
      <c r="CC25" t="s">
        <v>76</v>
      </c>
      <c r="CD25">
        <v>1600</v>
      </c>
      <c r="CE25" t="s">
        <v>88</v>
      </c>
      <c r="CF25" s="3">
        <v>43803</v>
      </c>
      <c r="CI25">
        <v>1</v>
      </c>
      <c r="CJ25">
        <v>1</v>
      </c>
      <c r="CK25">
        <v>22</v>
      </c>
      <c r="CL25" t="s">
        <v>89</v>
      </c>
    </row>
    <row r="26" spans="1:90">
      <c r="A26" t="s">
        <v>72</v>
      </c>
      <c r="B26" t="s">
        <v>73</v>
      </c>
      <c r="C26" t="s">
        <v>74</v>
      </c>
      <c r="E26" t="str">
        <f>"RFES1162725996"</f>
        <v>RFES1162725996</v>
      </c>
      <c r="F26" s="3">
        <v>43801</v>
      </c>
      <c r="G26">
        <v>202006</v>
      </c>
      <c r="H26" t="s">
        <v>198</v>
      </c>
      <c r="I26" t="s">
        <v>199</v>
      </c>
      <c r="J26" t="s">
        <v>200</v>
      </c>
      <c r="K26" t="s">
        <v>78</v>
      </c>
      <c r="L26" t="s">
        <v>75</v>
      </c>
      <c r="M26" t="s">
        <v>76</v>
      </c>
      <c r="N26" t="s">
        <v>77</v>
      </c>
      <c r="O26" t="s">
        <v>82</v>
      </c>
      <c r="P26" t="str">
        <f>"2170717831                    "</f>
        <v xml:space="preserve">2170717831                    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8.58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1</v>
      </c>
      <c r="BI26">
        <v>1</v>
      </c>
      <c r="BJ26">
        <v>0.2</v>
      </c>
      <c r="BK26">
        <v>1</v>
      </c>
      <c r="BL26" s="4">
        <v>50.45</v>
      </c>
      <c r="BM26" s="4">
        <v>7.57</v>
      </c>
      <c r="BN26" s="4">
        <v>58.02</v>
      </c>
      <c r="BO26" s="4">
        <v>58.02</v>
      </c>
      <c r="BQ26" t="s">
        <v>84</v>
      </c>
      <c r="BR26" t="s">
        <v>93</v>
      </c>
      <c r="BS26" s="3">
        <v>43802</v>
      </c>
      <c r="BT26" s="5">
        <v>0.3611111111111111</v>
      </c>
      <c r="BU26" t="s">
        <v>154</v>
      </c>
      <c r="BV26" t="s">
        <v>86</v>
      </c>
      <c r="BY26">
        <v>1200</v>
      </c>
      <c r="BZ26" t="s">
        <v>27</v>
      </c>
      <c r="CA26" t="s">
        <v>155</v>
      </c>
      <c r="CC26" t="s">
        <v>76</v>
      </c>
      <c r="CD26">
        <v>1601</v>
      </c>
      <c r="CE26" t="s">
        <v>88</v>
      </c>
      <c r="CF26" s="3">
        <v>43803</v>
      </c>
      <c r="CI26">
        <v>1</v>
      </c>
      <c r="CJ26">
        <v>1</v>
      </c>
      <c r="CK26">
        <v>21</v>
      </c>
      <c r="CL26" t="s">
        <v>89</v>
      </c>
    </row>
    <row r="27" spans="1:90">
      <c r="A27" t="s">
        <v>72</v>
      </c>
      <c r="B27" t="s">
        <v>73</v>
      </c>
      <c r="C27" t="s">
        <v>74</v>
      </c>
      <c r="E27" t="str">
        <f>"FES1162726470"</f>
        <v>FES1162726470</v>
      </c>
      <c r="F27" s="3">
        <v>43802</v>
      </c>
      <c r="G27">
        <v>202006</v>
      </c>
      <c r="H27" t="s">
        <v>75</v>
      </c>
      <c r="I27" t="s">
        <v>76</v>
      </c>
      <c r="J27" t="s">
        <v>77</v>
      </c>
      <c r="K27" t="s">
        <v>78</v>
      </c>
      <c r="L27" t="s">
        <v>201</v>
      </c>
      <c r="M27" t="s">
        <v>202</v>
      </c>
      <c r="N27" t="s">
        <v>203</v>
      </c>
      <c r="O27" t="s">
        <v>82</v>
      </c>
      <c r="P27" t="str">
        <f>"2170719905                    "</f>
        <v xml:space="preserve">2170719905                    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8.58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1</v>
      </c>
      <c r="BI27">
        <v>1</v>
      </c>
      <c r="BJ27">
        <v>0.2</v>
      </c>
      <c r="BK27">
        <v>1</v>
      </c>
      <c r="BL27" s="4">
        <v>50.45</v>
      </c>
      <c r="BM27" s="4">
        <v>7.57</v>
      </c>
      <c r="BN27" s="4">
        <v>58.02</v>
      </c>
      <c r="BO27" s="4">
        <v>58.02</v>
      </c>
      <c r="BQ27" t="s">
        <v>147</v>
      </c>
      <c r="BR27" t="s">
        <v>84</v>
      </c>
      <c r="BS27" s="3">
        <v>43803</v>
      </c>
      <c r="BT27" s="5">
        <v>0.32083333333333336</v>
      </c>
      <c r="BU27" t="s">
        <v>204</v>
      </c>
      <c r="BV27" t="s">
        <v>86</v>
      </c>
      <c r="BY27">
        <v>1200</v>
      </c>
      <c r="CA27" t="s">
        <v>205</v>
      </c>
      <c r="CC27" t="s">
        <v>202</v>
      </c>
      <c r="CD27">
        <v>3610</v>
      </c>
      <c r="CE27" t="s">
        <v>88</v>
      </c>
      <c r="CF27" s="3">
        <v>43804</v>
      </c>
      <c r="CI27">
        <v>1</v>
      </c>
      <c r="CJ27">
        <v>1</v>
      </c>
      <c r="CK27">
        <v>21</v>
      </c>
      <c r="CL27" t="s">
        <v>89</v>
      </c>
    </row>
    <row r="28" spans="1:90">
      <c r="A28" t="s">
        <v>72</v>
      </c>
      <c r="B28" t="s">
        <v>73</v>
      </c>
      <c r="C28" t="s">
        <v>74</v>
      </c>
      <c r="E28" t="str">
        <f>"FES1162726366"</f>
        <v>FES1162726366</v>
      </c>
      <c r="F28" s="3">
        <v>43802</v>
      </c>
      <c r="G28">
        <v>202006</v>
      </c>
      <c r="H28" t="s">
        <v>75</v>
      </c>
      <c r="I28" t="s">
        <v>76</v>
      </c>
      <c r="J28" t="s">
        <v>77</v>
      </c>
      <c r="K28" t="s">
        <v>78</v>
      </c>
      <c r="L28" t="s">
        <v>79</v>
      </c>
      <c r="M28" t="s">
        <v>80</v>
      </c>
      <c r="N28" t="s">
        <v>97</v>
      </c>
      <c r="O28" t="s">
        <v>82</v>
      </c>
      <c r="P28" t="str">
        <f>"2170710208                    "</f>
        <v xml:space="preserve">2170710208                    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8.58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1</v>
      </c>
      <c r="BI28">
        <v>1</v>
      </c>
      <c r="BJ28">
        <v>0.2</v>
      </c>
      <c r="BK28">
        <v>1</v>
      </c>
      <c r="BL28" s="4">
        <v>50.45</v>
      </c>
      <c r="BM28" s="4">
        <v>7.57</v>
      </c>
      <c r="BN28" s="4">
        <v>58.02</v>
      </c>
      <c r="BO28" s="4">
        <v>58.02</v>
      </c>
      <c r="BQ28" t="s">
        <v>93</v>
      </c>
      <c r="BR28" t="s">
        <v>84</v>
      </c>
      <c r="BS28" s="3">
        <v>43803</v>
      </c>
      <c r="BT28" s="5">
        <v>0.34027777777777773</v>
      </c>
      <c r="BU28" t="s">
        <v>98</v>
      </c>
      <c r="BV28" t="s">
        <v>86</v>
      </c>
      <c r="BY28">
        <v>1200</v>
      </c>
      <c r="CA28" t="s">
        <v>99</v>
      </c>
      <c r="CC28" t="s">
        <v>80</v>
      </c>
      <c r="CD28">
        <v>6001</v>
      </c>
      <c r="CE28" t="s">
        <v>88</v>
      </c>
      <c r="CF28" s="3">
        <v>43804</v>
      </c>
      <c r="CI28">
        <v>1</v>
      </c>
      <c r="CJ28">
        <v>1</v>
      </c>
      <c r="CK28">
        <v>21</v>
      </c>
      <c r="CL28" t="s">
        <v>89</v>
      </c>
    </row>
    <row r="29" spans="1:90">
      <c r="A29" t="s">
        <v>72</v>
      </c>
      <c r="B29" t="s">
        <v>73</v>
      </c>
      <c r="C29" t="s">
        <v>74</v>
      </c>
      <c r="E29" t="str">
        <f>"FES1162726318"</f>
        <v>FES1162726318</v>
      </c>
      <c r="F29" s="3">
        <v>43801</v>
      </c>
      <c r="G29">
        <v>202006</v>
      </c>
      <c r="H29" t="s">
        <v>75</v>
      </c>
      <c r="I29" t="s">
        <v>76</v>
      </c>
      <c r="J29" t="s">
        <v>77</v>
      </c>
      <c r="K29" t="s">
        <v>78</v>
      </c>
      <c r="L29" t="s">
        <v>169</v>
      </c>
      <c r="M29" t="s">
        <v>170</v>
      </c>
      <c r="N29" t="s">
        <v>171</v>
      </c>
      <c r="O29" t="s">
        <v>82</v>
      </c>
      <c r="P29" t="str">
        <f>"2170719602                    "</f>
        <v xml:space="preserve">2170719602                    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6.71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1</v>
      </c>
      <c r="BI29">
        <v>1</v>
      </c>
      <c r="BJ29">
        <v>0.2</v>
      </c>
      <c r="BK29">
        <v>1</v>
      </c>
      <c r="BL29" s="4">
        <v>39.42</v>
      </c>
      <c r="BM29" s="4">
        <v>5.91</v>
      </c>
      <c r="BN29" s="4">
        <v>45.33</v>
      </c>
      <c r="BO29" s="4">
        <v>45.33</v>
      </c>
      <c r="BQ29" t="s">
        <v>172</v>
      </c>
      <c r="BR29" t="s">
        <v>84</v>
      </c>
      <c r="BS29" s="3">
        <v>43802</v>
      </c>
      <c r="BT29" s="5">
        <v>0.24583333333333335</v>
      </c>
      <c r="BU29" t="s">
        <v>206</v>
      </c>
      <c r="BV29" t="s">
        <v>86</v>
      </c>
      <c r="BY29">
        <v>1200</v>
      </c>
      <c r="BZ29" t="s">
        <v>27</v>
      </c>
      <c r="CA29" t="s">
        <v>174</v>
      </c>
      <c r="CC29" t="s">
        <v>170</v>
      </c>
      <c r="CD29">
        <v>1459</v>
      </c>
      <c r="CE29" t="s">
        <v>88</v>
      </c>
      <c r="CF29" s="3">
        <v>43803</v>
      </c>
      <c r="CI29">
        <v>1</v>
      </c>
      <c r="CJ29">
        <v>1</v>
      </c>
      <c r="CK29">
        <v>22</v>
      </c>
      <c r="CL29" t="s">
        <v>89</v>
      </c>
    </row>
    <row r="30" spans="1:90">
      <c r="A30" t="s">
        <v>72</v>
      </c>
      <c r="B30" t="s">
        <v>73</v>
      </c>
      <c r="C30" t="s">
        <v>74</v>
      </c>
      <c r="E30" t="str">
        <f>"FES1162726305"</f>
        <v>FES1162726305</v>
      </c>
      <c r="F30" s="3">
        <v>43802</v>
      </c>
      <c r="G30">
        <v>202006</v>
      </c>
      <c r="H30" t="s">
        <v>75</v>
      </c>
      <c r="I30" t="s">
        <v>76</v>
      </c>
      <c r="J30" t="s">
        <v>77</v>
      </c>
      <c r="K30" t="s">
        <v>78</v>
      </c>
      <c r="L30" t="s">
        <v>90</v>
      </c>
      <c r="M30" t="s">
        <v>91</v>
      </c>
      <c r="N30" t="s">
        <v>207</v>
      </c>
      <c r="O30" t="s">
        <v>82</v>
      </c>
      <c r="P30" t="str">
        <f>"2170719814                    "</f>
        <v xml:space="preserve">2170719814                    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8.58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1</v>
      </c>
      <c r="BI30">
        <v>1</v>
      </c>
      <c r="BJ30">
        <v>0.2</v>
      </c>
      <c r="BK30">
        <v>1</v>
      </c>
      <c r="BL30" s="4">
        <v>50.45</v>
      </c>
      <c r="BM30" s="4">
        <v>7.57</v>
      </c>
      <c r="BN30" s="4">
        <v>58.02</v>
      </c>
      <c r="BO30" s="4">
        <v>58.02</v>
      </c>
      <c r="BQ30" t="s">
        <v>147</v>
      </c>
      <c r="BR30" t="s">
        <v>84</v>
      </c>
      <c r="BS30" s="3">
        <v>43803</v>
      </c>
      <c r="BT30" s="5">
        <v>0.35694444444444445</v>
      </c>
      <c r="BU30" t="s">
        <v>208</v>
      </c>
      <c r="BV30" t="s">
        <v>86</v>
      </c>
      <c r="BY30">
        <v>1200</v>
      </c>
      <c r="CA30" t="s">
        <v>209</v>
      </c>
      <c r="CC30" t="s">
        <v>91</v>
      </c>
      <c r="CD30">
        <v>7441</v>
      </c>
      <c r="CE30" t="s">
        <v>88</v>
      </c>
      <c r="CF30" s="3">
        <v>43804</v>
      </c>
      <c r="CI30">
        <v>1</v>
      </c>
      <c r="CJ30">
        <v>1</v>
      </c>
      <c r="CK30">
        <v>21</v>
      </c>
      <c r="CL30" t="s">
        <v>89</v>
      </c>
    </row>
    <row r="31" spans="1:90">
      <c r="A31" t="s">
        <v>72</v>
      </c>
      <c r="B31" t="s">
        <v>73</v>
      </c>
      <c r="C31" t="s">
        <v>74</v>
      </c>
      <c r="E31" t="str">
        <f>"FES1162726611"</f>
        <v>FES1162726611</v>
      </c>
      <c r="F31" s="3">
        <v>43802</v>
      </c>
      <c r="G31">
        <v>202006</v>
      </c>
      <c r="H31" t="s">
        <v>75</v>
      </c>
      <c r="I31" t="s">
        <v>76</v>
      </c>
      <c r="J31" t="s">
        <v>77</v>
      </c>
      <c r="K31" t="s">
        <v>78</v>
      </c>
      <c r="L31" t="s">
        <v>198</v>
      </c>
      <c r="M31" t="s">
        <v>199</v>
      </c>
      <c r="N31" t="s">
        <v>210</v>
      </c>
      <c r="O31" t="s">
        <v>82</v>
      </c>
      <c r="P31" t="str">
        <f>"2170720090                    "</f>
        <v xml:space="preserve">2170720090                    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8.58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1</v>
      </c>
      <c r="BI31">
        <v>1</v>
      </c>
      <c r="BJ31">
        <v>0.2</v>
      </c>
      <c r="BK31">
        <v>1</v>
      </c>
      <c r="BL31" s="4">
        <v>50.45</v>
      </c>
      <c r="BM31" s="4">
        <v>7.57</v>
      </c>
      <c r="BN31" s="4">
        <v>58.02</v>
      </c>
      <c r="BO31" s="4">
        <v>58.02</v>
      </c>
      <c r="BQ31" t="s">
        <v>93</v>
      </c>
      <c r="BR31" t="s">
        <v>84</v>
      </c>
      <c r="BS31" s="3">
        <v>43803</v>
      </c>
      <c r="BT31" s="5">
        <v>0.3527777777777778</v>
      </c>
      <c r="BU31" t="s">
        <v>211</v>
      </c>
      <c r="BV31" t="s">
        <v>86</v>
      </c>
      <c r="BY31">
        <v>1200</v>
      </c>
      <c r="CA31" t="s">
        <v>212</v>
      </c>
      <c r="CC31" t="s">
        <v>199</v>
      </c>
      <c r="CD31">
        <v>4302</v>
      </c>
      <c r="CE31" t="s">
        <v>88</v>
      </c>
      <c r="CF31" s="3">
        <v>43804</v>
      </c>
      <c r="CI31">
        <v>1</v>
      </c>
      <c r="CJ31">
        <v>1</v>
      </c>
      <c r="CK31">
        <v>21</v>
      </c>
      <c r="CL31" t="s">
        <v>89</v>
      </c>
    </row>
    <row r="32" spans="1:90">
      <c r="A32" t="s">
        <v>72</v>
      </c>
      <c r="B32" t="s">
        <v>73</v>
      </c>
      <c r="C32" t="s">
        <v>74</v>
      </c>
      <c r="E32" t="str">
        <f>"FES1162726319"</f>
        <v>FES1162726319</v>
      </c>
      <c r="F32" s="3">
        <v>43801</v>
      </c>
      <c r="G32">
        <v>202006</v>
      </c>
      <c r="H32" t="s">
        <v>75</v>
      </c>
      <c r="I32" t="s">
        <v>76</v>
      </c>
      <c r="J32" t="s">
        <v>77</v>
      </c>
      <c r="K32" t="s">
        <v>78</v>
      </c>
      <c r="L32" t="s">
        <v>169</v>
      </c>
      <c r="M32" t="s">
        <v>170</v>
      </c>
      <c r="N32" t="s">
        <v>171</v>
      </c>
      <c r="O32" t="s">
        <v>82</v>
      </c>
      <c r="P32" t="str">
        <f>"2170719603                    "</f>
        <v xml:space="preserve">2170719603                    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6.71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1</v>
      </c>
      <c r="BI32">
        <v>1</v>
      </c>
      <c r="BJ32">
        <v>0.2</v>
      </c>
      <c r="BK32">
        <v>1</v>
      </c>
      <c r="BL32" s="4">
        <v>39.42</v>
      </c>
      <c r="BM32" s="4">
        <v>5.91</v>
      </c>
      <c r="BN32" s="4">
        <v>45.33</v>
      </c>
      <c r="BO32" s="4">
        <v>45.33</v>
      </c>
      <c r="BQ32" t="s">
        <v>172</v>
      </c>
      <c r="BR32" t="s">
        <v>84</v>
      </c>
      <c r="BS32" s="3">
        <v>43802</v>
      </c>
      <c r="BT32" s="5">
        <v>0.24652777777777779</v>
      </c>
      <c r="BU32" t="s">
        <v>206</v>
      </c>
      <c r="BV32" t="s">
        <v>86</v>
      </c>
      <c r="BY32">
        <v>1200</v>
      </c>
      <c r="BZ32" t="s">
        <v>27</v>
      </c>
      <c r="CA32" t="s">
        <v>174</v>
      </c>
      <c r="CC32" t="s">
        <v>170</v>
      </c>
      <c r="CD32">
        <v>1459</v>
      </c>
      <c r="CE32" t="s">
        <v>88</v>
      </c>
      <c r="CF32" s="3">
        <v>43803</v>
      </c>
      <c r="CI32">
        <v>1</v>
      </c>
      <c r="CJ32">
        <v>1</v>
      </c>
      <c r="CK32">
        <v>22</v>
      </c>
      <c r="CL32" t="s">
        <v>89</v>
      </c>
    </row>
    <row r="33" spans="1:90">
      <c r="A33" t="s">
        <v>72</v>
      </c>
      <c r="B33" t="s">
        <v>73</v>
      </c>
      <c r="C33" t="s">
        <v>74</v>
      </c>
      <c r="E33" t="str">
        <f>"009939512498"</f>
        <v>009939512498</v>
      </c>
      <c r="F33" s="3">
        <v>43801</v>
      </c>
      <c r="G33">
        <v>202006</v>
      </c>
      <c r="H33" t="s">
        <v>90</v>
      </c>
      <c r="I33" t="s">
        <v>91</v>
      </c>
      <c r="J33" t="s">
        <v>100</v>
      </c>
      <c r="K33" t="s">
        <v>78</v>
      </c>
      <c r="L33" t="s">
        <v>213</v>
      </c>
      <c r="M33" t="s">
        <v>214</v>
      </c>
      <c r="N33" t="s">
        <v>215</v>
      </c>
      <c r="O33" t="s">
        <v>82</v>
      </c>
      <c r="P33" t="str">
        <f>"1703                          "</f>
        <v xml:space="preserve">1703                          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8.58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1</v>
      </c>
      <c r="BI33">
        <v>0.2</v>
      </c>
      <c r="BJ33">
        <v>0.4</v>
      </c>
      <c r="BK33">
        <v>0.5</v>
      </c>
      <c r="BL33" s="4">
        <v>50.45</v>
      </c>
      <c r="BM33" s="4">
        <v>7.57</v>
      </c>
      <c r="BN33" s="4">
        <v>58.02</v>
      </c>
      <c r="BO33" s="4">
        <v>58.02</v>
      </c>
      <c r="BQ33" t="s">
        <v>216</v>
      </c>
      <c r="BR33" t="s">
        <v>217</v>
      </c>
      <c r="BS33" s="3">
        <v>43802</v>
      </c>
      <c r="BT33" s="5">
        <v>0.39027777777777778</v>
      </c>
      <c r="BU33" t="s">
        <v>218</v>
      </c>
      <c r="BV33" t="s">
        <v>86</v>
      </c>
      <c r="BY33">
        <v>2073.75</v>
      </c>
      <c r="BZ33" t="s">
        <v>27</v>
      </c>
      <c r="CA33" t="s">
        <v>99</v>
      </c>
      <c r="CC33" t="s">
        <v>214</v>
      </c>
      <c r="CD33">
        <v>6229</v>
      </c>
      <c r="CE33" t="s">
        <v>96</v>
      </c>
      <c r="CF33" s="3">
        <v>43804</v>
      </c>
      <c r="CI33">
        <v>1</v>
      </c>
      <c r="CJ33">
        <v>1</v>
      </c>
      <c r="CK33">
        <v>21</v>
      </c>
      <c r="CL33" t="s">
        <v>89</v>
      </c>
    </row>
    <row r="34" spans="1:90">
      <c r="A34" t="s">
        <v>72</v>
      </c>
      <c r="B34" t="s">
        <v>73</v>
      </c>
      <c r="C34" t="s">
        <v>74</v>
      </c>
      <c r="E34" t="str">
        <f>"FES1162726267"</f>
        <v>FES1162726267</v>
      </c>
      <c r="F34" s="3">
        <v>43802</v>
      </c>
      <c r="G34">
        <v>202006</v>
      </c>
      <c r="H34" t="s">
        <v>75</v>
      </c>
      <c r="I34" t="s">
        <v>76</v>
      </c>
      <c r="J34" t="s">
        <v>77</v>
      </c>
      <c r="K34" t="s">
        <v>78</v>
      </c>
      <c r="L34" t="s">
        <v>90</v>
      </c>
      <c r="M34" t="s">
        <v>91</v>
      </c>
      <c r="N34" t="s">
        <v>219</v>
      </c>
      <c r="O34" t="s">
        <v>82</v>
      </c>
      <c r="P34" t="str">
        <f>"2170719762                    "</f>
        <v xml:space="preserve">2170719762                    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8.58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1</v>
      </c>
      <c r="BI34">
        <v>1</v>
      </c>
      <c r="BJ34">
        <v>0.2</v>
      </c>
      <c r="BK34">
        <v>1</v>
      </c>
      <c r="BL34" s="4">
        <v>50.45</v>
      </c>
      <c r="BM34" s="4">
        <v>7.57</v>
      </c>
      <c r="BN34" s="4">
        <v>58.02</v>
      </c>
      <c r="BO34" s="4">
        <v>58.02</v>
      </c>
      <c r="BQ34" t="s">
        <v>147</v>
      </c>
      <c r="BR34" t="s">
        <v>84</v>
      </c>
      <c r="BS34" s="3">
        <v>43803</v>
      </c>
      <c r="BT34" s="5">
        <v>0.34861111111111115</v>
      </c>
      <c r="BU34" t="s">
        <v>220</v>
      </c>
      <c r="BV34" t="s">
        <v>86</v>
      </c>
      <c r="BY34">
        <v>1200</v>
      </c>
      <c r="CA34" t="s">
        <v>112</v>
      </c>
      <c r="CC34" t="s">
        <v>91</v>
      </c>
      <c r="CD34">
        <v>7441</v>
      </c>
      <c r="CE34" t="s">
        <v>88</v>
      </c>
      <c r="CF34" s="3">
        <v>43804</v>
      </c>
      <c r="CI34">
        <v>1</v>
      </c>
      <c r="CJ34">
        <v>1</v>
      </c>
      <c r="CK34">
        <v>21</v>
      </c>
      <c r="CL34" t="s">
        <v>89</v>
      </c>
    </row>
    <row r="35" spans="1:90">
      <c r="A35" t="s">
        <v>72</v>
      </c>
      <c r="B35" t="s">
        <v>73</v>
      </c>
      <c r="C35" t="s">
        <v>74</v>
      </c>
      <c r="E35" t="str">
        <f>"FES1162726595"</f>
        <v>FES1162726595</v>
      </c>
      <c r="F35" s="3">
        <v>43802</v>
      </c>
      <c r="G35">
        <v>202006</v>
      </c>
      <c r="H35" t="s">
        <v>75</v>
      </c>
      <c r="I35" t="s">
        <v>76</v>
      </c>
      <c r="J35" t="s">
        <v>77</v>
      </c>
      <c r="K35" t="s">
        <v>78</v>
      </c>
      <c r="L35" t="s">
        <v>221</v>
      </c>
      <c r="M35" t="s">
        <v>222</v>
      </c>
      <c r="N35" t="s">
        <v>223</v>
      </c>
      <c r="O35" t="s">
        <v>82</v>
      </c>
      <c r="P35" t="str">
        <f>"2170719990                    "</f>
        <v xml:space="preserve">2170719990                    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27.88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1</v>
      </c>
      <c r="BI35">
        <v>6.4</v>
      </c>
      <c r="BJ35">
        <v>3.3</v>
      </c>
      <c r="BK35">
        <v>6.5</v>
      </c>
      <c r="BL35" s="4">
        <v>163.89</v>
      </c>
      <c r="BM35" s="4">
        <v>24.58</v>
      </c>
      <c r="BN35" s="4">
        <v>188.47</v>
      </c>
      <c r="BO35" s="4">
        <v>188.47</v>
      </c>
      <c r="BQ35" t="s">
        <v>147</v>
      </c>
      <c r="BR35" t="s">
        <v>84</v>
      </c>
      <c r="BS35" s="3">
        <v>43803</v>
      </c>
      <c r="BT35" s="5">
        <v>0.39930555555555558</v>
      </c>
      <c r="BU35" t="s">
        <v>224</v>
      </c>
      <c r="BV35" t="s">
        <v>86</v>
      </c>
      <c r="BY35">
        <v>16570.72</v>
      </c>
      <c r="CA35" t="s">
        <v>225</v>
      </c>
      <c r="CC35" t="s">
        <v>222</v>
      </c>
      <c r="CD35">
        <v>3212</v>
      </c>
      <c r="CE35" t="s">
        <v>96</v>
      </c>
      <c r="CF35" s="3">
        <v>43804</v>
      </c>
      <c r="CI35">
        <v>1</v>
      </c>
      <c r="CJ35">
        <v>1</v>
      </c>
      <c r="CK35">
        <v>21</v>
      </c>
      <c r="CL35" t="s">
        <v>89</v>
      </c>
    </row>
    <row r="36" spans="1:90">
      <c r="A36" t="s">
        <v>72</v>
      </c>
      <c r="B36" t="s">
        <v>73</v>
      </c>
      <c r="C36" t="s">
        <v>74</v>
      </c>
      <c r="E36" t="str">
        <f>"FES1162726316"</f>
        <v>FES1162726316</v>
      </c>
      <c r="F36" s="3">
        <v>43801</v>
      </c>
      <c r="G36">
        <v>202006</v>
      </c>
      <c r="H36" t="s">
        <v>75</v>
      </c>
      <c r="I36" t="s">
        <v>76</v>
      </c>
      <c r="J36" t="s">
        <v>77</v>
      </c>
      <c r="K36" t="s">
        <v>78</v>
      </c>
      <c r="L36" t="s">
        <v>138</v>
      </c>
      <c r="M36" t="s">
        <v>139</v>
      </c>
      <c r="N36" t="s">
        <v>226</v>
      </c>
      <c r="O36" t="s">
        <v>82</v>
      </c>
      <c r="P36" t="str">
        <f>"2170719567                    "</f>
        <v xml:space="preserve">2170719567                    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6.71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1</v>
      </c>
      <c r="BI36">
        <v>1</v>
      </c>
      <c r="BJ36">
        <v>0.2</v>
      </c>
      <c r="BK36">
        <v>1</v>
      </c>
      <c r="BL36" s="4">
        <v>39.42</v>
      </c>
      <c r="BM36" s="4">
        <v>5.91</v>
      </c>
      <c r="BN36" s="4">
        <v>45.33</v>
      </c>
      <c r="BO36" s="4">
        <v>45.33</v>
      </c>
      <c r="BQ36" t="s">
        <v>135</v>
      </c>
      <c r="BR36" t="s">
        <v>84</v>
      </c>
      <c r="BS36" s="3">
        <v>43802</v>
      </c>
      <c r="BT36" s="5">
        <v>0.4770833333333333</v>
      </c>
      <c r="BU36" t="s">
        <v>227</v>
      </c>
      <c r="BV36" t="s">
        <v>89</v>
      </c>
      <c r="BW36" t="s">
        <v>228</v>
      </c>
      <c r="BX36" t="s">
        <v>229</v>
      </c>
      <c r="BY36">
        <v>1200</v>
      </c>
      <c r="BZ36" t="s">
        <v>27</v>
      </c>
      <c r="CA36" t="s">
        <v>230</v>
      </c>
      <c r="CC36" t="s">
        <v>139</v>
      </c>
      <c r="CD36">
        <v>1401</v>
      </c>
      <c r="CE36" t="s">
        <v>88</v>
      </c>
      <c r="CI36">
        <v>1</v>
      </c>
      <c r="CJ36">
        <v>1</v>
      </c>
      <c r="CK36">
        <v>22</v>
      </c>
      <c r="CL36" t="s">
        <v>89</v>
      </c>
    </row>
    <row r="37" spans="1:90">
      <c r="A37" t="s">
        <v>72</v>
      </c>
      <c r="B37" t="s">
        <v>73</v>
      </c>
      <c r="C37" t="s">
        <v>74</v>
      </c>
      <c r="E37" t="str">
        <f>"FES1162726404"</f>
        <v>FES1162726404</v>
      </c>
      <c r="F37" s="3">
        <v>43802</v>
      </c>
      <c r="G37">
        <v>202006</v>
      </c>
      <c r="H37" t="s">
        <v>75</v>
      </c>
      <c r="I37" t="s">
        <v>76</v>
      </c>
      <c r="J37" t="s">
        <v>77</v>
      </c>
      <c r="K37" t="s">
        <v>78</v>
      </c>
      <c r="L37" t="s">
        <v>79</v>
      </c>
      <c r="M37" t="s">
        <v>80</v>
      </c>
      <c r="N37" t="s">
        <v>231</v>
      </c>
      <c r="O37" t="s">
        <v>82</v>
      </c>
      <c r="P37" t="str">
        <f>"2170719209                    "</f>
        <v xml:space="preserve">2170719209                    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12.87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1</v>
      </c>
      <c r="BI37">
        <v>2.7</v>
      </c>
      <c r="BJ37">
        <v>0.9</v>
      </c>
      <c r="BK37">
        <v>3</v>
      </c>
      <c r="BL37" s="4">
        <v>75.66</v>
      </c>
      <c r="BM37" s="4">
        <v>11.35</v>
      </c>
      <c r="BN37" s="4">
        <v>87.01</v>
      </c>
      <c r="BO37" s="4">
        <v>87.01</v>
      </c>
      <c r="BQ37" t="s">
        <v>232</v>
      </c>
      <c r="BR37" t="s">
        <v>84</v>
      </c>
      <c r="BS37" s="3">
        <v>43803</v>
      </c>
      <c r="BT37" s="5">
        <v>0.38125000000000003</v>
      </c>
      <c r="BU37" t="s">
        <v>233</v>
      </c>
      <c r="BV37" t="s">
        <v>86</v>
      </c>
      <c r="BY37">
        <v>4474.5</v>
      </c>
      <c r="CA37" t="s">
        <v>131</v>
      </c>
      <c r="CC37" t="s">
        <v>80</v>
      </c>
      <c r="CD37">
        <v>6001</v>
      </c>
      <c r="CE37" t="s">
        <v>116</v>
      </c>
      <c r="CF37" s="3">
        <v>43804</v>
      </c>
      <c r="CI37">
        <v>1</v>
      </c>
      <c r="CJ37">
        <v>1</v>
      </c>
      <c r="CK37">
        <v>21</v>
      </c>
      <c r="CL37" t="s">
        <v>89</v>
      </c>
    </row>
    <row r="38" spans="1:90">
      <c r="A38" t="s">
        <v>72</v>
      </c>
      <c r="B38" t="s">
        <v>73</v>
      </c>
      <c r="C38" t="s">
        <v>74</v>
      </c>
      <c r="E38" t="str">
        <f>"FES1162726310"</f>
        <v>FES1162726310</v>
      </c>
      <c r="F38" s="3">
        <v>43801</v>
      </c>
      <c r="G38">
        <v>202006</v>
      </c>
      <c r="H38" t="s">
        <v>75</v>
      </c>
      <c r="I38" t="s">
        <v>76</v>
      </c>
      <c r="J38" t="s">
        <v>77</v>
      </c>
      <c r="K38" t="s">
        <v>78</v>
      </c>
      <c r="L38" t="s">
        <v>138</v>
      </c>
      <c r="M38" t="s">
        <v>139</v>
      </c>
      <c r="N38" t="s">
        <v>234</v>
      </c>
      <c r="O38" t="s">
        <v>82</v>
      </c>
      <c r="P38" t="str">
        <f>"2170716715                    "</f>
        <v xml:space="preserve">2170716715                    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6.71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1</v>
      </c>
      <c r="BI38">
        <v>1</v>
      </c>
      <c r="BJ38">
        <v>0.2</v>
      </c>
      <c r="BK38">
        <v>1</v>
      </c>
      <c r="BL38" s="4">
        <v>39.42</v>
      </c>
      <c r="BM38" s="4">
        <v>5.91</v>
      </c>
      <c r="BN38" s="4">
        <v>45.33</v>
      </c>
      <c r="BO38" s="4">
        <v>45.33</v>
      </c>
      <c r="BQ38" t="s">
        <v>147</v>
      </c>
      <c r="BR38" t="s">
        <v>84</v>
      </c>
      <c r="BS38" s="3">
        <v>43802</v>
      </c>
      <c r="BT38" s="5">
        <v>0.375</v>
      </c>
      <c r="BU38" t="s">
        <v>235</v>
      </c>
      <c r="BV38" t="s">
        <v>86</v>
      </c>
      <c r="BY38">
        <v>1200</v>
      </c>
      <c r="BZ38" t="s">
        <v>27</v>
      </c>
      <c r="CA38" t="s">
        <v>230</v>
      </c>
      <c r="CC38" t="s">
        <v>139</v>
      </c>
      <c r="CD38">
        <v>1401</v>
      </c>
      <c r="CE38" t="s">
        <v>88</v>
      </c>
      <c r="CF38" s="3">
        <v>43803</v>
      </c>
      <c r="CI38">
        <v>1</v>
      </c>
      <c r="CJ38">
        <v>1</v>
      </c>
      <c r="CK38">
        <v>22</v>
      </c>
      <c r="CL38" t="s">
        <v>89</v>
      </c>
    </row>
    <row r="39" spans="1:90">
      <c r="A39" t="s">
        <v>72</v>
      </c>
      <c r="B39" t="s">
        <v>73</v>
      </c>
      <c r="C39" t="s">
        <v>74</v>
      </c>
      <c r="E39" t="str">
        <f>"FES1162726365"</f>
        <v>FES1162726365</v>
      </c>
      <c r="F39" s="3">
        <v>43802</v>
      </c>
      <c r="G39">
        <v>202006</v>
      </c>
      <c r="H39" t="s">
        <v>75</v>
      </c>
      <c r="I39" t="s">
        <v>76</v>
      </c>
      <c r="J39" t="s">
        <v>77</v>
      </c>
      <c r="K39" t="s">
        <v>78</v>
      </c>
      <c r="L39" t="s">
        <v>79</v>
      </c>
      <c r="M39" t="s">
        <v>80</v>
      </c>
      <c r="N39" t="s">
        <v>97</v>
      </c>
      <c r="O39" t="s">
        <v>82</v>
      </c>
      <c r="P39" t="str">
        <f>"2170707024                    "</f>
        <v xml:space="preserve">2170707024                    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17.16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1</v>
      </c>
      <c r="BI39">
        <v>3.6</v>
      </c>
      <c r="BJ39">
        <v>1.6</v>
      </c>
      <c r="BK39">
        <v>4</v>
      </c>
      <c r="BL39" s="4">
        <v>100.87</v>
      </c>
      <c r="BM39" s="4">
        <v>15.13</v>
      </c>
      <c r="BN39" s="4">
        <v>116</v>
      </c>
      <c r="BO39" s="4">
        <v>116</v>
      </c>
      <c r="BQ39" t="s">
        <v>93</v>
      </c>
      <c r="BR39" t="s">
        <v>84</v>
      </c>
      <c r="BS39" s="3">
        <v>43803</v>
      </c>
      <c r="BT39" s="5">
        <v>0.34027777777777773</v>
      </c>
      <c r="BU39" t="s">
        <v>98</v>
      </c>
      <c r="BV39" t="s">
        <v>86</v>
      </c>
      <c r="BY39">
        <v>8013.59</v>
      </c>
      <c r="CA39" t="s">
        <v>99</v>
      </c>
      <c r="CC39" t="s">
        <v>80</v>
      </c>
      <c r="CD39">
        <v>6001</v>
      </c>
      <c r="CE39" t="s">
        <v>96</v>
      </c>
      <c r="CF39" s="3">
        <v>43804</v>
      </c>
      <c r="CI39">
        <v>1</v>
      </c>
      <c r="CJ39">
        <v>1</v>
      </c>
      <c r="CK39">
        <v>21</v>
      </c>
      <c r="CL39" t="s">
        <v>89</v>
      </c>
    </row>
    <row r="40" spans="1:90">
      <c r="A40" t="s">
        <v>72</v>
      </c>
      <c r="B40" t="s">
        <v>73</v>
      </c>
      <c r="C40" t="s">
        <v>74</v>
      </c>
      <c r="E40" t="str">
        <f>"FES1162726324"</f>
        <v>FES1162726324</v>
      </c>
      <c r="F40" s="3">
        <v>43801</v>
      </c>
      <c r="G40">
        <v>202006</v>
      </c>
      <c r="H40" t="s">
        <v>75</v>
      </c>
      <c r="I40" t="s">
        <v>76</v>
      </c>
      <c r="J40" t="s">
        <v>77</v>
      </c>
      <c r="K40" t="s">
        <v>78</v>
      </c>
      <c r="L40" t="s">
        <v>221</v>
      </c>
      <c r="M40" t="s">
        <v>222</v>
      </c>
      <c r="N40" t="s">
        <v>236</v>
      </c>
      <c r="O40" t="s">
        <v>82</v>
      </c>
      <c r="P40" t="str">
        <f>"2170719822                    "</f>
        <v xml:space="preserve">2170719822                    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30.03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1</v>
      </c>
      <c r="BI40">
        <v>7</v>
      </c>
      <c r="BJ40">
        <v>3.2</v>
      </c>
      <c r="BK40">
        <v>7</v>
      </c>
      <c r="BL40" s="4">
        <v>176.5</v>
      </c>
      <c r="BM40" s="4">
        <v>26.48</v>
      </c>
      <c r="BN40" s="4">
        <v>202.98</v>
      </c>
      <c r="BO40" s="4">
        <v>202.98</v>
      </c>
      <c r="BQ40" t="s">
        <v>93</v>
      </c>
      <c r="BR40" t="s">
        <v>84</v>
      </c>
      <c r="BS40" s="3">
        <v>43802</v>
      </c>
      <c r="BT40" s="5">
        <v>0.44861111111111113</v>
      </c>
      <c r="BU40" t="s">
        <v>237</v>
      </c>
      <c r="BV40" t="s">
        <v>86</v>
      </c>
      <c r="BY40">
        <v>15846.91</v>
      </c>
      <c r="BZ40" t="s">
        <v>27</v>
      </c>
      <c r="CA40" t="s">
        <v>225</v>
      </c>
      <c r="CC40" t="s">
        <v>222</v>
      </c>
      <c r="CD40">
        <v>3212</v>
      </c>
      <c r="CE40" t="s">
        <v>96</v>
      </c>
      <c r="CF40" s="3">
        <v>43803</v>
      </c>
      <c r="CI40">
        <v>1</v>
      </c>
      <c r="CJ40">
        <v>1</v>
      </c>
      <c r="CK40">
        <v>21</v>
      </c>
      <c r="CL40" t="s">
        <v>89</v>
      </c>
    </row>
    <row r="41" spans="1:90">
      <c r="A41" t="s">
        <v>72</v>
      </c>
      <c r="B41" t="s">
        <v>73</v>
      </c>
      <c r="C41" t="s">
        <v>74</v>
      </c>
      <c r="E41" t="str">
        <f>"FES1162726401"</f>
        <v>FES1162726401</v>
      </c>
      <c r="F41" s="3">
        <v>43802</v>
      </c>
      <c r="G41">
        <v>202006</v>
      </c>
      <c r="H41" t="s">
        <v>75</v>
      </c>
      <c r="I41" t="s">
        <v>76</v>
      </c>
      <c r="J41" t="s">
        <v>77</v>
      </c>
      <c r="K41" t="s">
        <v>78</v>
      </c>
      <c r="L41" t="s">
        <v>164</v>
      </c>
      <c r="M41" t="s">
        <v>165</v>
      </c>
      <c r="N41" t="s">
        <v>238</v>
      </c>
      <c r="O41" t="s">
        <v>82</v>
      </c>
      <c r="P41" t="str">
        <f>"2170719068                    "</f>
        <v xml:space="preserve">2170719068                    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15.02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1</v>
      </c>
      <c r="BI41">
        <v>1.8</v>
      </c>
      <c r="BJ41">
        <v>3.2</v>
      </c>
      <c r="BK41">
        <v>3.5</v>
      </c>
      <c r="BL41" s="4">
        <v>88.27</v>
      </c>
      <c r="BM41" s="4">
        <v>13.24</v>
      </c>
      <c r="BN41" s="4">
        <v>101.51</v>
      </c>
      <c r="BO41" s="4">
        <v>101.51</v>
      </c>
      <c r="BQ41" t="s">
        <v>147</v>
      </c>
      <c r="BR41" t="s">
        <v>84</v>
      </c>
      <c r="BS41" s="3">
        <v>43803</v>
      </c>
      <c r="BT41" s="5">
        <v>0.40347222222222223</v>
      </c>
      <c r="BU41" t="s">
        <v>239</v>
      </c>
      <c r="BV41" t="s">
        <v>86</v>
      </c>
      <c r="BY41">
        <v>16244.32</v>
      </c>
      <c r="CA41" t="s">
        <v>168</v>
      </c>
      <c r="CC41" t="s">
        <v>165</v>
      </c>
      <c r="CD41">
        <v>5201</v>
      </c>
      <c r="CE41" t="s">
        <v>96</v>
      </c>
      <c r="CF41" s="3">
        <v>43808</v>
      </c>
      <c r="CI41">
        <v>1</v>
      </c>
      <c r="CJ41">
        <v>1</v>
      </c>
      <c r="CK41">
        <v>21</v>
      </c>
      <c r="CL41" t="s">
        <v>89</v>
      </c>
    </row>
    <row r="42" spans="1:90">
      <c r="A42" t="s">
        <v>72</v>
      </c>
      <c r="B42" t="s">
        <v>73</v>
      </c>
      <c r="C42" t="s">
        <v>74</v>
      </c>
      <c r="E42" t="str">
        <f>"FES1162726335"</f>
        <v>FES1162726335</v>
      </c>
      <c r="F42" s="3">
        <v>43801</v>
      </c>
      <c r="G42">
        <v>202006</v>
      </c>
      <c r="H42" t="s">
        <v>75</v>
      </c>
      <c r="I42" t="s">
        <v>76</v>
      </c>
      <c r="J42" t="s">
        <v>77</v>
      </c>
      <c r="K42" t="s">
        <v>78</v>
      </c>
      <c r="L42" t="s">
        <v>240</v>
      </c>
      <c r="M42" t="s">
        <v>241</v>
      </c>
      <c r="N42" t="s">
        <v>242</v>
      </c>
      <c r="O42" t="s">
        <v>82</v>
      </c>
      <c r="P42" t="str">
        <f>"21707198378                   "</f>
        <v xml:space="preserve">21707198378                   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8.58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1</v>
      </c>
      <c r="BI42">
        <v>1.5</v>
      </c>
      <c r="BJ42">
        <v>1.3</v>
      </c>
      <c r="BK42">
        <v>1.5</v>
      </c>
      <c r="BL42" s="4">
        <v>50.45</v>
      </c>
      <c r="BM42" s="4">
        <v>7.57</v>
      </c>
      <c r="BN42" s="4">
        <v>58.02</v>
      </c>
      <c r="BO42" s="4">
        <v>58.02</v>
      </c>
      <c r="BQ42" t="s">
        <v>147</v>
      </c>
      <c r="BR42" t="s">
        <v>84</v>
      </c>
      <c r="BS42" s="3">
        <v>43802</v>
      </c>
      <c r="BT42" s="5">
        <v>0.36805555555555558</v>
      </c>
      <c r="BU42" t="s">
        <v>243</v>
      </c>
      <c r="BV42" t="s">
        <v>86</v>
      </c>
      <c r="BY42">
        <v>6318</v>
      </c>
      <c r="BZ42" t="s">
        <v>27</v>
      </c>
      <c r="CA42" t="s">
        <v>244</v>
      </c>
      <c r="CC42" t="s">
        <v>241</v>
      </c>
      <c r="CD42">
        <v>4126</v>
      </c>
      <c r="CE42" t="s">
        <v>96</v>
      </c>
      <c r="CI42">
        <v>1</v>
      </c>
      <c r="CJ42">
        <v>1</v>
      </c>
      <c r="CK42">
        <v>21</v>
      </c>
      <c r="CL42" t="s">
        <v>89</v>
      </c>
    </row>
    <row r="43" spans="1:90">
      <c r="A43" t="s">
        <v>72</v>
      </c>
      <c r="B43" t="s">
        <v>73</v>
      </c>
      <c r="C43" t="s">
        <v>74</v>
      </c>
      <c r="E43" t="str">
        <f>"FES1162726591"</f>
        <v>FES1162726591</v>
      </c>
      <c r="F43" s="3">
        <v>43802</v>
      </c>
      <c r="G43">
        <v>202006</v>
      </c>
      <c r="H43" t="s">
        <v>75</v>
      </c>
      <c r="I43" t="s">
        <v>76</v>
      </c>
      <c r="J43" t="s">
        <v>77</v>
      </c>
      <c r="K43" t="s">
        <v>78</v>
      </c>
      <c r="L43" t="s">
        <v>221</v>
      </c>
      <c r="M43" t="s">
        <v>222</v>
      </c>
      <c r="N43" t="s">
        <v>245</v>
      </c>
      <c r="O43" t="s">
        <v>82</v>
      </c>
      <c r="P43" t="str">
        <f>"21707120069                   "</f>
        <v xml:space="preserve">21707120069                   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12.87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1</v>
      </c>
      <c r="BI43">
        <v>1.6</v>
      </c>
      <c r="BJ43">
        <v>2.8</v>
      </c>
      <c r="BK43">
        <v>3</v>
      </c>
      <c r="BL43" s="4">
        <v>75.66</v>
      </c>
      <c r="BM43" s="4">
        <v>11.35</v>
      </c>
      <c r="BN43" s="4">
        <v>87.01</v>
      </c>
      <c r="BO43" s="4">
        <v>87.01</v>
      </c>
      <c r="BR43" t="s">
        <v>84</v>
      </c>
      <c r="BS43" s="3">
        <v>43803</v>
      </c>
      <c r="BT43" s="5">
        <v>0.43194444444444446</v>
      </c>
      <c r="BU43" t="s">
        <v>246</v>
      </c>
      <c r="BV43" t="s">
        <v>86</v>
      </c>
      <c r="BY43">
        <v>13936.58</v>
      </c>
      <c r="CA43" t="s">
        <v>247</v>
      </c>
      <c r="CC43" t="s">
        <v>222</v>
      </c>
      <c r="CD43">
        <v>3200</v>
      </c>
      <c r="CE43" t="s">
        <v>116</v>
      </c>
      <c r="CF43" s="3">
        <v>43804</v>
      </c>
      <c r="CI43">
        <v>1</v>
      </c>
      <c r="CJ43">
        <v>1</v>
      </c>
      <c r="CK43">
        <v>21</v>
      </c>
      <c r="CL43" t="s">
        <v>89</v>
      </c>
    </row>
    <row r="44" spans="1:90">
      <c r="A44" t="s">
        <v>72</v>
      </c>
      <c r="B44" t="s">
        <v>73</v>
      </c>
      <c r="C44" t="s">
        <v>74</v>
      </c>
      <c r="E44" t="str">
        <f>"FES1162726552"</f>
        <v>FES1162726552</v>
      </c>
      <c r="F44" s="3">
        <v>43802</v>
      </c>
      <c r="G44">
        <v>202006</v>
      </c>
      <c r="H44" t="s">
        <v>75</v>
      </c>
      <c r="I44" t="s">
        <v>76</v>
      </c>
      <c r="J44" t="s">
        <v>77</v>
      </c>
      <c r="K44" t="s">
        <v>78</v>
      </c>
      <c r="L44" t="s">
        <v>221</v>
      </c>
      <c r="M44" t="s">
        <v>222</v>
      </c>
      <c r="N44" t="s">
        <v>223</v>
      </c>
      <c r="O44" t="s">
        <v>82</v>
      </c>
      <c r="P44" t="str">
        <f>"2170719729                    "</f>
        <v xml:space="preserve">2170719729                    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25.74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1</v>
      </c>
      <c r="BI44">
        <v>6</v>
      </c>
      <c r="BJ44">
        <v>3</v>
      </c>
      <c r="BK44">
        <v>6</v>
      </c>
      <c r="BL44" s="4">
        <v>151.29</v>
      </c>
      <c r="BM44" s="4">
        <v>22.69</v>
      </c>
      <c r="BN44" s="4">
        <v>173.98</v>
      </c>
      <c r="BO44" s="4">
        <v>173.98</v>
      </c>
      <c r="BQ44" t="s">
        <v>147</v>
      </c>
      <c r="BR44" t="s">
        <v>84</v>
      </c>
      <c r="BS44" s="3">
        <v>43803</v>
      </c>
      <c r="BT44" s="5">
        <v>0.39930555555555558</v>
      </c>
      <c r="BU44" t="s">
        <v>224</v>
      </c>
      <c r="BV44" t="s">
        <v>86</v>
      </c>
      <c r="BY44">
        <v>15018.82</v>
      </c>
      <c r="CA44" t="s">
        <v>225</v>
      </c>
      <c r="CC44" t="s">
        <v>222</v>
      </c>
      <c r="CD44">
        <v>3212</v>
      </c>
      <c r="CE44" t="s">
        <v>96</v>
      </c>
      <c r="CF44" s="3">
        <v>43804</v>
      </c>
      <c r="CI44">
        <v>1</v>
      </c>
      <c r="CJ44">
        <v>1</v>
      </c>
      <c r="CK44">
        <v>21</v>
      </c>
      <c r="CL44" t="s">
        <v>89</v>
      </c>
    </row>
    <row r="45" spans="1:90">
      <c r="A45" t="s">
        <v>72</v>
      </c>
      <c r="B45" t="s">
        <v>73</v>
      </c>
      <c r="C45" t="s">
        <v>74</v>
      </c>
      <c r="E45" t="str">
        <f>"FES1162726320"</f>
        <v>FES1162726320</v>
      </c>
      <c r="F45" s="3">
        <v>43801</v>
      </c>
      <c r="G45">
        <v>202006</v>
      </c>
      <c r="H45" t="s">
        <v>75</v>
      </c>
      <c r="I45" t="s">
        <v>76</v>
      </c>
      <c r="J45" t="s">
        <v>77</v>
      </c>
      <c r="K45" t="s">
        <v>78</v>
      </c>
      <c r="L45" t="s">
        <v>169</v>
      </c>
      <c r="M45" t="s">
        <v>170</v>
      </c>
      <c r="N45" t="s">
        <v>171</v>
      </c>
      <c r="O45" t="s">
        <v>82</v>
      </c>
      <c r="P45" t="str">
        <f>"2170719604                    "</f>
        <v xml:space="preserve">2170719604                    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6.71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1</v>
      </c>
      <c r="BI45">
        <v>1</v>
      </c>
      <c r="BJ45">
        <v>0.2</v>
      </c>
      <c r="BK45">
        <v>1</v>
      </c>
      <c r="BL45" s="4">
        <v>39.42</v>
      </c>
      <c r="BM45" s="4">
        <v>5.91</v>
      </c>
      <c r="BN45" s="4">
        <v>45.33</v>
      </c>
      <c r="BO45" s="4">
        <v>45.33</v>
      </c>
      <c r="BQ45" t="s">
        <v>172</v>
      </c>
      <c r="BR45" t="s">
        <v>84</v>
      </c>
      <c r="BS45" s="3">
        <v>43802</v>
      </c>
      <c r="BT45" s="5">
        <v>0.24583333333333335</v>
      </c>
      <c r="BU45" t="s">
        <v>206</v>
      </c>
      <c r="BV45" t="s">
        <v>86</v>
      </c>
      <c r="BY45">
        <v>1200</v>
      </c>
      <c r="BZ45" t="s">
        <v>27</v>
      </c>
      <c r="CA45" t="s">
        <v>174</v>
      </c>
      <c r="CC45" t="s">
        <v>170</v>
      </c>
      <c r="CD45">
        <v>1459</v>
      </c>
      <c r="CE45" t="s">
        <v>88</v>
      </c>
      <c r="CF45" s="3">
        <v>43803</v>
      </c>
      <c r="CI45">
        <v>1</v>
      </c>
      <c r="CJ45">
        <v>1</v>
      </c>
      <c r="CK45">
        <v>22</v>
      </c>
      <c r="CL45" t="s">
        <v>89</v>
      </c>
    </row>
    <row r="46" spans="1:90">
      <c r="A46" t="s">
        <v>72</v>
      </c>
      <c r="B46" t="s">
        <v>73</v>
      </c>
      <c r="C46" t="s">
        <v>74</v>
      </c>
      <c r="E46" t="str">
        <f>"FES1162724660"</f>
        <v>FES1162724660</v>
      </c>
      <c r="F46" s="3">
        <v>43802</v>
      </c>
      <c r="G46">
        <v>202006</v>
      </c>
      <c r="H46" t="s">
        <v>75</v>
      </c>
      <c r="I46" t="s">
        <v>76</v>
      </c>
      <c r="J46" t="s">
        <v>77</v>
      </c>
      <c r="K46" t="s">
        <v>78</v>
      </c>
      <c r="L46" t="s">
        <v>169</v>
      </c>
      <c r="M46" t="s">
        <v>170</v>
      </c>
      <c r="N46" t="s">
        <v>248</v>
      </c>
      <c r="O46" t="s">
        <v>82</v>
      </c>
      <c r="P46" t="str">
        <f>"2170718444                    "</f>
        <v xml:space="preserve">2170718444                    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9.1199999999999992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1</v>
      </c>
      <c r="BI46">
        <v>2.4</v>
      </c>
      <c r="BJ46">
        <v>3.1</v>
      </c>
      <c r="BK46">
        <v>3.5</v>
      </c>
      <c r="BL46" s="4">
        <v>53.59</v>
      </c>
      <c r="BM46" s="4">
        <v>8.0399999999999991</v>
      </c>
      <c r="BN46" s="4">
        <v>61.63</v>
      </c>
      <c r="BO46" s="4">
        <v>61.63</v>
      </c>
      <c r="BQ46" t="s">
        <v>147</v>
      </c>
      <c r="BR46" t="s">
        <v>84</v>
      </c>
      <c r="BS46" s="3">
        <v>43803</v>
      </c>
      <c r="BT46" s="5">
        <v>0.36388888888888887</v>
      </c>
      <c r="BU46" t="s">
        <v>249</v>
      </c>
      <c r="BV46" t="s">
        <v>86</v>
      </c>
      <c r="BY46">
        <v>15731.09</v>
      </c>
      <c r="CA46" t="s">
        <v>250</v>
      </c>
      <c r="CC46" t="s">
        <v>170</v>
      </c>
      <c r="CD46">
        <v>1459</v>
      </c>
      <c r="CE46" t="s">
        <v>96</v>
      </c>
      <c r="CF46" s="3">
        <v>43810</v>
      </c>
      <c r="CI46">
        <v>1</v>
      </c>
      <c r="CJ46">
        <v>1</v>
      </c>
      <c r="CK46">
        <v>22</v>
      </c>
      <c r="CL46" t="s">
        <v>89</v>
      </c>
    </row>
    <row r="47" spans="1:90">
      <c r="A47" t="s">
        <v>72</v>
      </c>
      <c r="B47" t="s">
        <v>73</v>
      </c>
      <c r="C47" t="s">
        <v>74</v>
      </c>
      <c r="E47" t="str">
        <f>"FES1162726533"</f>
        <v>FES1162726533</v>
      </c>
      <c r="F47" s="3">
        <v>43802</v>
      </c>
      <c r="G47">
        <v>202006</v>
      </c>
      <c r="H47" t="s">
        <v>75</v>
      </c>
      <c r="I47" t="s">
        <v>76</v>
      </c>
      <c r="J47" t="s">
        <v>77</v>
      </c>
      <c r="K47" t="s">
        <v>78</v>
      </c>
      <c r="L47" t="s">
        <v>169</v>
      </c>
      <c r="M47" t="s">
        <v>170</v>
      </c>
      <c r="N47" t="s">
        <v>248</v>
      </c>
      <c r="O47" t="s">
        <v>82</v>
      </c>
      <c r="P47" t="str">
        <f>"21707199995                   "</f>
        <v xml:space="preserve">21707199995                   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10.72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1</v>
      </c>
      <c r="BI47">
        <v>4.5</v>
      </c>
      <c r="BJ47">
        <v>1.6</v>
      </c>
      <c r="BK47">
        <v>4.5</v>
      </c>
      <c r="BL47" s="4">
        <v>63.03</v>
      </c>
      <c r="BM47" s="4">
        <v>9.4499999999999993</v>
      </c>
      <c r="BN47" s="4">
        <v>72.48</v>
      </c>
      <c r="BO47" s="4">
        <v>72.48</v>
      </c>
      <c r="BQ47" t="s">
        <v>147</v>
      </c>
      <c r="BR47" t="s">
        <v>84</v>
      </c>
      <c r="BS47" s="3">
        <v>43803</v>
      </c>
      <c r="BT47" s="5">
        <v>0.36388888888888887</v>
      </c>
      <c r="BU47" t="s">
        <v>249</v>
      </c>
      <c r="BV47" t="s">
        <v>86</v>
      </c>
      <c r="BY47">
        <v>8192.23</v>
      </c>
      <c r="CA47" t="s">
        <v>250</v>
      </c>
      <c r="CC47" t="s">
        <v>170</v>
      </c>
      <c r="CD47">
        <v>1459</v>
      </c>
      <c r="CE47" t="s">
        <v>96</v>
      </c>
      <c r="CF47" s="3">
        <v>43804</v>
      </c>
      <c r="CI47">
        <v>1</v>
      </c>
      <c r="CJ47">
        <v>1</v>
      </c>
      <c r="CK47">
        <v>22</v>
      </c>
      <c r="CL47" t="s">
        <v>89</v>
      </c>
    </row>
    <row r="48" spans="1:90">
      <c r="A48" t="s">
        <v>72</v>
      </c>
      <c r="B48" t="s">
        <v>73</v>
      </c>
      <c r="C48" t="s">
        <v>74</v>
      </c>
      <c r="E48" t="str">
        <f>"FES1162726325"</f>
        <v>FES1162726325</v>
      </c>
      <c r="F48" s="3">
        <v>43801</v>
      </c>
      <c r="G48">
        <v>202006</v>
      </c>
      <c r="H48" t="s">
        <v>75</v>
      </c>
      <c r="I48" t="s">
        <v>76</v>
      </c>
      <c r="J48" t="s">
        <v>77</v>
      </c>
      <c r="K48" t="s">
        <v>78</v>
      </c>
      <c r="L48" t="s">
        <v>169</v>
      </c>
      <c r="M48" t="s">
        <v>170</v>
      </c>
      <c r="N48" t="s">
        <v>251</v>
      </c>
      <c r="O48" t="s">
        <v>82</v>
      </c>
      <c r="P48" t="str">
        <f>"2170718924                    "</f>
        <v xml:space="preserve">2170718924                    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8.31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1</v>
      </c>
      <c r="BI48">
        <v>3</v>
      </c>
      <c r="BJ48">
        <v>1.4</v>
      </c>
      <c r="BK48">
        <v>3</v>
      </c>
      <c r="BL48" s="4">
        <v>48.86</v>
      </c>
      <c r="BM48" s="4">
        <v>7.33</v>
      </c>
      <c r="BN48" s="4">
        <v>56.19</v>
      </c>
      <c r="BO48" s="4">
        <v>56.19</v>
      </c>
      <c r="BQ48" t="s">
        <v>147</v>
      </c>
      <c r="BR48" t="s">
        <v>84</v>
      </c>
      <c r="BS48" s="3">
        <v>43802</v>
      </c>
      <c r="BT48" s="5">
        <v>0.29791666666666666</v>
      </c>
      <c r="BU48" t="s">
        <v>252</v>
      </c>
      <c r="BV48" t="s">
        <v>86</v>
      </c>
      <c r="BY48">
        <v>6811.83</v>
      </c>
      <c r="BZ48" t="s">
        <v>27</v>
      </c>
      <c r="CA48" t="s">
        <v>250</v>
      </c>
      <c r="CC48" t="s">
        <v>170</v>
      </c>
      <c r="CD48">
        <v>1459</v>
      </c>
      <c r="CE48" t="s">
        <v>96</v>
      </c>
      <c r="CF48" s="3">
        <v>43803</v>
      </c>
      <c r="CI48">
        <v>1</v>
      </c>
      <c r="CJ48">
        <v>1</v>
      </c>
      <c r="CK48">
        <v>22</v>
      </c>
      <c r="CL48" t="s">
        <v>89</v>
      </c>
    </row>
    <row r="49" spans="1:90">
      <c r="A49" t="s">
        <v>72</v>
      </c>
      <c r="B49" t="s">
        <v>73</v>
      </c>
      <c r="C49" t="s">
        <v>74</v>
      </c>
      <c r="E49" t="str">
        <f>"FES1162726468"</f>
        <v>FES1162726468</v>
      </c>
      <c r="F49" s="3">
        <v>43802</v>
      </c>
      <c r="G49">
        <v>202006</v>
      </c>
      <c r="H49" t="s">
        <v>75</v>
      </c>
      <c r="I49" t="s">
        <v>76</v>
      </c>
      <c r="J49" t="s">
        <v>77</v>
      </c>
      <c r="K49" t="s">
        <v>78</v>
      </c>
      <c r="L49" t="s">
        <v>169</v>
      </c>
      <c r="M49" t="s">
        <v>170</v>
      </c>
      <c r="N49" t="s">
        <v>253</v>
      </c>
      <c r="O49" t="s">
        <v>82</v>
      </c>
      <c r="P49" t="str">
        <f>"2170719903                    "</f>
        <v xml:space="preserve">2170719903                    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13.13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1</v>
      </c>
      <c r="BI49">
        <v>5.9</v>
      </c>
      <c r="BJ49">
        <v>5.3</v>
      </c>
      <c r="BK49">
        <v>6</v>
      </c>
      <c r="BL49" s="4">
        <v>77.2</v>
      </c>
      <c r="BM49" s="4">
        <v>11.58</v>
      </c>
      <c r="BN49" s="4">
        <v>88.78</v>
      </c>
      <c r="BO49" s="4">
        <v>88.78</v>
      </c>
      <c r="BQ49" t="s">
        <v>147</v>
      </c>
      <c r="BR49" t="s">
        <v>84</v>
      </c>
      <c r="BS49" s="3">
        <v>43803</v>
      </c>
      <c r="BT49" s="5">
        <v>0.36944444444444446</v>
      </c>
      <c r="BU49" t="s">
        <v>254</v>
      </c>
      <c r="BV49" t="s">
        <v>86</v>
      </c>
      <c r="BY49">
        <v>26669.61</v>
      </c>
      <c r="CA49" t="s">
        <v>250</v>
      </c>
      <c r="CC49" t="s">
        <v>170</v>
      </c>
      <c r="CD49">
        <v>1459</v>
      </c>
      <c r="CE49" t="s">
        <v>96</v>
      </c>
      <c r="CF49" s="3">
        <v>43804</v>
      </c>
      <c r="CI49">
        <v>1</v>
      </c>
      <c r="CJ49">
        <v>1</v>
      </c>
      <c r="CK49">
        <v>22</v>
      </c>
      <c r="CL49" t="s">
        <v>89</v>
      </c>
    </row>
    <row r="50" spans="1:90">
      <c r="A50" t="s">
        <v>72</v>
      </c>
      <c r="B50" t="s">
        <v>73</v>
      </c>
      <c r="C50" t="s">
        <v>74</v>
      </c>
      <c r="E50" t="str">
        <f>"FES1162726314"</f>
        <v>FES1162726314</v>
      </c>
      <c r="F50" s="3">
        <v>43801</v>
      </c>
      <c r="G50">
        <v>202006</v>
      </c>
      <c r="H50" t="s">
        <v>75</v>
      </c>
      <c r="I50" t="s">
        <v>76</v>
      </c>
      <c r="J50" t="s">
        <v>77</v>
      </c>
      <c r="K50" t="s">
        <v>78</v>
      </c>
      <c r="L50" t="s">
        <v>117</v>
      </c>
      <c r="M50" t="s">
        <v>118</v>
      </c>
      <c r="N50" t="s">
        <v>255</v>
      </c>
      <c r="O50" t="s">
        <v>82</v>
      </c>
      <c r="P50" t="str">
        <f>"2170719464                    "</f>
        <v xml:space="preserve">2170719464                    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16.350000000000001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1</v>
      </c>
      <c r="BI50">
        <v>8</v>
      </c>
      <c r="BJ50">
        <v>3.3</v>
      </c>
      <c r="BK50">
        <v>8</v>
      </c>
      <c r="BL50" s="4">
        <v>96.1</v>
      </c>
      <c r="BM50" s="4">
        <v>14.42</v>
      </c>
      <c r="BN50" s="4">
        <v>110.52</v>
      </c>
      <c r="BO50" s="4">
        <v>110.52</v>
      </c>
      <c r="BQ50" t="s">
        <v>256</v>
      </c>
      <c r="BR50" t="s">
        <v>84</v>
      </c>
      <c r="BS50" s="3">
        <v>43802</v>
      </c>
      <c r="BT50" s="5">
        <v>0.33333333333333331</v>
      </c>
      <c r="BU50" t="s">
        <v>257</v>
      </c>
      <c r="BV50" t="s">
        <v>86</v>
      </c>
      <c r="BY50">
        <v>16430.36</v>
      </c>
      <c r="BZ50" t="s">
        <v>27</v>
      </c>
      <c r="CC50" t="s">
        <v>118</v>
      </c>
      <c r="CD50">
        <v>1540</v>
      </c>
      <c r="CE50" t="s">
        <v>96</v>
      </c>
      <c r="CF50" s="3">
        <v>43803</v>
      </c>
      <c r="CI50">
        <v>1</v>
      </c>
      <c r="CJ50">
        <v>1</v>
      </c>
      <c r="CK50">
        <v>22</v>
      </c>
      <c r="CL50" t="s">
        <v>89</v>
      </c>
    </row>
    <row r="51" spans="1:90">
      <c r="A51" t="s">
        <v>72</v>
      </c>
      <c r="B51" t="s">
        <v>73</v>
      </c>
      <c r="C51" t="s">
        <v>74</v>
      </c>
      <c r="E51" t="str">
        <f>"FES1162726629"</f>
        <v>FES1162726629</v>
      </c>
      <c r="F51" s="3">
        <v>43802</v>
      </c>
      <c r="G51">
        <v>202006</v>
      </c>
      <c r="H51" t="s">
        <v>75</v>
      </c>
      <c r="I51" t="s">
        <v>76</v>
      </c>
      <c r="J51" t="s">
        <v>77</v>
      </c>
      <c r="K51" t="s">
        <v>78</v>
      </c>
      <c r="L51" t="s">
        <v>258</v>
      </c>
      <c r="M51" t="s">
        <v>259</v>
      </c>
      <c r="N51" t="s">
        <v>260</v>
      </c>
      <c r="O51" t="s">
        <v>82</v>
      </c>
      <c r="P51" t="str">
        <f>"2170720112                    "</f>
        <v xml:space="preserve">2170720112                    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8.58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1</v>
      </c>
      <c r="BI51">
        <v>1</v>
      </c>
      <c r="BJ51">
        <v>0.2</v>
      </c>
      <c r="BK51">
        <v>1</v>
      </c>
      <c r="BL51" s="4">
        <v>50.45</v>
      </c>
      <c r="BM51" s="4">
        <v>7.57</v>
      </c>
      <c r="BN51" s="4">
        <v>58.02</v>
      </c>
      <c r="BO51" s="4">
        <v>58.02</v>
      </c>
      <c r="BQ51" t="s">
        <v>93</v>
      </c>
      <c r="BR51" t="s">
        <v>84</v>
      </c>
      <c r="BS51" s="3">
        <v>43803</v>
      </c>
      <c r="BT51" s="5">
        <v>0.52708333333333335</v>
      </c>
      <c r="BU51" t="s">
        <v>261</v>
      </c>
      <c r="BV51" t="s">
        <v>86</v>
      </c>
      <c r="BY51">
        <v>1200</v>
      </c>
      <c r="CA51" t="s">
        <v>262</v>
      </c>
      <c r="CC51" t="s">
        <v>259</v>
      </c>
      <c r="CD51">
        <v>7600</v>
      </c>
      <c r="CE51" t="s">
        <v>88</v>
      </c>
      <c r="CF51" s="3">
        <v>43804</v>
      </c>
      <c r="CI51">
        <v>1</v>
      </c>
      <c r="CJ51">
        <v>1</v>
      </c>
      <c r="CK51">
        <v>21</v>
      </c>
      <c r="CL51" t="s">
        <v>89</v>
      </c>
    </row>
    <row r="52" spans="1:90">
      <c r="A52" t="s">
        <v>72</v>
      </c>
      <c r="B52" t="s">
        <v>73</v>
      </c>
      <c r="C52" t="s">
        <v>74</v>
      </c>
      <c r="E52" t="str">
        <f>"FES1162726352"</f>
        <v>FES1162726352</v>
      </c>
      <c r="F52" s="3">
        <v>43801</v>
      </c>
      <c r="G52">
        <v>202006</v>
      </c>
      <c r="H52" t="s">
        <v>75</v>
      </c>
      <c r="I52" t="s">
        <v>76</v>
      </c>
      <c r="J52" t="s">
        <v>77</v>
      </c>
      <c r="K52" t="s">
        <v>78</v>
      </c>
      <c r="L52" t="s">
        <v>164</v>
      </c>
      <c r="M52" t="s">
        <v>165</v>
      </c>
      <c r="N52" t="s">
        <v>263</v>
      </c>
      <c r="O52" t="s">
        <v>82</v>
      </c>
      <c r="P52" t="str">
        <f>"2170719846                    "</f>
        <v xml:space="preserve">2170719846                    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47.18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1</v>
      </c>
      <c r="BI52">
        <v>11</v>
      </c>
      <c r="BJ52">
        <v>6.2</v>
      </c>
      <c r="BK52">
        <v>11</v>
      </c>
      <c r="BL52" s="4">
        <v>277.33</v>
      </c>
      <c r="BM52" s="4">
        <v>41.6</v>
      </c>
      <c r="BN52" s="4">
        <v>318.93</v>
      </c>
      <c r="BO52" s="4">
        <v>318.93</v>
      </c>
      <c r="BQ52" t="s">
        <v>147</v>
      </c>
      <c r="BR52" t="s">
        <v>84</v>
      </c>
      <c r="BS52" s="3">
        <v>43802</v>
      </c>
      <c r="BT52" s="5">
        <v>0.36458333333333331</v>
      </c>
      <c r="BU52" t="s">
        <v>264</v>
      </c>
      <c r="BV52" t="s">
        <v>86</v>
      </c>
      <c r="BY52">
        <v>31225.1</v>
      </c>
      <c r="BZ52" t="s">
        <v>27</v>
      </c>
      <c r="CA52" t="s">
        <v>265</v>
      </c>
      <c r="CC52" t="s">
        <v>165</v>
      </c>
      <c r="CD52">
        <v>5201</v>
      </c>
      <c r="CE52" t="s">
        <v>116</v>
      </c>
      <c r="CF52" s="3">
        <v>43803</v>
      </c>
      <c r="CI52">
        <v>1</v>
      </c>
      <c r="CJ52">
        <v>1</v>
      </c>
      <c r="CK52">
        <v>21</v>
      </c>
      <c r="CL52" t="s">
        <v>89</v>
      </c>
    </row>
    <row r="53" spans="1:90">
      <c r="A53" t="s">
        <v>72</v>
      </c>
      <c r="B53" t="s">
        <v>73</v>
      </c>
      <c r="C53" t="s">
        <v>74</v>
      </c>
      <c r="E53" t="str">
        <f>"FES1162726429"</f>
        <v>FES1162726429</v>
      </c>
      <c r="F53" s="3">
        <v>43802</v>
      </c>
      <c r="G53">
        <v>202006</v>
      </c>
      <c r="H53" t="s">
        <v>75</v>
      </c>
      <c r="I53" t="s">
        <v>76</v>
      </c>
      <c r="J53" t="s">
        <v>77</v>
      </c>
      <c r="K53" t="s">
        <v>78</v>
      </c>
      <c r="L53" t="s">
        <v>186</v>
      </c>
      <c r="M53" t="s">
        <v>187</v>
      </c>
      <c r="N53" t="s">
        <v>266</v>
      </c>
      <c r="O53" t="s">
        <v>82</v>
      </c>
      <c r="P53" t="str">
        <f>"2170719660                    "</f>
        <v xml:space="preserve">2170719660                    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16.63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1</v>
      </c>
      <c r="BI53">
        <v>1</v>
      </c>
      <c r="BJ53">
        <v>0.2</v>
      </c>
      <c r="BK53">
        <v>1</v>
      </c>
      <c r="BL53" s="4">
        <v>97.75</v>
      </c>
      <c r="BM53" s="4">
        <v>14.66</v>
      </c>
      <c r="BN53" s="4">
        <v>112.41</v>
      </c>
      <c r="BO53" s="4">
        <v>112.41</v>
      </c>
      <c r="BQ53" t="s">
        <v>135</v>
      </c>
      <c r="BR53" t="s">
        <v>84</v>
      </c>
      <c r="BS53" s="3">
        <v>43804</v>
      </c>
      <c r="BT53" s="5">
        <v>0.37986111111111115</v>
      </c>
      <c r="BU53" t="s">
        <v>267</v>
      </c>
      <c r="BV53" t="s">
        <v>86</v>
      </c>
      <c r="BY53">
        <v>1200</v>
      </c>
      <c r="CA53" t="s">
        <v>190</v>
      </c>
      <c r="CC53" t="s">
        <v>187</v>
      </c>
      <c r="CD53">
        <v>6850</v>
      </c>
      <c r="CE53" t="s">
        <v>88</v>
      </c>
      <c r="CF53" s="3">
        <v>43805</v>
      </c>
      <c r="CI53">
        <v>3</v>
      </c>
      <c r="CJ53">
        <v>2</v>
      </c>
      <c r="CK53">
        <v>23</v>
      </c>
      <c r="CL53" t="s">
        <v>89</v>
      </c>
    </row>
    <row r="54" spans="1:90">
      <c r="A54" t="s">
        <v>72</v>
      </c>
      <c r="B54" t="s">
        <v>73</v>
      </c>
      <c r="C54" t="s">
        <v>74</v>
      </c>
      <c r="E54" t="str">
        <f>"FES1162726379"</f>
        <v>FES1162726379</v>
      </c>
      <c r="F54" s="3">
        <v>43802</v>
      </c>
      <c r="G54">
        <v>202006</v>
      </c>
      <c r="H54" t="s">
        <v>75</v>
      </c>
      <c r="I54" t="s">
        <v>76</v>
      </c>
      <c r="J54" t="s">
        <v>77</v>
      </c>
      <c r="K54" t="s">
        <v>78</v>
      </c>
      <c r="L54" t="s">
        <v>186</v>
      </c>
      <c r="M54" t="s">
        <v>187</v>
      </c>
      <c r="N54" t="s">
        <v>188</v>
      </c>
      <c r="O54" t="s">
        <v>82</v>
      </c>
      <c r="P54" t="str">
        <f>"2170717204                    "</f>
        <v xml:space="preserve">2170717204                    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16.63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1</v>
      </c>
      <c r="BI54">
        <v>2</v>
      </c>
      <c r="BJ54">
        <v>0.2</v>
      </c>
      <c r="BK54">
        <v>2</v>
      </c>
      <c r="BL54" s="4">
        <v>97.75</v>
      </c>
      <c r="BM54" s="4">
        <v>14.66</v>
      </c>
      <c r="BN54" s="4">
        <v>112.41</v>
      </c>
      <c r="BO54" s="4">
        <v>112.41</v>
      </c>
      <c r="BQ54" t="s">
        <v>93</v>
      </c>
      <c r="BR54" t="s">
        <v>84</v>
      </c>
      <c r="BS54" s="3">
        <v>43804</v>
      </c>
      <c r="BT54" s="5">
        <v>0.41666666666666669</v>
      </c>
      <c r="BU54" t="s">
        <v>189</v>
      </c>
      <c r="BV54" t="s">
        <v>86</v>
      </c>
      <c r="BY54">
        <v>1200</v>
      </c>
      <c r="CC54" t="s">
        <v>187</v>
      </c>
      <c r="CD54">
        <v>6849</v>
      </c>
      <c r="CE54" t="s">
        <v>88</v>
      </c>
      <c r="CF54" s="3">
        <v>43805</v>
      </c>
      <c r="CI54">
        <v>3</v>
      </c>
      <c r="CJ54">
        <v>2</v>
      </c>
      <c r="CK54">
        <v>23</v>
      </c>
      <c r="CL54" t="s">
        <v>89</v>
      </c>
    </row>
    <row r="55" spans="1:90">
      <c r="A55" t="s">
        <v>72</v>
      </c>
      <c r="B55" t="s">
        <v>73</v>
      </c>
      <c r="C55" t="s">
        <v>74</v>
      </c>
      <c r="E55" t="str">
        <f>"FES1162726330"</f>
        <v>FES1162726330</v>
      </c>
      <c r="F55" s="3">
        <v>43801</v>
      </c>
      <c r="G55">
        <v>202006</v>
      </c>
      <c r="H55" t="s">
        <v>75</v>
      </c>
      <c r="I55" t="s">
        <v>76</v>
      </c>
      <c r="J55" t="s">
        <v>77</v>
      </c>
      <c r="K55" t="s">
        <v>78</v>
      </c>
      <c r="L55" t="s">
        <v>198</v>
      </c>
      <c r="M55" t="s">
        <v>199</v>
      </c>
      <c r="N55" t="s">
        <v>268</v>
      </c>
      <c r="O55" t="s">
        <v>82</v>
      </c>
      <c r="P55" t="str">
        <f>"2170719828                    "</f>
        <v xml:space="preserve">2170719828                    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17.16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1</v>
      </c>
      <c r="BI55">
        <v>4</v>
      </c>
      <c r="BJ55">
        <v>1.6</v>
      </c>
      <c r="BK55">
        <v>4</v>
      </c>
      <c r="BL55" s="4">
        <v>100.87</v>
      </c>
      <c r="BM55" s="4">
        <v>15.13</v>
      </c>
      <c r="BN55" s="4">
        <v>116</v>
      </c>
      <c r="BO55" s="4">
        <v>116</v>
      </c>
      <c r="BQ55" t="s">
        <v>147</v>
      </c>
      <c r="BR55" t="s">
        <v>84</v>
      </c>
      <c r="BS55" s="3">
        <v>43802</v>
      </c>
      <c r="BT55" s="5">
        <v>0.35000000000000003</v>
      </c>
      <c r="BU55" t="s">
        <v>269</v>
      </c>
      <c r="BV55" t="s">
        <v>86</v>
      </c>
      <c r="BY55">
        <v>7764.06</v>
      </c>
      <c r="BZ55" t="s">
        <v>27</v>
      </c>
      <c r="CA55" t="s">
        <v>270</v>
      </c>
      <c r="CC55" t="s">
        <v>199</v>
      </c>
      <c r="CD55">
        <v>4302</v>
      </c>
      <c r="CE55" t="s">
        <v>96</v>
      </c>
      <c r="CF55" s="3">
        <v>43803</v>
      </c>
      <c r="CI55">
        <v>1</v>
      </c>
      <c r="CJ55">
        <v>1</v>
      </c>
      <c r="CK55">
        <v>21</v>
      </c>
      <c r="CL55" t="s">
        <v>89</v>
      </c>
    </row>
    <row r="56" spans="1:90">
      <c r="A56" t="s">
        <v>72</v>
      </c>
      <c r="B56" t="s">
        <v>73</v>
      </c>
      <c r="C56" t="s">
        <v>74</v>
      </c>
      <c r="E56" t="str">
        <f>"FES1162726394"</f>
        <v>FES1162726394</v>
      </c>
      <c r="F56" s="3">
        <v>43802</v>
      </c>
      <c r="G56">
        <v>202006</v>
      </c>
      <c r="H56" t="s">
        <v>75</v>
      </c>
      <c r="I56" t="s">
        <v>76</v>
      </c>
      <c r="J56" t="s">
        <v>77</v>
      </c>
      <c r="K56" t="s">
        <v>78</v>
      </c>
      <c r="L56" t="s">
        <v>90</v>
      </c>
      <c r="M56" t="s">
        <v>91</v>
      </c>
      <c r="N56" t="s">
        <v>271</v>
      </c>
      <c r="O56" t="s">
        <v>82</v>
      </c>
      <c r="P56" t="str">
        <f>"2170718747                    "</f>
        <v xml:space="preserve">2170718747                    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8.58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1</v>
      </c>
      <c r="BI56">
        <v>1</v>
      </c>
      <c r="BJ56">
        <v>0.2</v>
      </c>
      <c r="BK56">
        <v>1</v>
      </c>
      <c r="BL56" s="4">
        <v>50.45</v>
      </c>
      <c r="BM56" s="4">
        <v>7.57</v>
      </c>
      <c r="BN56" s="4">
        <v>58.02</v>
      </c>
      <c r="BO56" s="4">
        <v>58.02</v>
      </c>
      <c r="BQ56" t="s">
        <v>147</v>
      </c>
      <c r="BR56" t="s">
        <v>84</v>
      </c>
      <c r="BS56" s="3">
        <v>43803</v>
      </c>
      <c r="BT56" s="5">
        <v>0.36249999999999999</v>
      </c>
      <c r="BU56" t="s">
        <v>272</v>
      </c>
      <c r="BV56" t="s">
        <v>86</v>
      </c>
      <c r="BY56">
        <v>1200</v>
      </c>
      <c r="CA56" t="s">
        <v>273</v>
      </c>
      <c r="CC56" t="s">
        <v>91</v>
      </c>
      <c r="CD56">
        <v>7945</v>
      </c>
      <c r="CE56" t="s">
        <v>88</v>
      </c>
      <c r="CF56" s="3">
        <v>43804</v>
      </c>
      <c r="CI56">
        <v>1</v>
      </c>
      <c r="CJ56">
        <v>1</v>
      </c>
      <c r="CK56">
        <v>21</v>
      </c>
      <c r="CL56" t="s">
        <v>89</v>
      </c>
    </row>
    <row r="57" spans="1:90">
      <c r="A57" t="s">
        <v>72</v>
      </c>
      <c r="B57" t="s">
        <v>73</v>
      </c>
      <c r="C57" t="s">
        <v>74</v>
      </c>
      <c r="E57" t="str">
        <f>"FES1162726299"</f>
        <v>FES1162726299</v>
      </c>
      <c r="F57" s="3">
        <v>43801</v>
      </c>
      <c r="G57">
        <v>202006</v>
      </c>
      <c r="H57" t="s">
        <v>75</v>
      </c>
      <c r="I57" t="s">
        <v>76</v>
      </c>
      <c r="J57" t="s">
        <v>77</v>
      </c>
      <c r="K57" t="s">
        <v>78</v>
      </c>
      <c r="L57" t="s">
        <v>274</v>
      </c>
      <c r="M57" t="s">
        <v>275</v>
      </c>
      <c r="N57" t="s">
        <v>276</v>
      </c>
      <c r="O57" t="s">
        <v>82</v>
      </c>
      <c r="P57" t="str">
        <f>"2170717716                    "</f>
        <v xml:space="preserve">2170717716                    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31.65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1</v>
      </c>
      <c r="BI57">
        <v>1.8</v>
      </c>
      <c r="BJ57">
        <v>3.6</v>
      </c>
      <c r="BK57">
        <v>4</v>
      </c>
      <c r="BL57" s="4">
        <v>186.05</v>
      </c>
      <c r="BM57" s="4">
        <v>27.91</v>
      </c>
      <c r="BN57" s="4">
        <v>213.96</v>
      </c>
      <c r="BO57" s="4">
        <v>213.96</v>
      </c>
      <c r="BQ57" t="s">
        <v>277</v>
      </c>
      <c r="BR57" t="s">
        <v>84</v>
      </c>
      <c r="BS57" s="3">
        <v>43802</v>
      </c>
      <c r="BT57" s="5">
        <v>0.50694444444444442</v>
      </c>
      <c r="BU57" t="s">
        <v>278</v>
      </c>
      <c r="BV57" t="s">
        <v>86</v>
      </c>
      <c r="BY57">
        <v>17857.04</v>
      </c>
      <c r="BZ57" t="s">
        <v>27</v>
      </c>
      <c r="CA57" t="s">
        <v>279</v>
      </c>
      <c r="CC57" t="s">
        <v>275</v>
      </c>
      <c r="CD57">
        <v>4449</v>
      </c>
      <c r="CE57" t="s">
        <v>96</v>
      </c>
      <c r="CF57" s="3">
        <v>43803</v>
      </c>
      <c r="CI57">
        <v>1</v>
      </c>
      <c r="CJ57">
        <v>1</v>
      </c>
      <c r="CK57">
        <v>23</v>
      </c>
      <c r="CL57" t="s">
        <v>89</v>
      </c>
    </row>
    <row r="58" spans="1:90">
      <c r="A58" t="s">
        <v>72</v>
      </c>
      <c r="B58" t="s">
        <v>73</v>
      </c>
      <c r="C58" t="s">
        <v>74</v>
      </c>
      <c r="E58" t="str">
        <f>"FES1162726554"</f>
        <v>FES1162726554</v>
      </c>
      <c r="F58" s="3">
        <v>43802</v>
      </c>
      <c r="G58">
        <v>202006</v>
      </c>
      <c r="H58" t="s">
        <v>75</v>
      </c>
      <c r="I58" t="s">
        <v>76</v>
      </c>
      <c r="J58" t="s">
        <v>77</v>
      </c>
      <c r="K58" t="s">
        <v>78</v>
      </c>
      <c r="L58" t="s">
        <v>221</v>
      </c>
      <c r="M58" t="s">
        <v>222</v>
      </c>
      <c r="N58" t="s">
        <v>223</v>
      </c>
      <c r="O58" t="s">
        <v>82</v>
      </c>
      <c r="P58" t="str">
        <f>"2170719879                    "</f>
        <v xml:space="preserve">2170719879                    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30.03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1</v>
      </c>
      <c r="BI58">
        <v>6.7</v>
      </c>
      <c r="BJ58">
        <v>3.1</v>
      </c>
      <c r="BK58">
        <v>7</v>
      </c>
      <c r="BL58" s="4">
        <v>176.5</v>
      </c>
      <c r="BM58" s="4">
        <v>26.48</v>
      </c>
      <c r="BN58" s="4">
        <v>202.98</v>
      </c>
      <c r="BO58" s="4">
        <v>202.98</v>
      </c>
      <c r="BQ58" t="s">
        <v>147</v>
      </c>
      <c r="BR58" t="s">
        <v>84</v>
      </c>
      <c r="BS58" s="3">
        <v>43803</v>
      </c>
      <c r="BT58" s="5">
        <v>0.39930555555555558</v>
      </c>
      <c r="BU58" t="s">
        <v>224</v>
      </c>
      <c r="BV58" t="s">
        <v>86</v>
      </c>
      <c r="BY58">
        <v>15570.58</v>
      </c>
      <c r="CA58" t="s">
        <v>225</v>
      </c>
      <c r="CC58" t="s">
        <v>222</v>
      </c>
      <c r="CD58">
        <v>3212</v>
      </c>
      <c r="CE58" t="s">
        <v>96</v>
      </c>
      <c r="CF58" s="3">
        <v>43804</v>
      </c>
      <c r="CI58">
        <v>1</v>
      </c>
      <c r="CJ58">
        <v>1</v>
      </c>
      <c r="CK58">
        <v>21</v>
      </c>
      <c r="CL58" t="s">
        <v>89</v>
      </c>
    </row>
    <row r="59" spans="1:90">
      <c r="A59" t="s">
        <v>72</v>
      </c>
      <c r="B59" t="s">
        <v>73</v>
      </c>
      <c r="C59" t="s">
        <v>74</v>
      </c>
      <c r="E59" t="str">
        <f>"FES1162726332"</f>
        <v>FES1162726332</v>
      </c>
      <c r="F59" s="3">
        <v>43801</v>
      </c>
      <c r="G59">
        <v>202006</v>
      </c>
      <c r="H59" t="s">
        <v>75</v>
      </c>
      <c r="I59" t="s">
        <v>76</v>
      </c>
      <c r="J59" t="s">
        <v>77</v>
      </c>
      <c r="K59" t="s">
        <v>78</v>
      </c>
      <c r="L59" t="s">
        <v>198</v>
      </c>
      <c r="M59" t="s">
        <v>199</v>
      </c>
      <c r="N59" t="s">
        <v>280</v>
      </c>
      <c r="O59" t="s">
        <v>82</v>
      </c>
      <c r="P59" t="str">
        <f>"217719830                     "</f>
        <v xml:space="preserve">217719830                     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8.58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1</v>
      </c>
      <c r="BI59">
        <v>2</v>
      </c>
      <c r="BJ59">
        <v>0.9</v>
      </c>
      <c r="BK59">
        <v>2</v>
      </c>
      <c r="BL59" s="4">
        <v>50.45</v>
      </c>
      <c r="BM59" s="4">
        <v>7.57</v>
      </c>
      <c r="BN59" s="4">
        <v>58.02</v>
      </c>
      <c r="BO59" s="4">
        <v>58.02</v>
      </c>
      <c r="BQ59" t="s">
        <v>147</v>
      </c>
      <c r="BR59" t="s">
        <v>84</v>
      </c>
      <c r="BS59" s="3">
        <v>43802</v>
      </c>
      <c r="BT59" s="5">
        <v>0.35138888888888892</v>
      </c>
      <c r="BU59" t="s">
        <v>142</v>
      </c>
      <c r="BV59" t="s">
        <v>86</v>
      </c>
      <c r="BY59">
        <v>4461.8999999999996</v>
      </c>
      <c r="BZ59" t="s">
        <v>27</v>
      </c>
      <c r="CA59" t="s">
        <v>281</v>
      </c>
      <c r="CC59" t="s">
        <v>199</v>
      </c>
      <c r="CD59">
        <v>4001</v>
      </c>
      <c r="CE59" t="s">
        <v>96</v>
      </c>
      <c r="CI59">
        <v>1</v>
      </c>
      <c r="CJ59">
        <v>1</v>
      </c>
      <c r="CK59">
        <v>21</v>
      </c>
      <c r="CL59" t="s">
        <v>89</v>
      </c>
    </row>
    <row r="60" spans="1:90">
      <c r="A60" t="s">
        <v>72</v>
      </c>
      <c r="B60" t="s">
        <v>73</v>
      </c>
      <c r="C60" t="s">
        <v>74</v>
      </c>
      <c r="E60" t="str">
        <f>"FES1162726471"</f>
        <v>FES1162726471</v>
      </c>
      <c r="F60" s="3">
        <v>43802</v>
      </c>
      <c r="G60">
        <v>202006</v>
      </c>
      <c r="H60" t="s">
        <v>75</v>
      </c>
      <c r="I60" t="s">
        <v>76</v>
      </c>
      <c r="J60" t="s">
        <v>77</v>
      </c>
      <c r="K60" t="s">
        <v>78</v>
      </c>
      <c r="L60" t="s">
        <v>90</v>
      </c>
      <c r="M60" t="s">
        <v>91</v>
      </c>
      <c r="N60" t="s">
        <v>282</v>
      </c>
      <c r="O60" t="s">
        <v>82</v>
      </c>
      <c r="P60" t="str">
        <f>"2170719906                    "</f>
        <v xml:space="preserve">2170719906                    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8.58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1</v>
      </c>
      <c r="BI60">
        <v>1</v>
      </c>
      <c r="BJ60">
        <v>0.2</v>
      </c>
      <c r="BK60">
        <v>1</v>
      </c>
      <c r="BL60" s="4">
        <v>50.45</v>
      </c>
      <c r="BM60" s="4">
        <v>7.57</v>
      </c>
      <c r="BN60" s="4">
        <v>58.02</v>
      </c>
      <c r="BO60" s="4">
        <v>58.02</v>
      </c>
      <c r="BR60" t="s">
        <v>84</v>
      </c>
      <c r="BS60" s="3">
        <v>43803</v>
      </c>
      <c r="BT60" s="5">
        <v>0.45624999999999999</v>
      </c>
      <c r="BU60" t="s">
        <v>283</v>
      </c>
      <c r="BV60" t="s">
        <v>89</v>
      </c>
      <c r="BW60" t="s">
        <v>149</v>
      </c>
      <c r="BX60" t="s">
        <v>284</v>
      </c>
      <c r="BY60">
        <v>1200</v>
      </c>
      <c r="CA60" t="s">
        <v>285</v>
      </c>
      <c r="CC60" t="s">
        <v>91</v>
      </c>
      <c r="CD60">
        <v>7535</v>
      </c>
      <c r="CE60" t="s">
        <v>88</v>
      </c>
      <c r="CF60" s="3">
        <v>43804</v>
      </c>
      <c r="CI60">
        <v>1</v>
      </c>
      <c r="CJ60">
        <v>1</v>
      </c>
      <c r="CK60">
        <v>21</v>
      </c>
      <c r="CL60" t="s">
        <v>89</v>
      </c>
    </row>
    <row r="61" spans="1:90">
      <c r="A61" t="s">
        <v>72</v>
      </c>
      <c r="B61" t="s">
        <v>73</v>
      </c>
      <c r="C61" t="s">
        <v>74</v>
      </c>
      <c r="E61" t="str">
        <f>"FES1162726306"</f>
        <v>FES1162726306</v>
      </c>
      <c r="F61" s="3">
        <v>43801</v>
      </c>
      <c r="G61">
        <v>202006</v>
      </c>
      <c r="H61" t="s">
        <v>75</v>
      </c>
      <c r="I61" t="s">
        <v>76</v>
      </c>
      <c r="J61" t="s">
        <v>77</v>
      </c>
      <c r="K61" t="s">
        <v>78</v>
      </c>
      <c r="L61" t="s">
        <v>201</v>
      </c>
      <c r="M61" t="s">
        <v>202</v>
      </c>
      <c r="N61" t="s">
        <v>286</v>
      </c>
      <c r="O61" t="s">
        <v>82</v>
      </c>
      <c r="P61" t="str">
        <f>"2170719816                    "</f>
        <v xml:space="preserve">2170719816                    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8.58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1</v>
      </c>
      <c r="BI61">
        <v>1</v>
      </c>
      <c r="BJ61">
        <v>0.2</v>
      </c>
      <c r="BK61">
        <v>1</v>
      </c>
      <c r="BL61" s="4">
        <v>50.45</v>
      </c>
      <c r="BM61" s="4">
        <v>7.57</v>
      </c>
      <c r="BN61" s="4">
        <v>58.02</v>
      </c>
      <c r="BO61" s="4">
        <v>58.02</v>
      </c>
      <c r="BQ61" t="s">
        <v>93</v>
      </c>
      <c r="BR61" t="s">
        <v>84</v>
      </c>
      <c r="BS61" s="3">
        <v>43802</v>
      </c>
      <c r="BT61" s="5">
        <v>0.35833333333333334</v>
      </c>
      <c r="BU61" t="s">
        <v>287</v>
      </c>
      <c r="BV61" t="s">
        <v>86</v>
      </c>
      <c r="BY61">
        <v>1200</v>
      </c>
      <c r="BZ61" t="s">
        <v>27</v>
      </c>
      <c r="CA61" t="s">
        <v>288</v>
      </c>
      <c r="CC61" t="s">
        <v>202</v>
      </c>
      <c r="CD61">
        <v>3610</v>
      </c>
      <c r="CE61" t="s">
        <v>88</v>
      </c>
      <c r="CI61">
        <v>1</v>
      </c>
      <c r="CJ61">
        <v>1</v>
      </c>
      <c r="CK61">
        <v>21</v>
      </c>
      <c r="CL61" t="s">
        <v>89</v>
      </c>
    </row>
    <row r="62" spans="1:90">
      <c r="A62" t="s">
        <v>72</v>
      </c>
      <c r="B62" t="s">
        <v>73</v>
      </c>
      <c r="C62" t="s">
        <v>74</v>
      </c>
      <c r="E62" t="str">
        <f>"FES1162726381"</f>
        <v>FES1162726381</v>
      </c>
      <c r="F62" s="3">
        <v>43802</v>
      </c>
      <c r="G62">
        <v>202006</v>
      </c>
      <c r="H62" t="s">
        <v>75</v>
      </c>
      <c r="I62" t="s">
        <v>76</v>
      </c>
      <c r="J62" t="s">
        <v>77</v>
      </c>
      <c r="K62" t="s">
        <v>78</v>
      </c>
      <c r="L62" t="s">
        <v>75</v>
      </c>
      <c r="M62" t="s">
        <v>76</v>
      </c>
      <c r="N62" t="s">
        <v>289</v>
      </c>
      <c r="O62" t="s">
        <v>82</v>
      </c>
      <c r="P62" t="str">
        <f>"2170719256                    "</f>
        <v xml:space="preserve">2170719256                    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6.71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1</v>
      </c>
      <c r="BI62">
        <v>1</v>
      </c>
      <c r="BJ62">
        <v>0.2</v>
      </c>
      <c r="BK62">
        <v>1</v>
      </c>
      <c r="BL62" s="4">
        <v>39.42</v>
      </c>
      <c r="BM62" s="4">
        <v>5.91</v>
      </c>
      <c r="BN62" s="4">
        <v>45.33</v>
      </c>
      <c r="BO62" s="4">
        <v>45.33</v>
      </c>
      <c r="BQ62" t="s">
        <v>290</v>
      </c>
      <c r="BR62" t="s">
        <v>84</v>
      </c>
      <c r="BS62" s="3">
        <v>43803</v>
      </c>
      <c r="BT62" s="5">
        <v>0.27083333333333331</v>
      </c>
      <c r="BU62" t="s">
        <v>291</v>
      </c>
      <c r="BV62" t="s">
        <v>86</v>
      </c>
      <c r="BY62">
        <v>1200</v>
      </c>
      <c r="CA62" t="s">
        <v>155</v>
      </c>
      <c r="CC62" t="s">
        <v>76</v>
      </c>
      <c r="CD62">
        <v>1601</v>
      </c>
      <c r="CE62" t="s">
        <v>88</v>
      </c>
      <c r="CF62" s="3">
        <v>43804</v>
      </c>
      <c r="CI62">
        <v>1</v>
      </c>
      <c r="CJ62">
        <v>1</v>
      </c>
      <c r="CK62">
        <v>22</v>
      </c>
      <c r="CL62" t="s">
        <v>89</v>
      </c>
    </row>
    <row r="63" spans="1:90">
      <c r="A63" t="s">
        <v>72</v>
      </c>
      <c r="B63" t="s">
        <v>73</v>
      </c>
      <c r="C63" t="s">
        <v>74</v>
      </c>
      <c r="E63" t="str">
        <f>"FES1162726294"</f>
        <v>FES1162726294</v>
      </c>
      <c r="F63" s="3">
        <v>43801</v>
      </c>
      <c r="G63">
        <v>202006</v>
      </c>
      <c r="H63" t="s">
        <v>75</v>
      </c>
      <c r="I63" t="s">
        <v>76</v>
      </c>
      <c r="J63" t="s">
        <v>77</v>
      </c>
      <c r="K63" t="s">
        <v>78</v>
      </c>
      <c r="L63" t="s">
        <v>198</v>
      </c>
      <c r="M63" t="s">
        <v>199</v>
      </c>
      <c r="N63" t="s">
        <v>292</v>
      </c>
      <c r="O63" t="s">
        <v>82</v>
      </c>
      <c r="P63" t="str">
        <f>"2170719802                    "</f>
        <v xml:space="preserve">2170719802                    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8.58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1</v>
      </c>
      <c r="BI63">
        <v>1</v>
      </c>
      <c r="BJ63">
        <v>0.2</v>
      </c>
      <c r="BK63">
        <v>1</v>
      </c>
      <c r="BL63" s="4">
        <v>50.45</v>
      </c>
      <c r="BM63" s="4">
        <v>7.57</v>
      </c>
      <c r="BN63" s="4">
        <v>58.02</v>
      </c>
      <c r="BO63" s="4">
        <v>58.02</v>
      </c>
      <c r="BR63" t="s">
        <v>84</v>
      </c>
      <c r="BS63" s="3">
        <v>43802</v>
      </c>
      <c r="BT63" s="5">
        <v>0.3979166666666667</v>
      </c>
      <c r="BU63" t="s">
        <v>293</v>
      </c>
      <c r="BV63" t="s">
        <v>86</v>
      </c>
      <c r="BY63">
        <v>1200</v>
      </c>
      <c r="BZ63" t="s">
        <v>27</v>
      </c>
      <c r="CA63" t="s">
        <v>294</v>
      </c>
      <c r="CC63" t="s">
        <v>199</v>
      </c>
      <c r="CD63">
        <v>4094</v>
      </c>
      <c r="CE63" t="s">
        <v>88</v>
      </c>
      <c r="CI63">
        <v>1</v>
      </c>
      <c r="CJ63">
        <v>1</v>
      </c>
      <c r="CK63">
        <v>21</v>
      </c>
      <c r="CL63" t="s">
        <v>89</v>
      </c>
    </row>
    <row r="64" spans="1:90">
      <c r="A64" t="s">
        <v>72</v>
      </c>
      <c r="B64" t="s">
        <v>73</v>
      </c>
      <c r="C64" t="s">
        <v>74</v>
      </c>
      <c r="E64" t="str">
        <f>"FES1162726479"</f>
        <v>FES1162726479</v>
      </c>
      <c r="F64" s="3">
        <v>43802</v>
      </c>
      <c r="G64">
        <v>202006</v>
      </c>
      <c r="H64" t="s">
        <v>75</v>
      </c>
      <c r="I64" t="s">
        <v>76</v>
      </c>
      <c r="J64" t="s">
        <v>77</v>
      </c>
      <c r="K64" t="s">
        <v>78</v>
      </c>
      <c r="L64" t="s">
        <v>90</v>
      </c>
      <c r="M64" t="s">
        <v>91</v>
      </c>
      <c r="N64" t="s">
        <v>295</v>
      </c>
      <c r="O64" t="s">
        <v>82</v>
      </c>
      <c r="P64" t="str">
        <f>"2170719912                    "</f>
        <v xml:space="preserve">2170719912                    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8.58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1</v>
      </c>
      <c r="BI64">
        <v>1</v>
      </c>
      <c r="BJ64">
        <v>0.2</v>
      </c>
      <c r="BK64">
        <v>1</v>
      </c>
      <c r="BL64" s="4">
        <v>50.45</v>
      </c>
      <c r="BM64" s="4">
        <v>7.57</v>
      </c>
      <c r="BN64" s="4">
        <v>58.02</v>
      </c>
      <c r="BO64" s="4">
        <v>58.02</v>
      </c>
      <c r="BQ64" t="s">
        <v>147</v>
      </c>
      <c r="BR64" t="s">
        <v>84</v>
      </c>
      <c r="BS64" s="3">
        <v>43803</v>
      </c>
      <c r="BT64" s="5">
        <v>0.4375</v>
      </c>
      <c r="BU64" t="s">
        <v>296</v>
      </c>
      <c r="BV64" t="s">
        <v>86</v>
      </c>
      <c r="BY64">
        <v>1200</v>
      </c>
      <c r="CC64" t="s">
        <v>91</v>
      </c>
      <c r="CD64">
        <v>7460</v>
      </c>
      <c r="CE64" t="s">
        <v>88</v>
      </c>
      <c r="CF64" s="3">
        <v>43804</v>
      </c>
      <c r="CI64">
        <v>1</v>
      </c>
      <c r="CJ64">
        <v>1</v>
      </c>
      <c r="CK64">
        <v>21</v>
      </c>
      <c r="CL64" t="s">
        <v>89</v>
      </c>
    </row>
    <row r="65" spans="1:90">
      <c r="A65" t="s">
        <v>72</v>
      </c>
      <c r="B65" t="s">
        <v>73</v>
      </c>
      <c r="C65" t="s">
        <v>74</v>
      </c>
      <c r="E65" t="str">
        <f>"FES1162726297"</f>
        <v>FES1162726297</v>
      </c>
      <c r="F65" s="3">
        <v>43801</v>
      </c>
      <c r="G65">
        <v>202006</v>
      </c>
      <c r="H65" t="s">
        <v>75</v>
      </c>
      <c r="I65" t="s">
        <v>76</v>
      </c>
      <c r="J65" t="s">
        <v>77</v>
      </c>
      <c r="K65" t="s">
        <v>78</v>
      </c>
      <c r="L65" t="s">
        <v>198</v>
      </c>
      <c r="M65" t="s">
        <v>199</v>
      </c>
      <c r="N65" t="s">
        <v>297</v>
      </c>
      <c r="O65" t="s">
        <v>82</v>
      </c>
      <c r="P65" t="str">
        <f>"2170719805                    "</f>
        <v xml:space="preserve">2170719805                    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8.58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1</v>
      </c>
      <c r="BI65">
        <v>1</v>
      </c>
      <c r="BJ65">
        <v>0.2</v>
      </c>
      <c r="BK65">
        <v>1</v>
      </c>
      <c r="BL65" s="4">
        <v>50.45</v>
      </c>
      <c r="BM65" s="4">
        <v>7.57</v>
      </c>
      <c r="BN65" s="4">
        <v>58.02</v>
      </c>
      <c r="BO65" s="4">
        <v>58.02</v>
      </c>
      <c r="BQ65" t="s">
        <v>172</v>
      </c>
      <c r="BR65" t="s">
        <v>84</v>
      </c>
      <c r="BS65" s="3">
        <v>43802</v>
      </c>
      <c r="BT65" s="5">
        <v>0.35625000000000001</v>
      </c>
      <c r="BU65" t="s">
        <v>298</v>
      </c>
      <c r="BV65" t="s">
        <v>86</v>
      </c>
      <c r="BY65">
        <v>1200</v>
      </c>
      <c r="BZ65" t="s">
        <v>27</v>
      </c>
      <c r="CA65" t="s">
        <v>299</v>
      </c>
      <c r="CC65" t="s">
        <v>199</v>
      </c>
      <c r="CD65">
        <v>4000</v>
      </c>
      <c r="CE65" t="s">
        <v>88</v>
      </c>
      <c r="CI65">
        <v>1</v>
      </c>
      <c r="CJ65">
        <v>1</v>
      </c>
      <c r="CK65">
        <v>21</v>
      </c>
      <c r="CL65" t="s">
        <v>89</v>
      </c>
    </row>
    <row r="66" spans="1:90">
      <c r="A66" t="s">
        <v>72</v>
      </c>
      <c r="B66" t="s">
        <v>73</v>
      </c>
      <c r="C66" t="s">
        <v>74</v>
      </c>
      <c r="E66" t="str">
        <f>"FES1162726367"</f>
        <v>FES1162726367</v>
      </c>
      <c r="F66" s="3">
        <v>43802</v>
      </c>
      <c r="G66">
        <v>202006</v>
      </c>
      <c r="H66" t="s">
        <v>75</v>
      </c>
      <c r="I66" t="s">
        <v>76</v>
      </c>
      <c r="J66" t="s">
        <v>77</v>
      </c>
      <c r="K66" t="s">
        <v>78</v>
      </c>
      <c r="L66" t="s">
        <v>79</v>
      </c>
      <c r="M66" t="s">
        <v>80</v>
      </c>
      <c r="N66" t="s">
        <v>97</v>
      </c>
      <c r="O66" t="s">
        <v>82</v>
      </c>
      <c r="P66" t="str">
        <f>"2170713392                    "</f>
        <v xml:space="preserve">2170713392                    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17.16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1</v>
      </c>
      <c r="BI66">
        <v>3.6</v>
      </c>
      <c r="BJ66">
        <v>1.5</v>
      </c>
      <c r="BK66">
        <v>4</v>
      </c>
      <c r="BL66" s="4">
        <v>100.87</v>
      </c>
      <c r="BM66" s="4">
        <v>15.13</v>
      </c>
      <c r="BN66" s="4">
        <v>116</v>
      </c>
      <c r="BO66" s="4">
        <v>116</v>
      </c>
      <c r="BQ66" t="s">
        <v>93</v>
      </c>
      <c r="BR66" t="s">
        <v>84</v>
      </c>
      <c r="BS66" s="3">
        <v>43803</v>
      </c>
      <c r="BT66" s="5">
        <v>0.33333333333333331</v>
      </c>
      <c r="BU66" t="s">
        <v>98</v>
      </c>
      <c r="BV66" t="s">
        <v>86</v>
      </c>
      <c r="BY66">
        <v>7520.35</v>
      </c>
      <c r="CA66" t="s">
        <v>99</v>
      </c>
      <c r="CC66" t="s">
        <v>80</v>
      </c>
      <c r="CD66">
        <v>6001</v>
      </c>
      <c r="CE66" t="s">
        <v>96</v>
      </c>
      <c r="CF66" s="3">
        <v>43804</v>
      </c>
      <c r="CI66">
        <v>1</v>
      </c>
      <c r="CJ66">
        <v>1</v>
      </c>
      <c r="CK66">
        <v>21</v>
      </c>
      <c r="CL66" t="s">
        <v>89</v>
      </c>
    </row>
    <row r="67" spans="1:90">
      <c r="A67" t="s">
        <v>72</v>
      </c>
      <c r="B67" t="s">
        <v>73</v>
      </c>
      <c r="C67" t="s">
        <v>74</v>
      </c>
      <c r="E67" t="str">
        <f>"FES1162726302"</f>
        <v>FES1162726302</v>
      </c>
      <c r="F67" s="3">
        <v>43801</v>
      </c>
      <c r="G67">
        <v>202006</v>
      </c>
      <c r="H67" t="s">
        <v>75</v>
      </c>
      <c r="I67" t="s">
        <v>76</v>
      </c>
      <c r="J67" t="s">
        <v>77</v>
      </c>
      <c r="K67" t="s">
        <v>78</v>
      </c>
      <c r="L67" t="s">
        <v>79</v>
      </c>
      <c r="M67" t="s">
        <v>80</v>
      </c>
      <c r="N67" t="s">
        <v>300</v>
      </c>
      <c r="O67" t="s">
        <v>82</v>
      </c>
      <c r="P67" t="str">
        <f>"2170719810                    "</f>
        <v xml:space="preserve">2170719810                    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8.58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1</v>
      </c>
      <c r="BI67">
        <v>1</v>
      </c>
      <c r="BJ67">
        <v>0.2</v>
      </c>
      <c r="BK67">
        <v>1</v>
      </c>
      <c r="BL67" s="4">
        <v>50.45</v>
      </c>
      <c r="BM67" s="4">
        <v>7.57</v>
      </c>
      <c r="BN67" s="4">
        <v>58.02</v>
      </c>
      <c r="BO67" s="4">
        <v>58.02</v>
      </c>
      <c r="BQ67" t="s">
        <v>147</v>
      </c>
      <c r="BR67" t="s">
        <v>84</v>
      </c>
      <c r="BS67" s="3">
        <v>43802</v>
      </c>
      <c r="BT67" s="5">
        <v>0.375</v>
      </c>
      <c r="BU67" t="s">
        <v>301</v>
      </c>
      <c r="BV67" t="s">
        <v>86</v>
      </c>
      <c r="BY67">
        <v>1200</v>
      </c>
      <c r="BZ67" t="s">
        <v>27</v>
      </c>
      <c r="CA67" t="s">
        <v>302</v>
      </c>
      <c r="CC67" t="s">
        <v>80</v>
      </c>
      <c r="CD67">
        <v>6001</v>
      </c>
      <c r="CE67" t="s">
        <v>88</v>
      </c>
      <c r="CF67" s="3">
        <v>43804</v>
      </c>
      <c r="CI67">
        <v>1</v>
      </c>
      <c r="CJ67">
        <v>1</v>
      </c>
      <c r="CK67">
        <v>21</v>
      </c>
      <c r="CL67" t="s">
        <v>89</v>
      </c>
    </row>
    <row r="68" spans="1:90">
      <c r="A68" t="s">
        <v>72</v>
      </c>
      <c r="B68" t="s">
        <v>73</v>
      </c>
      <c r="C68" t="s">
        <v>74</v>
      </c>
      <c r="E68" t="str">
        <f>"FES1162726374"</f>
        <v>FES1162726374</v>
      </c>
      <c r="F68" s="3">
        <v>43802</v>
      </c>
      <c r="G68">
        <v>202006</v>
      </c>
      <c r="H68" t="s">
        <v>75</v>
      </c>
      <c r="I68" t="s">
        <v>76</v>
      </c>
      <c r="J68" t="s">
        <v>77</v>
      </c>
      <c r="K68" t="s">
        <v>78</v>
      </c>
      <c r="L68" t="s">
        <v>213</v>
      </c>
      <c r="M68" t="s">
        <v>214</v>
      </c>
      <c r="N68" t="s">
        <v>303</v>
      </c>
      <c r="O68" t="s">
        <v>82</v>
      </c>
      <c r="P68" t="str">
        <f>"2170716543                    "</f>
        <v xml:space="preserve">2170716543                    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34.31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2</v>
      </c>
      <c r="BI68">
        <v>6.2</v>
      </c>
      <c r="BJ68">
        <v>7.9</v>
      </c>
      <c r="BK68">
        <v>8</v>
      </c>
      <c r="BL68" s="4">
        <v>201.7</v>
      </c>
      <c r="BM68" s="4">
        <v>30.26</v>
      </c>
      <c r="BN68" s="4">
        <v>231.96</v>
      </c>
      <c r="BO68" s="4">
        <v>231.96</v>
      </c>
      <c r="BQ68" t="s">
        <v>147</v>
      </c>
      <c r="BR68" t="s">
        <v>84</v>
      </c>
      <c r="BS68" s="3">
        <v>43803</v>
      </c>
      <c r="BT68" s="5">
        <v>0.32291666666666669</v>
      </c>
      <c r="BU68" t="s">
        <v>304</v>
      </c>
      <c r="BV68" t="s">
        <v>86</v>
      </c>
      <c r="BY68">
        <v>39658.160000000003</v>
      </c>
      <c r="CA68" t="s">
        <v>99</v>
      </c>
      <c r="CC68" t="s">
        <v>214</v>
      </c>
      <c r="CD68">
        <v>6230</v>
      </c>
      <c r="CE68" t="s">
        <v>122</v>
      </c>
      <c r="CF68" s="3">
        <v>43804</v>
      </c>
      <c r="CI68">
        <v>1</v>
      </c>
      <c r="CJ68">
        <v>1</v>
      </c>
      <c r="CK68">
        <v>21</v>
      </c>
      <c r="CL68" t="s">
        <v>89</v>
      </c>
    </row>
    <row r="69" spans="1:90">
      <c r="A69" t="s">
        <v>72</v>
      </c>
      <c r="B69" t="s">
        <v>73</v>
      </c>
      <c r="C69" t="s">
        <v>74</v>
      </c>
      <c r="E69" t="str">
        <f>"FES1162726261"</f>
        <v>FES1162726261</v>
      </c>
      <c r="F69" s="3">
        <v>43801</v>
      </c>
      <c r="G69">
        <v>202006</v>
      </c>
      <c r="H69" t="s">
        <v>75</v>
      </c>
      <c r="I69" t="s">
        <v>76</v>
      </c>
      <c r="J69" t="s">
        <v>77</v>
      </c>
      <c r="K69" t="s">
        <v>78</v>
      </c>
      <c r="L69" t="s">
        <v>75</v>
      </c>
      <c r="M69" t="s">
        <v>76</v>
      </c>
      <c r="N69" t="s">
        <v>305</v>
      </c>
      <c r="O69" t="s">
        <v>82</v>
      </c>
      <c r="P69" t="str">
        <f>"2170719756                    "</f>
        <v xml:space="preserve">2170719756                    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6.71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1</v>
      </c>
      <c r="BI69">
        <v>1</v>
      </c>
      <c r="BJ69">
        <v>0.2</v>
      </c>
      <c r="BK69">
        <v>1</v>
      </c>
      <c r="BL69" s="4">
        <v>39.42</v>
      </c>
      <c r="BM69" s="4">
        <v>5.91</v>
      </c>
      <c r="BN69" s="4">
        <v>45.33</v>
      </c>
      <c r="BO69" s="4">
        <v>45.33</v>
      </c>
      <c r="BQ69" t="s">
        <v>147</v>
      </c>
      <c r="BR69" t="s">
        <v>84</v>
      </c>
      <c r="BS69" s="3">
        <v>43802</v>
      </c>
      <c r="BT69" s="5">
        <v>0.3125</v>
      </c>
      <c r="BU69" t="s">
        <v>306</v>
      </c>
      <c r="BV69" t="s">
        <v>86</v>
      </c>
      <c r="BY69">
        <v>1200</v>
      </c>
      <c r="BZ69" t="s">
        <v>27</v>
      </c>
      <c r="CA69" t="s">
        <v>307</v>
      </c>
      <c r="CC69" t="s">
        <v>76</v>
      </c>
      <c r="CD69">
        <v>1645</v>
      </c>
      <c r="CE69" t="s">
        <v>88</v>
      </c>
      <c r="CF69" s="3">
        <v>43803</v>
      </c>
      <c r="CI69">
        <v>1</v>
      </c>
      <c r="CJ69">
        <v>1</v>
      </c>
      <c r="CK69">
        <v>22</v>
      </c>
      <c r="CL69" t="s">
        <v>89</v>
      </c>
    </row>
    <row r="70" spans="1:90">
      <c r="A70" t="s">
        <v>72</v>
      </c>
      <c r="B70" t="s">
        <v>73</v>
      </c>
      <c r="C70" t="s">
        <v>74</v>
      </c>
      <c r="E70" t="str">
        <f>"FES1162726474"</f>
        <v>FES1162726474</v>
      </c>
      <c r="F70" s="3">
        <v>43802</v>
      </c>
      <c r="G70">
        <v>202006</v>
      </c>
      <c r="H70" t="s">
        <v>75</v>
      </c>
      <c r="I70" t="s">
        <v>76</v>
      </c>
      <c r="J70" t="s">
        <v>77</v>
      </c>
      <c r="K70" t="s">
        <v>78</v>
      </c>
      <c r="L70" t="s">
        <v>308</v>
      </c>
      <c r="M70" t="s">
        <v>308</v>
      </c>
      <c r="N70" t="s">
        <v>309</v>
      </c>
      <c r="O70" t="s">
        <v>82</v>
      </c>
      <c r="P70" t="str">
        <f>"2170719909                    "</f>
        <v xml:space="preserve">2170719909                    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16.63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1</v>
      </c>
      <c r="BI70">
        <v>1</v>
      </c>
      <c r="BJ70">
        <v>0.2</v>
      </c>
      <c r="BK70">
        <v>1</v>
      </c>
      <c r="BL70" s="4">
        <v>97.75</v>
      </c>
      <c r="BM70" s="4">
        <v>14.66</v>
      </c>
      <c r="BN70" s="4">
        <v>112.41</v>
      </c>
      <c r="BO70" s="4">
        <v>112.41</v>
      </c>
      <c r="BQ70" t="s">
        <v>93</v>
      </c>
      <c r="BR70" t="s">
        <v>84</v>
      </c>
      <c r="BS70" s="3">
        <v>43803</v>
      </c>
      <c r="BT70" s="5">
        <v>0.50138888888888888</v>
      </c>
      <c r="BU70" t="s">
        <v>310</v>
      </c>
      <c r="BV70" t="s">
        <v>86</v>
      </c>
      <c r="BY70">
        <v>1200</v>
      </c>
      <c r="CA70" t="s">
        <v>311</v>
      </c>
      <c r="CC70" t="s">
        <v>308</v>
      </c>
      <c r="CD70">
        <v>7646</v>
      </c>
      <c r="CE70" t="s">
        <v>88</v>
      </c>
      <c r="CF70" s="3">
        <v>43804</v>
      </c>
      <c r="CI70">
        <v>1</v>
      </c>
      <c r="CJ70">
        <v>1</v>
      </c>
      <c r="CK70">
        <v>23</v>
      </c>
      <c r="CL70" t="s">
        <v>89</v>
      </c>
    </row>
    <row r="71" spans="1:90">
      <c r="A71" t="s">
        <v>72</v>
      </c>
      <c r="B71" t="s">
        <v>73</v>
      </c>
      <c r="C71" t="s">
        <v>74</v>
      </c>
      <c r="E71" t="str">
        <f>"FES1162726327"</f>
        <v>FES1162726327</v>
      </c>
      <c r="F71" s="3">
        <v>43801</v>
      </c>
      <c r="G71">
        <v>202006</v>
      </c>
      <c r="H71" t="s">
        <v>75</v>
      </c>
      <c r="I71" t="s">
        <v>76</v>
      </c>
      <c r="J71" t="s">
        <v>77</v>
      </c>
      <c r="K71" t="s">
        <v>78</v>
      </c>
      <c r="L71" t="s">
        <v>75</v>
      </c>
      <c r="M71" t="s">
        <v>76</v>
      </c>
      <c r="N71" t="s">
        <v>312</v>
      </c>
      <c r="O71" t="s">
        <v>82</v>
      </c>
      <c r="P71" t="str">
        <f>"2170719827                    "</f>
        <v xml:space="preserve">2170719827                    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6.71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1</v>
      </c>
      <c r="BI71">
        <v>1</v>
      </c>
      <c r="BJ71">
        <v>0.2</v>
      </c>
      <c r="BK71">
        <v>1</v>
      </c>
      <c r="BL71" s="4">
        <v>39.42</v>
      </c>
      <c r="BM71" s="4">
        <v>5.91</v>
      </c>
      <c r="BN71" s="4">
        <v>45.33</v>
      </c>
      <c r="BO71" s="4">
        <v>45.33</v>
      </c>
      <c r="BQ71" t="s">
        <v>147</v>
      </c>
      <c r="BR71" t="s">
        <v>84</v>
      </c>
      <c r="BS71" s="3">
        <v>43802</v>
      </c>
      <c r="BT71" s="5">
        <v>0.33333333333333331</v>
      </c>
      <c r="BU71" t="s">
        <v>313</v>
      </c>
      <c r="BV71" t="s">
        <v>86</v>
      </c>
      <c r="BY71">
        <v>1200</v>
      </c>
      <c r="BZ71" t="s">
        <v>27</v>
      </c>
      <c r="CA71" t="s">
        <v>314</v>
      </c>
      <c r="CC71" t="s">
        <v>76</v>
      </c>
      <c r="CD71">
        <v>1609</v>
      </c>
      <c r="CE71" t="s">
        <v>88</v>
      </c>
      <c r="CF71" s="3">
        <v>43803</v>
      </c>
      <c r="CI71">
        <v>1</v>
      </c>
      <c r="CJ71">
        <v>1</v>
      </c>
      <c r="CK71">
        <v>22</v>
      </c>
      <c r="CL71" t="s">
        <v>89</v>
      </c>
    </row>
    <row r="72" spans="1:90">
      <c r="A72" t="s">
        <v>72</v>
      </c>
      <c r="B72" t="s">
        <v>73</v>
      </c>
      <c r="C72" t="s">
        <v>74</v>
      </c>
      <c r="E72" t="str">
        <f>"FES1162726483"</f>
        <v>FES1162726483</v>
      </c>
      <c r="F72" s="3">
        <v>43802</v>
      </c>
      <c r="G72">
        <v>202006</v>
      </c>
      <c r="H72" t="s">
        <v>75</v>
      </c>
      <c r="I72" t="s">
        <v>76</v>
      </c>
      <c r="J72" t="s">
        <v>77</v>
      </c>
      <c r="K72" t="s">
        <v>78</v>
      </c>
      <c r="L72" t="s">
        <v>90</v>
      </c>
      <c r="M72" t="s">
        <v>91</v>
      </c>
      <c r="N72" t="s">
        <v>315</v>
      </c>
      <c r="O72" t="s">
        <v>82</v>
      </c>
      <c r="P72" t="str">
        <f>"2170719922                    "</f>
        <v xml:space="preserve">2170719922                    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8.58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1</v>
      </c>
      <c r="BI72">
        <v>1</v>
      </c>
      <c r="BJ72">
        <v>0.2</v>
      </c>
      <c r="BK72">
        <v>1</v>
      </c>
      <c r="BL72" s="4">
        <v>50.45</v>
      </c>
      <c r="BM72" s="4">
        <v>7.57</v>
      </c>
      <c r="BN72" s="4">
        <v>58.02</v>
      </c>
      <c r="BO72" s="4">
        <v>58.02</v>
      </c>
      <c r="BQ72" t="s">
        <v>135</v>
      </c>
      <c r="BR72" t="s">
        <v>84</v>
      </c>
      <c r="BS72" s="3">
        <v>43803</v>
      </c>
      <c r="BT72" s="5">
        <v>0.37083333333333335</v>
      </c>
      <c r="BU72" t="s">
        <v>316</v>
      </c>
      <c r="BV72" t="s">
        <v>86</v>
      </c>
      <c r="BY72">
        <v>1200</v>
      </c>
      <c r="CA72" t="s">
        <v>273</v>
      </c>
      <c r="CC72" t="s">
        <v>91</v>
      </c>
      <c r="CD72">
        <v>7800</v>
      </c>
      <c r="CE72" t="s">
        <v>88</v>
      </c>
      <c r="CF72" s="3">
        <v>43804</v>
      </c>
      <c r="CI72">
        <v>1</v>
      </c>
      <c r="CJ72">
        <v>1</v>
      </c>
      <c r="CK72">
        <v>21</v>
      </c>
      <c r="CL72" t="s">
        <v>89</v>
      </c>
    </row>
    <row r="73" spans="1:90">
      <c r="A73" t="s">
        <v>72</v>
      </c>
      <c r="B73" t="s">
        <v>73</v>
      </c>
      <c r="C73" t="s">
        <v>74</v>
      </c>
      <c r="E73" t="str">
        <f>"FES1162726296"</f>
        <v>FES1162726296</v>
      </c>
      <c r="F73" s="3">
        <v>43801</v>
      </c>
      <c r="G73">
        <v>202006</v>
      </c>
      <c r="H73" t="s">
        <v>75</v>
      </c>
      <c r="I73" t="s">
        <v>76</v>
      </c>
      <c r="J73" t="s">
        <v>77</v>
      </c>
      <c r="K73" t="s">
        <v>78</v>
      </c>
      <c r="L73" t="s">
        <v>75</v>
      </c>
      <c r="M73" t="s">
        <v>76</v>
      </c>
      <c r="N73" t="s">
        <v>317</v>
      </c>
      <c r="O73" t="s">
        <v>82</v>
      </c>
      <c r="P73" t="str">
        <f>"2170719803                    "</f>
        <v xml:space="preserve">2170719803                    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6.71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1</v>
      </c>
      <c r="BI73">
        <v>1</v>
      </c>
      <c r="BJ73">
        <v>0.2</v>
      </c>
      <c r="BK73">
        <v>1</v>
      </c>
      <c r="BL73" s="4">
        <v>39.42</v>
      </c>
      <c r="BM73" s="4">
        <v>5.91</v>
      </c>
      <c r="BN73" s="4">
        <v>45.33</v>
      </c>
      <c r="BO73" s="4">
        <v>45.33</v>
      </c>
      <c r="BQ73" t="s">
        <v>318</v>
      </c>
      <c r="BR73" t="s">
        <v>84</v>
      </c>
      <c r="BS73" s="3">
        <v>43802</v>
      </c>
      <c r="BT73" s="5">
        <v>0.34027777777777773</v>
      </c>
      <c r="BU73" t="s">
        <v>319</v>
      </c>
      <c r="BV73" t="s">
        <v>86</v>
      </c>
      <c r="BY73">
        <v>1200</v>
      </c>
      <c r="BZ73" t="s">
        <v>27</v>
      </c>
      <c r="CA73" t="s">
        <v>320</v>
      </c>
      <c r="CC73" t="s">
        <v>76</v>
      </c>
      <c r="CD73">
        <v>1666</v>
      </c>
      <c r="CE73" t="s">
        <v>88</v>
      </c>
      <c r="CF73" s="3">
        <v>43803</v>
      </c>
      <c r="CI73">
        <v>1</v>
      </c>
      <c r="CJ73">
        <v>1</v>
      </c>
      <c r="CK73">
        <v>22</v>
      </c>
      <c r="CL73" t="s">
        <v>89</v>
      </c>
    </row>
    <row r="74" spans="1:90">
      <c r="A74" t="s">
        <v>72</v>
      </c>
      <c r="B74" t="s">
        <v>73</v>
      </c>
      <c r="C74" t="s">
        <v>74</v>
      </c>
      <c r="E74" t="str">
        <f>"FES1162726486"</f>
        <v>FES1162726486</v>
      </c>
      <c r="F74" s="3">
        <v>43802</v>
      </c>
      <c r="G74">
        <v>202006</v>
      </c>
      <c r="H74" t="s">
        <v>75</v>
      </c>
      <c r="I74" t="s">
        <v>76</v>
      </c>
      <c r="J74" t="s">
        <v>77</v>
      </c>
      <c r="K74" t="s">
        <v>78</v>
      </c>
      <c r="L74" t="s">
        <v>75</v>
      </c>
      <c r="M74" t="s">
        <v>76</v>
      </c>
      <c r="N74" t="s">
        <v>321</v>
      </c>
      <c r="O74" t="s">
        <v>82</v>
      </c>
      <c r="P74" t="str">
        <f>"2170719919                    "</f>
        <v xml:space="preserve">2170719919                    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9.1199999999999992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1</v>
      </c>
      <c r="BI74">
        <v>1</v>
      </c>
      <c r="BJ74">
        <v>3.1</v>
      </c>
      <c r="BK74">
        <v>3.5</v>
      </c>
      <c r="BL74" s="4">
        <v>53.59</v>
      </c>
      <c r="BM74" s="4">
        <v>8.0399999999999991</v>
      </c>
      <c r="BN74" s="4">
        <v>61.63</v>
      </c>
      <c r="BO74" s="4">
        <v>61.63</v>
      </c>
      <c r="BQ74" t="s">
        <v>322</v>
      </c>
      <c r="BR74" t="s">
        <v>84</v>
      </c>
      <c r="BS74" s="3">
        <v>43803</v>
      </c>
      <c r="BT74" s="5">
        <v>0.4069444444444445</v>
      </c>
      <c r="BU74" t="s">
        <v>323</v>
      </c>
      <c r="BV74" t="s">
        <v>86</v>
      </c>
      <c r="BY74">
        <v>15402.46</v>
      </c>
      <c r="CA74" t="s">
        <v>155</v>
      </c>
      <c r="CC74" t="s">
        <v>76</v>
      </c>
      <c r="CD74">
        <v>1619</v>
      </c>
      <c r="CE74" t="s">
        <v>116</v>
      </c>
      <c r="CF74" s="3">
        <v>43804</v>
      </c>
      <c r="CI74">
        <v>1</v>
      </c>
      <c r="CJ74">
        <v>1</v>
      </c>
      <c r="CK74">
        <v>22</v>
      </c>
      <c r="CL74" t="s">
        <v>89</v>
      </c>
    </row>
    <row r="75" spans="1:90">
      <c r="A75" t="s">
        <v>72</v>
      </c>
      <c r="B75" t="s">
        <v>73</v>
      </c>
      <c r="C75" t="s">
        <v>74</v>
      </c>
      <c r="E75" t="str">
        <f>"FES1162726334"</f>
        <v>FES1162726334</v>
      </c>
      <c r="F75" s="3">
        <v>43801</v>
      </c>
      <c r="G75">
        <v>202006</v>
      </c>
      <c r="H75" t="s">
        <v>75</v>
      </c>
      <c r="I75" t="s">
        <v>76</v>
      </c>
      <c r="J75" t="s">
        <v>77</v>
      </c>
      <c r="K75" t="s">
        <v>78</v>
      </c>
      <c r="L75" t="s">
        <v>75</v>
      </c>
      <c r="M75" t="s">
        <v>76</v>
      </c>
      <c r="N75" t="s">
        <v>312</v>
      </c>
      <c r="O75" t="s">
        <v>82</v>
      </c>
      <c r="P75" t="str">
        <f>"2170719832                    "</f>
        <v xml:space="preserve">2170719832                    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6.71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1</v>
      </c>
      <c r="BI75">
        <v>1</v>
      </c>
      <c r="BJ75">
        <v>0.2</v>
      </c>
      <c r="BK75">
        <v>1</v>
      </c>
      <c r="BL75" s="4">
        <v>39.42</v>
      </c>
      <c r="BM75" s="4">
        <v>5.91</v>
      </c>
      <c r="BN75" s="4">
        <v>45.33</v>
      </c>
      <c r="BO75" s="4">
        <v>45.33</v>
      </c>
      <c r="BQ75" t="s">
        <v>147</v>
      </c>
      <c r="BR75" t="s">
        <v>84</v>
      </c>
      <c r="BS75" s="3">
        <v>43802</v>
      </c>
      <c r="BT75" s="5">
        <v>0.33333333333333331</v>
      </c>
      <c r="BU75" t="s">
        <v>313</v>
      </c>
      <c r="BV75" t="s">
        <v>86</v>
      </c>
      <c r="BY75">
        <v>1200</v>
      </c>
      <c r="BZ75" t="s">
        <v>27</v>
      </c>
      <c r="CA75" t="s">
        <v>314</v>
      </c>
      <c r="CC75" t="s">
        <v>76</v>
      </c>
      <c r="CD75">
        <v>1609</v>
      </c>
      <c r="CE75" t="s">
        <v>88</v>
      </c>
      <c r="CF75" s="3">
        <v>43803</v>
      </c>
      <c r="CI75">
        <v>1</v>
      </c>
      <c r="CJ75">
        <v>1</v>
      </c>
      <c r="CK75">
        <v>22</v>
      </c>
      <c r="CL75" t="s">
        <v>89</v>
      </c>
    </row>
    <row r="76" spans="1:90">
      <c r="A76" t="s">
        <v>72</v>
      </c>
      <c r="B76" t="s">
        <v>73</v>
      </c>
      <c r="C76" t="s">
        <v>74</v>
      </c>
      <c r="E76" t="str">
        <f>"FES1162726434"</f>
        <v>FES1162726434</v>
      </c>
      <c r="F76" s="3">
        <v>43802</v>
      </c>
      <c r="G76">
        <v>202006</v>
      </c>
      <c r="H76" t="s">
        <v>75</v>
      </c>
      <c r="I76" t="s">
        <v>76</v>
      </c>
      <c r="J76" t="s">
        <v>77</v>
      </c>
      <c r="K76" t="s">
        <v>78</v>
      </c>
      <c r="L76" t="s">
        <v>151</v>
      </c>
      <c r="M76" t="s">
        <v>102</v>
      </c>
      <c r="N76" t="s">
        <v>324</v>
      </c>
      <c r="O76" t="s">
        <v>82</v>
      </c>
      <c r="P76" t="str">
        <f>"2170719711                    "</f>
        <v xml:space="preserve">2170719711                    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8.58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1</v>
      </c>
      <c r="BI76">
        <v>1</v>
      </c>
      <c r="BJ76">
        <v>0.2</v>
      </c>
      <c r="BK76">
        <v>1</v>
      </c>
      <c r="BL76" s="4">
        <v>50.45</v>
      </c>
      <c r="BM76" s="4">
        <v>7.57</v>
      </c>
      <c r="BN76" s="4">
        <v>58.02</v>
      </c>
      <c r="BO76" s="4">
        <v>58.02</v>
      </c>
      <c r="BQ76" t="s">
        <v>93</v>
      </c>
      <c r="BR76" t="s">
        <v>84</v>
      </c>
      <c r="BS76" s="3">
        <v>43803</v>
      </c>
      <c r="BT76" s="5">
        <v>0.41666666666666669</v>
      </c>
      <c r="BU76" t="s">
        <v>325</v>
      </c>
      <c r="BV76" t="s">
        <v>86</v>
      </c>
      <c r="BY76">
        <v>1200</v>
      </c>
      <c r="CA76" t="s">
        <v>163</v>
      </c>
      <c r="CC76" t="s">
        <v>102</v>
      </c>
      <c r="CD76">
        <v>200</v>
      </c>
      <c r="CE76" t="s">
        <v>88</v>
      </c>
      <c r="CF76" s="3">
        <v>43804</v>
      </c>
      <c r="CI76">
        <v>1</v>
      </c>
      <c r="CJ76">
        <v>1</v>
      </c>
      <c r="CK76">
        <v>21</v>
      </c>
      <c r="CL76" t="s">
        <v>89</v>
      </c>
    </row>
    <row r="77" spans="1:90">
      <c r="A77" t="s">
        <v>72</v>
      </c>
      <c r="B77" t="s">
        <v>73</v>
      </c>
      <c r="C77" t="s">
        <v>74</v>
      </c>
      <c r="E77" t="str">
        <f>"FES1162726309"</f>
        <v>FES1162726309</v>
      </c>
      <c r="F77" s="3">
        <v>43801</v>
      </c>
      <c r="G77">
        <v>202006</v>
      </c>
      <c r="H77" t="s">
        <v>75</v>
      </c>
      <c r="I77" t="s">
        <v>76</v>
      </c>
      <c r="J77" t="s">
        <v>77</v>
      </c>
      <c r="K77" t="s">
        <v>78</v>
      </c>
      <c r="L77" t="s">
        <v>151</v>
      </c>
      <c r="M77" t="s">
        <v>102</v>
      </c>
      <c r="N77" t="s">
        <v>326</v>
      </c>
      <c r="O77" t="s">
        <v>82</v>
      </c>
      <c r="P77" t="str">
        <f>"2170719826                    "</f>
        <v xml:space="preserve">2170719826                    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8.58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1</v>
      </c>
      <c r="BI77">
        <v>1</v>
      </c>
      <c r="BJ77">
        <v>0.2</v>
      </c>
      <c r="BK77">
        <v>1</v>
      </c>
      <c r="BL77" s="4">
        <v>50.45</v>
      </c>
      <c r="BM77" s="4">
        <v>7.57</v>
      </c>
      <c r="BN77" s="4">
        <v>58.02</v>
      </c>
      <c r="BO77" s="4">
        <v>58.02</v>
      </c>
      <c r="BR77" t="s">
        <v>84</v>
      </c>
      <c r="BS77" s="3">
        <v>43802</v>
      </c>
      <c r="BT77" s="5">
        <v>0.43611111111111112</v>
      </c>
      <c r="BU77" t="s">
        <v>327</v>
      </c>
      <c r="BV77" t="s">
        <v>86</v>
      </c>
      <c r="BY77">
        <v>1200</v>
      </c>
      <c r="BZ77" t="s">
        <v>27</v>
      </c>
      <c r="CA77" t="s">
        <v>328</v>
      </c>
      <c r="CC77" t="s">
        <v>102</v>
      </c>
      <c r="CD77">
        <v>184</v>
      </c>
      <c r="CE77" t="s">
        <v>88</v>
      </c>
      <c r="CF77" s="3">
        <v>43803</v>
      </c>
      <c r="CI77">
        <v>1</v>
      </c>
      <c r="CJ77">
        <v>1</v>
      </c>
      <c r="CK77">
        <v>21</v>
      </c>
      <c r="CL77" t="s">
        <v>89</v>
      </c>
    </row>
    <row r="78" spans="1:90">
      <c r="A78" t="s">
        <v>72</v>
      </c>
      <c r="B78" t="s">
        <v>73</v>
      </c>
      <c r="C78" t="s">
        <v>74</v>
      </c>
      <c r="E78" t="str">
        <f>"FES1162726333"</f>
        <v>FES1162726333</v>
      </c>
      <c r="F78" s="3">
        <v>43801</v>
      </c>
      <c r="G78">
        <v>202006</v>
      </c>
      <c r="H78" t="s">
        <v>75</v>
      </c>
      <c r="I78" t="s">
        <v>76</v>
      </c>
      <c r="J78" t="s">
        <v>77</v>
      </c>
      <c r="K78" t="s">
        <v>78</v>
      </c>
      <c r="L78" t="s">
        <v>151</v>
      </c>
      <c r="M78" t="s">
        <v>102</v>
      </c>
      <c r="N78" t="s">
        <v>329</v>
      </c>
      <c r="O78" t="s">
        <v>82</v>
      </c>
      <c r="P78" t="str">
        <f>"2170719831                    "</f>
        <v xml:space="preserve">2170719831                    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8.58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1</v>
      </c>
      <c r="BI78">
        <v>1</v>
      </c>
      <c r="BJ78">
        <v>0.2</v>
      </c>
      <c r="BK78">
        <v>1</v>
      </c>
      <c r="BL78" s="4">
        <v>50.45</v>
      </c>
      <c r="BM78" s="4">
        <v>7.57</v>
      </c>
      <c r="BN78" s="4">
        <v>58.02</v>
      </c>
      <c r="BO78" s="4">
        <v>58.02</v>
      </c>
      <c r="BQ78" t="s">
        <v>147</v>
      </c>
      <c r="BR78" t="s">
        <v>84</v>
      </c>
      <c r="BS78" s="3">
        <v>43802</v>
      </c>
      <c r="BT78" s="5">
        <v>0.37847222222222227</v>
      </c>
      <c r="BU78" t="s">
        <v>330</v>
      </c>
      <c r="BV78" t="s">
        <v>86</v>
      </c>
      <c r="BY78">
        <v>1200</v>
      </c>
      <c r="BZ78" t="s">
        <v>27</v>
      </c>
      <c r="CC78" t="s">
        <v>102</v>
      </c>
      <c r="CD78">
        <v>200</v>
      </c>
      <c r="CE78" t="s">
        <v>88</v>
      </c>
      <c r="CF78" s="3">
        <v>43803</v>
      </c>
      <c r="CI78">
        <v>1</v>
      </c>
      <c r="CJ78">
        <v>1</v>
      </c>
      <c r="CK78">
        <v>21</v>
      </c>
      <c r="CL78" t="s">
        <v>89</v>
      </c>
    </row>
    <row r="79" spans="1:90">
      <c r="A79" t="s">
        <v>72</v>
      </c>
      <c r="B79" t="s">
        <v>73</v>
      </c>
      <c r="C79" t="s">
        <v>74</v>
      </c>
      <c r="E79" t="str">
        <f>"FES1162726350"</f>
        <v>FES1162726350</v>
      </c>
      <c r="F79" s="3">
        <v>43802</v>
      </c>
      <c r="G79">
        <v>202006</v>
      </c>
      <c r="H79" t="s">
        <v>75</v>
      </c>
      <c r="I79" t="s">
        <v>76</v>
      </c>
      <c r="J79" t="s">
        <v>77</v>
      </c>
      <c r="K79" t="s">
        <v>78</v>
      </c>
      <c r="L79" t="s">
        <v>308</v>
      </c>
      <c r="M79" t="s">
        <v>308</v>
      </c>
      <c r="N79" t="s">
        <v>309</v>
      </c>
      <c r="O79" t="s">
        <v>82</v>
      </c>
      <c r="P79" t="str">
        <f>"2170719209                    "</f>
        <v xml:space="preserve">2170719209                    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27.9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1</v>
      </c>
      <c r="BI79">
        <v>1.7</v>
      </c>
      <c r="BJ79">
        <v>3.1</v>
      </c>
      <c r="BK79">
        <v>3.5</v>
      </c>
      <c r="BL79" s="4">
        <v>163.98</v>
      </c>
      <c r="BM79" s="4">
        <v>24.6</v>
      </c>
      <c r="BN79" s="4">
        <v>188.58</v>
      </c>
      <c r="BO79" s="4">
        <v>188.58</v>
      </c>
      <c r="BQ79" t="s">
        <v>93</v>
      </c>
      <c r="BR79" t="s">
        <v>84</v>
      </c>
      <c r="BS79" s="3">
        <v>43803</v>
      </c>
      <c r="BT79" s="5">
        <v>0.50138888888888888</v>
      </c>
      <c r="BU79" t="s">
        <v>310</v>
      </c>
      <c r="BV79" t="s">
        <v>86</v>
      </c>
      <c r="BY79">
        <v>15290.9</v>
      </c>
      <c r="CA79" t="s">
        <v>311</v>
      </c>
      <c r="CC79" t="s">
        <v>308</v>
      </c>
      <c r="CD79">
        <v>7646</v>
      </c>
      <c r="CE79" t="s">
        <v>96</v>
      </c>
      <c r="CF79" s="3">
        <v>43804</v>
      </c>
      <c r="CI79">
        <v>1</v>
      </c>
      <c r="CJ79">
        <v>1</v>
      </c>
      <c r="CK79">
        <v>23</v>
      </c>
      <c r="CL79" t="s">
        <v>89</v>
      </c>
    </row>
    <row r="80" spans="1:90">
      <c r="A80" t="s">
        <v>331</v>
      </c>
      <c r="B80" t="s">
        <v>73</v>
      </c>
      <c r="C80" t="s">
        <v>74</v>
      </c>
      <c r="E80" t="str">
        <f>"009939374302"</f>
        <v>009939374302</v>
      </c>
      <c r="F80" s="3">
        <v>43801</v>
      </c>
      <c r="G80">
        <v>202006</v>
      </c>
      <c r="H80" t="s">
        <v>198</v>
      </c>
      <c r="I80" t="s">
        <v>199</v>
      </c>
      <c r="J80" t="s">
        <v>100</v>
      </c>
      <c r="K80" t="s">
        <v>78</v>
      </c>
      <c r="L80" t="s">
        <v>332</v>
      </c>
      <c r="M80" t="s">
        <v>333</v>
      </c>
      <c r="N80" t="s">
        <v>100</v>
      </c>
      <c r="O80" t="s">
        <v>82</v>
      </c>
      <c r="P80" t="str">
        <f>"KARAN                         "</f>
        <v xml:space="preserve">KARAN                         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8.58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1</v>
      </c>
      <c r="BI80">
        <v>1.8</v>
      </c>
      <c r="BJ80">
        <v>2</v>
      </c>
      <c r="BK80">
        <v>2</v>
      </c>
      <c r="BL80" s="4">
        <v>50.45</v>
      </c>
      <c r="BM80" s="4">
        <v>7.57</v>
      </c>
      <c r="BN80" s="4">
        <v>58.02</v>
      </c>
      <c r="BO80" s="4">
        <v>58.02</v>
      </c>
      <c r="BR80" t="s">
        <v>334</v>
      </c>
      <c r="BS80" s="3">
        <v>43802</v>
      </c>
      <c r="BT80" s="5">
        <v>0.36180555555555555</v>
      </c>
      <c r="BU80" t="s">
        <v>154</v>
      </c>
      <c r="BV80" t="s">
        <v>86</v>
      </c>
      <c r="BY80">
        <v>9954</v>
      </c>
      <c r="BZ80" t="s">
        <v>27</v>
      </c>
      <c r="CA80" t="s">
        <v>155</v>
      </c>
      <c r="CC80" t="s">
        <v>333</v>
      </c>
      <c r="CD80">
        <v>2000</v>
      </c>
      <c r="CE80" t="s">
        <v>96</v>
      </c>
      <c r="CF80" s="3">
        <v>43803</v>
      </c>
      <c r="CI80">
        <v>1</v>
      </c>
      <c r="CJ80">
        <v>1</v>
      </c>
      <c r="CK80">
        <v>21</v>
      </c>
      <c r="CL80" t="s">
        <v>89</v>
      </c>
    </row>
    <row r="81" spans="1:90">
      <c r="A81" t="s">
        <v>72</v>
      </c>
      <c r="B81" t="s">
        <v>73</v>
      </c>
      <c r="C81" t="s">
        <v>74</v>
      </c>
      <c r="E81" t="str">
        <f>"FES1162726609"</f>
        <v>FES1162726609</v>
      </c>
      <c r="F81" s="3">
        <v>43802</v>
      </c>
      <c r="G81">
        <v>202006</v>
      </c>
      <c r="H81" t="s">
        <v>75</v>
      </c>
      <c r="I81" t="s">
        <v>76</v>
      </c>
      <c r="J81" t="s">
        <v>77</v>
      </c>
      <c r="K81" t="s">
        <v>78</v>
      </c>
      <c r="L81" t="s">
        <v>201</v>
      </c>
      <c r="M81" t="s">
        <v>202</v>
      </c>
      <c r="N81" t="s">
        <v>335</v>
      </c>
      <c r="O81" t="s">
        <v>82</v>
      </c>
      <c r="P81" t="str">
        <f>"217070086                     "</f>
        <v xml:space="preserve">217070086                     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8.58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1</v>
      </c>
      <c r="BI81">
        <v>1.4</v>
      </c>
      <c r="BJ81">
        <v>0.9</v>
      </c>
      <c r="BK81">
        <v>1.5</v>
      </c>
      <c r="BL81" s="4">
        <v>50.45</v>
      </c>
      <c r="BM81" s="4">
        <v>7.57</v>
      </c>
      <c r="BN81" s="4">
        <v>58.02</v>
      </c>
      <c r="BO81" s="4">
        <v>58.02</v>
      </c>
      <c r="BQ81" t="s">
        <v>147</v>
      </c>
      <c r="BR81" t="s">
        <v>84</v>
      </c>
      <c r="BS81" s="3">
        <v>43803</v>
      </c>
      <c r="BT81" s="5">
        <v>0.40763888888888888</v>
      </c>
      <c r="BU81" t="s">
        <v>336</v>
      </c>
      <c r="BV81" t="s">
        <v>86</v>
      </c>
      <c r="BY81">
        <v>4688.3999999999996</v>
      </c>
      <c r="CA81" t="s">
        <v>288</v>
      </c>
      <c r="CC81" t="s">
        <v>202</v>
      </c>
      <c r="CD81">
        <v>3600</v>
      </c>
      <c r="CE81" t="s">
        <v>96</v>
      </c>
      <c r="CF81" s="3">
        <v>43804</v>
      </c>
      <c r="CI81">
        <v>1</v>
      </c>
      <c r="CJ81">
        <v>1</v>
      </c>
      <c r="CK81">
        <v>21</v>
      </c>
      <c r="CL81" t="s">
        <v>89</v>
      </c>
    </row>
    <row r="82" spans="1:90">
      <c r="A82" t="s">
        <v>72</v>
      </c>
      <c r="B82" t="s">
        <v>73</v>
      </c>
      <c r="C82" t="s">
        <v>74</v>
      </c>
      <c r="E82" t="str">
        <f>"FES1162726359"</f>
        <v>FES1162726359</v>
      </c>
      <c r="F82" s="3">
        <v>43801</v>
      </c>
      <c r="G82">
        <v>202006</v>
      </c>
      <c r="H82" t="s">
        <v>75</v>
      </c>
      <c r="I82" t="s">
        <v>76</v>
      </c>
      <c r="J82" t="s">
        <v>77</v>
      </c>
      <c r="K82" t="s">
        <v>78</v>
      </c>
      <c r="L82" t="s">
        <v>75</v>
      </c>
      <c r="M82" t="s">
        <v>76</v>
      </c>
      <c r="N82" t="s">
        <v>305</v>
      </c>
      <c r="O82" t="s">
        <v>82</v>
      </c>
      <c r="P82" t="str">
        <f>"2170719860                    "</f>
        <v xml:space="preserve">2170719860                    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6.71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1</v>
      </c>
      <c r="BI82">
        <v>1</v>
      </c>
      <c r="BJ82">
        <v>0.2</v>
      </c>
      <c r="BK82">
        <v>1</v>
      </c>
      <c r="BL82" s="4">
        <v>39.42</v>
      </c>
      <c r="BM82" s="4">
        <v>5.91</v>
      </c>
      <c r="BN82" s="4">
        <v>45.33</v>
      </c>
      <c r="BO82" s="4">
        <v>45.33</v>
      </c>
      <c r="BQ82" t="s">
        <v>147</v>
      </c>
      <c r="BR82" t="s">
        <v>84</v>
      </c>
      <c r="BS82" s="3">
        <v>43802</v>
      </c>
      <c r="BT82" s="5">
        <v>0.3125</v>
      </c>
      <c r="BU82" t="s">
        <v>306</v>
      </c>
      <c r="BV82" t="s">
        <v>86</v>
      </c>
      <c r="BY82">
        <v>1200</v>
      </c>
      <c r="BZ82" t="s">
        <v>27</v>
      </c>
      <c r="CA82" t="s">
        <v>307</v>
      </c>
      <c r="CC82" t="s">
        <v>76</v>
      </c>
      <c r="CD82">
        <v>1645</v>
      </c>
      <c r="CE82" t="s">
        <v>88</v>
      </c>
      <c r="CF82" s="3">
        <v>43803</v>
      </c>
      <c r="CI82">
        <v>1</v>
      </c>
      <c r="CJ82">
        <v>1</v>
      </c>
      <c r="CK82">
        <v>22</v>
      </c>
      <c r="CL82" t="s">
        <v>89</v>
      </c>
    </row>
    <row r="83" spans="1:90">
      <c r="A83" t="s">
        <v>72</v>
      </c>
      <c r="B83" t="s">
        <v>73</v>
      </c>
      <c r="C83" t="s">
        <v>74</v>
      </c>
      <c r="E83" t="str">
        <f>"FES1162726509"</f>
        <v>FES1162726509</v>
      </c>
      <c r="F83" s="3">
        <v>43802</v>
      </c>
      <c r="G83">
        <v>202006</v>
      </c>
      <c r="H83" t="s">
        <v>75</v>
      </c>
      <c r="I83" t="s">
        <v>76</v>
      </c>
      <c r="J83" t="s">
        <v>77</v>
      </c>
      <c r="K83" t="s">
        <v>78</v>
      </c>
      <c r="L83" t="s">
        <v>164</v>
      </c>
      <c r="M83" t="s">
        <v>165</v>
      </c>
      <c r="N83" t="s">
        <v>337</v>
      </c>
      <c r="O83" t="s">
        <v>82</v>
      </c>
      <c r="P83" t="str">
        <f>"2170719960                    "</f>
        <v xml:space="preserve">2170719960                    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25.74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1</v>
      </c>
      <c r="BI83">
        <v>6</v>
      </c>
      <c r="BJ83">
        <v>1.5</v>
      </c>
      <c r="BK83">
        <v>6</v>
      </c>
      <c r="BL83" s="4">
        <v>151.29</v>
      </c>
      <c r="BM83" s="4">
        <v>22.69</v>
      </c>
      <c r="BN83" s="4">
        <v>173.98</v>
      </c>
      <c r="BO83" s="4">
        <v>173.98</v>
      </c>
      <c r="BQ83" t="s">
        <v>277</v>
      </c>
      <c r="BR83" t="s">
        <v>84</v>
      </c>
      <c r="BS83" s="3">
        <v>43803</v>
      </c>
      <c r="BT83" s="5">
        <v>0.4375</v>
      </c>
      <c r="BU83" t="s">
        <v>338</v>
      </c>
      <c r="BV83" t="s">
        <v>86</v>
      </c>
      <c r="BY83">
        <v>7463.81</v>
      </c>
      <c r="CA83" t="s">
        <v>168</v>
      </c>
      <c r="CC83" t="s">
        <v>165</v>
      </c>
      <c r="CD83">
        <v>5201</v>
      </c>
      <c r="CE83" t="s">
        <v>96</v>
      </c>
      <c r="CF83" s="3">
        <v>43808</v>
      </c>
      <c r="CI83">
        <v>1</v>
      </c>
      <c r="CJ83">
        <v>1</v>
      </c>
      <c r="CK83">
        <v>21</v>
      </c>
      <c r="CL83" t="s">
        <v>89</v>
      </c>
    </row>
    <row r="84" spans="1:90">
      <c r="A84" t="s">
        <v>72</v>
      </c>
      <c r="B84" t="s">
        <v>73</v>
      </c>
      <c r="C84" t="s">
        <v>74</v>
      </c>
      <c r="E84" t="str">
        <f>"FES1162726355"</f>
        <v>FES1162726355</v>
      </c>
      <c r="F84" s="3">
        <v>43801</v>
      </c>
      <c r="G84">
        <v>202006</v>
      </c>
      <c r="H84" t="s">
        <v>75</v>
      </c>
      <c r="I84" t="s">
        <v>76</v>
      </c>
      <c r="J84" t="s">
        <v>77</v>
      </c>
      <c r="K84" t="s">
        <v>78</v>
      </c>
      <c r="L84" t="s">
        <v>138</v>
      </c>
      <c r="M84" t="s">
        <v>139</v>
      </c>
      <c r="N84" t="s">
        <v>146</v>
      </c>
      <c r="O84" t="s">
        <v>82</v>
      </c>
      <c r="P84" t="str">
        <f>"2170719856                    "</f>
        <v xml:space="preserve">2170719856                    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6.71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1</v>
      </c>
      <c r="BI84">
        <v>1</v>
      </c>
      <c r="BJ84">
        <v>0.2</v>
      </c>
      <c r="BK84">
        <v>1</v>
      </c>
      <c r="BL84" s="4">
        <v>39.42</v>
      </c>
      <c r="BM84" s="4">
        <v>5.91</v>
      </c>
      <c r="BN84" s="4">
        <v>45.33</v>
      </c>
      <c r="BO84" s="4">
        <v>45.33</v>
      </c>
      <c r="BQ84" t="s">
        <v>147</v>
      </c>
      <c r="BR84" t="s">
        <v>84</v>
      </c>
      <c r="BS84" s="3">
        <v>43802</v>
      </c>
      <c r="BT84" s="5">
        <v>0.4375</v>
      </c>
      <c r="BU84" t="s">
        <v>339</v>
      </c>
      <c r="BV84" t="s">
        <v>86</v>
      </c>
      <c r="BY84">
        <v>1200</v>
      </c>
      <c r="BZ84" t="s">
        <v>27</v>
      </c>
      <c r="CC84" t="s">
        <v>139</v>
      </c>
      <c r="CD84">
        <v>1428</v>
      </c>
      <c r="CE84" t="s">
        <v>88</v>
      </c>
      <c r="CF84" s="3">
        <v>43803</v>
      </c>
      <c r="CI84">
        <v>1</v>
      </c>
      <c r="CJ84">
        <v>1</v>
      </c>
      <c r="CK84">
        <v>22</v>
      </c>
      <c r="CL84" t="s">
        <v>89</v>
      </c>
    </row>
    <row r="85" spans="1:90">
      <c r="A85" t="s">
        <v>72</v>
      </c>
      <c r="B85" t="s">
        <v>73</v>
      </c>
      <c r="C85" t="s">
        <v>74</v>
      </c>
      <c r="E85" t="str">
        <f>"FES1162726453"</f>
        <v>FES1162726453</v>
      </c>
      <c r="F85" s="3">
        <v>43802</v>
      </c>
      <c r="G85">
        <v>202006</v>
      </c>
      <c r="H85" t="s">
        <v>75</v>
      </c>
      <c r="I85" t="s">
        <v>76</v>
      </c>
      <c r="J85" t="s">
        <v>77</v>
      </c>
      <c r="K85" t="s">
        <v>78</v>
      </c>
      <c r="L85" t="s">
        <v>75</v>
      </c>
      <c r="M85" t="s">
        <v>76</v>
      </c>
      <c r="N85" t="s">
        <v>289</v>
      </c>
      <c r="O85" t="s">
        <v>82</v>
      </c>
      <c r="P85" t="str">
        <f>"2170719878                    "</f>
        <v xml:space="preserve">2170719878                    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8.31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1</v>
      </c>
      <c r="BI85">
        <v>1.2</v>
      </c>
      <c r="BJ85">
        <v>2.6</v>
      </c>
      <c r="BK85">
        <v>3</v>
      </c>
      <c r="BL85" s="4">
        <v>48.86</v>
      </c>
      <c r="BM85" s="4">
        <v>7.33</v>
      </c>
      <c r="BN85" s="4">
        <v>56.19</v>
      </c>
      <c r="BO85" s="4">
        <v>56.19</v>
      </c>
      <c r="BQ85" t="s">
        <v>290</v>
      </c>
      <c r="BR85" t="s">
        <v>84</v>
      </c>
      <c r="BS85" s="3">
        <v>43803</v>
      </c>
      <c r="BT85" s="5">
        <v>0.27083333333333331</v>
      </c>
      <c r="BU85" t="s">
        <v>291</v>
      </c>
      <c r="BV85" t="s">
        <v>86</v>
      </c>
      <c r="BY85">
        <v>13136.26</v>
      </c>
      <c r="CA85" t="s">
        <v>155</v>
      </c>
      <c r="CC85" t="s">
        <v>76</v>
      </c>
      <c r="CD85">
        <v>1601</v>
      </c>
      <c r="CE85" t="s">
        <v>116</v>
      </c>
      <c r="CF85" s="3">
        <v>43804</v>
      </c>
      <c r="CI85">
        <v>1</v>
      </c>
      <c r="CJ85">
        <v>1</v>
      </c>
      <c r="CK85">
        <v>22</v>
      </c>
      <c r="CL85" t="s">
        <v>89</v>
      </c>
    </row>
    <row r="86" spans="1:90">
      <c r="A86" t="s">
        <v>72</v>
      </c>
      <c r="B86" t="s">
        <v>73</v>
      </c>
      <c r="C86" t="s">
        <v>74</v>
      </c>
      <c r="E86" t="str">
        <f>"FES1162726283"</f>
        <v>FES1162726283</v>
      </c>
      <c r="F86" s="3">
        <v>43801</v>
      </c>
      <c r="G86">
        <v>202006</v>
      </c>
      <c r="H86" t="s">
        <v>75</v>
      </c>
      <c r="I86" t="s">
        <v>76</v>
      </c>
      <c r="J86" t="s">
        <v>77</v>
      </c>
      <c r="K86" t="s">
        <v>78</v>
      </c>
      <c r="L86" t="s">
        <v>340</v>
      </c>
      <c r="M86" t="s">
        <v>341</v>
      </c>
      <c r="N86" t="s">
        <v>342</v>
      </c>
      <c r="O86" t="s">
        <v>82</v>
      </c>
      <c r="P86" t="str">
        <f>"2170719788                    "</f>
        <v xml:space="preserve">2170719788                    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16.63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1</v>
      </c>
      <c r="BI86">
        <v>1</v>
      </c>
      <c r="BJ86">
        <v>0.2</v>
      </c>
      <c r="BK86">
        <v>1</v>
      </c>
      <c r="BL86" s="4">
        <v>97.75</v>
      </c>
      <c r="BM86" s="4">
        <v>14.66</v>
      </c>
      <c r="BN86" s="4">
        <v>112.41</v>
      </c>
      <c r="BO86" s="4">
        <v>112.41</v>
      </c>
      <c r="BQ86" t="s">
        <v>93</v>
      </c>
      <c r="BR86" t="s">
        <v>84</v>
      </c>
      <c r="BS86" s="3">
        <v>43802</v>
      </c>
      <c r="BT86" s="5">
        <v>0.33333333333333331</v>
      </c>
      <c r="BU86" t="s">
        <v>343</v>
      </c>
      <c r="BV86" t="s">
        <v>86</v>
      </c>
      <c r="BY86">
        <v>1200</v>
      </c>
      <c r="BZ86" t="s">
        <v>27</v>
      </c>
      <c r="CA86" t="s">
        <v>344</v>
      </c>
      <c r="CC86" t="s">
        <v>341</v>
      </c>
      <c r="CD86">
        <v>1947</v>
      </c>
      <c r="CE86" t="s">
        <v>88</v>
      </c>
      <c r="CF86" s="3">
        <v>43803</v>
      </c>
      <c r="CI86">
        <v>1</v>
      </c>
      <c r="CJ86">
        <v>1</v>
      </c>
      <c r="CK86">
        <v>23</v>
      </c>
      <c r="CL86" t="s">
        <v>89</v>
      </c>
    </row>
    <row r="87" spans="1:90">
      <c r="A87" t="s">
        <v>72</v>
      </c>
      <c r="B87" t="s">
        <v>73</v>
      </c>
      <c r="C87" t="s">
        <v>74</v>
      </c>
      <c r="E87" t="str">
        <f>"FES1162726600"</f>
        <v>FES1162726600</v>
      </c>
      <c r="F87" s="3">
        <v>43802</v>
      </c>
      <c r="G87">
        <v>202006</v>
      </c>
      <c r="H87" t="s">
        <v>75</v>
      </c>
      <c r="I87" t="s">
        <v>76</v>
      </c>
      <c r="J87" t="s">
        <v>77</v>
      </c>
      <c r="K87" t="s">
        <v>78</v>
      </c>
      <c r="L87" t="s">
        <v>201</v>
      </c>
      <c r="M87" t="s">
        <v>202</v>
      </c>
      <c r="N87" t="s">
        <v>345</v>
      </c>
      <c r="O87" t="s">
        <v>82</v>
      </c>
      <c r="P87" t="str">
        <f>"2170720078                    "</f>
        <v xml:space="preserve">2170720078                    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8.58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1</v>
      </c>
      <c r="BI87">
        <v>2</v>
      </c>
      <c r="BJ87">
        <v>0.9</v>
      </c>
      <c r="BK87">
        <v>2</v>
      </c>
      <c r="BL87" s="4">
        <v>50.45</v>
      </c>
      <c r="BM87" s="4">
        <v>7.57</v>
      </c>
      <c r="BN87" s="4">
        <v>58.02</v>
      </c>
      <c r="BO87" s="4">
        <v>58.02</v>
      </c>
      <c r="BQ87" t="s">
        <v>135</v>
      </c>
      <c r="BR87" t="s">
        <v>84</v>
      </c>
      <c r="BS87" s="3">
        <v>43803</v>
      </c>
      <c r="BT87" s="5">
        <v>0.32847222222222222</v>
      </c>
      <c r="BU87" t="s">
        <v>346</v>
      </c>
      <c r="BV87" t="s">
        <v>86</v>
      </c>
      <c r="BY87">
        <v>4738.6400000000003</v>
      </c>
      <c r="CA87" t="s">
        <v>288</v>
      </c>
      <c r="CC87" t="s">
        <v>202</v>
      </c>
      <c r="CD87">
        <v>3610</v>
      </c>
      <c r="CE87" t="s">
        <v>96</v>
      </c>
      <c r="CF87" s="3">
        <v>43804</v>
      </c>
      <c r="CI87">
        <v>1</v>
      </c>
      <c r="CJ87">
        <v>1</v>
      </c>
      <c r="CK87">
        <v>21</v>
      </c>
      <c r="CL87" t="s">
        <v>89</v>
      </c>
    </row>
    <row r="88" spans="1:90">
      <c r="A88" t="s">
        <v>72</v>
      </c>
      <c r="B88" t="s">
        <v>73</v>
      </c>
      <c r="C88" t="s">
        <v>74</v>
      </c>
      <c r="E88" t="str">
        <f>"FES1162726266"</f>
        <v>FES1162726266</v>
      </c>
      <c r="F88" s="3">
        <v>43801</v>
      </c>
      <c r="G88">
        <v>202006</v>
      </c>
      <c r="H88" t="s">
        <v>75</v>
      </c>
      <c r="I88" t="s">
        <v>76</v>
      </c>
      <c r="J88" t="s">
        <v>77</v>
      </c>
      <c r="K88" t="s">
        <v>78</v>
      </c>
      <c r="L88" t="s">
        <v>169</v>
      </c>
      <c r="M88" t="s">
        <v>170</v>
      </c>
      <c r="N88" t="s">
        <v>248</v>
      </c>
      <c r="O88" t="s">
        <v>82</v>
      </c>
      <c r="P88" t="str">
        <f>"2170719761                    "</f>
        <v xml:space="preserve">2170719761                    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6.71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1</v>
      </c>
      <c r="BI88">
        <v>1</v>
      </c>
      <c r="BJ88">
        <v>0.2</v>
      </c>
      <c r="BK88">
        <v>1</v>
      </c>
      <c r="BL88" s="4">
        <v>39.42</v>
      </c>
      <c r="BM88" s="4">
        <v>5.91</v>
      </c>
      <c r="BN88" s="4">
        <v>45.33</v>
      </c>
      <c r="BO88" s="4">
        <v>45.33</v>
      </c>
      <c r="BQ88" t="s">
        <v>147</v>
      </c>
      <c r="BR88" t="s">
        <v>84</v>
      </c>
      <c r="BS88" s="3">
        <v>43802</v>
      </c>
      <c r="BT88" s="5">
        <v>0.3611111111111111</v>
      </c>
      <c r="BU88" t="s">
        <v>249</v>
      </c>
      <c r="BV88" t="s">
        <v>86</v>
      </c>
      <c r="BY88">
        <v>1200</v>
      </c>
      <c r="BZ88" t="s">
        <v>27</v>
      </c>
      <c r="CA88" t="s">
        <v>250</v>
      </c>
      <c r="CC88" t="s">
        <v>170</v>
      </c>
      <c r="CD88">
        <v>1459</v>
      </c>
      <c r="CE88" t="s">
        <v>88</v>
      </c>
      <c r="CF88" s="3">
        <v>43803</v>
      </c>
      <c r="CI88">
        <v>1</v>
      </c>
      <c r="CJ88">
        <v>1</v>
      </c>
      <c r="CK88">
        <v>22</v>
      </c>
      <c r="CL88" t="s">
        <v>89</v>
      </c>
    </row>
    <row r="89" spans="1:90">
      <c r="A89" t="s">
        <v>72</v>
      </c>
      <c r="B89" t="s">
        <v>73</v>
      </c>
      <c r="C89" t="s">
        <v>74</v>
      </c>
      <c r="E89" t="str">
        <f>"FES1162726534"</f>
        <v>FES1162726534</v>
      </c>
      <c r="F89" s="3">
        <v>43802</v>
      </c>
      <c r="G89">
        <v>202006</v>
      </c>
      <c r="H89" t="s">
        <v>75</v>
      </c>
      <c r="I89" t="s">
        <v>76</v>
      </c>
      <c r="J89" t="s">
        <v>77</v>
      </c>
      <c r="K89" t="s">
        <v>78</v>
      </c>
      <c r="L89" t="s">
        <v>79</v>
      </c>
      <c r="M89" t="s">
        <v>80</v>
      </c>
      <c r="N89" t="s">
        <v>347</v>
      </c>
      <c r="O89" t="s">
        <v>82</v>
      </c>
      <c r="P89" t="str">
        <f>"21707199996                   "</f>
        <v xml:space="preserve">21707199996                   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8.58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1</v>
      </c>
      <c r="BI89">
        <v>1</v>
      </c>
      <c r="BJ89">
        <v>0.2</v>
      </c>
      <c r="BK89">
        <v>1</v>
      </c>
      <c r="BL89" s="4">
        <v>50.45</v>
      </c>
      <c r="BM89" s="4">
        <v>7.57</v>
      </c>
      <c r="BN89" s="4">
        <v>58.02</v>
      </c>
      <c r="BO89" s="4">
        <v>58.02</v>
      </c>
      <c r="BQ89" t="s">
        <v>93</v>
      </c>
      <c r="BR89" t="s">
        <v>84</v>
      </c>
      <c r="BS89" s="3">
        <v>43803</v>
      </c>
      <c r="BT89" s="5">
        <v>0.40416666666666662</v>
      </c>
      <c r="BU89" t="s">
        <v>348</v>
      </c>
      <c r="BV89" t="s">
        <v>86</v>
      </c>
      <c r="BY89">
        <v>1200</v>
      </c>
      <c r="CA89" t="s">
        <v>185</v>
      </c>
      <c r="CC89" t="s">
        <v>80</v>
      </c>
      <c r="CD89">
        <v>6000</v>
      </c>
      <c r="CE89" t="s">
        <v>88</v>
      </c>
      <c r="CF89" s="3">
        <v>43804</v>
      </c>
      <c r="CI89">
        <v>1</v>
      </c>
      <c r="CJ89">
        <v>1</v>
      </c>
      <c r="CK89">
        <v>21</v>
      </c>
      <c r="CL89" t="s">
        <v>89</v>
      </c>
    </row>
    <row r="90" spans="1:90">
      <c r="A90" t="s">
        <v>72</v>
      </c>
      <c r="B90" t="s">
        <v>73</v>
      </c>
      <c r="C90" t="s">
        <v>74</v>
      </c>
      <c r="E90" t="str">
        <f>"FES1162726349"</f>
        <v>FES1162726349</v>
      </c>
      <c r="F90" s="3">
        <v>43801</v>
      </c>
      <c r="G90">
        <v>202006</v>
      </c>
      <c r="H90" t="s">
        <v>75</v>
      </c>
      <c r="I90" t="s">
        <v>76</v>
      </c>
      <c r="J90" t="s">
        <v>77</v>
      </c>
      <c r="K90" t="s">
        <v>78</v>
      </c>
      <c r="L90" t="s">
        <v>90</v>
      </c>
      <c r="M90" t="s">
        <v>91</v>
      </c>
      <c r="N90" t="s">
        <v>207</v>
      </c>
      <c r="O90" t="s">
        <v>82</v>
      </c>
      <c r="P90" t="str">
        <f>"217719245                     "</f>
        <v xml:space="preserve">217719245                     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17.16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1</v>
      </c>
      <c r="BI90">
        <v>4</v>
      </c>
      <c r="BJ90">
        <v>3.5</v>
      </c>
      <c r="BK90">
        <v>4</v>
      </c>
      <c r="BL90" s="4">
        <v>100.87</v>
      </c>
      <c r="BM90" s="4">
        <v>15.13</v>
      </c>
      <c r="BN90" s="4">
        <v>116</v>
      </c>
      <c r="BO90" s="4">
        <v>116</v>
      </c>
      <c r="BQ90" t="s">
        <v>147</v>
      </c>
      <c r="BR90" t="s">
        <v>84</v>
      </c>
      <c r="BS90" s="3">
        <v>43802</v>
      </c>
      <c r="BT90" s="5">
        <v>0.37638888888888888</v>
      </c>
      <c r="BU90" t="s">
        <v>349</v>
      </c>
      <c r="BV90" t="s">
        <v>86</v>
      </c>
      <c r="BY90">
        <v>17545.84</v>
      </c>
      <c r="BZ90" t="s">
        <v>27</v>
      </c>
      <c r="CA90" t="s">
        <v>209</v>
      </c>
      <c r="CC90" t="s">
        <v>91</v>
      </c>
      <c r="CD90">
        <v>7441</v>
      </c>
      <c r="CE90" t="s">
        <v>116</v>
      </c>
      <c r="CF90" s="3">
        <v>43803</v>
      </c>
      <c r="CI90">
        <v>1</v>
      </c>
      <c r="CJ90">
        <v>1</v>
      </c>
      <c r="CK90">
        <v>21</v>
      </c>
      <c r="CL90" t="s">
        <v>89</v>
      </c>
    </row>
    <row r="91" spans="1:90">
      <c r="A91" t="s">
        <v>72</v>
      </c>
      <c r="B91" t="s">
        <v>73</v>
      </c>
      <c r="C91" t="s">
        <v>74</v>
      </c>
      <c r="E91" t="str">
        <f>"FES1162726402"</f>
        <v>FES1162726402</v>
      </c>
      <c r="F91" s="3">
        <v>43802</v>
      </c>
      <c r="G91">
        <v>202006</v>
      </c>
      <c r="H91" t="s">
        <v>75</v>
      </c>
      <c r="I91" t="s">
        <v>76</v>
      </c>
      <c r="J91" t="s">
        <v>77</v>
      </c>
      <c r="K91" t="s">
        <v>78</v>
      </c>
      <c r="L91" t="s">
        <v>164</v>
      </c>
      <c r="M91" t="s">
        <v>165</v>
      </c>
      <c r="N91" t="s">
        <v>238</v>
      </c>
      <c r="O91" t="s">
        <v>82</v>
      </c>
      <c r="P91" t="str">
        <f>"2170719071                    "</f>
        <v xml:space="preserve">2170719071                    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27.88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1</v>
      </c>
      <c r="BI91">
        <v>6.3</v>
      </c>
      <c r="BJ91">
        <v>2.5</v>
      </c>
      <c r="BK91">
        <v>6.5</v>
      </c>
      <c r="BL91" s="4">
        <v>163.89</v>
      </c>
      <c r="BM91" s="4">
        <v>24.58</v>
      </c>
      <c r="BN91" s="4">
        <v>188.47</v>
      </c>
      <c r="BO91" s="4">
        <v>188.47</v>
      </c>
      <c r="BQ91" t="s">
        <v>147</v>
      </c>
      <c r="BR91" t="s">
        <v>84</v>
      </c>
      <c r="BS91" s="3">
        <v>43803</v>
      </c>
      <c r="BT91" s="5">
        <v>0.40416666666666662</v>
      </c>
      <c r="BU91" t="s">
        <v>239</v>
      </c>
      <c r="BV91" t="s">
        <v>86</v>
      </c>
      <c r="BY91">
        <v>12491.36</v>
      </c>
      <c r="CA91" t="s">
        <v>168</v>
      </c>
      <c r="CC91" t="s">
        <v>165</v>
      </c>
      <c r="CD91">
        <v>5201</v>
      </c>
      <c r="CE91" t="s">
        <v>116</v>
      </c>
      <c r="CF91" s="3">
        <v>43808</v>
      </c>
      <c r="CI91">
        <v>1</v>
      </c>
      <c r="CJ91">
        <v>1</v>
      </c>
      <c r="CK91">
        <v>21</v>
      </c>
      <c r="CL91" t="s">
        <v>89</v>
      </c>
    </row>
    <row r="92" spans="1:90">
      <c r="A92" t="s">
        <v>72</v>
      </c>
      <c r="B92" t="s">
        <v>73</v>
      </c>
      <c r="C92" t="s">
        <v>74</v>
      </c>
      <c r="E92" t="str">
        <f>"FES1162726275"</f>
        <v>FES1162726275</v>
      </c>
      <c r="F92" s="3">
        <v>43801</v>
      </c>
      <c r="G92">
        <v>202006</v>
      </c>
      <c r="H92" t="s">
        <v>75</v>
      </c>
      <c r="I92" t="s">
        <v>76</v>
      </c>
      <c r="J92" t="s">
        <v>77</v>
      </c>
      <c r="K92" t="s">
        <v>78</v>
      </c>
      <c r="L92" t="s">
        <v>350</v>
      </c>
      <c r="M92" t="s">
        <v>351</v>
      </c>
      <c r="N92" t="s">
        <v>352</v>
      </c>
      <c r="O92" t="s">
        <v>82</v>
      </c>
      <c r="P92" t="str">
        <f>"2170719775                    "</f>
        <v xml:space="preserve">2170719775                    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6.71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1</v>
      </c>
      <c r="BI92">
        <v>1</v>
      </c>
      <c r="BJ92">
        <v>0.2</v>
      </c>
      <c r="BK92">
        <v>1</v>
      </c>
      <c r="BL92" s="4">
        <v>39.42</v>
      </c>
      <c r="BM92" s="4">
        <v>5.91</v>
      </c>
      <c r="BN92" s="4">
        <v>45.33</v>
      </c>
      <c r="BO92" s="4">
        <v>45.33</v>
      </c>
      <c r="BQ92" t="s">
        <v>353</v>
      </c>
      <c r="BR92" t="s">
        <v>84</v>
      </c>
      <c r="BS92" s="3">
        <v>43802</v>
      </c>
      <c r="BT92" s="5">
        <v>0.41666666666666669</v>
      </c>
      <c r="BU92" t="s">
        <v>354</v>
      </c>
      <c r="BV92" t="s">
        <v>86</v>
      </c>
      <c r="BY92">
        <v>1200</v>
      </c>
      <c r="BZ92" t="s">
        <v>27</v>
      </c>
      <c r="CA92" t="s">
        <v>355</v>
      </c>
      <c r="CC92" t="s">
        <v>351</v>
      </c>
      <c r="CD92">
        <v>1501</v>
      </c>
      <c r="CE92" t="s">
        <v>88</v>
      </c>
      <c r="CF92" s="3">
        <v>43803</v>
      </c>
      <c r="CI92">
        <v>1</v>
      </c>
      <c r="CJ92">
        <v>1</v>
      </c>
      <c r="CK92">
        <v>22</v>
      </c>
      <c r="CL92" t="s">
        <v>89</v>
      </c>
    </row>
    <row r="93" spans="1:90">
      <c r="A93" t="s">
        <v>72</v>
      </c>
      <c r="B93" t="s">
        <v>73</v>
      </c>
      <c r="C93" t="s">
        <v>74</v>
      </c>
      <c r="E93" t="str">
        <f>"FES1162726383"</f>
        <v>FES1162726383</v>
      </c>
      <c r="F93" s="3">
        <v>43802</v>
      </c>
      <c r="G93">
        <v>202006</v>
      </c>
      <c r="H93" t="s">
        <v>75</v>
      </c>
      <c r="I93" t="s">
        <v>76</v>
      </c>
      <c r="J93" t="s">
        <v>77</v>
      </c>
      <c r="K93" t="s">
        <v>78</v>
      </c>
      <c r="L93" t="s">
        <v>356</v>
      </c>
      <c r="M93" t="s">
        <v>357</v>
      </c>
      <c r="N93" t="s">
        <v>358</v>
      </c>
      <c r="O93" t="s">
        <v>82</v>
      </c>
      <c r="P93" t="str">
        <f>"2170717822                    "</f>
        <v xml:space="preserve">2170717822                    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24.14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1</v>
      </c>
      <c r="BI93">
        <v>2.7</v>
      </c>
      <c r="BJ93">
        <v>1.6</v>
      </c>
      <c r="BK93">
        <v>3</v>
      </c>
      <c r="BL93" s="4">
        <v>141.9</v>
      </c>
      <c r="BM93" s="4">
        <v>21.29</v>
      </c>
      <c r="BN93" s="4">
        <v>163.19</v>
      </c>
      <c r="BO93" s="4">
        <v>163.19</v>
      </c>
      <c r="BQ93" t="s">
        <v>359</v>
      </c>
      <c r="BR93" t="s">
        <v>84</v>
      </c>
      <c r="BS93" s="3">
        <v>43808</v>
      </c>
      <c r="BT93" s="5">
        <v>0.6333333333333333</v>
      </c>
      <c r="BU93" t="s">
        <v>360</v>
      </c>
      <c r="BV93" t="s">
        <v>86</v>
      </c>
      <c r="BY93">
        <v>8063.55</v>
      </c>
      <c r="CC93" t="s">
        <v>357</v>
      </c>
      <c r="CD93">
        <v>6310</v>
      </c>
      <c r="CE93" t="s">
        <v>96</v>
      </c>
      <c r="CI93">
        <v>4</v>
      </c>
      <c r="CJ93">
        <v>4</v>
      </c>
      <c r="CK93">
        <v>23</v>
      </c>
      <c r="CL93" t="s">
        <v>89</v>
      </c>
    </row>
    <row r="94" spans="1:90">
      <c r="A94" t="s">
        <v>72</v>
      </c>
      <c r="B94" t="s">
        <v>73</v>
      </c>
      <c r="C94" t="s">
        <v>74</v>
      </c>
      <c r="E94" t="str">
        <f>"FES1162726337"</f>
        <v>FES1162726337</v>
      </c>
      <c r="F94" s="3">
        <v>43801</v>
      </c>
      <c r="G94">
        <v>202006</v>
      </c>
      <c r="H94" t="s">
        <v>75</v>
      </c>
      <c r="I94" t="s">
        <v>76</v>
      </c>
      <c r="J94" t="s">
        <v>77</v>
      </c>
      <c r="K94" t="s">
        <v>78</v>
      </c>
      <c r="L94" t="s">
        <v>274</v>
      </c>
      <c r="M94" t="s">
        <v>275</v>
      </c>
      <c r="N94" t="s">
        <v>276</v>
      </c>
      <c r="O94" t="s">
        <v>82</v>
      </c>
      <c r="P94" t="str">
        <f>"2170719165                    "</f>
        <v xml:space="preserve">2170719165                    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16.63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1</v>
      </c>
      <c r="BI94">
        <v>1</v>
      </c>
      <c r="BJ94">
        <v>0.2</v>
      </c>
      <c r="BK94">
        <v>1</v>
      </c>
      <c r="BL94" s="4">
        <v>97.75</v>
      </c>
      <c r="BM94" s="4">
        <v>14.66</v>
      </c>
      <c r="BN94" s="4">
        <v>112.41</v>
      </c>
      <c r="BO94" s="4">
        <v>112.41</v>
      </c>
      <c r="BQ94" t="s">
        <v>277</v>
      </c>
      <c r="BR94" t="s">
        <v>84</v>
      </c>
      <c r="BS94" s="3">
        <v>43802</v>
      </c>
      <c r="BT94" s="5">
        <v>0.50624999999999998</v>
      </c>
      <c r="BU94" t="s">
        <v>278</v>
      </c>
      <c r="BV94" t="s">
        <v>86</v>
      </c>
      <c r="BY94">
        <v>1200</v>
      </c>
      <c r="BZ94" t="s">
        <v>27</v>
      </c>
      <c r="CA94" t="s">
        <v>279</v>
      </c>
      <c r="CC94" t="s">
        <v>275</v>
      </c>
      <c r="CD94">
        <v>4449</v>
      </c>
      <c r="CE94" t="s">
        <v>88</v>
      </c>
      <c r="CF94" s="3">
        <v>43803</v>
      </c>
      <c r="CI94">
        <v>1</v>
      </c>
      <c r="CJ94">
        <v>1</v>
      </c>
      <c r="CK94">
        <v>23</v>
      </c>
      <c r="CL94" t="s">
        <v>89</v>
      </c>
    </row>
    <row r="95" spans="1:90">
      <c r="A95" t="s">
        <v>72</v>
      </c>
      <c r="B95" t="s">
        <v>73</v>
      </c>
      <c r="C95" t="s">
        <v>74</v>
      </c>
      <c r="E95" t="str">
        <f>"FES1162726535"</f>
        <v>FES1162726535</v>
      </c>
      <c r="F95" s="3">
        <v>43802</v>
      </c>
      <c r="G95">
        <v>202006</v>
      </c>
      <c r="H95" t="s">
        <v>75</v>
      </c>
      <c r="I95" t="s">
        <v>76</v>
      </c>
      <c r="J95" t="s">
        <v>77</v>
      </c>
      <c r="K95" t="s">
        <v>78</v>
      </c>
      <c r="L95" t="s">
        <v>361</v>
      </c>
      <c r="M95" t="s">
        <v>362</v>
      </c>
      <c r="N95" t="s">
        <v>363</v>
      </c>
      <c r="O95" t="s">
        <v>82</v>
      </c>
      <c r="P95" t="str">
        <f>"2170719997                    "</f>
        <v xml:space="preserve">2170719997                    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8.58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1</v>
      </c>
      <c r="BI95">
        <v>2</v>
      </c>
      <c r="BJ95">
        <v>0.2</v>
      </c>
      <c r="BK95">
        <v>2</v>
      </c>
      <c r="BL95" s="4">
        <v>50.45</v>
      </c>
      <c r="BM95" s="4">
        <v>7.57</v>
      </c>
      <c r="BN95" s="4">
        <v>58.02</v>
      </c>
      <c r="BO95" s="4">
        <v>58.02</v>
      </c>
      <c r="BQ95" t="s">
        <v>93</v>
      </c>
      <c r="BR95" t="s">
        <v>84</v>
      </c>
      <c r="BS95" s="3">
        <v>43803</v>
      </c>
      <c r="BT95" s="5">
        <v>0.41319444444444442</v>
      </c>
      <c r="BU95" t="s">
        <v>364</v>
      </c>
      <c r="BV95" t="s">
        <v>86</v>
      </c>
      <c r="BY95">
        <v>1200</v>
      </c>
      <c r="CA95" t="s">
        <v>185</v>
      </c>
      <c r="CC95" t="s">
        <v>362</v>
      </c>
      <c r="CD95">
        <v>6220</v>
      </c>
      <c r="CE95" t="s">
        <v>88</v>
      </c>
      <c r="CF95" s="3">
        <v>43804</v>
      </c>
      <c r="CI95">
        <v>1</v>
      </c>
      <c r="CJ95">
        <v>1</v>
      </c>
      <c r="CK95">
        <v>21</v>
      </c>
      <c r="CL95" t="s">
        <v>89</v>
      </c>
    </row>
    <row r="96" spans="1:90">
      <c r="A96" t="s">
        <v>72</v>
      </c>
      <c r="B96" t="s">
        <v>73</v>
      </c>
      <c r="C96" t="s">
        <v>74</v>
      </c>
      <c r="E96" t="str">
        <f>"FES1162726336"</f>
        <v>FES1162726336</v>
      </c>
      <c r="F96" s="3">
        <v>43801</v>
      </c>
      <c r="G96">
        <v>202006</v>
      </c>
      <c r="H96" t="s">
        <v>75</v>
      </c>
      <c r="I96" t="s">
        <v>76</v>
      </c>
      <c r="J96" t="s">
        <v>77</v>
      </c>
      <c r="K96" t="s">
        <v>78</v>
      </c>
      <c r="L96" t="s">
        <v>274</v>
      </c>
      <c r="M96" t="s">
        <v>275</v>
      </c>
      <c r="N96" t="s">
        <v>276</v>
      </c>
      <c r="O96" t="s">
        <v>82</v>
      </c>
      <c r="P96" t="str">
        <f>"2170718721                    "</f>
        <v xml:space="preserve">2170718721                    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16.63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1</v>
      </c>
      <c r="BI96">
        <v>1</v>
      </c>
      <c r="BJ96">
        <v>0.2</v>
      </c>
      <c r="BK96">
        <v>1</v>
      </c>
      <c r="BL96" s="4">
        <v>97.75</v>
      </c>
      <c r="BM96" s="4">
        <v>14.66</v>
      </c>
      <c r="BN96" s="4">
        <v>112.41</v>
      </c>
      <c r="BO96" s="4">
        <v>112.41</v>
      </c>
      <c r="BQ96" t="s">
        <v>277</v>
      </c>
      <c r="BR96" t="s">
        <v>84</v>
      </c>
      <c r="BS96" s="3">
        <v>43802</v>
      </c>
      <c r="BT96" s="5">
        <v>0.50555555555555554</v>
      </c>
      <c r="BU96" t="s">
        <v>278</v>
      </c>
      <c r="BV96" t="s">
        <v>86</v>
      </c>
      <c r="BY96">
        <v>1200</v>
      </c>
      <c r="BZ96" t="s">
        <v>27</v>
      </c>
      <c r="CA96" t="s">
        <v>279</v>
      </c>
      <c r="CC96" t="s">
        <v>275</v>
      </c>
      <c r="CD96">
        <v>4449</v>
      </c>
      <c r="CE96" t="s">
        <v>88</v>
      </c>
      <c r="CF96" s="3">
        <v>43803</v>
      </c>
      <c r="CI96">
        <v>1</v>
      </c>
      <c r="CJ96">
        <v>1</v>
      </c>
      <c r="CK96">
        <v>23</v>
      </c>
      <c r="CL96" t="s">
        <v>89</v>
      </c>
    </row>
    <row r="97" spans="1:90">
      <c r="A97" t="s">
        <v>72</v>
      </c>
      <c r="B97" t="s">
        <v>73</v>
      </c>
      <c r="C97" t="s">
        <v>74</v>
      </c>
      <c r="E97" t="str">
        <f>"FES1162726530"</f>
        <v>FES1162726530</v>
      </c>
      <c r="F97" s="3">
        <v>43802</v>
      </c>
      <c r="G97">
        <v>202006</v>
      </c>
      <c r="H97" t="s">
        <v>75</v>
      </c>
      <c r="I97" t="s">
        <v>76</v>
      </c>
      <c r="J97" t="s">
        <v>77</v>
      </c>
      <c r="K97" t="s">
        <v>78</v>
      </c>
      <c r="L97" t="s">
        <v>79</v>
      </c>
      <c r="M97" t="s">
        <v>80</v>
      </c>
      <c r="N97" t="s">
        <v>365</v>
      </c>
      <c r="O97" t="s">
        <v>82</v>
      </c>
      <c r="P97" t="str">
        <f>"2170719992                    "</f>
        <v xml:space="preserve">2170719992                    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8.58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1</v>
      </c>
      <c r="BI97">
        <v>1</v>
      </c>
      <c r="BJ97">
        <v>0.2</v>
      </c>
      <c r="BK97">
        <v>1</v>
      </c>
      <c r="BL97" s="4">
        <v>50.45</v>
      </c>
      <c r="BM97" s="4">
        <v>7.57</v>
      </c>
      <c r="BN97" s="4">
        <v>58.02</v>
      </c>
      <c r="BO97" s="4">
        <v>58.02</v>
      </c>
      <c r="BQ97" t="s">
        <v>147</v>
      </c>
      <c r="BR97" t="s">
        <v>84</v>
      </c>
      <c r="BS97" s="3">
        <v>43803</v>
      </c>
      <c r="BT97" s="5">
        <v>0.37847222222222227</v>
      </c>
      <c r="BU97" t="s">
        <v>366</v>
      </c>
      <c r="BV97" t="s">
        <v>86</v>
      </c>
      <c r="BY97">
        <v>1200</v>
      </c>
      <c r="CA97">
        <v>80002498474</v>
      </c>
      <c r="CC97" t="s">
        <v>80</v>
      </c>
      <c r="CD97">
        <v>6001</v>
      </c>
      <c r="CE97" t="s">
        <v>88</v>
      </c>
      <c r="CF97" s="3">
        <v>43804</v>
      </c>
      <c r="CI97">
        <v>1</v>
      </c>
      <c r="CJ97">
        <v>1</v>
      </c>
      <c r="CK97">
        <v>21</v>
      </c>
      <c r="CL97" t="s">
        <v>89</v>
      </c>
    </row>
    <row r="98" spans="1:90">
      <c r="A98" t="s">
        <v>72</v>
      </c>
      <c r="B98" t="s">
        <v>73</v>
      </c>
      <c r="C98" t="s">
        <v>74</v>
      </c>
      <c r="E98" t="str">
        <f>"009935712109"</f>
        <v>009935712109</v>
      </c>
      <c r="F98" s="3">
        <v>43801</v>
      </c>
      <c r="G98">
        <v>202006</v>
      </c>
      <c r="H98" t="s">
        <v>75</v>
      </c>
      <c r="I98" t="s">
        <v>76</v>
      </c>
      <c r="J98" t="s">
        <v>77</v>
      </c>
      <c r="K98" t="s">
        <v>78</v>
      </c>
      <c r="L98" t="s">
        <v>240</v>
      </c>
      <c r="M98" t="s">
        <v>241</v>
      </c>
      <c r="N98" t="s">
        <v>242</v>
      </c>
      <c r="O98" t="s">
        <v>82</v>
      </c>
      <c r="P98" t="str">
        <f>"1162726096                    "</f>
        <v xml:space="preserve">1162726096                    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19.3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1</v>
      </c>
      <c r="BI98">
        <v>4.3</v>
      </c>
      <c r="BJ98">
        <v>1</v>
      </c>
      <c r="BK98">
        <v>4.5</v>
      </c>
      <c r="BL98" s="4">
        <v>113.47</v>
      </c>
      <c r="BM98" s="4">
        <v>17.02</v>
      </c>
      <c r="BN98" s="4">
        <v>130.49</v>
      </c>
      <c r="BO98" s="4">
        <v>130.49</v>
      </c>
      <c r="BP98" t="s">
        <v>367</v>
      </c>
      <c r="BQ98" t="s">
        <v>147</v>
      </c>
      <c r="BR98" t="s">
        <v>84</v>
      </c>
      <c r="BS98" s="3">
        <v>43802</v>
      </c>
      <c r="BT98" s="5">
        <v>0.37222222222222223</v>
      </c>
      <c r="BU98" t="s">
        <v>368</v>
      </c>
      <c r="BV98" t="s">
        <v>86</v>
      </c>
      <c r="BY98">
        <v>4754.9399999999996</v>
      </c>
      <c r="BZ98" t="s">
        <v>27</v>
      </c>
      <c r="CC98" t="s">
        <v>241</v>
      </c>
      <c r="CD98">
        <v>4126</v>
      </c>
      <c r="CE98" t="s">
        <v>96</v>
      </c>
      <c r="CF98" s="3">
        <v>43818</v>
      </c>
      <c r="CI98">
        <v>1</v>
      </c>
      <c r="CJ98">
        <v>1</v>
      </c>
      <c r="CK98">
        <v>21</v>
      </c>
      <c r="CL98" t="s">
        <v>89</v>
      </c>
    </row>
    <row r="99" spans="1:90">
      <c r="A99" t="s">
        <v>72</v>
      </c>
      <c r="B99" t="s">
        <v>73</v>
      </c>
      <c r="C99" t="s">
        <v>74</v>
      </c>
      <c r="E99" t="str">
        <f>"FES1162726464"</f>
        <v>FES1162726464</v>
      </c>
      <c r="F99" s="3">
        <v>43802</v>
      </c>
      <c r="G99">
        <v>202006</v>
      </c>
      <c r="H99" t="s">
        <v>75</v>
      </c>
      <c r="I99" t="s">
        <v>76</v>
      </c>
      <c r="J99" t="s">
        <v>77</v>
      </c>
      <c r="K99" t="s">
        <v>78</v>
      </c>
      <c r="L99" t="s">
        <v>164</v>
      </c>
      <c r="M99" t="s">
        <v>165</v>
      </c>
      <c r="N99" t="s">
        <v>369</v>
      </c>
      <c r="O99" t="s">
        <v>82</v>
      </c>
      <c r="P99" t="str">
        <f>"2170719898                    "</f>
        <v xml:space="preserve">2170719898                    </v>
      </c>
      <c r="Q99">
        <v>0</v>
      </c>
      <c r="R99">
        <v>0</v>
      </c>
      <c r="S99">
        <v>0</v>
      </c>
      <c r="T99">
        <v>0</v>
      </c>
      <c r="U99">
        <v>0</v>
      </c>
      <c r="V99">
        <v>0</v>
      </c>
      <c r="W99">
        <v>0</v>
      </c>
      <c r="X99">
        <v>0</v>
      </c>
      <c r="Y99">
        <v>0</v>
      </c>
      <c r="Z99">
        <v>0</v>
      </c>
      <c r="AA99">
        <v>0</v>
      </c>
      <c r="AB99">
        <v>0</v>
      </c>
      <c r="AC99">
        <v>0</v>
      </c>
      <c r="AD99">
        <v>0</v>
      </c>
      <c r="AE99">
        <v>0</v>
      </c>
      <c r="AF99">
        <v>0</v>
      </c>
      <c r="AG99">
        <v>0</v>
      </c>
      <c r="AH99">
        <v>0</v>
      </c>
      <c r="AI99">
        <v>0</v>
      </c>
      <c r="AJ99">
        <v>0</v>
      </c>
      <c r="AK99">
        <v>0</v>
      </c>
      <c r="AL99">
        <v>0</v>
      </c>
      <c r="AM99">
        <v>10.73</v>
      </c>
      <c r="AN99">
        <v>0</v>
      </c>
      <c r="AO99">
        <v>0</v>
      </c>
      <c r="AP99">
        <v>0</v>
      </c>
      <c r="AQ99">
        <v>0</v>
      </c>
      <c r="AR99">
        <v>0</v>
      </c>
      <c r="AS99">
        <v>0</v>
      </c>
      <c r="AT99">
        <v>0</v>
      </c>
      <c r="AU99">
        <v>0</v>
      </c>
      <c r="AV99">
        <v>0</v>
      </c>
      <c r="AW99">
        <v>0</v>
      </c>
      <c r="AX99">
        <v>0</v>
      </c>
      <c r="AY99">
        <v>0</v>
      </c>
      <c r="AZ99">
        <v>0</v>
      </c>
      <c r="BA99">
        <v>0</v>
      </c>
      <c r="BB99">
        <v>0</v>
      </c>
      <c r="BC99">
        <v>0</v>
      </c>
      <c r="BD99">
        <v>0</v>
      </c>
      <c r="BE99">
        <v>0</v>
      </c>
      <c r="BF99">
        <v>0</v>
      </c>
      <c r="BG99">
        <v>0</v>
      </c>
      <c r="BH99">
        <v>1</v>
      </c>
      <c r="BI99">
        <v>2.2999999999999998</v>
      </c>
      <c r="BJ99">
        <v>1.5</v>
      </c>
      <c r="BK99">
        <v>2.5</v>
      </c>
      <c r="BL99" s="4">
        <v>63.06</v>
      </c>
      <c r="BM99" s="4">
        <v>9.4600000000000009</v>
      </c>
      <c r="BN99" s="4">
        <v>72.52</v>
      </c>
      <c r="BO99" s="4">
        <v>72.52</v>
      </c>
      <c r="BQ99" t="s">
        <v>93</v>
      </c>
      <c r="BR99" t="s">
        <v>84</v>
      </c>
      <c r="BS99" s="3">
        <v>43803</v>
      </c>
      <c r="BT99" s="5">
        <v>0.38194444444444442</v>
      </c>
      <c r="BU99" t="s">
        <v>370</v>
      </c>
      <c r="BV99" t="s">
        <v>86</v>
      </c>
      <c r="BY99">
        <v>7347.07</v>
      </c>
      <c r="CA99" t="s">
        <v>371</v>
      </c>
      <c r="CC99" t="s">
        <v>165</v>
      </c>
      <c r="CD99">
        <v>5201</v>
      </c>
      <c r="CE99" t="s">
        <v>96</v>
      </c>
      <c r="CF99" s="3">
        <v>43808</v>
      </c>
      <c r="CI99">
        <v>1</v>
      </c>
      <c r="CJ99">
        <v>1</v>
      </c>
      <c r="CK99">
        <v>21</v>
      </c>
      <c r="CL99" t="s">
        <v>89</v>
      </c>
    </row>
    <row r="100" spans="1:90">
      <c r="A100" t="s">
        <v>72</v>
      </c>
      <c r="B100" t="s">
        <v>73</v>
      </c>
      <c r="C100" t="s">
        <v>74</v>
      </c>
      <c r="E100" t="str">
        <f>"FES1162726282"</f>
        <v>FES1162726282</v>
      </c>
      <c r="F100" s="3">
        <v>43801</v>
      </c>
      <c r="G100">
        <v>202006</v>
      </c>
      <c r="H100" t="s">
        <v>75</v>
      </c>
      <c r="I100" t="s">
        <v>76</v>
      </c>
      <c r="J100" t="s">
        <v>77</v>
      </c>
      <c r="K100" t="s">
        <v>78</v>
      </c>
      <c r="L100" t="s">
        <v>164</v>
      </c>
      <c r="M100" t="s">
        <v>165</v>
      </c>
      <c r="N100" t="s">
        <v>315</v>
      </c>
      <c r="O100" t="s">
        <v>82</v>
      </c>
      <c r="P100" t="str">
        <f>"2170719785                    "</f>
        <v xml:space="preserve">2170719785                    </v>
      </c>
      <c r="Q100">
        <v>0</v>
      </c>
      <c r="R100">
        <v>0</v>
      </c>
      <c r="S100">
        <v>0</v>
      </c>
      <c r="T100">
        <v>0</v>
      </c>
      <c r="U100">
        <v>0</v>
      </c>
      <c r="V100">
        <v>0</v>
      </c>
      <c r="W100">
        <v>0</v>
      </c>
      <c r="X100">
        <v>0</v>
      </c>
      <c r="Y100">
        <v>0</v>
      </c>
      <c r="Z100">
        <v>0</v>
      </c>
      <c r="AA100">
        <v>0</v>
      </c>
      <c r="AB100">
        <v>0</v>
      </c>
      <c r="AC100">
        <v>0</v>
      </c>
      <c r="AD100">
        <v>0</v>
      </c>
      <c r="AE100">
        <v>0</v>
      </c>
      <c r="AF100">
        <v>0</v>
      </c>
      <c r="AG100">
        <v>0</v>
      </c>
      <c r="AH100">
        <v>0</v>
      </c>
      <c r="AI100">
        <v>0</v>
      </c>
      <c r="AJ100">
        <v>0</v>
      </c>
      <c r="AK100">
        <v>0</v>
      </c>
      <c r="AL100">
        <v>0</v>
      </c>
      <c r="AM100">
        <v>8.58</v>
      </c>
      <c r="AN100">
        <v>0</v>
      </c>
      <c r="AO100">
        <v>0</v>
      </c>
      <c r="AP100">
        <v>0</v>
      </c>
      <c r="AQ100">
        <v>0</v>
      </c>
      <c r="AR100">
        <v>0</v>
      </c>
      <c r="AS100">
        <v>0</v>
      </c>
      <c r="AT100">
        <v>0</v>
      </c>
      <c r="AU100">
        <v>0</v>
      </c>
      <c r="AV100">
        <v>0</v>
      </c>
      <c r="AW100">
        <v>0</v>
      </c>
      <c r="AX100">
        <v>0</v>
      </c>
      <c r="AY100">
        <v>0</v>
      </c>
      <c r="AZ100">
        <v>0</v>
      </c>
      <c r="BA100">
        <v>0</v>
      </c>
      <c r="BB100">
        <v>0</v>
      </c>
      <c r="BC100">
        <v>0</v>
      </c>
      <c r="BD100">
        <v>0</v>
      </c>
      <c r="BE100">
        <v>0</v>
      </c>
      <c r="BF100">
        <v>0</v>
      </c>
      <c r="BG100">
        <v>0</v>
      </c>
      <c r="BH100">
        <v>1</v>
      </c>
      <c r="BI100">
        <v>1</v>
      </c>
      <c r="BJ100">
        <v>0.2</v>
      </c>
      <c r="BK100">
        <v>1</v>
      </c>
      <c r="BL100" s="4">
        <v>50.45</v>
      </c>
      <c r="BM100" s="4">
        <v>7.57</v>
      </c>
      <c r="BN100" s="4">
        <v>58.02</v>
      </c>
      <c r="BO100" s="4">
        <v>58.02</v>
      </c>
      <c r="BQ100" t="s">
        <v>93</v>
      </c>
      <c r="BR100" t="s">
        <v>84</v>
      </c>
      <c r="BS100" s="3">
        <v>43802</v>
      </c>
      <c r="BT100" s="5">
        <v>0.3520833333333333</v>
      </c>
      <c r="BU100" t="s">
        <v>372</v>
      </c>
      <c r="BV100" t="s">
        <v>86</v>
      </c>
      <c r="BY100">
        <v>1200</v>
      </c>
      <c r="BZ100" t="s">
        <v>27</v>
      </c>
      <c r="CA100" t="s">
        <v>168</v>
      </c>
      <c r="CC100" t="s">
        <v>165</v>
      </c>
      <c r="CD100">
        <v>5201</v>
      </c>
      <c r="CE100" t="s">
        <v>88</v>
      </c>
      <c r="CF100" s="3">
        <v>43803</v>
      </c>
      <c r="CI100">
        <v>1</v>
      </c>
      <c r="CJ100">
        <v>1</v>
      </c>
      <c r="CK100">
        <v>21</v>
      </c>
      <c r="CL100" t="s">
        <v>89</v>
      </c>
    </row>
    <row r="101" spans="1:90">
      <c r="A101" t="s">
        <v>72</v>
      </c>
      <c r="B101" t="s">
        <v>73</v>
      </c>
      <c r="C101" t="s">
        <v>74</v>
      </c>
      <c r="E101" t="str">
        <f>"FES1162726449"</f>
        <v>FES1162726449</v>
      </c>
      <c r="F101" s="3">
        <v>43802</v>
      </c>
      <c r="G101">
        <v>202006</v>
      </c>
      <c r="H101" t="s">
        <v>75</v>
      </c>
      <c r="I101" t="s">
        <v>76</v>
      </c>
      <c r="J101" t="s">
        <v>77</v>
      </c>
      <c r="K101" t="s">
        <v>78</v>
      </c>
      <c r="L101" t="s">
        <v>79</v>
      </c>
      <c r="M101" t="s">
        <v>80</v>
      </c>
      <c r="N101" t="s">
        <v>373</v>
      </c>
      <c r="O101" t="s">
        <v>82</v>
      </c>
      <c r="P101" t="str">
        <f>"2170719871                    "</f>
        <v xml:space="preserve">2170719871                    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0</v>
      </c>
      <c r="AB101">
        <v>0</v>
      </c>
      <c r="AC101">
        <v>0</v>
      </c>
      <c r="AD101">
        <v>0</v>
      </c>
      <c r="AE101">
        <v>0</v>
      </c>
      <c r="AF101">
        <v>0</v>
      </c>
      <c r="AG101">
        <v>0</v>
      </c>
      <c r="AH101">
        <v>0</v>
      </c>
      <c r="AI101">
        <v>0</v>
      </c>
      <c r="AJ101">
        <v>0</v>
      </c>
      <c r="AK101">
        <v>0</v>
      </c>
      <c r="AL101">
        <v>0</v>
      </c>
      <c r="AM101">
        <v>8.58</v>
      </c>
      <c r="AN101">
        <v>0</v>
      </c>
      <c r="AO101">
        <v>0</v>
      </c>
      <c r="AP101">
        <v>0</v>
      </c>
      <c r="AQ101">
        <v>0</v>
      </c>
      <c r="AR101">
        <v>0</v>
      </c>
      <c r="AS101">
        <v>0</v>
      </c>
      <c r="AT101">
        <v>0</v>
      </c>
      <c r="AU101">
        <v>0</v>
      </c>
      <c r="AV101">
        <v>0</v>
      </c>
      <c r="AW101">
        <v>0</v>
      </c>
      <c r="AX101">
        <v>0</v>
      </c>
      <c r="AY101">
        <v>0</v>
      </c>
      <c r="AZ101">
        <v>0</v>
      </c>
      <c r="BA101">
        <v>0</v>
      </c>
      <c r="BB101">
        <v>0</v>
      </c>
      <c r="BC101">
        <v>0</v>
      </c>
      <c r="BD101">
        <v>0</v>
      </c>
      <c r="BE101">
        <v>0</v>
      </c>
      <c r="BF101">
        <v>0</v>
      </c>
      <c r="BG101">
        <v>0</v>
      </c>
      <c r="BH101">
        <v>1</v>
      </c>
      <c r="BI101">
        <v>1</v>
      </c>
      <c r="BJ101">
        <v>0.2</v>
      </c>
      <c r="BK101">
        <v>1</v>
      </c>
      <c r="BL101" s="4">
        <v>50.45</v>
      </c>
      <c r="BM101" s="4">
        <v>7.57</v>
      </c>
      <c r="BN101" s="4">
        <v>58.02</v>
      </c>
      <c r="BO101" s="4">
        <v>58.02</v>
      </c>
      <c r="BQ101" t="s">
        <v>147</v>
      </c>
      <c r="BR101" t="s">
        <v>84</v>
      </c>
      <c r="BS101" s="3">
        <v>43803</v>
      </c>
      <c r="BT101" s="5">
        <v>0.42152777777777778</v>
      </c>
      <c r="BU101" t="s">
        <v>374</v>
      </c>
      <c r="BV101" t="s">
        <v>86</v>
      </c>
      <c r="BY101">
        <v>1200</v>
      </c>
      <c r="CA101" t="s">
        <v>185</v>
      </c>
      <c r="CC101" t="s">
        <v>80</v>
      </c>
      <c r="CD101">
        <v>6012</v>
      </c>
      <c r="CE101" t="s">
        <v>88</v>
      </c>
      <c r="CF101" s="3">
        <v>43804</v>
      </c>
      <c r="CI101">
        <v>1</v>
      </c>
      <c r="CJ101">
        <v>1</v>
      </c>
      <c r="CK101">
        <v>21</v>
      </c>
      <c r="CL101" t="s">
        <v>89</v>
      </c>
    </row>
    <row r="102" spans="1:90">
      <c r="A102" t="s">
        <v>72</v>
      </c>
      <c r="B102" t="s">
        <v>73</v>
      </c>
      <c r="C102" t="s">
        <v>74</v>
      </c>
      <c r="E102" t="str">
        <f>"FES1162726230"</f>
        <v>FES1162726230</v>
      </c>
      <c r="F102" s="3">
        <v>43801</v>
      </c>
      <c r="G102">
        <v>202006</v>
      </c>
      <c r="H102" t="s">
        <v>75</v>
      </c>
      <c r="I102" t="s">
        <v>76</v>
      </c>
      <c r="J102" t="s">
        <v>77</v>
      </c>
      <c r="K102" t="s">
        <v>78</v>
      </c>
      <c r="L102" t="s">
        <v>201</v>
      </c>
      <c r="M102" t="s">
        <v>202</v>
      </c>
      <c r="N102" t="s">
        <v>375</v>
      </c>
      <c r="O102" t="s">
        <v>82</v>
      </c>
      <c r="P102" t="str">
        <f>"2170719725                    "</f>
        <v xml:space="preserve">2170719725                    </v>
      </c>
      <c r="Q102">
        <v>0</v>
      </c>
      <c r="R102">
        <v>0</v>
      </c>
      <c r="S102">
        <v>0</v>
      </c>
      <c r="T102">
        <v>0</v>
      </c>
      <c r="U102">
        <v>0</v>
      </c>
      <c r="V102">
        <v>0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0</v>
      </c>
      <c r="AJ102">
        <v>0</v>
      </c>
      <c r="AK102">
        <v>0</v>
      </c>
      <c r="AL102">
        <v>0</v>
      </c>
      <c r="AM102">
        <v>8.58</v>
      </c>
      <c r="AN102">
        <v>0</v>
      </c>
      <c r="AO102">
        <v>0</v>
      </c>
      <c r="AP102">
        <v>0</v>
      </c>
      <c r="AQ102">
        <v>0</v>
      </c>
      <c r="AR102">
        <v>0</v>
      </c>
      <c r="AS102">
        <v>0</v>
      </c>
      <c r="AT102">
        <v>0</v>
      </c>
      <c r="AU102">
        <v>0</v>
      </c>
      <c r="AV102">
        <v>0</v>
      </c>
      <c r="AW102">
        <v>0</v>
      </c>
      <c r="AX102">
        <v>0</v>
      </c>
      <c r="AY102">
        <v>0</v>
      </c>
      <c r="AZ102">
        <v>0</v>
      </c>
      <c r="BA102">
        <v>0</v>
      </c>
      <c r="BB102">
        <v>0</v>
      </c>
      <c r="BC102">
        <v>0</v>
      </c>
      <c r="BD102">
        <v>0</v>
      </c>
      <c r="BE102">
        <v>0</v>
      </c>
      <c r="BF102">
        <v>0</v>
      </c>
      <c r="BG102">
        <v>0</v>
      </c>
      <c r="BH102">
        <v>1</v>
      </c>
      <c r="BI102">
        <v>1</v>
      </c>
      <c r="BJ102">
        <v>0.2</v>
      </c>
      <c r="BK102">
        <v>1</v>
      </c>
      <c r="BL102" s="4">
        <v>50.45</v>
      </c>
      <c r="BM102" s="4">
        <v>7.57</v>
      </c>
      <c r="BN102" s="4">
        <v>58.02</v>
      </c>
      <c r="BO102" s="4">
        <v>58.02</v>
      </c>
      <c r="BQ102" t="s">
        <v>135</v>
      </c>
      <c r="BR102" t="s">
        <v>84</v>
      </c>
      <c r="BS102" s="3">
        <v>43802</v>
      </c>
      <c r="BT102" s="5">
        <v>0.4236111111111111</v>
      </c>
      <c r="BU102" t="s">
        <v>376</v>
      </c>
      <c r="BV102" t="s">
        <v>86</v>
      </c>
      <c r="BY102">
        <v>1200</v>
      </c>
      <c r="BZ102" t="s">
        <v>27</v>
      </c>
      <c r="CA102" t="s">
        <v>205</v>
      </c>
      <c r="CC102" t="s">
        <v>202</v>
      </c>
      <c r="CD102">
        <v>3610</v>
      </c>
      <c r="CE102" t="s">
        <v>88</v>
      </c>
      <c r="CI102">
        <v>1</v>
      </c>
      <c r="CJ102">
        <v>1</v>
      </c>
      <c r="CK102">
        <v>21</v>
      </c>
      <c r="CL102" t="s">
        <v>89</v>
      </c>
    </row>
    <row r="103" spans="1:90">
      <c r="A103" t="s">
        <v>72</v>
      </c>
      <c r="B103" t="s">
        <v>73</v>
      </c>
      <c r="C103" t="s">
        <v>74</v>
      </c>
      <c r="E103" t="str">
        <f>"FES1162726541"</f>
        <v>FES1162726541</v>
      </c>
      <c r="F103" s="3">
        <v>43802</v>
      </c>
      <c r="G103">
        <v>202006</v>
      </c>
      <c r="H103" t="s">
        <v>75</v>
      </c>
      <c r="I103" t="s">
        <v>76</v>
      </c>
      <c r="J103" t="s">
        <v>77</v>
      </c>
      <c r="K103" t="s">
        <v>78</v>
      </c>
      <c r="L103" t="s">
        <v>75</v>
      </c>
      <c r="M103" t="s">
        <v>76</v>
      </c>
      <c r="N103" t="s">
        <v>377</v>
      </c>
      <c r="O103" t="s">
        <v>82</v>
      </c>
      <c r="P103" t="str">
        <f>"2170720002                    "</f>
        <v xml:space="preserve">2170720002                    </v>
      </c>
      <c r="Q103">
        <v>0</v>
      </c>
      <c r="R103">
        <v>0</v>
      </c>
      <c r="S103">
        <v>0</v>
      </c>
      <c r="T103">
        <v>0</v>
      </c>
      <c r="U103">
        <v>0</v>
      </c>
      <c r="V103">
        <v>0</v>
      </c>
      <c r="W103">
        <v>0</v>
      </c>
      <c r="X103">
        <v>0</v>
      </c>
      <c r="Y103">
        <v>0</v>
      </c>
      <c r="Z103">
        <v>0</v>
      </c>
      <c r="AA103">
        <v>0</v>
      </c>
      <c r="AB103">
        <v>0</v>
      </c>
      <c r="AC103">
        <v>0</v>
      </c>
      <c r="AD103">
        <v>0</v>
      </c>
      <c r="AE103">
        <v>0</v>
      </c>
      <c r="AF103">
        <v>0</v>
      </c>
      <c r="AG103">
        <v>0</v>
      </c>
      <c r="AH103">
        <v>0</v>
      </c>
      <c r="AI103">
        <v>0</v>
      </c>
      <c r="AJ103">
        <v>0</v>
      </c>
      <c r="AK103">
        <v>0</v>
      </c>
      <c r="AL103">
        <v>0</v>
      </c>
      <c r="AM103">
        <v>8.31</v>
      </c>
      <c r="AN103">
        <v>0</v>
      </c>
      <c r="AO103">
        <v>0</v>
      </c>
      <c r="AP103">
        <v>0</v>
      </c>
      <c r="AQ103">
        <v>0</v>
      </c>
      <c r="AR103">
        <v>0</v>
      </c>
      <c r="AS103">
        <v>0</v>
      </c>
      <c r="AT103">
        <v>0</v>
      </c>
      <c r="AU103">
        <v>0</v>
      </c>
      <c r="AV103">
        <v>0</v>
      </c>
      <c r="AW103">
        <v>0</v>
      </c>
      <c r="AX103">
        <v>0</v>
      </c>
      <c r="AY103">
        <v>0</v>
      </c>
      <c r="AZ103">
        <v>0</v>
      </c>
      <c r="BA103">
        <v>0</v>
      </c>
      <c r="BB103">
        <v>0</v>
      </c>
      <c r="BC103">
        <v>0</v>
      </c>
      <c r="BD103">
        <v>0</v>
      </c>
      <c r="BE103">
        <v>0</v>
      </c>
      <c r="BF103">
        <v>0</v>
      </c>
      <c r="BG103">
        <v>0</v>
      </c>
      <c r="BH103">
        <v>1</v>
      </c>
      <c r="BI103">
        <v>1.1000000000000001</v>
      </c>
      <c r="BJ103">
        <v>2.6</v>
      </c>
      <c r="BK103">
        <v>3</v>
      </c>
      <c r="BL103" s="4">
        <v>48.86</v>
      </c>
      <c r="BM103" s="4">
        <v>7.33</v>
      </c>
      <c r="BN103" s="4">
        <v>56.19</v>
      </c>
      <c r="BO103" s="4">
        <v>56.19</v>
      </c>
      <c r="BQ103" t="s">
        <v>147</v>
      </c>
      <c r="BR103" t="s">
        <v>84</v>
      </c>
      <c r="BS103" s="3">
        <v>43803</v>
      </c>
      <c r="BT103" s="5">
        <v>0.34375</v>
      </c>
      <c r="BU103" t="s">
        <v>378</v>
      </c>
      <c r="BV103" t="s">
        <v>86</v>
      </c>
      <c r="BY103">
        <v>12998.68</v>
      </c>
      <c r="CA103" t="s">
        <v>320</v>
      </c>
      <c r="CC103" t="s">
        <v>76</v>
      </c>
      <c r="CD103">
        <v>1665</v>
      </c>
      <c r="CE103" t="s">
        <v>116</v>
      </c>
      <c r="CF103" s="3">
        <v>43804</v>
      </c>
      <c r="CI103">
        <v>1</v>
      </c>
      <c r="CJ103">
        <v>1</v>
      </c>
      <c r="CK103">
        <v>22</v>
      </c>
      <c r="CL103" t="s">
        <v>89</v>
      </c>
    </row>
    <row r="104" spans="1:90">
      <c r="A104" t="s">
        <v>72</v>
      </c>
      <c r="B104" t="s">
        <v>73</v>
      </c>
      <c r="C104" t="s">
        <v>74</v>
      </c>
      <c r="E104" t="str">
        <f>"FES1162726274"</f>
        <v>FES1162726274</v>
      </c>
      <c r="F104" s="3">
        <v>43801</v>
      </c>
      <c r="G104">
        <v>202006</v>
      </c>
      <c r="H104" t="s">
        <v>75</v>
      </c>
      <c r="I104" t="s">
        <v>76</v>
      </c>
      <c r="J104" t="s">
        <v>77</v>
      </c>
      <c r="K104" t="s">
        <v>78</v>
      </c>
      <c r="L104" t="s">
        <v>201</v>
      </c>
      <c r="M104" t="s">
        <v>202</v>
      </c>
      <c r="N104" t="s">
        <v>335</v>
      </c>
      <c r="O104" t="s">
        <v>82</v>
      </c>
      <c r="P104" t="str">
        <f>"2170719774                    "</f>
        <v xml:space="preserve">2170719774                    </v>
      </c>
      <c r="Q104">
        <v>0</v>
      </c>
      <c r="R104">
        <v>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0</v>
      </c>
      <c r="AA104">
        <v>0</v>
      </c>
      <c r="AB104">
        <v>0</v>
      </c>
      <c r="AC104">
        <v>0</v>
      </c>
      <c r="AD104">
        <v>0</v>
      </c>
      <c r="AE104">
        <v>0</v>
      </c>
      <c r="AF104">
        <v>0</v>
      </c>
      <c r="AG104">
        <v>0</v>
      </c>
      <c r="AH104">
        <v>0</v>
      </c>
      <c r="AI104">
        <v>0</v>
      </c>
      <c r="AJ104">
        <v>0</v>
      </c>
      <c r="AK104">
        <v>0</v>
      </c>
      <c r="AL104">
        <v>0</v>
      </c>
      <c r="AM104">
        <v>8.58</v>
      </c>
      <c r="AN104">
        <v>0</v>
      </c>
      <c r="AO104">
        <v>0</v>
      </c>
      <c r="AP104">
        <v>0</v>
      </c>
      <c r="AQ104">
        <v>0</v>
      </c>
      <c r="AR104">
        <v>0</v>
      </c>
      <c r="AS104">
        <v>0</v>
      </c>
      <c r="AT104">
        <v>0</v>
      </c>
      <c r="AU104">
        <v>0</v>
      </c>
      <c r="AV104">
        <v>0</v>
      </c>
      <c r="AW104">
        <v>0</v>
      </c>
      <c r="AX104">
        <v>0</v>
      </c>
      <c r="AY104">
        <v>0</v>
      </c>
      <c r="AZ104">
        <v>0</v>
      </c>
      <c r="BA104">
        <v>0</v>
      </c>
      <c r="BB104">
        <v>0</v>
      </c>
      <c r="BC104">
        <v>0</v>
      </c>
      <c r="BD104">
        <v>0</v>
      </c>
      <c r="BE104">
        <v>0</v>
      </c>
      <c r="BF104">
        <v>0</v>
      </c>
      <c r="BG104">
        <v>0</v>
      </c>
      <c r="BH104">
        <v>1</v>
      </c>
      <c r="BI104">
        <v>1</v>
      </c>
      <c r="BJ104">
        <v>0.2</v>
      </c>
      <c r="BK104">
        <v>1</v>
      </c>
      <c r="BL104" s="4">
        <v>50.45</v>
      </c>
      <c r="BM104" s="4">
        <v>7.57</v>
      </c>
      <c r="BN104" s="4">
        <v>58.02</v>
      </c>
      <c r="BO104" s="4">
        <v>58.02</v>
      </c>
      <c r="BQ104" t="s">
        <v>147</v>
      </c>
      <c r="BR104" t="s">
        <v>84</v>
      </c>
      <c r="BS104" s="3">
        <v>43802</v>
      </c>
      <c r="BT104" s="5">
        <v>0.3833333333333333</v>
      </c>
      <c r="BU104" t="s">
        <v>336</v>
      </c>
      <c r="BV104" t="s">
        <v>86</v>
      </c>
      <c r="BY104">
        <v>1200</v>
      </c>
      <c r="BZ104" t="s">
        <v>27</v>
      </c>
      <c r="CA104" t="s">
        <v>288</v>
      </c>
      <c r="CC104" t="s">
        <v>202</v>
      </c>
      <c r="CD104">
        <v>3600</v>
      </c>
      <c r="CE104" t="s">
        <v>88</v>
      </c>
      <c r="CI104">
        <v>1</v>
      </c>
      <c r="CJ104">
        <v>1</v>
      </c>
      <c r="CK104">
        <v>21</v>
      </c>
      <c r="CL104" t="s">
        <v>89</v>
      </c>
    </row>
    <row r="105" spans="1:90">
      <c r="A105" t="s">
        <v>72</v>
      </c>
      <c r="B105" t="s">
        <v>73</v>
      </c>
      <c r="C105" t="s">
        <v>74</v>
      </c>
      <c r="E105" t="str">
        <f>"FES1162726443"</f>
        <v>FES1162726443</v>
      </c>
      <c r="F105" s="3">
        <v>43802</v>
      </c>
      <c r="G105">
        <v>202006</v>
      </c>
      <c r="H105" t="s">
        <v>75</v>
      </c>
      <c r="I105" t="s">
        <v>76</v>
      </c>
      <c r="J105" t="s">
        <v>77</v>
      </c>
      <c r="K105" t="s">
        <v>78</v>
      </c>
      <c r="L105" t="s">
        <v>258</v>
      </c>
      <c r="M105" t="s">
        <v>259</v>
      </c>
      <c r="N105" t="s">
        <v>260</v>
      </c>
      <c r="O105" t="s">
        <v>82</v>
      </c>
      <c r="P105" t="str">
        <f>"2170719820                    "</f>
        <v xml:space="preserve">2170719820                    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0</v>
      </c>
      <c r="AA105">
        <v>0</v>
      </c>
      <c r="AB105">
        <v>0</v>
      </c>
      <c r="AC105">
        <v>0</v>
      </c>
      <c r="AD105">
        <v>0</v>
      </c>
      <c r="AE105">
        <v>0</v>
      </c>
      <c r="AF105">
        <v>0</v>
      </c>
      <c r="AG105">
        <v>0</v>
      </c>
      <c r="AH105">
        <v>0</v>
      </c>
      <c r="AI105">
        <v>0</v>
      </c>
      <c r="AJ105">
        <v>0</v>
      </c>
      <c r="AK105">
        <v>0</v>
      </c>
      <c r="AL105">
        <v>0</v>
      </c>
      <c r="AM105">
        <v>8.58</v>
      </c>
      <c r="AN105">
        <v>0</v>
      </c>
      <c r="AO105">
        <v>0</v>
      </c>
      <c r="AP105">
        <v>0</v>
      </c>
      <c r="AQ105">
        <v>0</v>
      </c>
      <c r="AR105">
        <v>0</v>
      </c>
      <c r="AS105">
        <v>0</v>
      </c>
      <c r="AT105">
        <v>0</v>
      </c>
      <c r="AU105">
        <v>0</v>
      </c>
      <c r="AV105">
        <v>0</v>
      </c>
      <c r="AW105">
        <v>0</v>
      </c>
      <c r="AX105">
        <v>0</v>
      </c>
      <c r="AY105">
        <v>0</v>
      </c>
      <c r="AZ105">
        <v>0</v>
      </c>
      <c r="BA105">
        <v>0</v>
      </c>
      <c r="BB105">
        <v>0</v>
      </c>
      <c r="BC105">
        <v>0</v>
      </c>
      <c r="BD105">
        <v>0</v>
      </c>
      <c r="BE105">
        <v>0</v>
      </c>
      <c r="BF105">
        <v>0</v>
      </c>
      <c r="BG105">
        <v>0</v>
      </c>
      <c r="BH105">
        <v>1</v>
      </c>
      <c r="BI105">
        <v>1.1000000000000001</v>
      </c>
      <c r="BJ105">
        <v>0.7</v>
      </c>
      <c r="BK105">
        <v>1.5</v>
      </c>
      <c r="BL105" s="4">
        <v>50.45</v>
      </c>
      <c r="BM105" s="4">
        <v>7.57</v>
      </c>
      <c r="BN105" s="4">
        <v>58.02</v>
      </c>
      <c r="BO105" s="4">
        <v>58.02</v>
      </c>
      <c r="BQ105" t="s">
        <v>93</v>
      </c>
      <c r="BR105" t="s">
        <v>84</v>
      </c>
      <c r="BS105" s="3">
        <v>43803</v>
      </c>
      <c r="BT105" s="5">
        <v>0.52777777777777779</v>
      </c>
      <c r="BU105" t="s">
        <v>261</v>
      </c>
      <c r="BV105" t="s">
        <v>86</v>
      </c>
      <c r="BY105">
        <v>3318.62</v>
      </c>
      <c r="CA105" t="s">
        <v>262</v>
      </c>
      <c r="CC105" t="s">
        <v>259</v>
      </c>
      <c r="CD105">
        <v>7600</v>
      </c>
      <c r="CE105" t="s">
        <v>96</v>
      </c>
      <c r="CF105" s="3">
        <v>43804</v>
      </c>
      <c r="CI105">
        <v>1</v>
      </c>
      <c r="CJ105">
        <v>1</v>
      </c>
      <c r="CK105">
        <v>21</v>
      </c>
      <c r="CL105" t="s">
        <v>89</v>
      </c>
    </row>
    <row r="106" spans="1:90">
      <c r="A106" t="s">
        <v>72</v>
      </c>
      <c r="B106" t="s">
        <v>73</v>
      </c>
      <c r="C106" t="s">
        <v>74</v>
      </c>
      <c r="E106" t="str">
        <f>"FES1162726222"</f>
        <v>FES1162726222</v>
      </c>
      <c r="F106" s="3">
        <v>43801</v>
      </c>
      <c r="G106">
        <v>202006</v>
      </c>
      <c r="H106" t="s">
        <v>75</v>
      </c>
      <c r="I106" t="s">
        <v>76</v>
      </c>
      <c r="J106" t="s">
        <v>77</v>
      </c>
      <c r="K106" t="s">
        <v>78</v>
      </c>
      <c r="L106" t="s">
        <v>164</v>
      </c>
      <c r="M106" t="s">
        <v>165</v>
      </c>
      <c r="N106" t="s">
        <v>379</v>
      </c>
      <c r="O106" t="s">
        <v>82</v>
      </c>
      <c r="P106" t="str">
        <f>"2170719717                    "</f>
        <v xml:space="preserve">2170719717                    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  <c r="AA106">
        <v>0</v>
      </c>
      <c r="AB106">
        <v>0</v>
      </c>
      <c r="AC106">
        <v>0</v>
      </c>
      <c r="AD106">
        <v>0</v>
      </c>
      <c r="AE106">
        <v>0</v>
      </c>
      <c r="AF106">
        <v>0</v>
      </c>
      <c r="AG106">
        <v>0</v>
      </c>
      <c r="AH106">
        <v>0</v>
      </c>
      <c r="AI106">
        <v>0</v>
      </c>
      <c r="AJ106">
        <v>0</v>
      </c>
      <c r="AK106">
        <v>0</v>
      </c>
      <c r="AL106">
        <v>0</v>
      </c>
      <c r="AM106">
        <v>8.58</v>
      </c>
      <c r="AN106">
        <v>0</v>
      </c>
      <c r="AO106">
        <v>0</v>
      </c>
      <c r="AP106">
        <v>0</v>
      </c>
      <c r="AQ106">
        <v>0</v>
      </c>
      <c r="AR106">
        <v>0</v>
      </c>
      <c r="AS106">
        <v>0</v>
      </c>
      <c r="AT106">
        <v>0</v>
      </c>
      <c r="AU106">
        <v>0</v>
      </c>
      <c r="AV106">
        <v>0</v>
      </c>
      <c r="AW106">
        <v>0</v>
      </c>
      <c r="AX106">
        <v>0</v>
      </c>
      <c r="AY106">
        <v>0</v>
      </c>
      <c r="AZ106">
        <v>0</v>
      </c>
      <c r="BA106">
        <v>0</v>
      </c>
      <c r="BB106">
        <v>0</v>
      </c>
      <c r="BC106">
        <v>0</v>
      </c>
      <c r="BD106">
        <v>0</v>
      </c>
      <c r="BE106">
        <v>0</v>
      </c>
      <c r="BF106">
        <v>0</v>
      </c>
      <c r="BG106">
        <v>0</v>
      </c>
      <c r="BH106">
        <v>1</v>
      </c>
      <c r="BI106">
        <v>1</v>
      </c>
      <c r="BJ106">
        <v>0.2</v>
      </c>
      <c r="BK106">
        <v>1</v>
      </c>
      <c r="BL106" s="4">
        <v>50.45</v>
      </c>
      <c r="BM106" s="4">
        <v>7.57</v>
      </c>
      <c r="BN106" s="4">
        <v>58.02</v>
      </c>
      <c r="BO106" s="4">
        <v>58.02</v>
      </c>
      <c r="BQ106" t="s">
        <v>147</v>
      </c>
      <c r="BR106" t="s">
        <v>84</v>
      </c>
      <c r="BS106" s="3">
        <v>43802</v>
      </c>
      <c r="BT106" s="5">
        <v>0.41666666666666669</v>
      </c>
      <c r="BU106" t="s">
        <v>380</v>
      </c>
      <c r="BV106" t="s">
        <v>86</v>
      </c>
      <c r="BY106">
        <v>1200</v>
      </c>
      <c r="BZ106" t="s">
        <v>27</v>
      </c>
      <c r="CA106" t="s">
        <v>381</v>
      </c>
      <c r="CC106" t="s">
        <v>165</v>
      </c>
      <c r="CD106">
        <v>5201</v>
      </c>
      <c r="CE106" t="s">
        <v>88</v>
      </c>
      <c r="CF106" s="3">
        <v>43804</v>
      </c>
      <c r="CI106">
        <v>1</v>
      </c>
      <c r="CJ106">
        <v>1</v>
      </c>
      <c r="CK106">
        <v>21</v>
      </c>
      <c r="CL106" t="s">
        <v>89</v>
      </c>
    </row>
    <row r="107" spans="1:90">
      <c r="A107" t="s">
        <v>72</v>
      </c>
      <c r="B107" t="s">
        <v>73</v>
      </c>
      <c r="C107" t="s">
        <v>74</v>
      </c>
      <c r="E107" t="str">
        <f>"FES1162726338"</f>
        <v>FES1162726338</v>
      </c>
      <c r="F107" s="3">
        <v>43802</v>
      </c>
      <c r="G107">
        <v>202006</v>
      </c>
      <c r="H107" t="s">
        <v>75</v>
      </c>
      <c r="I107" t="s">
        <v>76</v>
      </c>
      <c r="J107" t="s">
        <v>77</v>
      </c>
      <c r="K107" t="s">
        <v>78</v>
      </c>
      <c r="L107" t="s">
        <v>90</v>
      </c>
      <c r="M107" t="s">
        <v>91</v>
      </c>
      <c r="N107" t="s">
        <v>92</v>
      </c>
      <c r="O107" t="s">
        <v>82</v>
      </c>
      <c r="P107" t="str">
        <f>"2170710191                    "</f>
        <v xml:space="preserve">2170710191                    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  <c r="AA107">
        <v>0</v>
      </c>
      <c r="AB107">
        <v>0</v>
      </c>
      <c r="AC107">
        <v>0</v>
      </c>
      <c r="AD107">
        <v>0</v>
      </c>
      <c r="AE107">
        <v>0</v>
      </c>
      <c r="AF107">
        <v>0</v>
      </c>
      <c r="AG107">
        <v>0</v>
      </c>
      <c r="AH107">
        <v>0</v>
      </c>
      <c r="AI107">
        <v>0</v>
      </c>
      <c r="AJ107">
        <v>0</v>
      </c>
      <c r="AK107">
        <v>0</v>
      </c>
      <c r="AL107">
        <v>0</v>
      </c>
      <c r="AM107">
        <v>32.17</v>
      </c>
      <c r="AN107">
        <v>0</v>
      </c>
      <c r="AO107">
        <v>0</v>
      </c>
      <c r="AP107">
        <v>0</v>
      </c>
      <c r="AQ107">
        <v>0</v>
      </c>
      <c r="AR107">
        <v>0</v>
      </c>
      <c r="AS107">
        <v>0</v>
      </c>
      <c r="AT107">
        <v>0</v>
      </c>
      <c r="AU107">
        <v>0</v>
      </c>
      <c r="AV107">
        <v>0</v>
      </c>
      <c r="AW107">
        <v>0</v>
      </c>
      <c r="AX107">
        <v>0</v>
      </c>
      <c r="AY107">
        <v>0</v>
      </c>
      <c r="AZ107">
        <v>0</v>
      </c>
      <c r="BA107">
        <v>0</v>
      </c>
      <c r="BB107">
        <v>0</v>
      </c>
      <c r="BC107">
        <v>0</v>
      </c>
      <c r="BD107">
        <v>0</v>
      </c>
      <c r="BE107">
        <v>0</v>
      </c>
      <c r="BF107">
        <v>0</v>
      </c>
      <c r="BG107">
        <v>0</v>
      </c>
      <c r="BH107">
        <v>1</v>
      </c>
      <c r="BI107">
        <v>7.3</v>
      </c>
      <c r="BJ107">
        <v>4.2</v>
      </c>
      <c r="BK107">
        <v>7.5</v>
      </c>
      <c r="BL107" s="4">
        <v>189.1</v>
      </c>
      <c r="BM107" s="4">
        <v>28.37</v>
      </c>
      <c r="BN107" s="4">
        <v>217.47</v>
      </c>
      <c r="BO107" s="4">
        <v>217.47</v>
      </c>
      <c r="BQ107" t="s">
        <v>93</v>
      </c>
      <c r="BR107" t="s">
        <v>84</v>
      </c>
      <c r="BS107" s="3">
        <v>43803</v>
      </c>
      <c r="BT107" s="5">
        <v>0.37152777777777773</v>
      </c>
      <c r="BU107" t="s">
        <v>94</v>
      </c>
      <c r="BV107" t="s">
        <v>86</v>
      </c>
      <c r="BY107">
        <v>21155.9</v>
      </c>
      <c r="CA107" t="s">
        <v>95</v>
      </c>
      <c r="CC107" t="s">
        <v>91</v>
      </c>
      <c r="CD107">
        <v>7764</v>
      </c>
      <c r="CE107" t="s">
        <v>116</v>
      </c>
      <c r="CF107" s="3">
        <v>43804</v>
      </c>
      <c r="CI107">
        <v>1</v>
      </c>
      <c r="CJ107">
        <v>1</v>
      </c>
      <c r="CK107">
        <v>21</v>
      </c>
      <c r="CL107" t="s">
        <v>89</v>
      </c>
    </row>
    <row r="108" spans="1:90">
      <c r="A108" t="s">
        <v>72</v>
      </c>
      <c r="B108" t="s">
        <v>73</v>
      </c>
      <c r="C108" t="s">
        <v>74</v>
      </c>
      <c r="E108" t="str">
        <f>"FES1162726226"</f>
        <v>FES1162726226</v>
      </c>
      <c r="F108" s="3">
        <v>43801</v>
      </c>
      <c r="G108">
        <v>202006</v>
      </c>
      <c r="H108" t="s">
        <v>75</v>
      </c>
      <c r="I108" t="s">
        <v>76</v>
      </c>
      <c r="J108" t="s">
        <v>77</v>
      </c>
      <c r="K108" t="s">
        <v>78</v>
      </c>
      <c r="L108" t="s">
        <v>164</v>
      </c>
      <c r="M108" t="s">
        <v>165</v>
      </c>
      <c r="N108" t="s">
        <v>379</v>
      </c>
      <c r="O108" t="s">
        <v>82</v>
      </c>
      <c r="P108" t="str">
        <f>"2170719721                    "</f>
        <v xml:space="preserve">2170719721                    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  <c r="AA108">
        <v>0</v>
      </c>
      <c r="AB108">
        <v>0</v>
      </c>
      <c r="AC108">
        <v>0</v>
      </c>
      <c r="AD108">
        <v>0</v>
      </c>
      <c r="AE108">
        <v>0</v>
      </c>
      <c r="AF108">
        <v>0</v>
      </c>
      <c r="AG108">
        <v>0</v>
      </c>
      <c r="AH108">
        <v>0</v>
      </c>
      <c r="AI108">
        <v>0</v>
      </c>
      <c r="AJ108">
        <v>0</v>
      </c>
      <c r="AK108">
        <v>0</v>
      </c>
      <c r="AL108">
        <v>0</v>
      </c>
      <c r="AM108">
        <v>8.58</v>
      </c>
      <c r="AN108">
        <v>0</v>
      </c>
      <c r="AO108">
        <v>0</v>
      </c>
      <c r="AP108">
        <v>0</v>
      </c>
      <c r="AQ108">
        <v>0</v>
      </c>
      <c r="AR108">
        <v>0</v>
      </c>
      <c r="AS108">
        <v>0</v>
      </c>
      <c r="AT108">
        <v>0</v>
      </c>
      <c r="AU108">
        <v>0</v>
      </c>
      <c r="AV108">
        <v>0</v>
      </c>
      <c r="AW108">
        <v>0</v>
      </c>
      <c r="AX108">
        <v>0</v>
      </c>
      <c r="AY108">
        <v>0</v>
      </c>
      <c r="AZ108">
        <v>0</v>
      </c>
      <c r="BA108">
        <v>0</v>
      </c>
      <c r="BB108">
        <v>0</v>
      </c>
      <c r="BC108">
        <v>0</v>
      </c>
      <c r="BD108">
        <v>0</v>
      </c>
      <c r="BE108">
        <v>0</v>
      </c>
      <c r="BF108">
        <v>0</v>
      </c>
      <c r="BG108">
        <v>0</v>
      </c>
      <c r="BH108">
        <v>1</v>
      </c>
      <c r="BI108">
        <v>1</v>
      </c>
      <c r="BJ108">
        <v>0.2</v>
      </c>
      <c r="BK108">
        <v>1</v>
      </c>
      <c r="BL108" s="4">
        <v>50.45</v>
      </c>
      <c r="BM108" s="4">
        <v>7.57</v>
      </c>
      <c r="BN108" s="4">
        <v>58.02</v>
      </c>
      <c r="BO108" s="4">
        <v>58.02</v>
      </c>
      <c r="BQ108" t="s">
        <v>147</v>
      </c>
      <c r="BR108" t="s">
        <v>84</v>
      </c>
      <c r="BS108" s="3">
        <v>43802</v>
      </c>
      <c r="BT108" s="5">
        <v>0.41180555555555554</v>
      </c>
      <c r="BU108" t="s">
        <v>382</v>
      </c>
      <c r="BV108" t="s">
        <v>86</v>
      </c>
      <c r="BY108">
        <v>1200</v>
      </c>
      <c r="BZ108" t="s">
        <v>27</v>
      </c>
      <c r="CA108" t="s">
        <v>381</v>
      </c>
      <c r="CC108" t="s">
        <v>165</v>
      </c>
      <c r="CD108">
        <v>5201</v>
      </c>
      <c r="CE108" t="s">
        <v>88</v>
      </c>
      <c r="CF108" s="3">
        <v>43804</v>
      </c>
      <c r="CI108">
        <v>1</v>
      </c>
      <c r="CJ108">
        <v>1</v>
      </c>
      <c r="CK108">
        <v>21</v>
      </c>
      <c r="CL108" t="s">
        <v>89</v>
      </c>
    </row>
    <row r="109" spans="1:90">
      <c r="A109" t="s">
        <v>72</v>
      </c>
      <c r="B109" t="s">
        <v>73</v>
      </c>
      <c r="C109" t="s">
        <v>74</v>
      </c>
      <c r="E109" t="str">
        <f>"FES1162726467"</f>
        <v>FES1162726467</v>
      </c>
      <c r="F109" s="3">
        <v>43802</v>
      </c>
      <c r="G109">
        <v>202006</v>
      </c>
      <c r="H109" t="s">
        <v>75</v>
      </c>
      <c r="I109" t="s">
        <v>76</v>
      </c>
      <c r="J109" t="s">
        <v>77</v>
      </c>
      <c r="K109" t="s">
        <v>78</v>
      </c>
      <c r="L109" t="s">
        <v>361</v>
      </c>
      <c r="M109" t="s">
        <v>362</v>
      </c>
      <c r="N109" t="s">
        <v>363</v>
      </c>
      <c r="O109" t="s">
        <v>82</v>
      </c>
      <c r="P109" t="str">
        <f>"2170719902                    "</f>
        <v xml:space="preserve">2170719902                    </v>
      </c>
      <c r="Q109">
        <v>0</v>
      </c>
      <c r="R109">
        <v>0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0</v>
      </c>
      <c r="Y109">
        <v>0</v>
      </c>
      <c r="Z109">
        <v>0</v>
      </c>
      <c r="AA109">
        <v>0</v>
      </c>
      <c r="AB109">
        <v>0</v>
      </c>
      <c r="AC109">
        <v>0</v>
      </c>
      <c r="AD109">
        <v>0</v>
      </c>
      <c r="AE109">
        <v>0</v>
      </c>
      <c r="AF109">
        <v>0</v>
      </c>
      <c r="AG109">
        <v>0</v>
      </c>
      <c r="AH109">
        <v>0</v>
      </c>
      <c r="AI109">
        <v>0</v>
      </c>
      <c r="AJ109">
        <v>0</v>
      </c>
      <c r="AK109">
        <v>0</v>
      </c>
      <c r="AL109">
        <v>0</v>
      </c>
      <c r="AM109">
        <v>8.58</v>
      </c>
      <c r="AN109">
        <v>0</v>
      </c>
      <c r="AO109">
        <v>0</v>
      </c>
      <c r="AP109">
        <v>0</v>
      </c>
      <c r="AQ109">
        <v>0</v>
      </c>
      <c r="AR109">
        <v>0</v>
      </c>
      <c r="AS109">
        <v>0</v>
      </c>
      <c r="AT109">
        <v>0</v>
      </c>
      <c r="AU109">
        <v>0</v>
      </c>
      <c r="AV109">
        <v>0</v>
      </c>
      <c r="AW109">
        <v>0</v>
      </c>
      <c r="AX109">
        <v>0</v>
      </c>
      <c r="AY109">
        <v>0</v>
      </c>
      <c r="AZ109">
        <v>0</v>
      </c>
      <c r="BA109">
        <v>0</v>
      </c>
      <c r="BB109">
        <v>0</v>
      </c>
      <c r="BC109">
        <v>0</v>
      </c>
      <c r="BD109">
        <v>0</v>
      </c>
      <c r="BE109">
        <v>0</v>
      </c>
      <c r="BF109">
        <v>0</v>
      </c>
      <c r="BG109">
        <v>0</v>
      </c>
      <c r="BH109">
        <v>1</v>
      </c>
      <c r="BI109">
        <v>1</v>
      </c>
      <c r="BJ109">
        <v>0.2</v>
      </c>
      <c r="BK109">
        <v>1</v>
      </c>
      <c r="BL109" s="4">
        <v>50.45</v>
      </c>
      <c r="BM109" s="4">
        <v>7.57</v>
      </c>
      <c r="BN109" s="4">
        <v>58.02</v>
      </c>
      <c r="BO109" s="4">
        <v>58.02</v>
      </c>
      <c r="BQ109" t="s">
        <v>93</v>
      </c>
      <c r="BR109" t="s">
        <v>84</v>
      </c>
      <c r="BS109" s="3">
        <v>43803</v>
      </c>
      <c r="BT109" s="5">
        <v>0.41319444444444442</v>
      </c>
      <c r="BU109" t="s">
        <v>364</v>
      </c>
      <c r="BV109" t="s">
        <v>86</v>
      </c>
      <c r="BY109">
        <v>1200</v>
      </c>
      <c r="CA109" t="s">
        <v>185</v>
      </c>
      <c r="CC109" t="s">
        <v>362</v>
      </c>
      <c r="CD109">
        <v>6220</v>
      </c>
      <c r="CE109" t="s">
        <v>88</v>
      </c>
      <c r="CF109" s="3">
        <v>43804</v>
      </c>
      <c r="CI109">
        <v>1</v>
      </c>
      <c r="CJ109">
        <v>1</v>
      </c>
      <c r="CK109">
        <v>21</v>
      </c>
      <c r="CL109" t="s">
        <v>89</v>
      </c>
    </row>
    <row r="110" spans="1:90">
      <c r="A110" t="s">
        <v>72</v>
      </c>
      <c r="B110" t="s">
        <v>73</v>
      </c>
      <c r="C110" t="s">
        <v>74</v>
      </c>
      <c r="E110" t="str">
        <f>"FES1162726281"</f>
        <v>FES1162726281</v>
      </c>
      <c r="F110" s="3">
        <v>43801</v>
      </c>
      <c r="G110">
        <v>202006</v>
      </c>
      <c r="H110" t="s">
        <v>75</v>
      </c>
      <c r="I110" t="s">
        <v>76</v>
      </c>
      <c r="J110" t="s">
        <v>77</v>
      </c>
      <c r="K110" t="s">
        <v>78</v>
      </c>
      <c r="L110" t="s">
        <v>383</v>
      </c>
      <c r="M110" t="s">
        <v>384</v>
      </c>
      <c r="N110" t="s">
        <v>385</v>
      </c>
      <c r="O110" t="s">
        <v>82</v>
      </c>
      <c r="P110" t="str">
        <f>"2170719784                    "</f>
        <v xml:space="preserve">2170719784                    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0</v>
      </c>
      <c r="W110">
        <v>0</v>
      </c>
      <c r="X110">
        <v>0</v>
      </c>
      <c r="Y110">
        <v>0</v>
      </c>
      <c r="Z110">
        <v>0</v>
      </c>
      <c r="AA110">
        <v>0</v>
      </c>
      <c r="AB110">
        <v>0</v>
      </c>
      <c r="AC110">
        <v>0</v>
      </c>
      <c r="AD110">
        <v>0</v>
      </c>
      <c r="AE110">
        <v>0</v>
      </c>
      <c r="AF110">
        <v>0</v>
      </c>
      <c r="AG110">
        <v>0</v>
      </c>
      <c r="AH110">
        <v>0</v>
      </c>
      <c r="AI110">
        <v>0</v>
      </c>
      <c r="AJ110">
        <v>0</v>
      </c>
      <c r="AK110">
        <v>0</v>
      </c>
      <c r="AL110">
        <v>0</v>
      </c>
      <c r="AM110">
        <v>16.63</v>
      </c>
      <c r="AN110">
        <v>0</v>
      </c>
      <c r="AO110">
        <v>0</v>
      </c>
      <c r="AP110">
        <v>0</v>
      </c>
      <c r="AQ110">
        <v>0</v>
      </c>
      <c r="AR110">
        <v>0</v>
      </c>
      <c r="AS110">
        <v>0</v>
      </c>
      <c r="AT110">
        <v>0</v>
      </c>
      <c r="AU110">
        <v>0</v>
      </c>
      <c r="AV110">
        <v>0</v>
      </c>
      <c r="AW110">
        <v>0</v>
      </c>
      <c r="AX110">
        <v>0</v>
      </c>
      <c r="AY110">
        <v>0</v>
      </c>
      <c r="AZ110">
        <v>0</v>
      </c>
      <c r="BA110">
        <v>0</v>
      </c>
      <c r="BB110">
        <v>0</v>
      </c>
      <c r="BC110">
        <v>0</v>
      </c>
      <c r="BD110">
        <v>0</v>
      </c>
      <c r="BE110">
        <v>0</v>
      </c>
      <c r="BF110">
        <v>0</v>
      </c>
      <c r="BG110">
        <v>0</v>
      </c>
      <c r="BH110">
        <v>1</v>
      </c>
      <c r="BI110">
        <v>1</v>
      </c>
      <c r="BJ110">
        <v>0.2</v>
      </c>
      <c r="BK110">
        <v>1</v>
      </c>
      <c r="BL110" s="4">
        <v>97.75</v>
      </c>
      <c r="BM110" s="4">
        <v>14.66</v>
      </c>
      <c r="BN110" s="4">
        <v>112.41</v>
      </c>
      <c r="BO110" s="4">
        <v>112.41</v>
      </c>
      <c r="BQ110" t="s">
        <v>277</v>
      </c>
      <c r="BR110" t="s">
        <v>84</v>
      </c>
      <c r="BS110" s="3">
        <v>43802</v>
      </c>
      <c r="BT110" s="5">
        <v>0.41666666666666669</v>
      </c>
      <c r="BU110" t="s">
        <v>386</v>
      </c>
      <c r="BV110" t="s">
        <v>86</v>
      </c>
      <c r="BY110">
        <v>1200</v>
      </c>
      <c r="CC110" t="s">
        <v>384</v>
      </c>
      <c r="CD110">
        <v>5320</v>
      </c>
      <c r="CE110" t="s">
        <v>88</v>
      </c>
      <c r="CF110" s="3">
        <v>43804</v>
      </c>
      <c r="CI110">
        <v>4</v>
      </c>
      <c r="CJ110">
        <v>1</v>
      </c>
      <c r="CK110">
        <v>23</v>
      </c>
      <c r="CL110" t="s">
        <v>89</v>
      </c>
    </row>
    <row r="111" spans="1:90">
      <c r="A111" t="s">
        <v>72</v>
      </c>
      <c r="B111" t="s">
        <v>73</v>
      </c>
      <c r="C111" t="s">
        <v>74</v>
      </c>
      <c r="E111" t="str">
        <f>"FES1162726450"</f>
        <v>FES1162726450</v>
      </c>
      <c r="F111" s="3">
        <v>43802</v>
      </c>
      <c r="G111">
        <v>202006</v>
      </c>
      <c r="H111" t="s">
        <v>75</v>
      </c>
      <c r="I111" t="s">
        <v>76</v>
      </c>
      <c r="J111" t="s">
        <v>77</v>
      </c>
      <c r="K111" t="s">
        <v>78</v>
      </c>
      <c r="L111" t="s">
        <v>79</v>
      </c>
      <c r="M111" t="s">
        <v>80</v>
      </c>
      <c r="N111" t="s">
        <v>373</v>
      </c>
      <c r="O111" t="s">
        <v>82</v>
      </c>
      <c r="P111" t="str">
        <f>"2170719872                    "</f>
        <v xml:space="preserve">2170719872                    </v>
      </c>
      <c r="Q111">
        <v>0</v>
      </c>
      <c r="R111">
        <v>0</v>
      </c>
      <c r="S111">
        <v>0</v>
      </c>
      <c r="T111">
        <v>0</v>
      </c>
      <c r="U111">
        <v>0</v>
      </c>
      <c r="V111">
        <v>0</v>
      </c>
      <c r="W111">
        <v>0</v>
      </c>
      <c r="X111">
        <v>0</v>
      </c>
      <c r="Y111">
        <v>0</v>
      </c>
      <c r="Z111">
        <v>0</v>
      </c>
      <c r="AA111">
        <v>0</v>
      </c>
      <c r="AB111">
        <v>0</v>
      </c>
      <c r="AC111">
        <v>0</v>
      </c>
      <c r="AD111">
        <v>0</v>
      </c>
      <c r="AE111">
        <v>0</v>
      </c>
      <c r="AF111">
        <v>0</v>
      </c>
      <c r="AG111">
        <v>0</v>
      </c>
      <c r="AH111">
        <v>0</v>
      </c>
      <c r="AI111">
        <v>0</v>
      </c>
      <c r="AJ111">
        <v>0</v>
      </c>
      <c r="AK111">
        <v>0</v>
      </c>
      <c r="AL111">
        <v>0</v>
      </c>
      <c r="AM111">
        <v>8.58</v>
      </c>
      <c r="AN111">
        <v>0</v>
      </c>
      <c r="AO111">
        <v>0</v>
      </c>
      <c r="AP111">
        <v>0</v>
      </c>
      <c r="AQ111">
        <v>0</v>
      </c>
      <c r="AR111">
        <v>0</v>
      </c>
      <c r="AS111">
        <v>0</v>
      </c>
      <c r="AT111">
        <v>0</v>
      </c>
      <c r="AU111">
        <v>0</v>
      </c>
      <c r="AV111">
        <v>0</v>
      </c>
      <c r="AW111">
        <v>0</v>
      </c>
      <c r="AX111">
        <v>0</v>
      </c>
      <c r="AY111">
        <v>0</v>
      </c>
      <c r="AZ111">
        <v>0</v>
      </c>
      <c r="BA111">
        <v>0</v>
      </c>
      <c r="BB111">
        <v>0</v>
      </c>
      <c r="BC111">
        <v>0</v>
      </c>
      <c r="BD111">
        <v>0</v>
      </c>
      <c r="BE111">
        <v>0</v>
      </c>
      <c r="BF111">
        <v>0</v>
      </c>
      <c r="BG111">
        <v>0</v>
      </c>
      <c r="BH111">
        <v>1</v>
      </c>
      <c r="BI111">
        <v>1</v>
      </c>
      <c r="BJ111">
        <v>0.2</v>
      </c>
      <c r="BK111">
        <v>1</v>
      </c>
      <c r="BL111" s="4">
        <v>50.45</v>
      </c>
      <c r="BM111" s="4">
        <v>7.57</v>
      </c>
      <c r="BN111" s="4">
        <v>58.02</v>
      </c>
      <c r="BO111" s="4">
        <v>58.02</v>
      </c>
      <c r="BQ111" t="s">
        <v>147</v>
      </c>
      <c r="BR111" t="s">
        <v>84</v>
      </c>
      <c r="BS111" s="3">
        <v>43803</v>
      </c>
      <c r="BT111" s="5">
        <v>0.42152777777777778</v>
      </c>
      <c r="BU111" t="s">
        <v>387</v>
      </c>
      <c r="BV111" t="s">
        <v>86</v>
      </c>
      <c r="BY111">
        <v>1200</v>
      </c>
      <c r="CA111" t="s">
        <v>185</v>
      </c>
      <c r="CC111" t="s">
        <v>80</v>
      </c>
      <c r="CD111">
        <v>6012</v>
      </c>
      <c r="CE111" t="s">
        <v>88</v>
      </c>
      <c r="CF111" s="3">
        <v>43804</v>
      </c>
      <c r="CI111">
        <v>1</v>
      </c>
      <c r="CJ111">
        <v>1</v>
      </c>
      <c r="CK111">
        <v>21</v>
      </c>
      <c r="CL111" t="s">
        <v>89</v>
      </c>
    </row>
    <row r="112" spans="1:90">
      <c r="A112" t="s">
        <v>72</v>
      </c>
      <c r="B112" t="s">
        <v>73</v>
      </c>
      <c r="C112" t="s">
        <v>74</v>
      </c>
      <c r="E112" t="str">
        <f>"FES1162726237"</f>
        <v>FES1162726237</v>
      </c>
      <c r="F112" s="3">
        <v>43801</v>
      </c>
      <c r="G112">
        <v>202006</v>
      </c>
      <c r="H112" t="s">
        <v>75</v>
      </c>
      <c r="I112" t="s">
        <v>76</v>
      </c>
      <c r="J112" t="s">
        <v>77</v>
      </c>
      <c r="K112" t="s">
        <v>78</v>
      </c>
      <c r="L112" t="s">
        <v>79</v>
      </c>
      <c r="M112" t="s">
        <v>80</v>
      </c>
      <c r="N112" t="s">
        <v>388</v>
      </c>
      <c r="O112" t="s">
        <v>82</v>
      </c>
      <c r="P112" t="str">
        <f>"2170719714                    "</f>
        <v xml:space="preserve">2170719714                    </v>
      </c>
      <c r="Q112">
        <v>0</v>
      </c>
      <c r="R112">
        <v>0</v>
      </c>
      <c r="S112">
        <v>0</v>
      </c>
      <c r="T112">
        <v>0</v>
      </c>
      <c r="U112">
        <v>0</v>
      </c>
      <c r="V112">
        <v>0</v>
      </c>
      <c r="W112">
        <v>0</v>
      </c>
      <c r="X112">
        <v>0</v>
      </c>
      <c r="Y112">
        <v>0</v>
      </c>
      <c r="Z112">
        <v>0</v>
      </c>
      <c r="AA112">
        <v>0</v>
      </c>
      <c r="AB112">
        <v>0</v>
      </c>
      <c r="AC112">
        <v>0</v>
      </c>
      <c r="AD112">
        <v>0</v>
      </c>
      <c r="AE112">
        <v>0</v>
      </c>
      <c r="AF112">
        <v>0</v>
      </c>
      <c r="AG112">
        <v>0</v>
      </c>
      <c r="AH112">
        <v>0</v>
      </c>
      <c r="AI112">
        <v>0</v>
      </c>
      <c r="AJ112">
        <v>0</v>
      </c>
      <c r="AK112">
        <v>0</v>
      </c>
      <c r="AL112">
        <v>0</v>
      </c>
      <c r="AM112">
        <v>8.58</v>
      </c>
      <c r="AN112">
        <v>0</v>
      </c>
      <c r="AO112">
        <v>0</v>
      </c>
      <c r="AP112">
        <v>0</v>
      </c>
      <c r="AQ112">
        <v>0</v>
      </c>
      <c r="AR112">
        <v>0</v>
      </c>
      <c r="AS112">
        <v>0</v>
      </c>
      <c r="AT112">
        <v>0</v>
      </c>
      <c r="AU112">
        <v>0</v>
      </c>
      <c r="AV112">
        <v>0</v>
      </c>
      <c r="AW112">
        <v>0</v>
      </c>
      <c r="AX112">
        <v>0</v>
      </c>
      <c r="AY112">
        <v>0</v>
      </c>
      <c r="AZ112">
        <v>0</v>
      </c>
      <c r="BA112">
        <v>0</v>
      </c>
      <c r="BB112">
        <v>0</v>
      </c>
      <c r="BC112">
        <v>0</v>
      </c>
      <c r="BD112">
        <v>0</v>
      </c>
      <c r="BE112">
        <v>0</v>
      </c>
      <c r="BF112">
        <v>0</v>
      </c>
      <c r="BG112">
        <v>0</v>
      </c>
      <c r="BH112">
        <v>1</v>
      </c>
      <c r="BI112">
        <v>1</v>
      </c>
      <c r="BJ112">
        <v>0.2</v>
      </c>
      <c r="BK112">
        <v>1</v>
      </c>
      <c r="BL112" s="4">
        <v>50.45</v>
      </c>
      <c r="BM112" s="4">
        <v>7.57</v>
      </c>
      <c r="BN112" s="4">
        <v>58.02</v>
      </c>
      <c r="BO112" s="4">
        <v>58.02</v>
      </c>
      <c r="BQ112" t="s">
        <v>147</v>
      </c>
      <c r="BR112" t="s">
        <v>84</v>
      </c>
      <c r="BS112" s="3">
        <v>43802</v>
      </c>
      <c r="BT112" s="5">
        <v>0.35833333333333334</v>
      </c>
      <c r="BU112" t="s">
        <v>368</v>
      </c>
      <c r="BV112" t="s">
        <v>86</v>
      </c>
      <c r="BY112">
        <v>1200</v>
      </c>
      <c r="BZ112" t="s">
        <v>27</v>
      </c>
      <c r="CA112" t="s">
        <v>131</v>
      </c>
      <c r="CC112" t="s">
        <v>80</v>
      </c>
      <c r="CD112">
        <v>6001</v>
      </c>
      <c r="CE112" t="s">
        <v>88</v>
      </c>
      <c r="CF112" s="3">
        <v>43804</v>
      </c>
      <c r="CI112">
        <v>1</v>
      </c>
      <c r="CJ112">
        <v>1</v>
      </c>
      <c r="CK112">
        <v>21</v>
      </c>
      <c r="CL112" t="s">
        <v>89</v>
      </c>
    </row>
    <row r="113" spans="1:90">
      <c r="A113" t="s">
        <v>72</v>
      </c>
      <c r="B113" t="s">
        <v>73</v>
      </c>
      <c r="C113" t="s">
        <v>74</v>
      </c>
      <c r="E113" t="str">
        <f>"FES1162726397"</f>
        <v>FES1162726397</v>
      </c>
      <c r="F113" s="3">
        <v>43802</v>
      </c>
      <c r="G113">
        <v>202006</v>
      </c>
      <c r="H113" t="s">
        <v>75</v>
      </c>
      <c r="I113" t="s">
        <v>76</v>
      </c>
      <c r="J113" t="s">
        <v>77</v>
      </c>
      <c r="K113" t="s">
        <v>78</v>
      </c>
      <c r="L113" t="s">
        <v>90</v>
      </c>
      <c r="M113" t="s">
        <v>91</v>
      </c>
      <c r="N113" t="s">
        <v>389</v>
      </c>
      <c r="O113" t="s">
        <v>82</v>
      </c>
      <c r="P113" t="str">
        <f>"2170715956                    "</f>
        <v xml:space="preserve">2170715956                    </v>
      </c>
      <c r="Q113">
        <v>0</v>
      </c>
      <c r="R113">
        <v>0</v>
      </c>
      <c r="S113">
        <v>0</v>
      </c>
      <c r="T113">
        <v>0</v>
      </c>
      <c r="U113">
        <v>0</v>
      </c>
      <c r="V113">
        <v>0</v>
      </c>
      <c r="W113">
        <v>0</v>
      </c>
      <c r="X113">
        <v>0</v>
      </c>
      <c r="Y113">
        <v>0</v>
      </c>
      <c r="Z113">
        <v>0</v>
      </c>
      <c r="AA113">
        <v>0</v>
      </c>
      <c r="AB113">
        <v>0</v>
      </c>
      <c r="AC113">
        <v>0</v>
      </c>
      <c r="AD113">
        <v>0</v>
      </c>
      <c r="AE113">
        <v>0</v>
      </c>
      <c r="AF113">
        <v>0</v>
      </c>
      <c r="AG113">
        <v>0</v>
      </c>
      <c r="AH113">
        <v>0</v>
      </c>
      <c r="AI113">
        <v>0</v>
      </c>
      <c r="AJ113">
        <v>0</v>
      </c>
      <c r="AK113">
        <v>0</v>
      </c>
      <c r="AL113">
        <v>0</v>
      </c>
      <c r="AM113">
        <v>32.17</v>
      </c>
      <c r="AN113">
        <v>0</v>
      </c>
      <c r="AO113">
        <v>0</v>
      </c>
      <c r="AP113">
        <v>0</v>
      </c>
      <c r="AQ113">
        <v>0</v>
      </c>
      <c r="AR113">
        <v>0</v>
      </c>
      <c r="AS113">
        <v>0</v>
      </c>
      <c r="AT113">
        <v>0</v>
      </c>
      <c r="AU113">
        <v>0</v>
      </c>
      <c r="AV113">
        <v>0</v>
      </c>
      <c r="AW113">
        <v>0</v>
      </c>
      <c r="AX113">
        <v>0</v>
      </c>
      <c r="AY113">
        <v>0</v>
      </c>
      <c r="AZ113">
        <v>0</v>
      </c>
      <c r="BA113">
        <v>0</v>
      </c>
      <c r="BB113">
        <v>0</v>
      </c>
      <c r="BC113">
        <v>0</v>
      </c>
      <c r="BD113">
        <v>0</v>
      </c>
      <c r="BE113">
        <v>0</v>
      </c>
      <c r="BF113">
        <v>0</v>
      </c>
      <c r="BG113">
        <v>0</v>
      </c>
      <c r="BH113">
        <v>1</v>
      </c>
      <c r="BI113">
        <v>7.3</v>
      </c>
      <c r="BJ113">
        <v>1.5</v>
      </c>
      <c r="BK113">
        <v>7.5</v>
      </c>
      <c r="BL113" s="4">
        <v>189.1</v>
      </c>
      <c r="BM113" s="4">
        <v>28.37</v>
      </c>
      <c r="BN113" s="4">
        <v>217.47</v>
      </c>
      <c r="BO113" s="4">
        <v>217.47</v>
      </c>
      <c r="BQ113" t="s">
        <v>390</v>
      </c>
      <c r="BR113" t="s">
        <v>84</v>
      </c>
      <c r="BS113" s="3">
        <v>43803</v>
      </c>
      <c r="BT113" s="5">
        <v>0.30416666666666664</v>
      </c>
      <c r="BU113" t="s">
        <v>391</v>
      </c>
      <c r="BV113" t="s">
        <v>86</v>
      </c>
      <c r="BY113">
        <v>7741.98</v>
      </c>
      <c r="CA113" t="s">
        <v>112</v>
      </c>
      <c r="CC113" t="s">
        <v>91</v>
      </c>
      <c r="CD113">
        <v>7405</v>
      </c>
      <c r="CE113" t="s">
        <v>96</v>
      </c>
      <c r="CF113" s="3">
        <v>43804</v>
      </c>
      <c r="CI113">
        <v>1</v>
      </c>
      <c r="CJ113">
        <v>1</v>
      </c>
      <c r="CK113">
        <v>21</v>
      </c>
      <c r="CL113" t="s">
        <v>89</v>
      </c>
    </row>
    <row r="114" spans="1:90">
      <c r="A114" t="s">
        <v>72</v>
      </c>
      <c r="B114" t="s">
        <v>73</v>
      </c>
      <c r="C114" t="s">
        <v>74</v>
      </c>
      <c r="E114" t="str">
        <f>"FES1162726272"</f>
        <v>FES1162726272</v>
      </c>
      <c r="F114" s="3">
        <v>43801</v>
      </c>
      <c r="G114">
        <v>202006</v>
      </c>
      <c r="H114" t="s">
        <v>75</v>
      </c>
      <c r="I114" t="s">
        <v>76</v>
      </c>
      <c r="J114" t="s">
        <v>77</v>
      </c>
      <c r="K114" t="s">
        <v>78</v>
      </c>
      <c r="L114" t="s">
        <v>392</v>
      </c>
      <c r="M114" t="s">
        <v>393</v>
      </c>
      <c r="N114" t="s">
        <v>394</v>
      </c>
      <c r="O114" t="s">
        <v>82</v>
      </c>
      <c r="P114" t="str">
        <f>"2170719772                    "</f>
        <v xml:space="preserve">2170719772                    </v>
      </c>
      <c r="Q114">
        <v>0</v>
      </c>
      <c r="R114">
        <v>0</v>
      </c>
      <c r="S114">
        <v>0</v>
      </c>
      <c r="T114">
        <v>0</v>
      </c>
      <c r="U114">
        <v>0</v>
      </c>
      <c r="V114">
        <v>0</v>
      </c>
      <c r="W114">
        <v>0</v>
      </c>
      <c r="X114">
        <v>0</v>
      </c>
      <c r="Y114">
        <v>0</v>
      </c>
      <c r="Z114">
        <v>0</v>
      </c>
      <c r="AA114">
        <v>0</v>
      </c>
      <c r="AB114">
        <v>0</v>
      </c>
      <c r="AC114">
        <v>0</v>
      </c>
      <c r="AD114">
        <v>0</v>
      </c>
      <c r="AE114">
        <v>0</v>
      </c>
      <c r="AF114">
        <v>0</v>
      </c>
      <c r="AG114">
        <v>0</v>
      </c>
      <c r="AH114">
        <v>0</v>
      </c>
      <c r="AI114">
        <v>0</v>
      </c>
      <c r="AJ114">
        <v>0</v>
      </c>
      <c r="AK114">
        <v>0</v>
      </c>
      <c r="AL114">
        <v>0</v>
      </c>
      <c r="AM114">
        <v>16.63</v>
      </c>
      <c r="AN114">
        <v>0</v>
      </c>
      <c r="AO114">
        <v>0</v>
      </c>
      <c r="AP114">
        <v>0</v>
      </c>
      <c r="AQ114">
        <v>0</v>
      </c>
      <c r="AR114">
        <v>0</v>
      </c>
      <c r="AS114">
        <v>0</v>
      </c>
      <c r="AT114">
        <v>0</v>
      </c>
      <c r="AU114">
        <v>0</v>
      </c>
      <c r="AV114">
        <v>0</v>
      </c>
      <c r="AW114">
        <v>0</v>
      </c>
      <c r="AX114">
        <v>0</v>
      </c>
      <c r="AY114">
        <v>0</v>
      </c>
      <c r="AZ114">
        <v>0</v>
      </c>
      <c r="BA114">
        <v>0</v>
      </c>
      <c r="BB114">
        <v>0</v>
      </c>
      <c r="BC114">
        <v>0</v>
      </c>
      <c r="BD114">
        <v>0</v>
      </c>
      <c r="BE114">
        <v>0</v>
      </c>
      <c r="BF114">
        <v>0</v>
      </c>
      <c r="BG114">
        <v>0</v>
      </c>
      <c r="BH114">
        <v>1</v>
      </c>
      <c r="BI114">
        <v>1</v>
      </c>
      <c r="BJ114">
        <v>0.2</v>
      </c>
      <c r="BK114">
        <v>1</v>
      </c>
      <c r="BL114" s="4">
        <v>97.75</v>
      </c>
      <c r="BM114" s="4">
        <v>14.66</v>
      </c>
      <c r="BN114" s="4">
        <v>112.41</v>
      </c>
      <c r="BO114" s="4">
        <v>112.41</v>
      </c>
      <c r="BQ114" t="s">
        <v>135</v>
      </c>
      <c r="BR114" t="s">
        <v>84</v>
      </c>
      <c r="BS114" s="3">
        <v>43802</v>
      </c>
      <c r="BT114" s="5">
        <v>0.67499999999999993</v>
      </c>
      <c r="BU114" t="s">
        <v>395</v>
      </c>
      <c r="BV114" t="s">
        <v>86</v>
      </c>
      <c r="BY114">
        <v>1200</v>
      </c>
      <c r="CC114" t="s">
        <v>393</v>
      </c>
      <c r="CD114">
        <v>6300</v>
      </c>
      <c r="CE114" t="s">
        <v>88</v>
      </c>
      <c r="CF114" s="3">
        <v>43808</v>
      </c>
      <c r="CI114">
        <v>3</v>
      </c>
      <c r="CJ114">
        <v>1</v>
      </c>
      <c r="CK114">
        <v>23</v>
      </c>
      <c r="CL114" t="s">
        <v>89</v>
      </c>
    </row>
    <row r="115" spans="1:90">
      <c r="A115" t="s">
        <v>72</v>
      </c>
      <c r="B115" t="s">
        <v>73</v>
      </c>
      <c r="C115" t="s">
        <v>74</v>
      </c>
      <c r="E115" t="str">
        <f>"FES1162726446"</f>
        <v>FES1162726446</v>
      </c>
      <c r="F115" s="3">
        <v>43802</v>
      </c>
      <c r="G115">
        <v>202006</v>
      </c>
      <c r="H115" t="s">
        <v>75</v>
      </c>
      <c r="I115" t="s">
        <v>76</v>
      </c>
      <c r="J115" t="s">
        <v>77</v>
      </c>
      <c r="K115" t="s">
        <v>78</v>
      </c>
      <c r="L115" t="s">
        <v>396</v>
      </c>
      <c r="M115" t="s">
        <v>397</v>
      </c>
      <c r="N115" t="s">
        <v>398</v>
      </c>
      <c r="O115" t="s">
        <v>82</v>
      </c>
      <c r="P115" t="str">
        <f>"2170719854                    "</f>
        <v xml:space="preserve">2170719854                    </v>
      </c>
      <c r="Q115">
        <v>0</v>
      </c>
      <c r="R115">
        <v>0</v>
      </c>
      <c r="S115">
        <v>0</v>
      </c>
      <c r="T115">
        <v>0</v>
      </c>
      <c r="U115">
        <v>0</v>
      </c>
      <c r="V115">
        <v>0</v>
      </c>
      <c r="W115">
        <v>0</v>
      </c>
      <c r="X115">
        <v>0</v>
      </c>
      <c r="Y115">
        <v>0</v>
      </c>
      <c r="Z115">
        <v>0</v>
      </c>
      <c r="AA115">
        <v>0</v>
      </c>
      <c r="AB115">
        <v>0</v>
      </c>
      <c r="AC115">
        <v>0</v>
      </c>
      <c r="AD115">
        <v>0</v>
      </c>
      <c r="AE115">
        <v>0</v>
      </c>
      <c r="AF115">
        <v>0</v>
      </c>
      <c r="AG115">
        <v>0</v>
      </c>
      <c r="AH115">
        <v>0</v>
      </c>
      <c r="AI115">
        <v>0</v>
      </c>
      <c r="AJ115">
        <v>0</v>
      </c>
      <c r="AK115">
        <v>0</v>
      </c>
      <c r="AL115">
        <v>0</v>
      </c>
      <c r="AM115">
        <v>16.63</v>
      </c>
      <c r="AN115">
        <v>0</v>
      </c>
      <c r="AO115">
        <v>0</v>
      </c>
      <c r="AP115">
        <v>0</v>
      </c>
      <c r="AQ115">
        <v>0</v>
      </c>
      <c r="AR115">
        <v>0</v>
      </c>
      <c r="AS115">
        <v>0</v>
      </c>
      <c r="AT115">
        <v>0</v>
      </c>
      <c r="AU115">
        <v>0</v>
      </c>
      <c r="AV115">
        <v>0</v>
      </c>
      <c r="AW115">
        <v>0</v>
      </c>
      <c r="AX115">
        <v>0</v>
      </c>
      <c r="AY115">
        <v>0</v>
      </c>
      <c r="AZ115">
        <v>0</v>
      </c>
      <c r="BA115">
        <v>0</v>
      </c>
      <c r="BB115">
        <v>0</v>
      </c>
      <c r="BC115">
        <v>0</v>
      </c>
      <c r="BD115">
        <v>0</v>
      </c>
      <c r="BE115">
        <v>0</v>
      </c>
      <c r="BF115">
        <v>0</v>
      </c>
      <c r="BG115">
        <v>0</v>
      </c>
      <c r="BH115">
        <v>1</v>
      </c>
      <c r="BI115">
        <v>1</v>
      </c>
      <c r="BJ115">
        <v>0.2</v>
      </c>
      <c r="BK115">
        <v>1</v>
      </c>
      <c r="BL115" s="4">
        <v>97.75</v>
      </c>
      <c r="BM115" s="4">
        <v>14.66</v>
      </c>
      <c r="BN115" s="4">
        <v>112.41</v>
      </c>
      <c r="BO115" s="4">
        <v>112.41</v>
      </c>
      <c r="BQ115" t="s">
        <v>93</v>
      </c>
      <c r="BR115" t="s">
        <v>84</v>
      </c>
      <c r="BS115" s="3">
        <v>43803</v>
      </c>
      <c r="BT115" s="5">
        <v>0.53819444444444442</v>
      </c>
      <c r="BU115" t="s">
        <v>399</v>
      </c>
      <c r="BV115" t="s">
        <v>86</v>
      </c>
      <c r="BY115">
        <v>1200</v>
      </c>
      <c r="CA115" t="s">
        <v>400</v>
      </c>
      <c r="CC115" t="s">
        <v>397</v>
      </c>
      <c r="CD115">
        <v>7130</v>
      </c>
      <c r="CE115" t="s">
        <v>88</v>
      </c>
      <c r="CF115" s="3">
        <v>43804</v>
      </c>
      <c r="CI115">
        <v>1</v>
      </c>
      <c r="CJ115">
        <v>1</v>
      </c>
      <c r="CK115">
        <v>23</v>
      </c>
      <c r="CL115" t="s">
        <v>89</v>
      </c>
    </row>
    <row r="116" spans="1:90">
      <c r="A116" t="s">
        <v>72</v>
      </c>
      <c r="B116" t="s">
        <v>73</v>
      </c>
      <c r="C116" t="s">
        <v>74</v>
      </c>
      <c r="E116" t="str">
        <f>"FES1162726380"</f>
        <v>FES1162726380</v>
      </c>
      <c r="F116" s="3">
        <v>43802</v>
      </c>
      <c r="G116">
        <v>202006</v>
      </c>
      <c r="H116" t="s">
        <v>75</v>
      </c>
      <c r="I116" t="s">
        <v>76</v>
      </c>
      <c r="J116" t="s">
        <v>77</v>
      </c>
      <c r="K116" t="s">
        <v>78</v>
      </c>
      <c r="L116" t="s">
        <v>213</v>
      </c>
      <c r="M116" t="s">
        <v>214</v>
      </c>
      <c r="N116" t="s">
        <v>401</v>
      </c>
      <c r="O116" t="s">
        <v>82</v>
      </c>
      <c r="P116" t="str">
        <f>"2170717254                    "</f>
        <v xml:space="preserve">2170717254                    </v>
      </c>
      <c r="Q116">
        <v>0</v>
      </c>
      <c r="R116">
        <v>0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0</v>
      </c>
      <c r="Z116">
        <v>0</v>
      </c>
      <c r="AA116">
        <v>0</v>
      </c>
      <c r="AB116">
        <v>0</v>
      </c>
      <c r="AC116">
        <v>0</v>
      </c>
      <c r="AD116">
        <v>0</v>
      </c>
      <c r="AE116">
        <v>0</v>
      </c>
      <c r="AF116">
        <v>0</v>
      </c>
      <c r="AG116">
        <v>0</v>
      </c>
      <c r="AH116">
        <v>0</v>
      </c>
      <c r="AI116">
        <v>0</v>
      </c>
      <c r="AJ116">
        <v>0</v>
      </c>
      <c r="AK116">
        <v>0</v>
      </c>
      <c r="AL116">
        <v>0</v>
      </c>
      <c r="AM116">
        <v>8.58</v>
      </c>
      <c r="AN116">
        <v>0</v>
      </c>
      <c r="AO116">
        <v>0</v>
      </c>
      <c r="AP116">
        <v>0</v>
      </c>
      <c r="AQ116">
        <v>0</v>
      </c>
      <c r="AR116">
        <v>0</v>
      </c>
      <c r="AS116">
        <v>0</v>
      </c>
      <c r="AT116">
        <v>0</v>
      </c>
      <c r="AU116">
        <v>0</v>
      </c>
      <c r="AV116">
        <v>0</v>
      </c>
      <c r="AW116">
        <v>0</v>
      </c>
      <c r="AX116">
        <v>0</v>
      </c>
      <c r="AY116">
        <v>0</v>
      </c>
      <c r="AZ116">
        <v>0</v>
      </c>
      <c r="BA116">
        <v>0</v>
      </c>
      <c r="BB116">
        <v>0</v>
      </c>
      <c r="BC116">
        <v>0</v>
      </c>
      <c r="BD116">
        <v>0</v>
      </c>
      <c r="BE116">
        <v>0</v>
      </c>
      <c r="BF116">
        <v>0</v>
      </c>
      <c r="BG116">
        <v>0</v>
      </c>
      <c r="BH116">
        <v>1</v>
      </c>
      <c r="BI116">
        <v>1</v>
      </c>
      <c r="BJ116">
        <v>0.2</v>
      </c>
      <c r="BK116">
        <v>1</v>
      </c>
      <c r="BL116" s="4">
        <v>50.45</v>
      </c>
      <c r="BM116" s="4">
        <v>7.57</v>
      </c>
      <c r="BN116" s="4">
        <v>58.02</v>
      </c>
      <c r="BO116" s="4">
        <v>58.02</v>
      </c>
      <c r="BQ116" t="s">
        <v>135</v>
      </c>
      <c r="BR116" t="s">
        <v>84</v>
      </c>
      <c r="BS116" s="3">
        <v>43803</v>
      </c>
      <c r="BT116" s="5">
        <v>0.33333333333333331</v>
      </c>
      <c r="BU116" t="s">
        <v>402</v>
      </c>
      <c r="BV116" t="s">
        <v>86</v>
      </c>
      <c r="BY116">
        <v>1200</v>
      </c>
      <c r="CA116" t="s">
        <v>99</v>
      </c>
      <c r="CC116" t="s">
        <v>214</v>
      </c>
      <c r="CD116">
        <v>6229</v>
      </c>
      <c r="CE116" t="s">
        <v>88</v>
      </c>
      <c r="CF116" s="3">
        <v>43804</v>
      </c>
      <c r="CI116">
        <v>1</v>
      </c>
      <c r="CJ116">
        <v>1</v>
      </c>
      <c r="CK116">
        <v>21</v>
      </c>
      <c r="CL116" t="s">
        <v>89</v>
      </c>
    </row>
    <row r="117" spans="1:90">
      <c r="A117" t="s">
        <v>72</v>
      </c>
      <c r="B117" t="s">
        <v>73</v>
      </c>
      <c r="C117" t="s">
        <v>74</v>
      </c>
      <c r="E117" t="str">
        <f>"FES1162726215"</f>
        <v>FES1162726215</v>
      </c>
      <c r="F117" s="3">
        <v>43801</v>
      </c>
      <c r="G117">
        <v>202006</v>
      </c>
      <c r="H117" t="s">
        <v>75</v>
      </c>
      <c r="I117" t="s">
        <v>76</v>
      </c>
      <c r="J117" t="s">
        <v>77</v>
      </c>
      <c r="K117" t="s">
        <v>78</v>
      </c>
      <c r="L117" t="s">
        <v>169</v>
      </c>
      <c r="M117" t="s">
        <v>170</v>
      </c>
      <c r="N117" t="s">
        <v>248</v>
      </c>
      <c r="O117" t="s">
        <v>82</v>
      </c>
      <c r="P117" t="str">
        <f>"2170717264                    "</f>
        <v xml:space="preserve">2170717264                    </v>
      </c>
      <c r="Q117">
        <v>0</v>
      </c>
      <c r="R117">
        <v>0</v>
      </c>
      <c r="S117">
        <v>0</v>
      </c>
      <c r="T117">
        <v>0</v>
      </c>
      <c r="U117">
        <v>0</v>
      </c>
      <c r="V117">
        <v>0</v>
      </c>
      <c r="W117">
        <v>0</v>
      </c>
      <c r="X117">
        <v>0</v>
      </c>
      <c r="Y117">
        <v>0</v>
      </c>
      <c r="Z117">
        <v>0</v>
      </c>
      <c r="AA117">
        <v>0</v>
      </c>
      <c r="AB117">
        <v>0</v>
      </c>
      <c r="AC117">
        <v>0</v>
      </c>
      <c r="AD117">
        <v>0</v>
      </c>
      <c r="AE117">
        <v>0</v>
      </c>
      <c r="AF117">
        <v>0</v>
      </c>
      <c r="AG117">
        <v>0</v>
      </c>
      <c r="AH117">
        <v>0</v>
      </c>
      <c r="AI117">
        <v>0</v>
      </c>
      <c r="AJ117">
        <v>0</v>
      </c>
      <c r="AK117">
        <v>0</v>
      </c>
      <c r="AL117">
        <v>0</v>
      </c>
      <c r="AM117">
        <v>7.51</v>
      </c>
      <c r="AN117">
        <v>0</v>
      </c>
      <c r="AO117">
        <v>0</v>
      </c>
      <c r="AP117">
        <v>0</v>
      </c>
      <c r="AQ117">
        <v>0</v>
      </c>
      <c r="AR117">
        <v>0</v>
      </c>
      <c r="AS117">
        <v>0</v>
      </c>
      <c r="AT117">
        <v>0</v>
      </c>
      <c r="AU117">
        <v>0</v>
      </c>
      <c r="AV117">
        <v>0</v>
      </c>
      <c r="AW117">
        <v>0</v>
      </c>
      <c r="AX117">
        <v>0</v>
      </c>
      <c r="AY117">
        <v>0</v>
      </c>
      <c r="AZ117">
        <v>0</v>
      </c>
      <c r="BA117">
        <v>0</v>
      </c>
      <c r="BB117">
        <v>0</v>
      </c>
      <c r="BC117">
        <v>0</v>
      </c>
      <c r="BD117">
        <v>0</v>
      </c>
      <c r="BE117">
        <v>0</v>
      </c>
      <c r="BF117">
        <v>0</v>
      </c>
      <c r="BG117">
        <v>0</v>
      </c>
      <c r="BH117">
        <v>1</v>
      </c>
      <c r="BI117">
        <v>2</v>
      </c>
      <c r="BJ117">
        <v>2.5</v>
      </c>
      <c r="BK117">
        <v>2.5</v>
      </c>
      <c r="BL117" s="4">
        <v>44.14</v>
      </c>
      <c r="BM117" s="4">
        <v>6.62</v>
      </c>
      <c r="BN117" s="4">
        <v>50.76</v>
      </c>
      <c r="BO117" s="4">
        <v>50.76</v>
      </c>
      <c r="BQ117" t="s">
        <v>147</v>
      </c>
      <c r="BR117" t="s">
        <v>84</v>
      </c>
      <c r="BS117" s="3">
        <v>43802</v>
      </c>
      <c r="BT117" s="5">
        <v>0.3611111111111111</v>
      </c>
      <c r="BU117" t="s">
        <v>249</v>
      </c>
      <c r="BV117" t="s">
        <v>86</v>
      </c>
      <c r="BY117">
        <v>12725.44</v>
      </c>
      <c r="BZ117" t="s">
        <v>27</v>
      </c>
      <c r="CA117" t="s">
        <v>250</v>
      </c>
      <c r="CC117" t="s">
        <v>170</v>
      </c>
      <c r="CD117">
        <v>1459</v>
      </c>
      <c r="CE117" t="s">
        <v>116</v>
      </c>
      <c r="CF117" s="3">
        <v>43803</v>
      </c>
      <c r="CI117">
        <v>1</v>
      </c>
      <c r="CJ117">
        <v>1</v>
      </c>
      <c r="CK117">
        <v>22</v>
      </c>
      <c r="CL117" t="s">
        <v>89</v>
      </c>
    </row>
    <row r="118" spans="1:90">
      <c r="A118" t="s">
        <v>72</v>
      </c>
      <c r="B118" t="s">
        <v>73</v>
      </c>
      <c r="C118" t="s">
        <v>74</v>
      </c>
      <c r="E118" t="str">
        <f>"FES1162726504"</f>
        <v>FES1162726504</v>
      </c>
      <c r="F118" s="3">
        <v>43802</v>
      </c>
      <c r="G118">
        <v>202006</v>
      </c>
      <c r="H118" t="s">
        <v>75</v>
      </c>
      <c r="I118" t="s">
        <v>76</v>
      </c>
      <c r="J118" t="s">
        <v>77</v>
      </c>
      <c r="K118" t="s">
        <v>78</v>
      </c>
      <c r="L118" t="s">
        <v>79</v>
      </c>
      <c r="M118" t="s">
        <v>80</v>
      </c>
      <c r="N118" t="s">
        <v>300</v>
      </c>
      <c r="O118" t="s">
        <v>82</v>
      </c>
      <c r="P118" t="str">
        <f>"2170719952                    "</f>
        <v xml:space="preserve">2170719952                    </v>
      </c>
      <c r="Q118">
        <v>0</v>
      </c>
      <c r="R118">
        <v>0</v>
      </c>
      <c r="S118">
        <v>0</v>
      </c>
      <c r="T118">
        <v>0</v>
      </c>
      <c r="U118">
        <v>0</v>
      </c>
      <c r="V118">
        <v>0</v>
      </c>
      <c r="W118">
        <v>0</v>
      </c>
      <c r="X118">
        <v>0</v>
      </c>
      <c r="Y118">
        <v>0</v>
      </c>
      <c r="Z118">
        <v>0</v>
      </c>
      <c r="AA118">
        <v>0</v>
      </c>
      <c r="AB118">
        <v>0</v>
      </c>
      <c r="AC118">
        <v>0</v>
      </c>
      <c r="AD118">
        <v>0</v>
      </c>
      <c r="AE118">
        <v>0</v>
      </c>
      <c r="AF118">
        <v>0</v>
      </c>
      <c r="AG118">
        <v>0</v>
      </c>
      <c r="AH118">
        <v>0</v>
      </c>
      <c r="AI118">
        <v>0</v>
      </c>
      <c r="AJ118">
        <v>0</v>
      </c>
      <c r="AK118">
        <v>0</v>
      </c>
      <c r="AL118">
        <v>0</v>
      </c>
      <c r="AM118">
        <v>8.58</v>
      </c>
      <c r="AN118">
        <v>0</v>
      </c>
      <c r="AO118">
        <v>0</v>
      </c>
      <c r="AP118">
        <v>0</v>
      </c>
      <c r="AQ118">
        <v>0</v>
      </c>
      <c r="AR118">
        <v>0</v>
      </c>
      <c r="AS118">
        <v>0</v>
      </c>
      <c r="AT118">
        <v>0</v>
      </c>
      <c r="AU118">
        <v>0</v>
      </c>
      <c r="AV118">
        <v>0</v>
      </c>
      <c r="AW118">
        <v>0</v>
      </c>
      <c r="AX118">
        <v>0</v>
      </c>
      <c r="AY118">
        <v>0</v>
      </c>
      <c r="AZ118">
        <v>0</v>
      </c>
      <c r="BA118">
        <v>0</v>
      </c>
      <c r="BB118">
        <v>0</v>
      </c>
      <c r="BC118">
        <v>0</v>
      </c>
      <c r="BD118">
        <v>0</v>
      </c>
      <c r="BE118">
        <v>0</v>
      </c>
      <c r="BF118">
        <v>0</v>
      </c>
      <c r="BG118">
        <v>0</v>
      </c>
      <c r="BH118">
        <v>1</v>
      </c>
      <c r="BI118">
        <v>1</v>
      </c>
      <c r="BJ118">
        <v>0.2</v>
      </c>
      <c r="BK118">
        <v>1</v>
      </c>
      <c r="BL118" s="4">
        <v>50.45</v>
      </c>
      <c r="BM118" s="4">
        <v>7.57</v>
      </c>
      <c r="BN118" s="4">
        <v>58.02</v>
      </c>
      <c r="BO118" s="4">
        <v>58.02</v>
      </c>
      <c r="BQ118" t="s">
        <v>147</v>
      </c>
      <c r="BR118" t="s">
        <v>84</v>
      </c>
      <c r="BS118" s="3">
        <v>43803</v>
      </c>
      <c r="BT118" s="5">
        <v>0.40277777777777773</v>
      </c>
      <c r="BU118" t="s">
        <v>403</v>
      </c>
      <c r="BV118" t="s">
        <v>86</v>
      </c>
      <c r="BY118">
        <v>1200</v>
      </c>
      <c r="CA118" t="s">
        <v>99</v>
      </c>
      <c r="CC118" t="s">
        <v>80</v>
      </c>
      <c r="CD118">
        <v>6001</v>
      </c>
      <c r="CE118" t="s">
        <v>88</v>
      </c>
      <c r="CF118" s="3">
        <v>43804</v>
      </c>
      <c r="CI118">
        <v>1</v>
      </c>
      <c r="CJ118">
        <v>1</v>
      </c>
      <c r="CK118">
        <v>21</v>
      </c>
      <c r="CL118" t="s">
        <v>89</v>
      </c>
    </row>
    <row r="119" spans="1:90">
      <c r="A119" t="s">
        <v>72</v>
      </c>
      <c r="B119" t="s">
        <v>73</v>
      </c>
      <c r="C119" t="s">
        <v>74</v>
      </c>
      <c r="E119" t="str">
        <f>"FES1162726596"</f>
        <v>FES1162726596</v>
      </c>
      <c r="F119" s="3">
        <v>43802</v>
      </c>
      <c r="G119">
        <v>202006</v>
      </c>
      <c r="H119" t="s">
        <v>75</v>
      </c>
      <c r="I119" t="s">
        <v>76</v>
      </c>
      <c r="J119" t="s">
        <v>77</v>
      </c>
      <c r="K119" t="s">
        <v>78</v>
      </c>
      <c r="L119" t="s">
        <v>404</v>
      </c>
      <c r="M119" t="s">
        <v>405</v>
      </c>
      <c r="N119" t="s">
        <v>406</v>
      </c>
      <c r="O119" t="s">
        <v>82</v>
      </c>
      <c r="P119" t="str">
        <f>"2170720073                    "</f>
        <v xml:space="preserve">2170720073                    </v>
      </c>
      <c r="Q119">
        <v>0</v>
      </c>
      <c r="R119">
        <v>0</v>
      </c>
      <c r="S119">
        <v>0</v>
      </c>
      <c r="T119">
        <v>0</v>
      </c>
      <c r="U119">
        <v>0</v>
      </c>
      <c r="V119">
        <v>0</v>
      </c>
      <c r="W119">
        <v>0</v>
      </c>
      <c r="X119">
        <v>0</v>
      </c>
      <c r="Y119">
        <v>0</v>
      </c>
      <c r="Z119">
        <v>0</v>
      </c>
      <c r="AA119">
        <v>0</v>
      </c>
      <c r="AB119">
        <v>0</v>
      </c>
      <c r="AC119">
        <v>0</v>
      </c>
      <c r="AD119">
        <v>0</v>
      </c>
      <c r="AE119">
        <v>0</v>
      </c>
      <c r="AF119">
        <v>0</v>
      </c>
      <c r="AG119">
        <v>0</v>
      </c>
      <c r="AH119">
        <v>0</v>
      </c>
      <c r="AI119">
        <v>0</v>
      </c>
      <c r="AJ119">
        <v>0</v>
      </c>
      <c r="AK119">
        <v>0</v>
      </c>
      <c r="AL119">
        <v>0</v>
      </c>
      <c r="AM119">
        <v>8.58</v>
      </c>
      <c r="AN119">
        <v>0</v>
      </c>
      <c r="AO119">
        <v>0</v>
      </c>
      <c r="AP119">
        <v>0</v>
      </c>
      <c r="AQ119">
        <v>0</v>
      </c>
      <c r="AR119">
        <v>0</v>
      </c>
      <c r="AS119">
        <v>0</v>
      </c>
      <c r="AT119">
        <v>0</v>
      </c>
      <c r="AU119">
        <v>0</v>
      </c>
      <c r="AV119">
        <v>0</v>
      </c>
      <c r="AW119">
        <v>0</v>
      </c>
      <c r="AX119">
        <v>0</v>
      </c>
      <c r="AY119">
        <v>0</v>
      </c>
      <c r="AZ119">
        <v>0</v>
      </c>
      <c r="BA119">
        <v>0</v>
      </c>
      <c r="BB119">
        <v>0</v>
      </c>
      <c r="BC119">
        <v>0</v>
      </c>
      <c r="BD119">
        <v>0</v>
      </c>
      <c r="BE119">
        <v>0</v>
      </c>
      <c r="BF119">
        <v>0</v>
      </c>
      <c r="BG119">
        <v>0</v>
      </c>
      <c r="BH119">
        <v>1</v>
      </c>
      <c r="BI119">
        <v>1</v>
      </c>
      <c r="BJ119">
        <v>0.2</v>
      </c>
      <c r="BK119">
        <v>1</v>
      </c>
      <c r="BL119" s="4">
        <v>50.45</v>
      </c>
      <c r="BM119" s="4">
        <v>7.57</v>
      </c>
      <c r="BN119" s="4">
        <v>58.02</v>
      </c>
      <c r="BO119" s="4">
        <v>58.02</v>
      </c>
      <c r="BQ119" t="s">
        <v>93</v>
      </c>
      <c r="BR119" t="s">
        <v>84</v>
      </c>
      <c r="BS119" s="3">
        <v>43803</v>
      </c>
      <c r="BT119" s="5">
        <v>0.34166666666666662</v>
      </c>
      <c r="BU119" t="s">
        <v>407</v>
      </c>
      <c r="BV119" t="s">
        <v>86</v>
      </c>
      <c r="BY119">
        <v>1200</v>
      </c>
      <c r="CA119" t="s">
        <v>408</v>
      </c>
      <c r="CC119" t="s">
        <v>405</v>
      </c>
      <c r="CD119">
        <v>4026</v>
      </c>
      <c r="CE119" t="s">
        <v>88</v>
      </c>
      <c r="CF119" s="3">
        <v>43804</v>
      </c>
      <c r="CI119">
        <v>1</v>
      </c>
      <c r="CJ119">
        <v>1</v>
      </c>
      <c r="CK119">
        <v>21</v>
      </c>
      <c r="CL119" t="s">
        <v>89</v>
      </c>
    </row>
    <row r="120" spans="1:90">
      <c r="A120" t="s">
        <v>72</v>
      </c>
      <c r="B120" t="s">
        <v>73</v>
      </c>
      <c r="C120" t="s">
        <v>74</v>
      </c>
      <c r="E120" t="str">
        <f>"FES1162726514"</f>
        <v>FES1162726514</v>
      </c>
      <c r="F120" s="3">
        <v>43802</v>
      </c>
      <c r="G120">
        <v>202006</v>
      </c>
      <c r="H120" t="s">
        <v>75</v>
      </c>
      <c r="I120" t="s">
        <v>76</v>
      </c>
      <c r="J120" t="s">
        <v>77</v>
      </c>
      <c r="K120" t="s">
        <v>78</v>
      </c>
      <c r="L120" t="s">
        <v>151</v>
      </c>
      <c r="M120" t="s">
        <v>102</v>
      </c>
      <c r="N120" t="s">
        <v>409</v>
      </c>
      <c r="O120" t="s">
        <v>82</v>
      </c>
      <c r="P120" t="str">
        <f>"2170719965                    "</f>
        <v xml:space="preserve">2170719965                    </v>
      </c>
      <c r="Q120">
        <v>0</v>
      </c>
      <c r="R120">
        <v>0</v>
      </c>
      <c r="S120">
        <v>0</v>
      </c>
      <c r="T120">
        <v>0</v>
      </c>
      <c r="U120">
        <v>0</v>
      </c>
      <c r="V120">
        <v>0</v>
      </c>
      <c r="W120">
        <v>0</v>
      </c>
      <c r="X120">
        <v>0</v>
      </c>
      <c r="Y120">
        <v>0</v>
      </c>
      <c r="Z120">
        <v>0</v>
      </c>
      <c r="AA120">
        <v>0</v>
      </c>
      <c r="AB120">
        <v>0</v>
      </c>
      <c r="AC120">
        <v>0</v>
      </c>
      <c r="AD120">
        <v>0</v>
      </c>
      <c r="AE120">
        <v>0</v>
      </c>
      <c r="AF120">
        <v>0</v>
      </c>
      <c r="AG120">
        <v>0</v>
      </c>
      <c r="AH120">
        <v>0</v>
      </c>
      <c r="AI120">
        <v>0</v>
      </c>
      <c r="AJ120">
        <v>0</v>
      </c>
      <c r="AK120">
        <v>0</v>
      </c>
      <c r="AL120">
        <v>0</v>
      </c>
      <c r="AM120">
        <v>8.58</v>
      </c>
      <c r="AN120">
        <v>0</v>
      </c>
      <c r="AO120">
        <v>0</v>
      </c>
      <c r="AP120">
        <v>0</v>
      </c>
      <c r="AQ120">
        <v>0</v>
      </c>
      <c r="AR120">
        <v>0</v>
      </c>
      <c r="AS120">
        <v>0</v>
      </c>
      <c r="AT120">
        <v>0</v>
      </c>
      <c r="AU120">
        <v>0</v>
      </c>
      <c r="AV120">
        <v>0</v>
      </c>
      <c r="AW120">
        <v>0</v>
      </c>
      <c r="AX120">
        <v>0</v>
      </c>
      <c r="AY120">
        <v>0</v>
      </c>
      <c r="AZ120">
        <v>0</v>
      </c>
      <c r="BA120">
        <v>0</v>
      </c>
      <c r="BB120">
        <v>0</v>
      </c>
      <c r="BC120">
        <v>0</v>
      </c>
      <c r="BD120">
        <v>0</v>
      </c>
      <c r="BE120">
        <v>0</v>
      </c>
      <c r="BF120">
        <v>0</v>
      </c>
      <c r="BG120">
        <v>0</v>
      </c>
      <c r="BH120">
        <v>1</v>
      </c>
      <c r="BI120">
        <v>1</v>
      </c>
      <c r="BJ120">
        <v>0.2</v>
      </c>
      <c r="BK120">
        <v>1</v>
      </c>
      <c r="BL120" s="4">
        <v>50.45</v>
      </c>
      <c r="BM120" s="4">
        <v>7.57</v>
      </c>
      <c r="BN120" s="4">
        <v>58.02</v>
      </c>
      <c r="BO120" s="4">
        <v>58.02</v>
      </c>
      <c r="BQ120" t="s">
        <v>147</v>
      </c>
      <c r="BR120" t="s">
        <v>84</v>
      </c>
      <c r="BS120" s="3">
        <v>43803</v>
      </c>
      <c r="BT120" s="5">
        <v>0.42708333333333331</v>
      </c>
      <c r="BU120" t="s">
        <v>410</v>
      </c>
      <c r="BV120" t="s">
        <v>86</v>
      </c>
      <c r="BY120">
        <v>1200</v>
      </c>
      <c r="CA120" t="s">
        <v>163</v>
      </c>
      <c r="CC120" t="s">
        <v>102</v>
      </c>
      <c r="CD120">
        <v>200</v>
      </c>
      <c r="CE120" t="s">
        <v>88</v>
      </c>
      <c r="CF120" s="3">
        <v>43804</v>
      </c>
      <c r="CI120">
        <v>1</v>
      </c>
      <c r="CJ120">
        <v>1</v>
      </c>
      <c r="CK120">
        <v>21</v>
      </c>
      <c r="CL120" t="s">
        <v>89</v>
      </c>
    </row>
    <row r="121" spans="1:90">
      <c r="A121" t="s">
        <v>72</v>
      </c>
      <c r="B121" t="s">
        <v>73</v>
      </c>
      <c r="C121" t="s">
        <v>74</v>
      </c>
      <c r="E121" t="str">
        <f>"FES1162726235"</f>
        <v>FES1162726235</v>
      </c>
      <c r="F121" s="3">
        <v>43801</v>
      </c>
      <c r="G121">
        <v>202006</v>
      </c>
      <c r="H121" t="s">
        <v>75</v>
      </c>
      <c r="I121" t="s">
        <v>76</v>
      </c>
      <c r="J121" t="s">
        <v>77</v>
      </c>
      <c r="K121" t="s">
        <v>78</v>
      </c>
      <c r="L121" t="s">
        <v>79</v>
      </c>
      <c r="M121" t="s">
        <v>80</v>
      </c>
      <c r="N121" t="s">
        <v>183</v>
      </c>
      <c r="O121" t="s">
        <v>82</v>
      </c>
      <c r="P121" t="str">
        <f>"2170715058                    "</f>
        <v xml:space="preserve">2170715058                    </v>
      </c>
      <c r="Q121">
        <v>0</v>
      </c>
      <c r="R121">
        <v>0</v>
      </c>
      <c r="S121">
        <v>0</v>
      </c>
      <c r="T121">
        <v>0</v>
      </c>
      <c r="U121">
        <v>0</v>
      </c>
      <c r="V121">
        <v>0</v>
      </c>
      <c r="W121">
        <v>0</v>
      </c>
      <c r="X121">
        <v>0</v>
      </c>
      <c r="Y121">
        <v>0</v>
      </c>
      <c r="Z121">
        <v>0</v>
      </c>
      <c r="AA121">
        <v>0</v>
      </c>
      <c r="AB121">
        <v>0</v>
      </c>
      <c r="AC121">
        <v>0</v>
      </c>
      <c r="AD121">
        <v>0</v>
      </c>
      <c r="AE121">
        <v>0</v>
      </c>
      <c r="AF121">
        <v>0</v>
      </c>
      <c r="AG121">
        <v>0</v>
      </c>
      <c r="AH121">
        <v>0</v>
      </c>
      <c r="AI121">
        <v>0</v>
      </c>
      <c r="AJ121">
        <v>0</v>
      </c>
      <c r="AK121">
        <v>0</v>
      </c>
      <c r="AL121">
        <v>0</v>
      </c>
      <c r="AM121">
        <v>12.87</v>
      </c>
      <c r="AN121">
        <v>0</v>
      </c>
      <c r="AO121">
        <v>0</v>
      </c>
      <c r="AP121">
        <v>0</v>
      </c>
      <c r="AQ121">
        <v>0</v>
      </c>
      <c r="AR121">
        <v>0</v>
      </c>
      <c r="AS121">
        <v>0</v>
      </c>
      <c r="AT121">
        <v>0</v>
      </c>
      <c r="AU121">
        <v>0</v>
      </c>
      <c r="AV121">
        <v>0</v>
      </c>
      <c r="AW121">
        <v>0</v>
      </c>
      <c r="AX121">
        <v>0</v>
      </c>
      <c r="AY121">
        <v>0</v>
      </c>
      <c r="AZ121">
        <v>0</v>
      </c>
      <c r="BA121">
        <v>0</v>
      </c>
      <c r="BB121">
        <v>0</v>
      </c>
      <c r="BC121">
        <v>0</v>
      </c>
      <c r="BD121">
        <v>0</v>
      </c>
      <c r="BE121">
        <v>0</v>
      </c>
      <c r="BF121">
        <v>0</v>
      </c>
      <c r="BG121">
        <v>0</v>
      </c>
      <c r="BH121">
        <v>1</v>
      </c>
      <c r="BI121">
        <v>3</v>
      </c>
      <c r="BJ121">
        <v>2.7</v>
      </c>
      <c r="BK121">
        <v>3</v>
      </c>
      <c r="BL121" s="4">
        <v>75.66</v>
      </c>
      <c r="BM121" s="4">
        <v>11.35</v>
      </c>
      <c r="BN121" s="4">
        <v>87.01</v>
      </c>
      <c r="BO121" s="4">
        <v>87.01</v>
      </c>
      <c r="BQ121" t="s">
        <v>147</v>
      </c>
      <c r="BR121" t="s">
        <v>84</v>
      </c>
      <c r="BS121" s="3">
        <v>43802</v>
      </c>
      <c r="BT121" s="5">
        <v>0.36944444444444446</v>
      </c>
      <c r="BU121" t="s">
        <v>184</v>
      </c>
      <c r="BV121" t="s">
        <v>86</v>
      </c>
      <c r="BY121">
        <v>13548.22</v>
      </c>
      <c r="BZ121" t="s">
        <v>27</v>
      </c>
      <c r="CA121" t="s">
        <v>185</v>
      </c>
      <c r="CC121" t="s">
        <v>80</v>
      </c>
      <c r="CD121">
        <v>6001</v>
      </c>
      <c r="CE121" t="s">
        <v>116</v>
      </c>
      <c r="CF121" s="3">
        <v>43804</v>
      </c>
      <c r="CI121">
        <v>1</v>
      </c>
      <c r="CJ121">
        <v>1</v>
      </c>
      <c r="CK121">
        <v>21</v>
      </c>
      <c r="CL121" t="s">
        <v>89</v>
      </c>
    </row>
    <row r="122" spans="1:90">
      <c r="A122" t="s">
        <v>72</v>
      </c>
      <c r="B122" t="s">
        <v>73</v>
      </c>
      <c r="C122" t="s">
        <v>74</v>
      </c>
      <c r="E122" t="str">
        <f>"FES1162726544"</f>
        <v>FES1162726544</v>
      </c>
      <c r="F122" s="3">
        <v>43802</v>
      </c>
      <c r="G122">
        <v>202006</v>
      </c>
      <c r="H122" t="s">
        <v>75</v>
      </c>
      <c r="I122" t="s">
        <v>76</v>
      </c>
      <c r="J122" t="s">
        <v>77</v>
      </c>
      <c r="K122" t="s">
        <v>78</v>
      </c>
      <c r="L122" t="s">
        <v>75</v>
      </c>
      <c r="M122" t="s">
        <v>76</v>
      </c>
      <c r="N122" t="s">
        <v>411</v>
      </c>
      <c r="O122" t="s">
        <v>82</v>
      </c>
      <c r="P122" t="str">
        <f>"2170720008                    "</f>
        <v xml:space="preserve">2170720008                    </v>
      </c>
      <c r="Q122">
        <v>0</v>
      </c>
      <c r="R122">
        <v>0</v>
      </c>
      <c r="S122">
        <v>0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0</v>
      </c>
      <c r="Z122">
        <v>0</v>
      </c>
      <c r="AA122">
        <v>0</v>
      </c>
      <c r="AB122">
        <v>0</v>
      </c>
      <c r="AC122">
        <v>0</v>
      </c>
      <c r="AD122">
        <v>0</v>
      </c>
      <c r="AE122">
        <v>0</v>
      </c>
      <c r="AF122">
        <v>0</v>
      </c>
      <c r="AG122">
        <v>0</v>
      </c>
      <c r="AH122">
        <v>0</v>
      </c>
      <c r="AI122">
        <v>0</v>
      </c>
      <c r="AJ122">
        <v>0</v>
      </c>
      <c r="AK122">
        <v>0</v>
      </c>
      <c r="AL122">
        <v>0</v>
      </c>
      <c r="AM122">
        <v>6.71</v>
      </c>
      <c r="AN122">
        <v>0</v>
      </c>
      <c r="AO122">
        <v>0</v>
      </c>
      <c r="AP122">
        <v>0</v>
      </c>
      <c r="AQ122">
        <v>0</v>
      </c>
      <c r="AR122">
        <v>0</v>
      </c>
      <c r="AS122">
        <v>0</v>
      </c>
      <c r="AT122">
        <v>0</v>
      </c>
      <c r="AU122">
        <v>0</v>
      </c>
      <c r="AV122">
        <v>0</v>
      </c>
      <c r="AW122">
        <v>0</v>
      </c>
      <c r="AX122">
        <v>0</v>
      </c>
      <c r="AY122">
        <v>0</v>
      </c>
      <c r="AZ122">
        <v>0</v>
      </c>
      <c r="BA122">
        <v>0</v>
      </c>
      <c r="BB122">
        <v>0</v>
      </c>
      <c r="BC122">
        <v>0</v>
      </c>
      <c r="BD122">
        <v>0</v>
      </c>
      <c r="BE122">
        <v>0</v>
      </c>
      <c r="BF122">
        <v>0</v>
      </c>
      <c r="BG122">
        <v>0</v>
      </c>
      <c r="BH122">
        <v>1</v>
      </c>
      <c r="BI122">
        <v>1</v>
      </c>
      <c r="BJ122">
        <v>0.2</v>
      </c>
      <c r="BK122">
        <v>1</v>
      </c>
      <c r="BL122" s="4">
        <v>39.42</v>
      </c>
      <c r="BM122" s="4">
        <v>5.91</v>
      </c>
      <c r="BN122" s="4">
        <v>45.33</v>
      </c>
      <c r="BO122" s="4">
        <v>45.33</v>
      </c>
      <c r="BQ122" t="s">
        <v>147</v>
      </c>
      <c r="BR122" t="s">
        <v>84</v>
      </c>
      <c r="BS122" s="3">
        <v>43803</v>
      </c>
      <c r="BT122" s="5">
        <v>0.33819444444444446</v>
      </c>
      <c r="BU122" t="s">
        <v>412</v>
      </c>
      <c r="BV122" t="s">
        <v>86</v>
      </c>
      <c r="BY122">
        <v>1200</v>
      </c>
      <c r="CA122" t="s">
        <v>320</v>
      </c>
      <c r="CC122" t="s">
        <v>76</v>
      </c>
      <c r="CD122">
        <v>1665</v>
      </c>
      <c r="CE122" t="s">
        <v>88</v>
      </c>
      <c r="CF122" s="3">
        <v>43804</v>
      </c>
      <c r="CI122">
        <v>1</v>
      </c>
      <c r="CJ122">
        <v>1</v>
      </c>
      <c r="CK122">
        <v>22</v>
      </c>
      <c r="CL122" t="s">
        <v>89</v>
      </c>
    </row>
    <row r="123" spans="1:90">
      <c r="A123" t="s">
        <v>72</v>
      </c>
      <c r="B123" t="s">
        <v>73</v>
      </c>
      <c r="C123" t="s">
        <v>74</v>
      </c>
      <c r="E123" t="str">
        <f>"FES1162726208"</f>
        <v>FES1162726208</v>
      </c>
      <c r="F123" s="3">
        <v>43801</v>
      </c>
      <c r="G123">
        <v>202006</v>
      </c>
      <c r="H123" t="s">
        <v>75</v>
      </c>
      <c r="I123" t="s">
        <v>76</v>
      </c>
      <c r="J123" t="s">
        <v>77</v>
      </c>
      <c r="K123" t="s">
        <v>78</v>
      </c>
      <c r="L123" t="s">
        <v>79</v>
      </c>
      <c r="M123" t="s">
        <v>80</v>
      </c>
      <c r="N123" t="s">
        <v>183</v>
      </c>
      <c r="O123" t="s">
        <v>82</v>
      </c>
      <c r="P123" t="str">
        <f>"2170715058                    "</f>
        <v xml:space="preserve">2170715058                    </v>
      </c>
      <c r="Q123">
        <v>0</v>
      </c>
      <c r="R123">
        <v>0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0</v>
      </c>
      <c r="Z123">
        <v>0</v>
      </c>
      <c r="AA123">
        <v>0</v>
      </c>
      <c r="AB123">
        <v>0</v>
      </c>
      <c r="AC123">
        <v>0</v>
      </c>
      <c r="AD123">
        <v>0</v>
      </c>
      <c r="AE123">
        <v>0</v>
      </c>
      <c r="AF123">
        <v>0</v>
      </c>
      <c r="AG123">
        <v>0</v>
      </c>
      <c r="AH123">
        <v>0</v>
      </c>
      <c r="AI123">
        <v>0</v>
      </c>
      <c r="AJ123">
        <v>0</v>
      </c>
      <c r="AK123">
        <v>0</v>
      </c>
      <c r="AL123">
        <v>0</v>
      </c>
      <c r="AM123">
        <v>23.59</v>
      </c>
      <c r="AN123">
        <v>0</v>
      </c>
      <c r="AO123">
        <v>0</v>
      </c>
      <c r="AP123">
        <v>0</v>
      </c>
      <c r="AQ123">
        <v>0</v>
      </c>
      <c r="AR123">
        <v>0</v>
      </c>
      <c r="AS123">
        <v>0</v>
      </c>
      <c r="AT123">
        <v>0</v>
      </c>
      <c r="AU123">
        <v>0</v>
      </c>
      <c r="AV123">
        <v>0</v>
      </c>
      <c r="AW123">
        <v>0</v>
      </c>
      <c r="AX123">
        <v>0</v>
      </c>
      <c r="AY123">
        <v>0</v>
      </c>
      <c r="AZ123">
        <v>0</v>
      </c>
      <c r="BA123">
        <v>0</v>
      </c>
      <c r="BB123">
        <v>0</v>
      </c>
      <c r="BC123">
        <v>0</v>
      </c>
      <c r="BD123">
        <v>0</v>
      </c>
      <c r="BE123">
        <v>0</v>
      </c>
      <c r="BF123">
        <v>0</v>
      </c>
      <c r="BG123">
        <v>0</v>
      </c>
      <c r="BH123">
        <v>2</v>
      </c>
      <c r="BI123">
        <v>4</v>
      </c>
      <c r="BJ123">
        <v>5.5</v>
      </c>
      <c r="BK123">
        <v>5.5</v>
      </c>
      <c r="BL123" s="4">
        <v>138.68</v>
      </c>
      <c r="BM123" s="4">
        <v>20.8</v>
      </c>
      <c r="BN123" s="4">
        <v>159.47999999999999</v>
      </c>
      <c r="BO123" s="4">
        <v>159.47999999999999</v>
      </c>
      <c r="BQ123" t="s">
        <v>147</v>
      </c>
      <c r="BR123" t="s">
        <v>84</v>
      </c>
      <c r="BS123" s="3">
        <v>43802</v>
      </c>
      <c r="BT123" s="5">
        <v>0.36944444444444446</v>
      </c>
      <c r="BU123" t="s">
        <v>184</v>
      </c>
      <c r="BV123" t="s">
        <v>86</v>
      </c>
      <c r="BY123">
        <v>27672.78</v>
      </c>
      <c r="BZ123" t="s">
        <v>27</v>
      </c>
      <c r="CA123" t="s">
        <v>185</v>
      </c>
      <c r="CC123" t="s">
        <v>80</v>
      </c>
      <c r="CD123">
        <v>6001</v>
      </c>
      <c r="CE123" t="s">
        <v>413</v>
      </c>
      <c r="CF123" s="3">
        <v>43804</v>
      </c>
      <c r="CI123">
        <v>1</v>
      </c>
      <c r="CJ123">
        <v>1</v>
      </c>
      <c r="CK123">
        <v>21</v>
      </c>
      <c r="CL123" t="s">
        <v>89</v>
      </c>
    </row>
    <row r="124" spans="1:90">
      <c r="A124" t="s">
        <v>72</v>
      </c>
      <c r="B124" t="s">
        <v>73</v>
      </c>
      <c r="C124" t="s">
        <v>74</v>
      </c>
      <c r="E124" t="str">
        <f>"FES1162726400"</f>
        <v>FES1162726400</v>
      </c>
      <c r="F124" s="3">
        <v>43802</v>
      </c>
      <c r="G124">
        <v>202006</v>
      </c>
      <c r="H124" t="s">
        <v>75</v>
      </c>
      <c r="I124" t="s">
        <v>76</v>
      </c>
      <c r="J124" t="s">
        <v>77</v>
      </c>
      <c r="K124" t="s">
        <v>78</v>
      </c>
      <c r="L124" t="s">
        <v>164</v>
      </c>
      <c r="M124" t="s">
        <v>165</v>
      </c>
      <c r="N124" t="s">
        <v>238</v>
      </c>
      <c r="O124" t="s">
        <v>82</v>
      </c>
      <c r="P124" t="str">
        <f>"2170719057                    "</f>
        <v xml:space="preserve">2170719057                    </v>
      </c>
      <c r="Q124">
        <v>0</v>
      </c>
      <c r="R124">
        <v>0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0</v>
      </c>
      <c r="Y124">
        <v>0</v>
      </c>
      <c r="Z124">
        <v>0</v>
      </c>
      <c r="AA124">
        <v>0</v>
      </c>
      <c r="AB124">
        <v>0</v>
      </c>
      <c r="AC124">
        <v>0</v>
      </c>
      <c r="AD124">
        <v>0</v>
      </c>
      <c r="AE124">
        <v>0</v>
      </c>
      <c r="AF124">
        <v>0</v>
      </c>
      <c r="AG124">
        <v>0</v>
      </c>
      <c r="AH124">
        <v>0</v>
      </c>
      <c r="AI124">
        <v>0</v>
      </c>
      <c r="AJ124">
        <v>0</v>
      </c>
      <c r="AK124">
        <v>0</v>
      </c>
      <c r="AL124">
        <v>0</v>
      </c>
      <c r="AM124">
        <v>8.58</v>
      </c>
      <c r="AN124">
        <v>0</v>
      </c>
      <c r="AO124">
        <v>0</v>
      </c>
      <c r="AP124">
        <v>0</v>
      </c>
      <c r="AQ124">
        <v>0</v>
      </c>
      <c r="AR124">
        <v>0</v>
      </c>
      <c r="AS124">
        <v>0</v>
      </c>
      <c r="AT124">
        <v>0</v>
      </c>
      <c r="AU124">
        <v>0</v>
      </c>
      <c r="AV124">
        <v>0</v>
      </c>
      <c r="AW124">
        <v>0</v>
      </c>
      <c r="AX124">
        <v>0</v>
      </c>
      <c r="AY124">
        <v>0</v>
      </c>
      <c r="AZ124">
        <v>0</v>
      </c>
      <c r="BA124">
        <v>0</v>
      </c>
      <c r="BB124">
        <v>0</v>
      </c>
      <c r="BC124">
        <v>0</v>
      </c>
      <c r="BD124">
        <v>0</v>
      </c>
      <c r="BE124">
        <v>0</v>
      </c>
      <c r="BF124">
        <v>0</v>
      </c>
      <c r="BG124">
        <v>0</v>
      </c>
      <c r="BH124">
        <v>1</v>
      </c>
      <c r="BI124">
        <v>1</v>
      </c>
      <c r="BJ124">
        <v>0.2</v>
      </c>
      <c r="BK124">
        <v>1</v>
      </c>
      <c r="BL124" s="4">
        <v>50.45</v>
      </c>
      <c r="BM124" s="4">
        <v>7.57</v>
      </c>
      <c r="BN124" s="4">
        <v>58.02</v>
      </c>
      <c r="BO124" s="4">
        <v>58.02</v>
      </c>
      <c r="BR124" t="s">
        <v>84</v>
      </c>
      <c r="BS124" s="3">
        <v>43803</v>
      </c>
      <c r="BT124" s="5">
        <v>0.40416666666666662</v>
      </c>
      <c r="BU124" t="s">
        <v>239</v>
      </c>
      <c r="BV124" t="s">
        <v>86</v>
      </c>
      <c r="BY124">
        <v>1200</v>
      </c>
      <c r="CA124" t="s">
        <v>168</v>
      </c>
      <c r="CC124" t="s">
        <v>165</v>
      </c>
      <c r="CD124">
        <v>5200</v>
      </c>
      <c r="CE124" t="s">
        <v>88</v>
      </c>
      <c r="CF124" s="3">
        <v>43808</v>
      </c>
      <c r="CI124">
        <v>1</v>
      </c>
      <c r="CJ124">
        <v>1</v>
      </c>
      <c r="CK124">
        <v>21</v>
      </c>
      <c r="CL124" t="s">
        <v>89</v>
      </c>
    </row>
    <row r="125" spans="1:90">
      <c r="A125" t="s">
        <v>72</v>
      </c>
      <c r="B125" t="s">
        <v>73</v>
      </c>
      <c r="C125" t="s">
        <v>74</v>
      </c>
      <c r="E125" t="str">
        <f>"FES1162726234"</f>
        <v>FES1162726234</v>
      </c>
      <c r="F125" s="3">
        <v>43801</v>
      </c>
      <c r="G125">
        <v>202006</v>
      </c>
      <c r="H125" t="s">
        <v>75</v>
      </c>
      <c r="I125" t="s">
        <v>76</v>
      </c>
      <c r="J125" t="s">
        <v>77</v>
      </c>
      <c r="K125" t="s">
        <v>78</v>
      </c>
      <c r="L125" t="s">
        <v>213</v>
      </c>
      <c r="M125" t="s">
        <v>214</v>
      </c>
      <c r="N125" t="s">
        <v>303</v>
      </c>
      <c r="O125" t="s">
        <v>82</v>
      </c>
      <c r="P125" t="str">
        <f>"2170717136                    "</f>
        <v xml:space="preserve">2170717136                    </v>
      </c>
      <c r="Q125">
        <v>0</v>
      </c>
      <c r="R125">
        <v>0</v>
      </c>
      <c r="S125">
        <v>0</v>
      </c>
      <c r="T125">
        <v>0</v>
      </c>
      <c r="U125">
        <v>0</v>
      </c>
      <c r="V125">
        <v>0</v>
      </c>
      <c r="W125">
        <v>0</v>
      </c>
      <c r="X125">
        <v>0</v>
      </c>
      <c r="Y125">
        <v>0</v>
      </c>
      <c r="Z125">
        <v>0</v>
      </c>
      <c r="AA125">
        <v>0</v>
      </c>
      <c r="AB125">
        <v>0</v>
      </c>
      <c r="AC125">
        <v>0</v>
      </c>
      <c r="AD125">
        <v>0</v>
      </c>
      <c r="AE125">
        <v>0</v>
      </c>
      <c r="AF125">
        <v>0</v>
      </c>
      <c r="AG125">
        <v>0</v>
      </c>
      <c r="AH125">
        <v>0</v>
      </c>
      <c r="AI125">
        <v>0</v>
      </c>
      <c r="AJ125">
        <v>0</v>
      </c>
      <c r="AK125">
        <v>0</v>
      </c>
      <c r="AL125">
        <v>0</v>
      </c>
      <c r="AM125">
        <v>8.58</v>
      </c>
      <c r="AN125">
        <v>0</v>
      </c>
      <c r="AO125">
        <v>0</v>
      </c>
      <c r="AP125">
        <v>0</v>
      </c>
      <c r="AQ125">
        <v>0</v>
      </c>
      <c r="AR125">
        <v>0</v>
      </c>
      <c r="AS125">
        <v>0</v>
      </c>
      <c r="AT125">
        <v>0</v>
      </c>
      <c r="AU125">
        <v>0</v>
      </c>
      <c r="AV125">
        <v>0</v>
      </c>
      <c r="AW125">
        <v>0</v>
      </c>
      <c r="AX125">
        <v>0</v>
      </c>
      <c r="AY125">
        <v>0</v>
      </c>
      <c r="AZ125">
        <v>0</v>
      </c>
      <c r="BA125">
        <v>0</v>
      </c>
      <c r="BB125">
        <v>0</v>
      </c>
      <c r="BC125">
        <v>0</v>
      </c>
      <c r="BD125">
        <v>0</v>
      </c>
      <c r="BE125">
        <v>0</v>
      </c>
      <c r="BF125">
        <v>0</v>
      </c>
      <c r="BG125">
        <v>0</v>
      </c>
      <c r="BH125">
        <v>1</v>
      </c>
      <c r="BI125">
        <v>2</v>
      </c>
      <c r="BJ125">
        <v>1.2</v>
      </c>
      <c r="BK125">
        <v>2</v>
      </c>
      <c r="BL125" s="4">
        <v>50.45</v>
      </c>
      <c r="BM125" s="4">
        <v>7.57</v>
      </c>
      <c r="BN125" s="4">
        <v>58.02</v>
      </c>
      <c r="BO125" s="4">
        <v>58.02</v>
      </c>
      <c r="BQ125" t="s">
        <v>147</v>
      </c>
      <c r="BR125" t="s">
        <v>84</v>
      </c>
      <c r="BS125" s="3">
        <v>43802</v>
      </c>
      <c r="BT125" s="5">
        <v>0.3263888888888889</v>
      </c>
      <c r="BU125" t="s">
        <v>304</v>
      </c>
      <c r="BV125" t="s">
        <v>86</v>
      </c>
      <c r="BY125">
        <v>6159.78</v>
      </c>
      <c r="BZ125" t="s">
        <v>27</v>
      </c>
      <c r="CA125" t="s">
        <v>99</v>
      </c>
      <c r="CC125" t="s">
        <v>214</v>
      </c>
      <c r="CD125">
        <v>6230</v>
      </c>
      <c r="CE125" t="s">
        <v>96</v>
      </c>
      <c r="CF125" s="3">
        <v>43804</v>
      </c>
      <c r="CI125">
        <v>1</v>
      </c>
      <c r="CJ125">
        <v>1</v>
      </c>
      <c r="CK125">
        <v>21</v>
      </c>
      <c r="CL125" t="s">
        <v>89</v>
      </c>
    </row>
    <row r="126" spans="1:90">
      <c r="A126" t="s">
        <v>72</v>
      </c>
      <c r="B126" t="s">
        <v>73</v>
      </c>
      <c r="C126" t="s">
        <v>74</v>
      </c>
      <c r="E126" t="str">
        <f>"FES1162726418"</f>
        <v>FES1162726418</v>
      </c>
      <c r="F126" s="3">
        <v>43802</v>
      </c>
      <c r="G126">
        <v>202006</v>
      </c>
      <c r="H126" t="s">
        <v>75</v>
      </c>
      <c r="I126" t="s">
        <v>76</v>
      </c>
      <c r="J126" t="s">
        <v>77</v>
      </c>
      <c r="K126" t="s">
        <v>78</v>
      </c>
      <c r="L126" t="s">
        <v>151</v>
      </c>
      <c r="M126" t="s">
        <v>102</v>
      </c>
      <c r="N126" t="s">
        <v>161</v>
      </c>
      <c r="O126" t="s">
        <v>82</v>
      </c>
      <c r="P126" t="str">
        <f>"2170719461                    "</f>
        <v xml:space="preserve">2170719461                    </v>
      </c>
      <c r="Q126">
        <v>0</v>
      </c>
      <c r="R126">
        <v>0</v>
      </c>
      <c r="S126">
        <v>0</v>
      </c>
      <c r="T126">
        <v>0</v>
      </c>
      <c r="U126">
        <v>0</v>
      </c>
      <c r="V126">
        <v>0</v>
      </c>
      <c r="W126">
        <v>0</v>
      </c>
      <c r="X126">
        <v>0</v>
      </c>
      <c r="Y126">
        <v>0</v>
      </c>
      <c r="Z126">
        <v>0</v>
      </c>
      <c r="AA126">
        <v>0</v>
      </c>
      <c r="AB126">
        <v>0</v>
      </c>
      <c r="AC126">
        <v>0</v>
      </c>
      <c r="AD126">
        <v>0</v>
      </c>
      <c r="AE126">
        <v>0</v>
      </c>
      <c r="AF126">
        <v>0</v>
      </c>
      <c r="AG126">
        <v>0</v>
      </c>
      <c r="AH126">
        <v>0</v>
      </c>
      <c r="AI126">
        <v>0</v>
      </c>
      <c r="AJ126">
        <v>0</v>
      </c>
      <c r="AK126">
        <v>0</v>
      </c>
      <c r="AL126">
        <v>0</v>
      </c>
      <c r="AM126">
        <v>8.58</v>
      </c>
      <c r="AN126">
        <v>0</v>
      </c>
      <c r="AO126">
        <v>0</v>
      </c>
      <c r="AP126">
        <v>0</v>
      </c>
      <c r="AQ126">
        <v>0</v>
      </c>
      <c r="AR126">
        <v>0</v>
      </c>
      <c r="AS126">
        <v>0</v>
      </c>
      <c r="AT126">
        <v>0</v>
      </c>
      <c r="AU126">
        <v>0</v>
      </c>
      <c r="AV126">
        <v>0</v>
      </c>
      <c r="AW126">
        <v>0</v>
      </c>
      <c r="AX126">
        <v>0</v>
      </c>
      <c r="AY126">
        <v>0</v>
      </c>
      <c r="AZ126">
        <v>0</v>
      </c>
      <c r="BA126">
        <v>0</v>
      </c>
      <c r="BB126">
        <v>0</v>
      </c>
      <c r="BC126">
        <v>0</v>
      </c>
      <c r="BD126">
        <v>0</v>
      </c>
      <c r="BE126">
        <v>0</v>
      </c>
      <c r="BF126">
        <v>0</v>
      </c>
      <c r="BG126">
        <v>0</v>
      </c>
      <c r="BH126">
        <v>1</v>
      </c>
      <c r="BI126">
        <v>1</v>
      </c>
      <c r="BJ126">
        <v>0.2</v>
      </c>
      <c r="BK126">
        <v>1</v>
      </c>
      <c r="BL126" s="4">
        <v>50.45</v>
      </c>
      <c r="BM126" s="4">
        <v>7.57</v>
      </c>
      <c r="BN126" s="4">
        <v>58.02</v>
      </c>
      <c r="BO126" s="4">
        <v>58.02</v>
      </c>
      <c r="BQ126" t="s">
        <v>172</v>
      </c>
      <c r="BR126" t="s">
        <v>84</v>
      </c>
      <c r="BS126" s="3">
        <v>43803</v>
      </c>
      <c r="BT126" s="5">
        <v>0.41666666666666669</v>
      </c>
      <c r="BU126" t="s">
        <v>162</v>
      </c>
      <c r="BV126" t="s">
        <v>86</v>
      </c>
      <c r="BY126">
        <v>1200</v>
      </c>
      <c r="CA126" t="s">
        <v>163</v>
      </c>
      <c r="CC126" t="s">
        <v>102</v>
      </c>
      <c r="CD126">
        <v>200</v>
      </c>
      <c r="CE126" t="s">
        <v>88</v>
      </c>
      <c r="CF126" s="3">
        <v>43804</v>
      </c>
      <c r="CI126">
        <v>1</v>
      </c>
      <c r="CJ126">
        <v>1</v>
      </c>
      <c r="CK126">
        <v>21</v>
      </c>
      <c r="CL126" t="s">
        <v>89</v>
      </c>
    </row>
    <row r="127" spans="1:90">
      <c r="A127" t="s">
        <v>72</v>
      </c>
      <c r="B127" t="s">
        <v>73</v>
      </c>
      <c r="C127" t="s">
        <v>74</v>
      </c>
      <c r="E127" t="str">
        <f>"FES1162726210"</f>
        <v>FES1162726210</v>
      </c>
      <c r="F127" s="3">
        <v>43801</v>
      </c>
      <c r="G127">
        <v>202006</v>
      </c>
      <c r="H127" t="s">
        <v>75</v>
      </c>
      <c r="I127" t="s">
        <v>76</v>
      </c>
      <c r="J127" t="s">
        <v>77</v>
      </c>
      <c r="K127" t="s">
        <v>78</v>
      </c>
      <c r="L127" t="s">
        <v>164</v>
      </c>
      <c r="M127" t="s">
        <v>165</v>
      </c>
      <c r="N127" t="s">
        <v>414</v>
      </c>
      <c r="O127" t="s">
        <v>82</v>
      </c>
      <c r="P127" t="str">
        <f>"2170715319                    "</f>
        <v xml:space="preserve">2170715319                    </v>
      </c>
      <c r="Q127">
        <v>0</v>
      </c>
      <c r="R127">
        <v>0</v>
      </c>
      <c r="S127">
        <v>0</v>
      </c>
      <c r="T127">
        <v>0</v>
      </c>
      <c r="U127">
        <v>0</v>
      </c>
      <c r="V127">
        <v>0</v>
      </c>
      <c r="W127">
        <v>0</v>
      </c>
      <c r="X127">
        <v>0</v>
      </c>
      <c r="Y127">
        <v>0</v>
      </c>
      <c r="Z127">
        <v>0</v>
      </c>
      <c r="AA127">
        <v>0</v>
      </c>
      <c r="AB127">
        <v>0</v>
      </c>
      <c r="AC127">
        <v>0</v>
      </c>
      <c r="AD127">
        <v>0</v>
      </c>
      <c r="AE127">
        <v>0</v>
      </c>
      <c r="AF127">
        <v>0</v>
      </c>
      <c r="AG127">
        <v>0</v>
      </c>
      <c r="AH127">
        <v>0</v>
      </c>
      <c r="AI127">
        <v>0</v>
      </c>
      <c r="AJ127">
        <v>0</v>
      </c>
      <c r="AK127">
        <v>0</v>
      </c>
      <c r="AL127">
        <v>0</v>
      </c>
      <c r="AM127">
        <v>12.87</v>
      </c>
      <c r="AN127">
        <v>0</v>
      </c>
      <c r="AO127">
        <v>0</v>
      </c>
      <c r="AP127">
        <v>0</v>
      </c>
      <c r="AQ127">
        <v>0</v>
      </c>
      <c r="AR127">
        <v>0</v>
      </c>
      <c r="AS127">
        <v>0</v>
      </c>
      <c r="AT127">
        <v>0</v>
      </c>
      <c r="AU127">
        <v>0</v>
      </c>
      <c r="AV127">
        <v>0</v>
      </c>
      <c r="AW127">
        <v>0</v>
      </c>
      <c r="AX127">
        <v>0</v>
      </c>
      <c r="AY127">
        <v>0</v>
      </c>
      <c r="AZ127">
        <v>0</v>
      </c>
      <c r="BA127">
        <v>0</v>
      </c>
      <c r="BB127">
        <v>0</v>
      </c>
      <c r="BC127">
        <v>0</v>
      </c>
      <c r="BD127">
        <v>0</v>
      </c>
      <c r="BE127">
        <v>0</v>
      </c>
      <c r="BF127">
        <v>0</v>
      </c>
      <c r="BG127">
        <v>0</v>
      </c>
      <c r="BH127">
        <v>1</v>
      </c>
      <c r="BI127">
        <v>3</v>
      </c>
      <c r="BJ127">
        <v>2.5</v>
      </c>
      <c r="BK127">
        <v>3</v>
      </c>
      <c r="BL127" s="4">
        <v>75.66</v>
      </c>
      <c r="BM127" s="4">
        <v>11.35</v>
      </c>
      <c r="BN127" s="4">
        <v>87.01</v>
      </c>
      <c r="BO127" s="4">
        <v>87.01</v>
      </c>
      <c r="BQ127" t="s">
        <v>93</v>
      </c>
      <c r="BR127" t="s">
        <v>84</v>
      </c>
      <c r="BS127" s="3">
        <v>43802</v>
      </c>
      <c r="BT127" s="5">
        <v>0.4375</v>
      </c>
      <c r="BU127" t="s">
        <v>415</v>
      </c>
      <c r="BV127" t="s">
        <v>86</v>
      </c>
      <c r="BY127">
        <v>12710.21</v>
      </c>
      <c r="BZ127" t="s">
        <v>27</v>
      </c>
      <c r="CA127" t="s">
        <v>168</v>
      </c>
      <c r="CC127" t="s">
        <v>165</v>
      </c>
      <c r="CD127">
        <v>5201</v>
      </c>
      <c r="CE127" t="s">
        <v>116</v>
      </c>
      <c r="CF127" s="3">
        <v>43803</v>
      </c>
      <c r="CI127">
        <v>1</v>
      </c>
      <c r="CJ127">
        <v>1</v>
      </c>
      <c r="CK127">
        <v>21</v>
      </c>
      <c r="CL127" t="s">
        <v>89</v>
      </c>
    </row>
    <row r="128" spans="1:90">
      <c r="A128" t="s">
        <v>72</v>
      </c>
      <c r="B128" t="s">
        <v>73</v>
      </c>
      <c r="C128" t="s">
        <v>74</v>
      </c>
      <c r="E128" t="str">
        <f>"FES1162726420"</f>
        <v>FES1162726420</v>
      </c>
      <c r="F128" s="3">
        <v>43802</v>
      </c>
      <c r="G128">
        <v>202006</v>
      </c>
      <c r="H128" t="s">
        <v>75</v>
      </c>
      <c r="I128" t="s">
        <v>76</v>
      </c>
      <c r="J128" t="s">
        <v>77</v>
      </c>
      <c r="K128" t="s">
        <v>78</v>
      </c>
      <c r="L128" t="s">
        <v>164</v>
      </c>
      <c r="M128" t="s">
        <v>165</v>
      </c>
      <c r="N128" t="s">
        <v>416</v>
      </c>
      <c r="O128" t="s">
        <v>82</v>
      </c>
      <c r="P128" t="str">
        <f>"2170719491                    "</f>
        <v xml:space="preserve">2170719491                    </v>
      </c>
      <c r="Q128">
        <v>0</v>
      </c>
      <c r="R128">
        <v>0</v>
      </c>
      <c r="S128">
        <v>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0</v>
      </c>
      <c r="AA128">
        <v>0</v>
      </c>
      <c r="AB128">
        <v>0</v>
      </c>
      <c r="AC128">
        <v>0</v>
      </c>
      <c r="AD128">
        <v>0</v>
      </c>
      <c r="AE128">
        <v>0</v>
      </c>
      <c r="AF128">
        <v>0</v>
      </c>
      <c r="AG128">
        <v>0</v>
      </c>
      <c r="AH128">
        <v>0</v>
      </c>
      <c r="AI128">
        <v>0</v>
      </c>
      <c r="AJ128">
        <v>0</v>
      </c>
      <c r="AK128">
        <v>0</v>
      </c>
      <c r="AL128">
        <v>0</v>
      </c>
      <c r="AM128">
        <v>8.58</v>
      </c>
      <c r="AN128">
        <v>0</v>
      </c>
      <c r="AO128">
        <v>0</v>
      </c>
      <c r="AP128">
        <v>0</v>
      </c>
      <c r="AQ128">
        <v>0</v>
      </c>
      <c r="AR128">
        <v>0</v>
      </c>
      <c r="AS128">
        <v>0</v>
      </c>
      <c r="AT128">
        <v>0</v>
      </c>
      <c r="AU128">
        <v>0</v>
      </c>
      <c r="AV128">
        <v>0</v>
      </c>
      <c r="AW128">
        <v>0</v>
      </c>
      <c r="AX128">
        <v>0</v>
      </c>
      <c r="AY128">
        <v>0</v>
      </c>
      <c r="AZ128">
        <v>0</v>
      </c>
      <c r="BA128">
        <v>0</v>
      </c>
      <c r="BB128">
        <v>0</v>
      </c>
      <c r="BC128">
        <v>0</v>
      </c>
      <c r="BD128">
        <v>0</v>
      </c>
      <c r="BE128">
        <v>0</v>
      </c>
      <c r="BF128">
        <v>0</v>
      </c>
      <c r="BG128">
        <v>0</v>
      </c>
      <c r="BH128">
        <v>1</v>
      </c>
      <c r="BI128">
        <v>1</v>
      </c>
      <c r="BJ128">
        <v>0.2</v>
      </c>
      <c r="BK128">
        <v>1</v>
      </c>
      <c r="BL128" s="4">
        <v>50.45</v>
      </c>
      <c r="BM128" s="4">
        <v>7.57</v>
      </c>
      <c r="BN128" s="4">
        <v>58.02</v>
      </c>
      <c r="BO128" s="4">
        <v>58.02</v>
      </c>
      <c r="BQ128" t="s">
        <v>256</v>
      </c>
      <c r="BR128" t="s">
        <v>84</v>
      </c>
      <c r="BS128" s="3">
        <v>43803</v>
      </c>
      <c r="BT128" s="5">
        <v>0.42083333333333334</v>
      </c>
      <c r="BU128" t="s">
        <v>417</v>
      </c>
      <c r="BV128" t="s">
        <v>86</v>
      </c>
      <c r="BY128">
        <v>1200</v>
      </c>
      <c r="CA128" t="s">
        <v>168</v>
      </c>
      <c r="CC128" t="s">
        <v>165</v>
      </c>
      <c r="CD128">
        <v>5201</v>
      </c>
      <c r="CE128" t="s">
        <v>88</v>
      </c>
      <c r="CF128" s="3">
        <v>43808</v>
      </c>
      <c r="CI128">
        <v>1</v>
      </c>
      <c r="CJ128">
        <v>1</v>
      </c>
      <c r="CK128">
        <v>21</v>
      </c>
      <c r="CL128" t="s">
        <v>89</v>
      </c>
    </row>
    <row r="129" spans="1:90">
      <c r="A129" t="s">
        <v>72</v>
      </c>
      <c r="B129" t="s">
        <v>73</v>
      </c>
      <c r="C129" t="s">
        <v>74</v>
      </c>
      <c r="E129" t="str">
        <f>"FES1162726206"</f>
        <v>FES1162726206</v>
      </c>
      <c r="F129" s="3">
        <v>43801</v>
      </c>
      <c r="G129">
        <v>202006</v>
      </c>
      <c r="H129" t="s">
        <v>75</v>
      </c>
      <c r="I129" t="s">
        <v>76</v>
      </c>
      <c r="J129" t="s">
        <v>77</v>
      </c>
      <c r="K129" t="s">
        <v>78</v>
      </c>
      <c r="L129" t="s">
        <v>79</v>
      </c>
      <c r="M129" t="s">
        <v>80</v>
      </c>
      <c r="N129" t="s">
        <v>81</v>
      </c>
      <c r="O129" t="s">
        <v>82</v>
      </c>
      <c r="P129" t="str">
        <f>"2170714006                    "</f>
        <v xml:space="preserve">2170714006                    </v>
      </c>
      <c r="Q129">
        <v>0</v>
      </c>
      <c r="R129">
        <v>0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0</v>
      </c>
      <c r="Y129">
        <v>0</v>
      </c>
      <c r="Z129">
        <v>0</v>
      </c>
      <c r="AA129">
        <v>0</v>
      </c>
      <c r="AB129">
        <v>0</v>
      </c>
      <c r="AC129">
        <v>0</v>
      </c>
      <c r="AD129">
        <v>0</v>
      </c>
      <c r="AE129">
        <v>0</v>
      </c>
      <c r="AF129">
        <v>0</v>
      </c>
      <c r="AG129">
        <v>0</v>
      </c>
      <c r="AH129">
        <v>0</v>
      </c>
      <c r="AI129">
        <v>0</v>
      </c>
      <c r="AJ129">
        <v>0</v>
      </c>
      <c r="AK129">
        <v>0</v>
      </c>
      <c r="AL129">
        <v>0</v>
      </c>
      <c r="AM129">
        <v>12.87</v>
      </c>
      <c r="AN129">
        <v>0</v>
      </c>
      <c r="AO129">
        <v>0</v>
      </c>
      <c r="AP129">
        <v>0</v>
      </c>
      <c r="AQ129">
        <v>0</v>
      </c>
      <c r="AR129">
        <v>0</v>
      </c>
      <c r="AS129">
        <v>0</v>
      </c>
      <c r="AT129">
        <v>0</v>
      </c>
      <c r="AU129">
        <v>0</v>
      </c>
      <c r="AV129">
        <v>0</v>
      </c>
      <c r="AW129">
        <v>0</v>
      </c>
      <c r="AX129">
        <v>0</v>
      </c>
      <c r="AY129">
        <v>0</v>
      </c>
      <c r="AZ129">
        <v>0</v>
      </c>
      <c r="BA129">
        <v>0</v>
      </c>
      <c r="BB129">
        <v>0</v>
      </c>
      <c r="BC129">
        <v>0</v>
      </c>
      <c r="BD129">
        <v>0</v>
      </c>
      <c r="BE129">
        <v>0</v>
      </c>
      <c r="BF129">
        <v>0</v>
      </c>
      <c r="BG129">
        <v>0</v>
      </c>
      <c r="BH129">
        <v>1</v>
      </c>
      <c r="BI129">
        <v>2</v>
      </c>
      <c r="BJ129">
        <v>2.7</v>
      </c>
      <c r="BK129">
        <v>3</v>
      </c>
      <c r="BL129" s="4">
        <v>75.66</v>
      </c>
      <c r="BM129" s="4">
        <v>11.35</v>
      </c>
      <c r="BN129" s="4">
        <v>87.01</v>
      </c>
      <c r="BO129" s="4">
        <v>87.01</v>
      </c>
      <c r="BQ129" t="s">
        <v>83</v>
      </c>
      <c r="BR129" t="s">
        <v>84</v>
      </c>
      <c r="BS129" s="3">
        <v>43802</v>
      </c>
      <c r="BT129" s="5">
        <v>0.3576388888888889</v>
      </c>
      <c r="BU129" t="s">
        <v>418</v>
      </c>
      <c r="BV129" t="s">
        <v>86</v>
      </c>
      <c r="BY129">
        <v>13698.09</v>
      </c>
      <c r="BZ129" t="s">
        <v>27</v>
      </c>
      <c r="CA129" t="s">
        <v>419</v>
      </c>
      <c r="CC129" t="s">
        <v>80</v>
      </c>
      <c r="CD129">
        <v>6045</v>
      </c>
      <c r="CE129" t="s">
        <v>116</v>
      </c>
      <c r="CF129" s="3">
        <v>43804</v>
      </c>
      <c r="CI129">
        <v>1</v>
      </c>
      <c r="CJ129">
        <v>1</v>
      </c>
      <c r="CK129">
        <v>21</v>
      </c>
      <c r="CL129" t="s">
        <v>89</v>
      </c>
    </row>
    <row r="130" spans="1:90">
      <c r="A130" t="s">
        <v>72</v>
      </c>
      <c r="B130" t="s">
        <v>73</v>
      </c>
      <c r="C130" t="s">
        <v>74</v>
      </c>
      <c r="E130" t="str">
        <f>"FES1162726364"</f>
        <v>FES1162726364</v>
      </c>
      <c r="F130" s="3">
        <v>43802</v>
      </c>
      <c r="G130">
        <v>202006</v>
      </c>
      <c r="H130" t="s">
        <v>75</v>
      </c>
      <c r="I130" t="s">
        <v>76</v>
      </c>
      <c r="J130" t="s">
        <v>77</v>
      </c>
      <c r="K130" t="s">
        <v>78</v>
      </c>
      <c r="L130" t="s">
        <v>79</v>
      </c>
      <c r="M130" t="s">
        <v>80</v>
      </c>
      <c r="N130" t="s">
        <v>373</v>
      </c>
      <c r="O130" t="s">
        <v>82</v>
      </c>
      <c r="P130" t="str">
        <f>"2170719870                    "</f>
        <v xml:space="preserve">2170719870                    </v>
      </c>
      <c r="Q130">
        <v>0</v>
      </c>
      <c r="R130">
        <v>0</v>
      </c>
      <c r="S130">
        <v>0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0</v>
      </c>
      <c r="Z130">
        <v>0</v>
      </c>
      <c r="AA130">
        <v>0</v>
      </c>
      <c r="AB130">
        <v>0</v>
      </c>
      <c r="AC130">
        <v>0</v>
      </c>
      <c r="AD130">
        <v>0</v>
      </c>
      <c r="AE130">
        <v>0</v>
      </c>
      <c r="AF130">
        <v>0</v>
      </c>
      <c r="AG130">
        <v>0</v>
      </c>
      <c r="AH130">
        <v>0</v>
      </c>
      <c r="AI130">
        <v>0</v>
      </c>
      <c r="AJ130">
        <v>0</v>
      </c>
      <c r="AK130">
        <v>0</v>
      </c>
      <c r="AL130">
        <v>0</v>
      </c>
      <c r="AM130">
        <v>8.58</v>
      </c>
      <c r="AN130">
        <v>0</v>
      </c>
      <c r="AO130">
        <v>0</v>
      </c>
      <c r="AP130">
        <v>0</v>
      </c>
      <c r="AQ130">
        <v>0</v>
      </c>
      <c r="AR130">
        <v>0</v>
      </c>
      <c r="AS130">
        <v>0</v>
      </c>
      <c r="AT130">
        <v>0</v>
      </c>
      <c r="AU130">
        <v>0</v>
      </c>
      <c r="AV130">
        <v>0</v>
      </c>
      <c r="AW130">
        <v>0</v>
      </c>
      <c r="AX130">
        <v>0</v>
      </c>
      <c r="AY130">
        <v>0</v>
      </c>
      <c r="AZ130">
        <v>0</v>
      </c>
      <c r="BA130">
        <v>0</v>
      </c>
      <c r="BB130">
        <v>0</v>
      </c>
      <c r="BC130">
        <v>0</v>
      </c>
      <c r="BD130">
        <v>0</v>
      </c>
      <c r="BE130">
        <v>0</v>
      </c>
      <c r="BF130">
        <v>0</v>
      </c>
      <c r="BG130">
        <v>0</v>
      </c>
      <c r="BH130">
        <v>1</v>
      </c>
      <c r="BI130">
        <v>1</v>
      </c>
      <c r="BJ130">
        <v>0.2</v>
      </c>
      <c r="BK130">
        <v>1</v>
      </c>
      <c r="BL130" s="4">
        <v>50.45</v>
      </c>
      <c r="BM130" s="4">
        <v>7.57</v>
      </c>
      <c r="BN130" s="4">
        <v>58.02</v>
      </c>
      <c r="BO130" s="4">
        <v>58.02</v>
      </c>
      <c r="BQ130" t="s">
        <v>147</v>
      </c>
      <c r="BR130" t="s">
        <v>84</v>
      </c>
      <c r="BS130" s="3">
        <v>43803</v>
      </c>
      <c r="BT130" s="5">
        <v>0.42152777777777778</v>
      </c>
      <c r="BU130" t="s">
        <v>374</v>
      </c>
      <c r="BV130" t="s">
        <v>86</v>
      </c>
      <c r="BY130">
        <v>1200</v>
      </c>
      <c r="CA130" t="s">
        <v>185</v>
      </c>
      <c r="CC130" t="s">
        <v>80</v>
      </c>
      <c r="CD130">
        <v>6012</v>
      </c>
      <c r="CE130" t="s">
        <v>88</v>
      </c>
      <c r="CF130" s="3">
        <v>43804</v>
      </c>
      <c r="CI130">
        <v>1</v>
      </c>
      <c r="CJ130">
        <v>1</v>
      </c>
      <c r="CK130">
        <v>21</v>
      </c>
      <c r="CL130" t="s">
        <v>89</v>
      </c>
    </row>
    <row r="131" spans="1:90">
      <c r="A131" t="s">
        <v>72</v>
      </c>
      <c r="B131" t="s">
        <v>73</v>
      </c>
      <c r="C131" t="s">
        <v>74</v>
      </c>
      <c r="E131" t="str">
        <f>"FES1162726212"</f>
        <v>FES1162726212</v>
      </c>
      <c r="F131" s="3">
        <v>43801</v>
      </c>
      <c r="G131">
        <v>202006</v>
      </c>
      <c r="H131" t="s">
        <v>75</v>
      </c>
      <c r="I131" t="s">
        <v>76</v>
      </c>
      <c r="J131" t="s">
        <v>77</v>
      </c>
      <c r="K131" t="s">
        <v>78</v>
      </c>
      <c r="L131" t="s">
        <v>79</v>
      </c>
      <c r="M131" t="s">
        <v>80</v>
      </c>
      <c r="N131" t="s">
        <v>420</v>
      </c>
      <c r="O131" t="s">
        <v>82</v>
      </c>
      <c r="P131" t="str">
        <f>"2170715851                    "</f>
        <v xml:space="preserve">2170715851                    </v>
      </c>
      <c r="Q131">
        <v>0</v>
      </c>
      <c r="R131">
        <v>0</v>
      </c>
      <c r="S131">
        <v>0</v>
      </c>
      <c r="T131">
        <v>0</v>
      </c>
      <c r="U131">
        <v>0</v>
      </c>
      <c r="V131">
        <v>0</v>
      </c>
      <c r="W131">
        <v>0</v>
      </c>
      <c r="X131">
        <v>0</v>
      </c>
      <c r="Y131">
        <v>0</v>
      </c>
      <c r="Z131">
        <v>0</v>
      </c>
      <c r="AA131">
        <v>0</v>
      </c>
      <c r="AB131">
        <v>0</v>
      </c>
      <c r="AC131">
        <v>0</v>
      </c>
      <c r="AD131">
        <v>0</v>
      </c>
      <c r="AE131">
        <v>0</v>
      </c>
      <c r="AF131">
        <v>0</v>
      </c>
      <c r="AG131">
        <v>0</v>
      </c>
      <c r="AH131">
        <v>0</v>
      </c>
      <c r="AI131">
        <v>0</v>
      </c>
      <c r="AJ131">
        <v>0</v>
      </c>
      <c r="AK131">
        <v>0</v>
      </c>
      <c r="AL131">
        <v>0</v>
      </c>
      <c r="AM131">
        <v>34.31</v>
      </c>
      <c r="AN131">
        <v>0</v>
      </c>
      <c r="AO131">
        <v>0</v>
      </c>
      <c r="AP131">
        <v>0</v>
      </c>
      <c r="AQ131">
        <v>0</v>
      </c>
      <c r="AR131">
        <v>0</v>
      </c>
      <c r="AS131">
        <v>0</v>
      </c>
      <c r="AT131">
        <v>0</v>
      </c>
      <c r="AU131">
        <v>0</v>
      </c>
      <c r="AV131">
        <v>0</v>
      </c>
      <c r="AW131">
        <v>0</v>
      </c>
      <c r="AX131">
        <v>0</v>
      </c>
      <c r="AY131">
        <v>0</v>
      </c>
      <c r="AZ131">
        <v>0</v>
      </c>
      <c r="BA131">
        <v>0</v>
      </c>
      <c r="BB131">
        <v>0</v>
      </c>
      <c r="BC131">
        <v>0</v>
      </c>
      <c r="BD131">
        <v>0</v>
      </c>
      <c r="BE131">
        <v>0</v>
      </c>
      <c r="BF131">
        <v>0</v>
      </c>
      <c r="BG131">
        <v>0</v>
      </c>
      <c r="BH131">
        <v>1</v>
      </c>
      <c r="BI131">
        <v>8</v>
      </c>
      <c r="BJ131">
        <v>5.3</v>
      </c>
      <c r="BK131">
        <v>8</v>
      </c>
      <c r="BL131" s="4">
        <v>201.7</v>
      </c>
      <c r="BM131" s="4">
        <v>30.26</v>
      </c>
      <c r="BN131" s="4">
        <v>231.96</v>
      </c>
      <c r="BO131" s="4">
        <v>231.96</v>
      </c>
      <c r="BQ131" t="s">
        <v>147</v>
      </c>
      <c r="BR131" t="s">
        <v>84</v>
      </c>
      <c r="BS131" s="3">
        <v>43802</v>
      </c>
      <c r="BT131" s="5">
        <v>0.40069444444444446</v>
      </c>
      <c r="BU131" t="s">
        <v>421</v>
      </c>
      <c r="BV131" t="s">
        <v>86</v>
      </c>
      <c r="BY131">
        <v>26598.240000000002</v>
      </c>
      <c r="BZ131" t="s">
        <v>27</v>
      </c>
      <c r="CA131" t="s">
        <v>185</v>
      </c>
      <c r="CC131" t="s">
        <v>80</v>
      </c>
      <c r="CD131">
        <v>6001</v>
      </c>
      <c r="CE131" t="s">
        <v>96</v>
      </c>
      <c r="CF131" s="3">
        <v>43804</v>
      </c>
      <c r="CI131">
        <v>1</v>
      </c>
      <c r="CJ131">
        <v>1</v>
      </c>
      <c r="CK131">
        <v>21</v>
      </c>
      <c r="CL131" t="s">
        <v>89</v>
      </c>
    </row>
    <row r="132" spans="1:90">
      <c r="A132" t="s">
        <v>72</v>
      </c>
      <c r="B132" t="s">
        <v>73</v>
      </c>
      <c r="C132" t="s">
        <v>74</v>
      </c>
      <c r="E132" t="str">
        <f>"FES1162726445"</f>
        <v>FES1162726445</v>
      </c>
      <c r="F132" s="3">
        <v>43802</v>
      </c>
      <c r="G132">
        <v>202006</v>
      </c>
      <c r="H132" t="s">
        <v>75</v>
      </c>
      <c r="I132" t="s">
        <v>76</v>
      </c>
      <c r="J132" t="s">
        <v>77</v>
      </c>
      <c r="K132" t="s">
        <v>78</v>
      </c>
      <c r="L132" t="s">
        <v>164</v>
      </c>
      <c r="M132" t="s">
        <v>165</v>
      </c>
      <c r="N132" t="s">
        <v>238</v>
      </c>
      <c r="O132" t="s">
        <v>82</v>
      </c>
      <c r="P132" t="str">
        <f>"2170719852                    "</f>
        <v xml:space="preserve">2170719852                    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  <c r="AA132">
        <v>0</v>
      </c>
      <c r="AB132">
        <v>0</v>
      </c>
      <c r="AC132">
        <v>0</v>
      </c>
      <c r="AD132">
        <v>0</v>
      </c>
      <c r="AE132">
        <v>0</v>
      </c>
      <c r="AF132">
        <v>0</v>
      </c>
      <c r="AG132">
        <v>0</v>
      </c>
      <c r="AH132">
        <v>0</v>
      </c>
      <c r="AI132">
        <v>0</v>
      </c>
      <c r="AJ132">
        <v>0</v>
      </c>
      <c r="AK132">
        <v>0</v>
      </c>
      <c r="AL132">
        <v>0</v>
      </c>
      <c r="AM132">
        <v>8.58</v>
      </c>
      <c r="AN132">
        <v>0</v>
      </c>
      <c r="AO132">
        <v>0</v>
      </c>
      <c r="AP132">
        <v>0</v>
      </c>
      <c r="AQ132">
        <v>0</v>
      </c>
      <c r="AR132">
        <v>0</v>
      </c>
      <c r="AS132">
        <v>0</v>
      </c>
      <c r="AT132">
        <v>0</v>
      </c>
      <c r="AU132">
        <v>0</v>
      </c>
      <c r="AV132">
        <v>0</v>
      </c>
      <c r="AW132">
        <v>0</v>
      </c>
      <c r="AX132">
        <v>0</v>
      </c>
      <c r="AY132">
        <v>0</v>
      </c>
      <c r="AZ132">
        <v>0</v>
      </c>
      <c r="BA132">
        <v>0</v>
      </c>
      <c r="BB132">
        <v>0</v>
      </c>
      <c r="BC132">
        <v>0</v>
      </c>
      <c r="BD132">
        <v>0</v>
      </c>
      <c r="BE132">
        <v>0</v>
      </c>
      <c r="BF132">
        <v>0</v>
      </c>
      <c r="BG132">
        <v>0</v>
      </c>
      <c r="BH132">
        <v>1</v>
      </c>
      <c r="BI132">
        <v>1</v>
      </c>
      <c r="BJ132">
        <v>0.2</v>
      </c>
      <c r="BK132">
        <v>1</v>
      </c>
      <c r="BL132" s="4">
        <v>50.45</v>
      </c>
      <c r="BM132" s="4">
        <v>7.57</v>
      </c>
      <c r="BN132" s="4">
        <v>58.02</v>
      </c>
      <c r="BO132" s="4">
        <v>58.02</v>
      </c>
      <c r="BR132" t="s">
        <v>84</v>
      </c>
      <c r="BS132" s="3">
        <v>43803</v>
      </c>
      <c r="BT132" s="5">
        <v>0.40347222222222223</v>
      </c>
      <c r="BU132" t="s">
        <v>239</v>
      </c>
      <c r="BV132" t="s">
        <v>86</v>
      </c>
      <c r="BY132">
        <v>1200</v>
      </c>
      <c r="CA132" t="s">
        <v>168</v>
      </c>
      <c r="CC132" t="s">
        <v>165</v>
      </c>
      <c r="CD132">
        <v>5200</v>
      </c>
      <c r="CE132" t="s">
        <v>88</v>
      </c>
      <c r="CF132" s="3">
        <v>43808</v>
      </c>
      <c r="CI132">
        <v>1</v>
      </c>
      <c r="CJ132">
        <v>1</v>
      </c>
      <c r="CK132">
        <v>21</v>
      </c>
      <c r="CL132" t="s">
        <v>89</v>
      </c>
    </row>
    <row r="133" spans="1:90">
      <c r="A133" t="s">
        <v>72</v>
      </c>
      <c r="B133" t="s">
        <v>73</v>
      </c>
      <c r="C133" t="s">
        <v>74</v>
      </c>
      <c r="E133" t="str">
        <f>"FES1162726257"</f>
        <v>FES1162726257</v>
      </c>
      <c r="F133" s="3">
        <v>43801</v>
      </c>
      <c r="G133">
        <v>202006</v>
      </c>
      <c r="H133" t="s">
        <v>75</v>
      </c>
      <c r="I133" t="s">
        <v>76</v>
      </c>
      <c r="J133" t="s">
        <v>77</v>
      </c>
      <c r="K133" t="s">
        <v>78</v>
      </c>
      <c r="L133" t="s">
        <v>79</v>
      </c>
      <c r="M133" t="s">
        <v>80</v>
      </c>
      <c r="N133" t="s">
        <v>388</v>
      </c>
      <c r="O133" t="s">
        <v>82</v>
      </c>
      <c r="P133" t="str">
        <f>"2170719752                    "</f>
        <v xml:space="preserve">2170719752                    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0</v>
      </c>
      <c r="AA133">
        <v>0</v>
      </c>
      <c r="AB133">
        <v>0</v>
      </c>
      <c r="AC133">
        <v>0</v>
      </c>
      <c r="AD133">
        <v>0</v>
      </c>
      <c r="AE133">
        <v>0</v>
      </c>
      <c r="AF133">
        <v>0</v>
      </c>
      <c r="AG133">
        <v>0</v>
      </c>
      <c r="AH133">
        <v>0</v>
      </c>
      <c r="AI133">
        <v>0</v>
      </c>
      <c r="AJ133">
        <v>0</v>
      </c>
      <c r="AK133">
        <v>0</v>
      </c>
      <c r="AL133">
        <v>0</v>
      </c>
      <c r="AM133">
        <v>17.16</v>
      </c>
      <c r="AN133">
        <v>0</v>
      </c>
      <c r="AO133">
        <v>0</v>
      </c>
      <c r="AP133">
        <v>0</v>
      </c>
      <c r="AQ133">
        <v>0</v>
      </c>
      <c r="AR133">
        <v>0</v>
      </c>
      <c r="AS133">
        <v>0</v>
      </c>
      <c r="AT133">
        <v>0</v>
      </c>
      <c r="AU133">
        <v>0</v>
      </c>
      <c r="AV133">
        <v>0</v>
      </c>
      <c r="AW133">
        <v>0</v>
      </c>
      <c r="AX133">
        <v>0</v>
      </c>
      <c r="AY133">
        <v>0</v>
      </c>
      <c r="AZ133">
        <v>0</v>
      </c>
      <c r="BA133">
        <v>0</v>
      </c>
      <c r="BB133">
        <v>0</v>
      </c>
      <c r="BC133">
        <v>0</v>
      </c>
      <c r="BD133">
        <v>0</v>
      </c>
      <c r="BE133">
        <v>0</v>
      </c>
      <c r="BF133">
        <v>0</v>
      </c>
      <c r="BG133">
        <v>0</v>
      </c>
      <c r="BH133">
        <v>1</v>
      </c>
      <c r="BI133">
        <v>4</v>
      </c>
      <c r="BJ133">
        <v>3.4</v>
      </c>
      <c r="BK133">
        <v>4</v>
      </c>
      <c r="BL133" s="4">
        <v>100.87</v>
      </c>
      <c r="BM133" s="4">
        <v>15.13</v>
      </c>
      <c r="BN133" s="4">
        <v>116</v>
      </c>
      <c r="BO133" s="4">
        <v>116</v>
      </c>
      <c r="BQ133" t="s">
        <v>147</v>
      </c>
      <c r="BR133" t="s">
        <v>84</v>
      </c>
      <c r="BS133" s="3">
        <v>43802</v>
      </c>
      <c r="BT133" s="5">
        <v>0.35833333333333334</v>
      </c>
      <c r="BU133" t="s">
        <v>368</v>
      </c>
      <c r="BV133" t="s">
        <v>86</v>
      </c>
      <c r="BY133">
        <v>16868.87</v>
      </c>
      <c r="BZ133" t="s">
        <v>27</v>
      </c>
      <c r="CA133" t="s">
        <v>131</v>
      </c>
      <c r="CC133" t="s">
        <v>80</v>
      </c>
      <c r="CD133">
        <v>6001</v>
      </c>
      <c r="CE133" t="s">
        <v>96</v>
      </c>
      <c r="CF133" s="3">
        <v>43804</v>
      </c>
      <c r="CI133">
        <v>1</v>
      </c>
      <c r="CJ133">
        <v>1</v>
      </c>
      <c r="CK133">
        <v>21</v>
      </c>
      <c r="CL133" t="s">
        <v>89</v>
      </c>
    </row>
    <row r="134" spans="1:90">
      <c r="A134" t="s">
        <v>72</v>
      </c>
      <c r="B134" t="s">
        <v>73</v>
      </c>
      <c r="C134" t="s">
        <v>74</v>
      </c>
      <c r="E134" t="str">
        <f>"FES1162726385"</f>
        <v>FES1162726385</v>
      </c>
      <c r="F134" s="3">
        <v>43802</v>
      </c>
      <c r="G134">
        <v>202006</v>
      </c>
      <c r="H134" t="s">
        <v>75</v>
      </c>
      <c r="I134" t="s">
        <v>76</v>
      </c>
      <c r="J134" t="s">
        <v>77</v>
      </c>
      <c r="K134" t="s">
        <v>78</v>
      </c>
      <c r="L134" t="s">
        <v>75</v>
      </c>
      <c r="M134" t="s">
        <v>76</v>
      </c>
      <c r="N134" t="s">
        <v>422</v>
      </c>
      <c r="O134" t="s">
        <v>82</v>
      </c>
      <c r="P134" t="str">
        <f>"2170719463                    "</f>
        <v xml:space="preserve">2170719463                    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0</v>
      </c>
      <c r="Y134">
        <v>0</v>
      </c>
      <c r="Z134">
        <v>0</v>
      </c>
      <c r="AA134">
        <v>0</v>
      </c>
      <c r="AB134">
        <v>0</v>
      </c>
      <c r="AC134">
        <v>0</v>
      </c>
      <c r="AD134">
        <v>0</v>
      </c>
      <c r="AE134">
        <v>0</v>
      </c>
      <c r="AF134">
        <v>0</v>
      </c>
      <c r="AG134">
        <v>0</v>
      </c>
      <c r="AH134">
        <v>0</v>
      </c>
      <c r="AI134">
        <v>0</v>
      </c>
      <c r="AJ134">
        <v>0</v>
      </c>
      <c r="AK134">
        <v>0</v>
      </c>
      <c r="AL134">
        <v>0</v>
      </c>
      <c r="AM134">
        <v>6.71</v>
      </c>
      <c r="AN134">
        <v>0</v>
      </c>
      <c r="AO134">
        <v>0</v>
      </c>
      <c r="AP134">
        <v>0</v>
      </c>
      <c r="AQ134">
        <v>0</v>
      </c>
      <c r="AR134">
        <v>0</v>
      </c>
      <c r="AS134">
        <v>0</v>
      </c>
      <c r="AT134">
        <v>0</v>
      </c>
      <c r="AU134">
        <v>0</v>
      </c>
      <c r="AV134">
        <v>0</v>
      </c>
      <c r="AW134">
        <v>0</v>
      </c>
      <c r="AX134">
        <v>0</v>
      </c>
      <c r="AY134">
        <v>0</v>
      </c>
      <c r="AZ134">
        <v>0</v>
      </c>
      <c r="BA134">
        <v>0</v>
      </c>
      <c r="BB134">
        <v>0</v>
      </c>
      <c r="BC134">
        <v>0</v>
      </c>
      <c r="BD134">
        <v>0</v>
      </c>
      <c r="BE134">
        <v>0</v>
      </c>
      <c r="BF134">
        <v>0</v>
      </c>
      <c r="BG134">
        <v>0</v>
      </c>
      <c r="BH134">
        <v>1</v>
      </c>
      <c r="BI134">
        <v>1</v>
      </c>
      <c r="BJ134">
        <v>0.2</v>
      </c>
      <c r="BK134">
        <v>1</v>
      </c>
      <c r="BL134" s="4">
        <v>39.42</v>
      </c>
      <c r="BM134" s="4">
        <v>5.91</v>
      </c>
      <c r="BN134" s="4">
        <v>45.33</v>
      </c>
      <c r="BO134" s="4">
        <v>45.33</v>
      </c>
      <c r="BQ134" t="s">
        <v>147</v>
      </c>
      <c r="BR134" t="s">
        <v>84</v>
      </c>
      <c r="BS134" s="3">
        <v>43803</v>
      </c>
      <c r="BT134" s="5">
        <v>0.28819444444444448</v>
      </c>
      <c r="BU134" t="s">
        <v>423</v>
      </c>
      <c r="BV134" t="s">
        <v>86</v>
      </c>
      <c r="BY134">
        <v>1200</v>
      </c>
      <c r="CA134" t="s">
        <v>155</v>
      </c>
      <c r="CC134" t="s">
        <v>76</v>
      </c>
      <c r="CD134">
        <v>1601</v>
      </c>
      <c r="CE134" t="s">
        <v>88</v>
      </c>
      <c r="CF134" s="3">
        <v>43804</v>
      </c>
      <c r="CI134">
        <v>1</v>
      </c>
      <c r="CJ134">
        <v>1</v>
      </c>
      <c r="CK134">
        <v>22</v>
      </c>
      <c r="CL134" t="s">
        <v>89</v>
      </c>
    </row>
    <row r="135" spans="1:90">
      <c r="A135" t="s">
        <v>72</v>
      </c>
      <c r="B135" t="s">
        <v>73</v>
      </c>
      <c r="C135" t="s">
        <v>74</v>
      </c>
      <c r="E135" t="str">
        <f>"FES1162726371"</f>
        <v>FES1162726371</v>
      </c>
      <c r="F135" s="3">
        <v>43802</v>
      </c>
      <c r="G135">
        <v>202006</v>
      </c>
      <c r="H135" t="s">
        <v>75</v>
      </c>
      <c r="I135" t="s">
        <v>76</v>
      </c>
      <c r="J135" t="s">
        <v>77</v>
      </c>
      <c r="K135" t="s">
        <v>78</v>
      </c>
      <c r="L135" t="s">
        <v>79</v>
      </c>
      <c r="M135" t="s">
        <v>80</v>
      </c>
      <c r="N135" t="s">
        <v>97</v>
      </c>
      <c r="O135" t="s">
        <v>82</v>
      </c>
      <c r="P135" t="str">
        <f>"2170715452                    "</f>
        <v xml:space="preserve">2170715452                    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0</v>
      </c>
      <c r="W135">
        <v>0</v>
      </c>
      <c r="X135">
        <v>0</v>
      </c>
      <c r="Y135">
        <v>0</v>
      </c>
      <c r="Z135">
        <v>0</v>
      </c>
      <c r="AA135">
        <v>0</v>
      </c>
      <c r="AB135">
        <v>0</v>
      </c>
      <c r="AC135">
        <v>0</v>
      </c>
      <c r="AD135">
        <v>0</v>
      </c>
      <c r="AE135">
        <v>0</v>
      </c>
      <c r="AF135">
        <v>0</v>
      </c>
      <c r="AG135">
        <v>0</v>
      </c>
      <c r="AH135">
        <v>0</v>
      </c>
      <c r="AI135">
        <v>0</v>
      </c>
      <c r="AJ135">
        <v>0</v>
      </c>
      <c r="AK135">
        <v>0</v>
      </c>
      <c r="AL135">
        <v>0</v>
      </c>
      <c r="AM135">
        <v>8.58</v>
      </c>
      <c r="AN135">
        <v>0</v>
      </c>
      <c r="AO135">
        <v>0</v>
      </c>
      <c r="AP135">
        <v>0</v>
      </c>
      <c r="AQ135">
        <v>0</v>
      </c>
      <c r="AR135">
        <v>0</v>
      </c>
      <c r="AS135">
        <v>0</v>
      </c>
      <c r="AT135">
        <v>0</v>
      </c>
      <c r="AU135">
        <v>0</v>
      </c>
      <c r="AV135">
        <v>0</v>
      </c>
      <c r="AW135">
        <v>0</v>
      </c>
      <c r="AX135">
        <v>0</v>
      </c>
      <c r="AY135">
        <v>0</v>
      </c>
      <c r="AZ135">
        <v>0</v>
      </c>
      <c r="BA135">
        <v>0</v>
      </c>
      <c r="BB135">
        <v>0</v>
      </c>
      <c r="BC135">
        <v>0</v>
      </c>
      <c r="BD135">
        <v>0</v>
      </c>
      <c r="BE135">
        <v>0</v>
      </c>
      <c r="BF135">
        <v>0</v>
      </c>
      <c r="BG135">
        <v>0</v>
      </c>
      <c r="BH135">
        <v>1</v>
      </c>
      <c r="BI135">
        <v>1</v>
      </c>
      <c r="BJ135">
        <v>0.2</v>
      </c>
      <c r="BK135">
        <v>1</v>
      </c>
      <c r="BL135" s="4">
        <v>50.45</v>
      </c>
      <c r="BM135" s="4">
        <v>7.57</v>
      </c>
      <c r="BN135" s="4">
        <v>58.02</v>
      </c>
      <c r="BO135" s="4">
        <v>58.02</v>
      </c>
      <c r="BQ135" t="s">
        <v>93</v>
      </c>
      <c r="BR135" t="s">
        <v>84</v>
      </c>
      <c r="BS135" s="3">
        <v>43803</v>
      </c>
      <c r="BT135" s="5">
        <v>0.33333333333333331</v>
      </c>
      <c r="BU135" t="s">
        <v>98</v>
      </c>
      <c r="BV135" t="s">
        <v>86</v>
      </c>
      <c r="BY135">
        <v>1200</v>
      </c>
      <c r="CA135" t="s">
        <v>99</v>
      </c>
      <c r="CC135" t="s">
        <v>80</v>
      </c>
      <c r="CD135">
        <v>6001</v>
      </c>
      <c r="CE135" t="s">
        <v>88</v>
      </c>
      <c r="CF135" s="3">
        <v>43804</v>
      </c>
      <c r="CI135">
        <v>1</v>
      </c>
      <c r="CJ135">
        <v>1</v>
      </c>
      <c r="CK135">
        <v>21</v>
      </c>
      <c r="CL135" t="s">
        <v>89</v>
      </c>
    </row>
    <row r="136" spans="1:90">
      <c r="A136" t="s">
        <v>72</v>
      </c>
      <c r="B136" t="s">
        <v>73</v>
      </c>
      <c r="C136" t="s">
        <v>74</v>
      </c>
      <c r="E136" t="str">
        <f>"FES1162726247"</f>
        <v>FES1162726247</v>
      </c>
      <c r="F136" s="3">
        <v>43801</v>
      </c>
      <c r="G136">
        <v>202006</v>
      </c>
      <c r="H136" t="s">
        <v>75</v>
      </c>
      <c r="I136" t="s">
        <v>76</v>
      </c>
      <c r="J136" t="s">
        <v>77</v>
      </c>
      <c r="K136" t="s">
        <v>78</v>
      </c>
      <c r="L136" t="s">
        <v>198</v>
      </c>
      <c r="M136" t="s">
        <v>199</v>
      </c>
      <c r="N136" t="s">
        <v>424</v>
      </c>
      <c r="O136" t="s">
        <v>82</v>
      </c>
      <c r="P136" t="str">
        <f>"2170719736                    "</f>
        <v xml:space="preserve">2170719736                    </v>
      </c>
      <c r="Q136">
        <v>0</v>
      </c>
      <c r="R136">
        <v>0</v>
      </c>
      <c r="S136">
        <v>0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0</v>
      </c>
      <c r="AA136">
        <v>0</v>
      </c>
      <c r="AB136">
        <v>0</v>
      </c>
      <c r="AC136">
        <v>0</v>
      </c>
      <c r="AD136">
        <v>0</v>
      </c>
      <c r="AE136">
        <v>0</v>
      </c>
      <c r="AF136">
        <v>0</v>
      </c>
      <c r="AG136">
        <v>0</v>
      </c>
      <c r="AH136">
        <v>0</v>
      </c>
      <c r="AI136">
        <v>0</v>
      </c>
      <c r="AJ136">
        <v>0</v>
      </c>
      <c r="AK136">
        <v>0</v>
      </c>
      <c r="AL136">
        <v>0</v>
      </c>
      <c r="AM136">
        <v>8.58</v>
      </c>
      <c r="AN136">
        <v>0</v>
      </c>
      <c r="AO136">
        <v>0</v>
      </c>
      <c r="AP136">
        <v>0</v>
      </c>
      <c r="AQ136">
        <v>0</v>
      </c>
      <c r="AR136">
        <v>0</v>
      </c>
      <c r="AS136">
        <v>0</v>
      </c>
      <c r="AT136">
        <v>0</v>
      </c>
      <c r="AU136">
        <v>0</v>
      </c>
      <c r="AV136">
        <v>0</v>
      </c>
      <c r="AW136">
        <v>0</v>
      </c>
      <c r="AX136">
        <v>0</v>
      </c>
      <c r="AY136">
        <v>0</v>
      </c>
      <c r="AZ136">
        <v>0</v>
      </c>
      <c r="BA136">
        <v>0</v>
      </c>
      <c r="BB136">
        <v>0</v>
      </c>
      <c r="BC136">
        <v>0</v>
      </c>
      <c r="BD136">
        <v>0</v>
      </c>
      <c r="BE136">
        <v>0</v>
      </c>
      <c r="BF136">
        <v>0</v>
      </c>
      <c r="BG136">
        <v>0</v>
      </c>
      <c r="BH136">
        <v>1</v>
      </c>
      <c r="BI136">
        <v>1</v>
      </c>
      <c r="BJ136">
        <v>0.2</v>
      </c>
      <c r="BK136">
        <v>1</v>
      </c>
      <c r="BL136" s="4">
        <v>50.45</v>
      </c>
      <c r="BM136" s="4">
        <v>7.57</v>
      </c>
      <c r="BN136" s="4">
        <v>58.02</v>
      </c>
      <c r="BO136" s="4">
        <v>58.02</v>
      </c>
      <c r="BQ136" t="s">
        <v>147</v>
      </c>
      <c r="BR136" t="s">
        <v>84</v>
      </c>
      <c r="BS136" s="3">
        <v>43802</v>
      </c>
      <c r="BT136" s="5">
        <v>0.39305555555555555</v>
      </c>
      <c r="BU136" t="s">
        <v>425</v>
      </c>
      <c r="BV136" t="s">
        <v>86</v>
      </c>
      <c r="BY136">
        <v>1200</v>
      </c>
      <c r="BZ136" t="s">
        <v>27</v>
      </c>
      <c r="CA136" t="s">
        <v>212</v>
      </c>
      <c r="CC136" t="s">
        <v>199</v>
      </c>
      <c r="CD136">
        <v>4001</v>
      </c>
      <c r="CE136" t="s">
        <v>88</v>
      </c>
      <c r="CF136" s="3">
        <v>43803</v>
      </c>
      <c r="CI136">
        <v>1</v>
      </c>
      <c r="CJ136">
        <v>1</v>
      </c>
      <c r="CK136">
        <v>21</v>
      </c>
      <c r="CL136" t="s">
        <v>89</v>
      </c>
    </row>
    <row r="137" spans="1:90">
      <c r="A137" t="s">
        <v>72</v>
      </c>
      <c r="B137" t="s">
        <v>73</v>
      </c>
      <c r="C137" t="s">
        <v>74</v>
      </c>
      <c r="E137" t="str">
        <f>"FES1162726488"</f>
        <v>FES1162726488</v>
      </c>
      <c r="F137" s="3">
        <v>43802</v>
      </c>
      <c r="G137">
        <v>202006</v>
      </c>
      <c r="H137" t="s">
        <v>75</v>
      </c>
      <c r="I137" t="s">
        <v>76</v>
      </c>
      <c r="J137" t="s">
        <v>77</v>
      </c>
      <c r="K137" t="s">
        <v>78</v>
      </c>
      <c r="L137" t="s">
        <v>151</v>
      </c>
      <c r="M137" t="s">
        <v>102</v>
      </c>
      <c r="N137" t="s">
        <v>103</v>
      </c>
      <c r="O137" t="s">
        <v>82</v>
      </c>
      <c r="P137" t="str">
        <f>"2170719921                    "</f>
        <v xml:space="preserve">2170719921                    </v>
      </c>
      <c r="Q137">
        <v>0</v>
      </c>
      <c r="R137">
        <v>0</v>
      </c>
      <c r="S137">
        <v>0</v>
      </c>
      <c r="T137">
        <v>0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0</v>
      </c>
      <c r="AA137">
        <v>0</v>
      </c>
      <c r="AB137">
        <v>0</v>
      </c>
      <c r="AC137">
        <v>0</v>
      </c>
      <c r="AD137">
        <v>0</v>
      </c>
      <c r="AE137">
        <v>0</v>
      </c>
      <c r="AF137">
        <v>0</v>
      </c>
      <c r="AG137">
        <v>0</v>
      </c>
      <c r="AH137">
        <v>0</v>
      </c>
      <c r="AI137">
        <v>0</v>
      </c>
      <c r="AJ137">
        <v>0</v>
      </c>
      <c r="AK137">
        <v>0</v>
      </c>
      <c r="AL137">
        <v>0</v>
      </c>
      <c r="AM137">
        <v>8.58</v>
      </c>
      <c r="AN137">
        <v>0</v>
      </c>
      <c r="AO137">
        <v>0</v>
      </c>
      <c r="AP137">
        <v>0</v>
      </c>
      <c r="AQ137">
        <v>0</v>
      </c>
      <c r="AR137">
        <v>0</v>
      </c>
      <c r="AS137">
        <v>0</v>
      </c>
      <c r="AT137">
        <v>0</v>
      </c>
      <c r="AU137">
        <v>0</v>
      </c>
      <c r="AV137">
        <v>0</v>
      </c>
      <c r="AW137">
        <v>0</v>
      </c>
      <c r="AX137">
        <v>0</v>
      </c>
      <c r="AY137">
        <v>0</v>
      </c>
      <c r="AZ137">
        <v>0</v>
      </c>
      <c r="BA137">
        <v>0</v>
      </c>
      <c r="BB137">
        <v>0</v>
      </c>
      <c r="BC137">
        <v>0</v>
      </c>
      <c r="BD137">
        <v>0</v>
      </c>
      <c r="BE137">
        <v>0</v>
      </c>
      <c r="BF137">
        <v>0</v>
      </c>
      <c r="BG137">
        <v>0</v>
      </c>
      <c r="BH137">
        <v>1</v>
      </c>
      <c r="BI137">
        <v>1</v>
      </c>
      <c r="BJ137">
        <v>0.2</v>
      </c>
      <c r="BK137">
        <v>1</v>
      </c>
      <c r="BL137" s="4">
        <v>50.45</v>
      </c>
      <c r="BM137" s="4">
        <v>7.57</v>
      </c>
      <c r="BN137" s="4">
        <v>58.02</v>
      </c>
      <c r="BO137" s="4">
        <v>58.02</v>
      </c>
      <c r="BQ137" t="s">
        <v>93</v>
      </c>
      <c r="BR137" t="s">
        <v>84</v>
      </c>
      <c r="BS137" s="3">
        <v>43803</v>
      </c>
      <c r="BT137" s="5">
        <v>0.39930555555555558</v>
      </c>
      <c r="BU137" t="s">
        <v>426</v>
      </c>
      <c r="BV137" t="s">
        <v>86</v>
      </c>
      <c r="BY137">
        <v>1200</v>
      </c>
      <c r="CA137" t="s">
        <v>107</v>
      </c>
      <c r="CC137" t="s">
        <v>102</v>
      </c>
      <c r="CD137">
        <v>1</v>
      </c>
      <c r="CE137" t="s">
        <v>88</v>
      </c>
      <c r="CF137" s="3">
        <v>43804</v>
      </c>
      <c r="CI137">
        <v>1</v>
      </c>
      <c r="CJ137">
        <v>1</v>
      </c>
      <c r="CK137">
        <v>21</v>
      </c>
      <c r="CL137" t="s">
        <v>89</v>
      </c>
    </row>
    <row r="138" spans="1:90">
      <c r="A138" t="s">
        <v>72</v>
      </c>
      <c r="B138" t="s">
        <v>73</v>
      </c>
      <c r="C138" t="s">
        <v>74</v>
      </c>
      <c r="E138" t="str">
        <f>"FES1162726280"</f>
        <v>FES1162726280</v>
      </c>
      <c r="F138" s="3">
        <v>43801</v>
      </c>
      <c r="G138">
        <v>202006</v>
      </c>
      <c r="H138" t="s">
        <v>75</v>
      </c>
      <c r="I138" t="s">
        <v>76</v>
      </c>
      <c r="J138" t="s">
        <v>77</v>
      </c>
      <c r="K138" t="s">
        <v>78</v>
      </c>
      <c r="L138" t="s">
        <v>201</v>
      </c>
      <c r="M138" t="s">
        <v>202</v>
      </c>
      <c r="N138" t="s">
        <v>427</v>
      </c>
      <c r="O138" t="s">
        <v>82</v>
      </c>
      <c r="P138" t="str">
        <f>"2170719783                    "</f>
        <v xml:space="preserve">2170719783                    </v>
      </c>
      <c r="Q138">
        <v>0</v>
      </c>
      <c r="R138">
        <v>0</v>
      </c>
      <c r="S138">
        <v>0</v>
      </c>
      <c r="T138">
        <v>0</v>
      </c>
      <c r="U138">
        <v>0</v>
      </c>
      <c r="V138">
        <v>0</v>
      </c>
      <c r="W138">
        <v>0</v>
      </c>
      <c r="X138">
        <v>0</v>
      </c>
      <c r="Y138">
        <v>0</v>
      </c>
      <c r="Z138">
        <v>0</v>
      </c>
      <c r="AA138">
        <v>0</v>
      </c>
      <c r="AB138">
        <v>0</v>
      </c>
      <c r="AC138">
        <v>0</v>
      </c>
      <c r="AD138">
        <v>0</v>
      </c>
      <c r="AE138">
        <v>0</v>
      </c>
      <c r="AF138">
        <v>0</v>
      </c>
      <c r="AG138">
        <v>0</v>
      </c>
      <c r="AH138">
        <v>0</v>
      </c>
      <c r="AI138">
        <v>0</v>
      </c>
      <c r="AJ138">
        <v>0</v>
      </c>
      <c r="AK138">
        <v>0</v>
      </c>
      <c r="AL138">
        <v>0</v>
      </c>
      <c r="AM138">
        <v>8.58</v>
      </c>
      <c r="AN138">
        <v>0</v>
      </c>
      <c r="AO138">
        <v>0</v>
      </c>
      <c r="AP138">
        <v>0</v>
      </c>
      <c r="AQ138">
        <v>0</v>
      </c>
      <c r="AR138">
        <v>0</v>
      </c>
      <c r="AS138">
        <v>0</v>
      </c>
      <c r="AT138">
        <v>0</v>
      </c>
      <c r="AU138">
        <v>0</v>
      </c>
      <c r="AV138">
        <v>0</v>
      </c>
      <c r="AW138">
        <v>0</v>
      </c>
      <c r="AX138">
        <v>0</v>
      </c>
      <c r="AY138">
        <v>0</v>
      </c>
      <c r="AZ138">
        <v>0</v>
      </c>
      <c r="BA138">
        <v>0</v>
      </c>
      <c r="BB138">
        <v>0</v>
      </c>
      <c r="BC138">
        <v>0</v>
      </c>
      <c r="BD138">
        <v>0</v>
      </c>
      <c r="BE138">
        <v>0</v>
      </c>
      <c r="BF138">
        <v>0</v>
      </c>
      <c r="BG138">
        <v>0</v>
      </c>
      <c r="BH138">
        <v>1</v>
      </c>
      <c r="BI138">
        <v>1</v>
      </c>
      <c r="BJ138">
        <v>0.2</v>
      </c>
      <c r="BK138">
        <v>1</v>
      </c>
      <c r="BL138" s="4">
        <v>50.45</v>
      </c>
      <c r="BM138" s="4">
        <v>7.57</v>
      </c>
      <c r="BN138" s="4">
        <v>58.02</v>
      </c>
      <c r="BO138" s="4">
        <v>58.02</v>
      </c>
      <c r="BR138" t="s">
        <v>84</v>
      </c>
      <c r="BS138" s="3">
        <v>43802</v>
      </c>
      <c r="BT138" s="5">
        <v>0.3611111111111111</v>
      </c>
      <c r="BU138" t="s">
        <v>428</v>
      </c>
      <c r="BV138" t="s">
        <v>86</v>
      </c>
      <c r="BY138">
        <v>1200</v>
      </c>
      <c r="BZ138" t="s">
        <v>27</v>
      </c>
      <c r="CA138" t="s">
        <v>205</v>
      </c>
      <c r="CC138" t="s">
        <v>202</v>
      </c>
      <c r="CD138">
        <v>3610</v>
      </c>
      <c r="CE138" t="s">
        <v>88</v>
      </c>
      <c r="CI138">
        <v>1</v>
      </c>
      <c r="CJ138">
        <v>1</v>
      </c>
      <c r="CK138">
        <v>21</v>
      </c>
      <c r="CL138" t="s">
        <v>89</v>
      </c>
    </row>
    <row r="139" spans="1:90">
      <c r="A139" t="s">
        <v>72</v>
      </c>
      <c r="B139" t="s">
        <v>73</v>
      </c>
      <c r="C139" t="s">
        <v>74</v>
      </c>
      <c r="E139" t="str">
        <f>"FES1162726368"</f>
        <v>FES1162726368</v>
      </c>
      <c r="F139" s="3">
        <v>43802</v>
      </c>
      <c r="G139">
        <v>202006</v>
      </c>
      <c r="H139" t="s">
        <v>75</v>
      </c>
      <c r="I139" t="s">
        <v>76</v>
      </c>
      <c r="J139" t="s">
        <v>77</v>
      </c>
      <c r="K139" t="s">
        <v>78</v>
      </c>
      <c r="L139" t="s">
        <v>79</v>
      </c>
      <c r="M139" t="s">
        <v>80</v>
      </c>
      <c r="N139" t="s">
        <v>97</v>
      </c>
      <c r="O139" t="s">
        <v>82</v>
      </c>
      <c r="P139" t="str">
        <f>"21707141222                   "</f>
        <v xml:space="preserve">21707141222                   </v>
      </c>
      <c r="Q139">
        <v>0</v>
      </c>
      <c r="R139">
        <v>0</v>
      </c>
      <c r="S139">
        <v>0</v>
      </c>
      <c r="T139">
        <v>0</v>
      </c>
      <c r="U139">
        <v>0</v>
      </c>
      <c r="V139">
        <v>0</v>
      </c>
      <c r="W139">
        <v>0</v>
      </c>
      <c r="X139">
        <v>0</v>
      </c>
      <c r="Y139">
        <v>0</v>
      </c>
      <c r="Z139">
        <v>0</v>
      </c>
      <c r="AA139">
        <v>0</v>
      </c>
      <c r="AB139">
        <v>0</v>
      </c>
      <c r="AC139">
        <v>0</v>
      </c>
      <c r="AD139">
        <v>0</v>
      </c>
      <c r="AE139">
        <v>0</v>
      </c>
      <c r="AF139">
        <v>0</v>
      </c>
      <c r="AG139">
        <v>0</v>
      </c>
      <c r="AH139">
        <v>0</v>
      </c>
      <c r="AI139">
        <v>0</v>
      </c>
      <c r="AJ139">
        <v>0</v>
      </c>
      <c r="AK139">
        <v>0</v>
      </c>
      <c r="AL139">
        <v>0</v>
      </c>
      <c r="AM139">
        <v>8.58</v>
      </c>
      <c r="AN139">
        <v>0</v>
      </c>
      <c r="AO139">
        <v>0</v>
      </c>
      <c r="AP139">
        <v>0</v>
      </c>
      <c r="AQ139">
        <v>0</v>
      </c>
      <c r="AR139">
        <v>0</v>
      </c>
      <c r="AS139">
        <v>0</v>
      </c>
      <c r="AT139">
        <v>0</v>
      </c>
      <c r="AU139">
        <v>0</v>
      </c>
      <c r="AV139">
        <v>0</v>
      </c>
      <c r="AW139">
        <v>0</v>
      </c>
      <c r="AX139">
        <v>0</v>
      </c>
      <c r="AY139">
        <v>0</v>
      </c>
      <c r="AZ139">
        <v>0</v>
      </c>
      <c r="BA139">
        <v>0</v>
      </c>
      <c r="BB139">
        <v>0</v>
      </c>
      <c r="BC139">
        <v>0</v>
      </c>
      <c r="BD139">
        <v>0</v>
      </c>
      <c r="BE139">
        <v>0</v>
      </c>
      <c r="BF139">
        <v>0</v>
      </c>
      <c r="BG139">
        <v>0</v>
      </c>
      <c r="BH139">
        <v>1</v>
      </c>
      <c r="BI139">
        <v>1</v>
      </c>
      <c r="BJ139">
        <v>0.2</v>
      </c>
      <c r="BK139">
        <v>1</v>
      </c>
      <c r="BL139" s="4">
        <v>50.45</v>
      </c>
      <c r="BM139" s="4">
        <v>7.57</v>
      </c>
      <c r="BN139" s="4">
        <v>58.02</v>
      </c>
      <c r="BO139" s="4">
        <v>58.02</v>
      </c>
      <c r="BQ139" t="s">
        <v>93</v>
      </c>
      <c r="BR139" t="s">
        <v>84</v>
      </c>
      <c r="BS139" s="3">
        <v>43803</v>
      </c>
      <c r="BT139" s="5">
        <v>0.34027777777777773</v>
      </c>
      <c r="BU139" t="s">
        <v>429</v>
      </c>
      <c r="BV139" t="s">
        <v>86</v>
      </c>
      <c r="BY139">
        <v>1200</v>
      </c>
      <c r="CA139" t="s">
        <v>99</v>
      </c>
      <c r="CC139" t="s">
        <v>80</v>
      </c>
      <c r="CD139">
        <v>6001</v>
      </c>
      <c r="CE139" t="s">
        <v>88</v>
      </c>
      <c r="CF139" s="3">
        <v>43804</v>
      </c>
      <c r="CI139">
        <v>1</v>
      </c>
      <c r="CJ139">
        <v>1</v>
      </c>
      <c r="CK139">
        <v>21</v>
      </c>
      <c r="CL139" t="s">
        <v>89</v>
      </c>
    </row>
    <row r="140" spans="1:90">
      <c r="A140" t="s">
        <v>72</v>
      </c>
      <c r="B140" t="s">
        <v>73</v>
      </c>
      <c r="C140" t="s">
        <v>74</v>
      </c>
      <c r="E140" t="str">
        <f>"FES1162726430"</f>
        <v>FES1162726430</v>
      </c>
      <c r="F140" s="3">
        <v>43802</v>
      </c>
      <c r="G140">
        <v>202006</v>
      </c>
      <c r="H140" t="s">
        <v>75</v>
      </c>
      <c r="I140" t="s">
        <v>76</v>
      </c>
      <c r="J140" t="s">
        <v>77</v>
      </c>
      <c r="K140" t="s">
        <v>78</v>
      </c>
      <c r="L140" t="s">
        <v>430</v>
      </c>
      <c r="M140" t="s">
        <v>431</v>
      </c>
      <c r="N140" t="s">
        <v>432</v>
      </c>
      <c r="O140" t="s">
        <v>82</v>
      </c>
      <c r="P140" t="str">
        <f>"2170719673                    "</f>
        <v xml:space="preserve">2170719673                    </v>
      </c>
      <c r="Q140">
        <v>0</v>
      </c>
      <c r="R140">
        <v>0</v>
      </c>
      <c r="S140">
        <v>0</v>
      </c>
      <c r="T140">
        <v>0</v>
      </c>
      <c r="U140">
        <v>0</v>
      </c>
      <c r="V140">
        <v>0</v>
      </c>
      <c r="W140">
        <v>0</v>
      </c>
      <c r="X140">
        <v>0</v>
      </c>
      <c r="Y140">
        <v>0</v>
      </c>
      <c r="Z140">
        <v>0</v>
      </c>
      <c r="AA140">
        <v>0</v>
      </c>
      <c r="AB140">
        <v>0</v>
      </c>
      <c r="AC140">
        <v>0</v>
      </c>
      <c r="AD140">
        <v>0</v>
      </c>
      <c r="AE140">
        <v>0</v>
      </c>
      <c r="AF140">
        <v>0</v>
      </c>
      <c r="AG140">
        <v>0</v>
      </c>
      <c r="AH140">
        <v>0</v>
      </c>
      <c r="AI140">
        <v>0</v>
      </c>
      <c r="AJ140">
        <v>0</v>
      </c>
      <c r="AK140">
        <v>0</v>
      </c>
      <c r="AL140">
        <v>0</v>
      </c>
      <c r="AM140">
        <v>12.07</v>
      </c>
      <c r="AN140">
        <v>0</v>
      </c>
      <c r="AO140">
        <v>0</v>
      </c>
      <c r="AP140">
        <v>0</v>
      </c>
      <c r="AQ140">
        <v>0</v>
      </c>
      <c r="AR140">
        <v>0</v>
      </c>
      <c r="AS140">
        <v>0</v>
      </c>
      <c r="AT140">
        <v>0</v>
      </c>
      <c r="AU140">
        <v>0</v>
      </c>
      <c r="AV140">
        <v>0</v>
      </c>
      <c r="AW140">
        <v>0</v>
      </c>
      <c r="AX140">
        <v>0</v>
      </c>
      <c r="AY140">
        <v>0</v>
      </c>
      <c r="AZ140">
        <v>0</v>
      </c>
      <c r="BA140">
        <v>0</v>
      </c>
      <c r="BB140">
        <v>0</v>
      </c>
      <c r="BC140">
        <v>0</v>
      </c>
      <c r="BD140">
        <v>0</v>
      </c>
      <c r="BE140">
        <v>0</v>
      </c>
      <c r="BF140">
        <v>0</v>
      </c>
      <c r="BG140">
        <v>0</v>
      </c>
      <c r="BH140">
        <v>1</v>
      </c>
      <c r="BI140">
        <v>1.5</v>
      </c>
      <c r="BJ140">
        <v>2</v>
      </c>
      <c r="BK140">
        <v>2</v>
      </c>
      <c r="BL140" s="4">
        <v>70.95</v>
      </c>
      <c r="BM140" s="4">
        <v>10.64</v>
      </c>
      <c r="BN140" s="4">
        <v>81.59</v>
      </c>
      <c r="BO140" s="4">
        <v>81.59</v>
      </c>
      <c r="BQ140" t="s">
        <v>147</v>
      </c>
      <c r="BR140" t="s">
        <v>84</v>
      </c>
      <c r="BS140" s="3">
        <v>43803</v>
      </c>
      <c r="BT140" s="5">
        <v>0.37222222222222223</v>
      </c>
      <c r="BU140" t="s">
        <v>433</v>
      </c>
      <c r="BV140" t="s">
        <v>86</v>
      </c>
      <c r="BY140">
        <v>9762.0400000000009</v>
      </c>
      <c r="CA140" t="s">
        <v>434</v>
      </c>
      <c r="CC140" t="s">
        <v>431</v>
      </c>
      <c r="CD140">
        <v>250</v>
      </c>
      <c r="CE140" t="s">
        <v>88</v>
      </c>
      <c r="CF140" s="3">
        <v>43805</v>
      </c>
      <c r="CI140">
        <v>1</v>
      </c>
      <c r="CJ140">
        <v>1</v>
      </c>
      <c r="CK140">
        <v>24</v>
      </c>
      <c r="CL140" t="s">
        <v>89</v>
      </c>
    </row>
    <row r="141" spans="1:90">
      <c r="A141" t="s">
        <v>72</v>
      </c>
      <c r="B141" t="s">
        <v>73</v>
      </c>
      <c r="C141" t="s">
        <v>74</v>
      </c>
      <c r="E141" t="str">
        <f>"FES1162726269"</f>
        <v>FES1162726269</v>
      </c>
      <c r="F141" s="3">
        <v>43801</v>
      </c>
      <c r="G141">
        <v>202006</v>
      </c>
      <c r="H141" t="s">
        <v>75</v>
      </c>
      <c r="I141" t="s">
        <v>76</v>
      </c>
      <c r="J141" t="s">
        <v>77</v>
      </c>
      <c r="K141" t="s">
        <v>78</v>
      </c>
      <c r="L141" t="s">
        <v>404</v>
      </c>
      <c r="M141" t="s">
        <v>405</v>
      </c>
      <c r="N141" t="s">
        <v>435</v>
      </c>
      <c r="O141" t="s">
        <v>82</v>
      </c>
      <c r="P141" t="str">
        <f>"2170719767                    "</f>
        <v xml:space="preserve">2170719767                    </v>
      </c>
      <c r="Q141">
        <v>0</v>
      </c>
      <c r="R141">
        <v>0</v>
      </c>
      <c r="S141">
        <v>0</v>
      </c>
      <c r="T141">
        <v>0</v>
      </c>
      <c r="U141">
        <v>0</v>
      </c>
      <c r="V141">
        <v>0</v>
      </c>
      <c r="W141">
        <v>0</v>
      </c>
      <c r="X141">
        <v>0</v>
      </c>
      <c r="Y141">
        <v>0</v>
      </c>
      <c r="Z141">
        <v>0</v>
      </c>
      <c r="AA141">
        <v>0</v>
      </c>
      <c r="AB141">
        <v>0</v>
      </c>
      <c r="AC141">
        <v>0</v>
      </c>
      <c r="AD141">
        <v>0</v>
      </c>
      <c r="AE141">
        <v>0</v>
      </c>
      <c r="AF141">
        <v>0</v>
      </c>
      <c r="AG141">
        <v>0</v>
      </c>
      <c r="AH141">
        <v>0</v>
      </c>
      <c r="AI141">
        <v>0</v>
      </c>
      <c r="AJ141">
        <v>0</v>
      </c>
      <c r="AK141">
        <v>0</v>
      </c>
      <c r="AL141">
        <v>0</v>
      </c>
      <c r="AM141">
        <v>8.58</v>
      </c>
      <c r="AN141">
        <v>0</v>
      </c>
      <c r="AO141">
        <v>0</v>
      </c>
      <c r="AP141">
        <v>0</v>
      </c>
      <c r="AQ141">
        <v>0</v>
      </c>
      <c r="AR141">
        <v>0</v>
      </c>
      <c r="AS141">
        <v>0</v>
      </c>
      <c r="AT141">
        <v>0</v>
      </c>
      <c r="AU141">
        <v>0</v>
      </c>
      <c r="AV141">
        <v>0</v>
      </c>
      <c r="AW141">
        <v>0</v>
      </c>
      <c r="AX141">
        <v>0</v>
      </c>
      <c r="AY141">
        <v>0</v>
      </c>
      <c r="AZ141">
        <v>0</v>
      </c>
      <c r="BA141">
        <v>0</v>
      </c>
      <c r="BB141">
        <v>0</v>
      </c>
      <c r="BC141">
        <v>0</v>
      </c>
      <c r="BD141">
        <v>0</v>
      </c>
      <c r="BE141">
        <v>0</v>
      </c>
      <c r="BF141">
        <v>0</v>
      </c>
      <c r="BG141">
        <v>0</v>
      </c>
      <c r="BH141">
        <v>1</v>
      </c>
      <c r="BI141">
        <v>1</v>
      </c>
      <c r="BJ141">
        <v>0.2</v>
      </c>
      <c r="BK141">
        <v>1</v>
      </c>
      <c r="BL141" s="4">
        <v>50.45</v>
      </c>
      <c r="BM141" s="4">
        <v>7.57</v>
      </c>
      <c r="BN141" s="4">
        <v>58.02</v>
      </c>
      <c r="BO141" s="4">
        <v>58.02</v>
      </c>
      <c r="BQ141" t="s">
        <v>436</v>
      </c>
      <c r="BR141" t="s">
        <v>84</v>
      </c>
      <c r="BS141" s="3">
        <v>43802</v>
      </c>
      <c r="BT141" s="5">
        <v>0.33402777777777781</v>
      </c>
      <c r="BU141" t="s">
        <v>437</v>
      </c>
      <c r="BV141" t="s">
        <v>86</v>
      </c>
      <c r="BY141">
        <v>1200</v>
      </c>
      <c r="BZ141" t="s">
        <v>27</v>
      </c>
      <c r="CA141" t="s">
        <v>408</v>
      </c>
      <c r="CC141" t="s">
        <v>405</v>
      </c>
      <c r="CD141">
        <v>4026</v>
      </c>
      <c r="CE141" t="s">
        <v>88</v>
      </c>
      <c r="CI141">
        <v>1</v>
      </c>
      <c r="CJ141">
        <v>1</v>
      </c>
      <c r="CK141">
        <v>21</v>
      </c>
      <c r="CL141" t="s">
        <v>89</v>
      </c>
    </row>
    <row r="142" spans="1:90">
      <c r="A142" t="s">
        <v>72</v>
      </c>
      <c r="B142" t="s">
        <v>73</v>
      </c>
      <c r="C142" t="s">
        <v>74</v>
      </c>
      <c r="E142" t="str">
        <f>"FES1162726557"</f>
        <v>FES1162726557</v>
      </c>
      <c r="F142" s="3">
        <v>43802</v>
      </c>
      <c r="G142">
        <v>202006</v>
      </c>
      <c r="H142" t="s">
        <v>75</v>
      </c>
      <c r="I142" t="s">
        <v>76</v>
      </c>
      <c r="J142" t="s">
        <v>77</v>
      </c>
      <c r="K142" t="s">
        <v>78</v>
      </c>
      <c r="L142" t="s">
        <v>164</v>
      </c>
      <c r="M142" t="s">
        <v>165</v>
      </c>
      <c r="N142" t="s">
        <v>369</v>
      </c>
      <c r="O142" t="s">
        <v>82</v>
      </c>
      <c r="P142" t="str">
        <f>"2170720025                    "</f>
        <v xml:space="preserve">2170720025                    </v>
      </c>
      <c r="Q142">
        <v>0</v>
      </c>
      <c r="R142">
        <v>0</v>
      </c>
      <c r="S142">
        <v>0</v>
      </c>
      <c r="T142">
        <v>0</v>
      </c>
      <c r="U142">
        <v>0</v>
      </c>
      <c r="V142">
        <v>0</v>
      </c>
      <c r="W142">
        <v>0</v>
      </c>
      <c r="X142">
        <v>0</v>
      </c>
      <c r="Y142">
        <v>0</v>
      </c>
      <c r="Z142">
        <v>0</v>
      </c>
      <c r="AA142">
        <v>0</v>
      </c>
      <c r="AB142">
        <v>0</v>
      </c>
      <c r="AC142">
        <v>0</v>
      </c>
      <c r="AD142">
        <v>0</v>
      </c>
      <c r="AE142">
        <v>0</v>
      </c>
      <c r="AF142">
        <v>0</v>
      </c>
      <c r="AG142">
        <v>0</v>
      </c>
      <c r="AH142">
        <v>0</v>
      </c>
      <c r="AI142">
        <v>0</v>
      </c>
      <c r="AJ142">
        <v>0</v>
      </c>
      <c r="AK142">
        <v>0</v>
      </c>
      <c r="AL142">
        <v>0</v>
      </c>
      <c r="AM142">
        <v>8.58</v>
      </c>
      <c r="AN142">
        <v>0</v>
      </c>
      <c r="AO142">
        <v>0</v>
      </c>
      <c r="AP142">
        <v>0</v>
      </c>
      <c r="AQ142">
        <v>0</v>
      </c>
      <c r="AR142">
        <v>0</v>
      </c>
      <c r="AS142">
        <v>0</v>
      </c>
      <c r="AT142">
        <v>0</v>
      </c>
      <c r="AU142">
        <v>0</v>
      </c>
      <c r="AV142">
        <v>0</v>
      </c>
      <c r="AW142">
        <v>0</v>
      </c>
      <c r="AX142">
        <v>0</v>
      </c>
      <c r="AY142">
        <v>0</v>
      </c>
      <c r="AZ142">
        <v>0</v>
      </c>
      <c r="BA142">
        <v>0</v>
      </c>
      <c r="BB142">
        <v>0</v>
      </c>
      <c r="BC142">
        <v>0</v>
      </c>
      <c r="BD142">
        <v>0</v>
      </c>
      <c r="BE142">
        <v>0</v>
      </c>
      <c r="BF142">
        <v>0</v>
      </c>
      <c r="BG142">
        <v>0</v>
      </c>
      <c r="BH142">
        <v>1</v>
      </c>
      <c r="BI142">
        <v>1</v>
      </c>
      <c r="BJ142">
        <v>0.2</v>
      </c>
      <c r="BK142">
        <v>1</v>
      </c>
      <c r="BL142" s="4">
        <v>50.45</v>
      </c>
      <c r="BM142" s="4">
        <v>7.57</v>
      </c>
      <c r="BN142" s="4">
        <v>58.02</v>
      </c>
      <c r="BO142" s="4">
        <v>58.02</v>
      </c>
      <c r="BQ142" t="s">
        <v>93</v>
      </c>
      <c r="BR142" t="s">
        <v>84</v>
      </c>
      <c r="BS142" s="3">
        <v>43803</v>
      </c>
      <c r="BT142" s="5">
        <v>0.38194444444444442</v>
      </c>
      <c r="BU142" t="s">
        <v>370</v>
      </c>
      <c r="BV142" t="s">
        <v>86</v>
      </c>
      <c r="BY142">
        <v>1200</v>
      </c>
      <c r="CA142" t="s">
        <v>371</v>
      </c>
      <c r="CC142" t="s">
        <v>165</v>
      </c>
      <c r="CD142">
        <v>5201</v>
      </c>
      <c r="CE142" t="s">
        <v>88</v>
      </c>
      <c r="CF142" s="3">
        <v>43808</v>
      </c>
      <c r="CI142">
        <v>1</v>
      </c>
      <c r="CJ142">
        <v>1</v>
      </c>
      <c r="CK142">
        <v>21</v>
      </c>
      <c r="CL142" t="s">
        <v>89</v>
      </c>
    </row>
    <row r="143" spans="1:90">
      <c r="A143" t="s">
        <v>72</v>
      </c>
      <c r="B143" t="s">
        <v>73</v>
      </c>
      <c r="C143" t="s">
        <v>74</v>
      </c>
      <c r="E143" t="str">
        <f>"FES1162726240"</f>
        <v>FES1162726240</v>
      </c>
      <c r="F143" s="3">
        <v>43801</v>
      </c>
      <c r="G143">
        <v>202006</v>
      </c>
      <c r="H143" t="s">
        <v>75</v>
      </c>
      <c r="I143" t="s">
        <v>76</v>
      </c>
      <c r="J143" t="s">
        <v>77</v>
      </c>
      <c r="K143" t="s">
        <v>78</v>
      </c>
      <c r="L143" t="s">
        <v>201</v>
      </c>
      <c r="M143" t="s">
        <v>202</v>
      </c>
      <c r="N143" t="s">
        <v>375</v>
      </c>
      <c r="O143" t="s">
        <v>82</v>
      </c>
      <c r="P143" t="str">
        <f>"2170719728                    "</f>
        <v xml:space="preserve">2170719728                    </v>
      </c>
      <c r="Q143">
        <v>0</v>
      </c>
      <c r="R143">
        <v>0</v>
      </c>
      <c r="S143">
        <v>0</v>
      </c>
      <c r="T143">
        <v>0</v>
      </c>
      <c r="U143">
        <v>0</v>
      </c>
      <c r="V143">
        <v>0</v>
      </c>
      <c r="W143">
        <v>0</v>
      </c>
      <c r="X143">
        <v>0</v>
      </c>
      <c r="Y143">
        <v>0</v>
      </c>
      <c r="Z143">
        <v>0</v>
      </c>
      <c r="AA143">
        <v>0</v>
      </c>
      <c r="AB143">
        <v>0</v>
      </c>
      <c r="AC143">
        <v>0</v>
      </c>
      <c r="AD143">
        <v>0</v>
      </c>
      <c r="AE143">
        <v>0</v>
      </c>
      <c r="AF143">
        <v>0</v>
      </c>
      <c r="AG143">
        <v>0</v>
      </c>
      <c r="AH143">
        <v>0</v>
      </c>
      <c r="AI143">
        <v>0</v>
      </c>
      <c r="AJ143">
        <v>0</v>
      </c>
      <c r="AK143">
        <v>0</v>
      </c>
      <c r="AL143">
        <v>0</v>
      </c>
      <c r="AM143">
        <v>8.58</v>
      </c>
      <c r="AN143">
        <v>0</v>
      </c>
      <c r="AO143">
        <v>0</v>
      </c>
      <c r="AP143">
        <v>0</v>
      </c>
      <c r="AQ143">
        <v>0</v>
      </c>
      <c r="AR143">
        <v>0</v>
      </c>
      <c r="AS143">
        <v>0</v>
      </c>
      <c r="AT143">
        <v>0</v>
      </c>
      <c r="AU143">
        <v>0</v>
      </c>
      <c r="AV143">
        <v>0</v>
      </c>
      <c r="AW143">
        <v>0</v>
      </c>
      <c r="AX143">
        <v>0</v>
      </c>
      <c r="AY143">
        <v>0</v>
      </c>
      <c r="AZ143">
        <v>0</v>
      </c>
      <c r="BA143">
        <v>0</v>
      </c>
      <c r="BB143">
        <v>0</v>
      </c>
      <c r="BC143">
        <v>0</v>
      </c>
      <c r="BD143">
        <v>0</v>
      </c>
      <c r="BE143">
        <v>0</v>
      </c>
      <c r="BF143">
        <v>0</v>
      </c>
      <c r="BG143">
        <v>0</v>
      </c>
      <c r="BH143">
        <v>1</v>
      </c>
      <c r="BI143">
        <v>1</v>
      </c>
      <c r="BJ143">
        <v>0.2</v>
      </c>
      <c r="BK143">
        <v>1</v>
      </c>
      <c r="BL143" s="4">
        <v>50.45</v>
      </c>
      <c r="BM143" s="4">
        <v>7.57</v>
      </c>
      <c r="BN143" s="4">
        <v>58.02</v>
      </c>
      <c r="BO143" s="4">
        <v>58.02</v>
      </c>
      <c r="BQ143" t="s">
        <v>135</v>
      </c>
      <c r="BR143" t="s">
        <v>84</v>
      </c>
      <c r="BS143" s="3">
        <v>43802</v>
      </c>
      <c r="BT143" s="5">
        <v>0.4236111111111111</v>
      </c>
      <c r="BU143" t="s">
        <v>376</v>
      </c>
      <c r="BV143" t="s">
        <v>86</v>
      </c>
      <c r="BY143">
        <v>1200</v>
      </c>
      <c r="BZ143" t="s">
        <v>27</v>
      </c>
      <c r="CA143" t="s">
        <v>205</v>
      </c>
      <c r="CC143" t="s">
        <v>202</v>
      </c>
      <c r="CD143">
        <v>3610</v>
      </c>
      <c r="CE143" t="s">
        <v>88</v>
      </c>
      <c r="CI143">
        <v>1</v>
      </c>
      <c r="CJ143">
        <v>1</v>
      </c>
      <c r="CK143">
        <v>21</v>
      </c>
      <c r="CL143" t="s">
        <v>89</v>
      </c>
    </row>
    <row r="144" spans="1:90">
      <c r="A144" t="s">
        <v>72</v>
      </c>
      <c r="B144" t="s">
        <v>73</v>
      </c>
      <c r="C144" t="s">
        <v>74</v>
      </c>
      <c r="E144" t="str">
        <f>"FES1162726372"</f>
        <v>FES1162726372</v>
      </c>
      <c r="F144" s="3">
        <v>43802</v>
      </c>
      <c r="G144">
        <v>202006</v>
      </c>
      <c r="H144" t="s">
        <v>75</v>
      </c>
      <c r="I144" t="s">
        <v>76</v>
      </c>
      <c r="J144" t="s">
        <v>77</v>
      </c>
      <c r="K144" t="s">
        <v>78</v>
      </c>
      <c r="L144" t="s">
        <v>79</v>
      </c>
      <c r="M144" t="s">
        <v>80</v>
      </c>
      <c r="N144" t="s">
        <v>97</v>
      </c>
      <c r="O144" t="s">
        <v>82</v>
      </c>
      <c r="P144" t="str">
        <f>"2170716859                    "</f>
        <v xml:space="preserve">2170716859                    </v>
      </c>
      <c r="Q144">
        <v>0</v>
      </c>
      <c r="R144">
        <v>0</v>
      </c>
      <c r="S144">
        <v>0</v>
      </c>
      <c r="T144">
        <v>0</v>
      </c>
      <c r="U144">
        <v>0</v>
      </c>
      <c r="V144">
        <v>0</v>
      </c>
      <c r="W144">
        <v>0</v>
      </c>
      <c r="X144">
        <v>0</v>
      </c>
      <c r="Y144">
        <v>0</v>
      </c>
      <c r="Z144">
        <v>0</v>
      </c>
      <c r="AA144">
        <v>0</v>
      </c>
      <c r="AB144">
        <v>0</v>
      </c>
      <c r="AC144">
        <v>0</v>
      </c>
      <c r="AD144">
        <v>0</v>
      </c>
      <c r="AE144">
        <v>0</v>
      </c>
      <c r="AF144">
        <v>0</v>
      </c>
      <c r="AG144">
        <v>0</v>
      </c>
      <c r="AH144">
        <v>0</v>
      </c>
      <c r="AI144">
        <v>0</v>
      </c>
      <c r="AJ144">
        <v>0</v>
      </c>
      <c r="AK144">
        <v>0</v>
      </c>
      <c r="AL144">
        <v>0</v>
      </c>
      <c r="AM144">
        <v>8.58</v>
      </c>
      <c r="AN144">
        <v>0</v>
      </c>
      <c r="AO144">
        <v>0</v>
      </c>
      <c r="AP144">
        <v>0</v>
      </c>
      <c r="AQ144">
        <v>0</v>
      </c>
      <c r="AR144">
        <v>0</v>
      </c>
      <c r="AS144">
        <v>0</v>
      </c>
      <c r="AT144">
        <v>0</v>
      </c>
      <c r="AU144">
        <v>0</v>
      </c>
      <c r="AV144">
        <v>0</v>
      </c>
      <c r="AW144">
        <v>0</v>
      </c>
      <c r="AX144">
        <v>0</v>
      </c>
      <c r="AY144">
        <v>0</v>
      </c>
      <c r="AZ144">
        <v>0</v>
      </c>
      <c r="BA144">
        <v>0</v>
      </c>
      <c r="BB144">
        <v>0</v>
      </c>
      <c r="BC144">
        <v>0</v>
      </c>
      <c r="BD144">
        <v>0</v>
      </c>
      <c r="BE144">
        <v>0</v>
      </c>
      <c r="BF144">
        <v>0</v>
      </c>
      <c r="BG144">
        <v>0</v>
      </c>
      <c r="BH144">
        <v>1</v>
      </c>
      <c r="BI144">
        <v>1</v>
      </c>
      <c r="BJ144">
        <v>0.2</v>
      </c>
      <c r="BK144">
        <v>1</v>
      </c>
      <c r="BL144" s="4">
        <v>50.45</v>
      </c>
      <c r="BM144" s="4">
        <v>7.57</v>
      </c>
      <c r="BN144" s="4">
        <v>58.02</v>
      </c>
      <c r="BO144" s="4">
        <v>58.02</v>
      </c>
      <c r="BQ144" t="s">
        <v>93</v>
      </c>
      <c r="BR144" t="s">
        <v>84</v>
      </c>
      <c r="BS144" s="3">
        <v>43803</v>
      </c>
      <c r="BT144" s="5">
        <v>0.34027777777777773</v>
      </c>
      <c r="BU144" t="s">
        <v>98</v>
      </c>
      <c r="BV144" t="s">
        <v>86</v>
      </c>
      <c r="BY144">
        <v>1200</v>
      </c>
      <c r="CA144" t="s">
        <v>99</v>
      </c>
      <c r="CC144" t="s">
        <v>80</v>
      </c>
      <c r="CD144">
        <v>6001</v>
      </c>
      <c r="CE144" t="s">
        <v>88</v>
      </c>
      <c r="CF144" s="3">
        <v>43804</v>
      </c>
      <c r="CI144">
        <v>1</v>
      </c>
      <c r="CJ144">
        <v>1</v>
      </c>
      <c r="CK144">
        <v>21</v>
      </c>
      <c r="CL144" t="s">
        <v>89</v>
      </c>
    </row>
    <row r="145" spans="1:90">
      <c r="A145" t="s">
        <v>72</v>
      </c>
      <c r="B145" t="s">
        <v>73</v>
      </c>
      <c r="C145" t="s">
        <v>74</v>
      </c>
      <c r="E145" t="str">
        <f>"FES1162726627"</f>
        <v>FES1162726627</v>
      </c>
      <c r="F145" s="3">
        <v>43801</v>
      </c>
      <c r="G145">
        <v>202006</v>
      </c>
      <c r="H145" t="s">
        <v>75</v>
      </c>
      <c r="I145" t="s">
        <v>76</v>
      </c>
      <c r="J145" t="s">
        <v>77</v>
      </c>
      <c r="K145" t="s">
        <v>78</v>
      </c>
      <c r="L145" t="s">
        <v>201</v>
      </c>
      <c r="M145" t="s">
        <v>202</v>
      </c>
      <c r="N145" t="s">
        <v>203</v>
      </c>
      <c r="O145" t="s">
        <v>82</v>
      </c>
      <c r="P145" t="str">
        <f>"2170719722                    "</f>
        <v xml:space="preserve">2170719722                    </v>
      </c>
      <c r="Q145">
        <v>0</v>
      </c>
      <c r="R145">
        <v>0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0</v>
      </c>
      <c r="Y145">
        <v>0</v>
      </c>
      <c r="Z145">
        <v>0</v>
      </c>
      <c r="AA145">
        <v>0</v>
      </c>
      <c r="AB145">
        <v>0</v>
      </c>
      <c r="AC145">
        <v>0</v>
      </c>
      <c r="AD145">
        <v>0</v>
      </c>
      <c r="AE145">
        <v>0</v>
      </c>
      <c r="AF145">
        <v>0</v>
      </c>
      <c r="AG145">
        <v>0</v>
      </c>
      <c r="AH145">
        <v>0</v>
      </c>
      <c r="AI145">
        <v>0</v>
      </c>
      <c r="AJ145">
        <v>0</v>
      </c>
      <c r="AK145">
        <v>0</v>
      </c>
      <c r="AL145">
        <v>0</v>
      </c>
      <c r="AM145">
        <v>8.58</v>
      </c>
      <c r="AN145">
        <v>0</v>
      </c>
      <c r="AO145">
        <v>0</v>
      </c>
      <c r="AP145">
        <v>0</v>
      </c>
      <c r="AQ145">
        <v>0</v>
      </c>
      <c r="AR145">
        <v>0</v>
      </c>
      <c r="AS145">
        <v>0</v>
      </c>
      <c r="AT145">
        <v>0</v>
      </c>
      <c r="AU145">
        <v>0</v>
      </c>
      <c r="AV145">
        <v>0</v>
      </c>
      <c r="AW145">
        <v>0</v>
      </c>
      <c r="AX145">
        <v>0</v>
      </c>
      <c r="AY145">
        <v>0</v>
      </c>
      <c r="AZ145">
        <v>0</v>
      </c>
      <c r="BA145">
        <v>0</v>
      </c>
      <c r="BB145">
        <v>0</v>
      </c>
      <c r="BC145">
        <v>0</v>
      </c>
      <c r="BD145">
        <v>0</v>
      </c>
      <c r="BE145">
        <v>0</v>
      </c>
      <c r="BF145">
        <v>0</v>
      </c>
      <c r="BG145">
        <v>0</v>
      </c>
      <c r="BH145">
        <v>1</v>
      </c>
      <c r="BI145">
        <v>2</v>
      </c>
      <c r="BJ145">
        <v>0.8</v>
      </c>
      <c r="BK145">
        <v>2</v>
      </c>
      <c r="BL145" s="4">
        <v>50.45</v>
      </c>
      <c r="BM145" s="4">
        <v>7.57</v>
      </c>
      <c r="BN145" s="4">
        <v>58.02</v>
      </c>
      <c r="BO145" s="4">
        <v>58.02</v>
      </c>
      <c r="BQ145" t="s">
        <v>147</v>
      </c>
      <c r="BR145" t="s">
        <v>84</v>
      </c>
      <c r="BS145" s="3">
        <v>43805</v>
      </c>
      <c r="BT145" s="5">
        <v>0.4291666666666667</v>
      </c>
      <c r="BU145" t="s">
        <v>204</v>
      </c>
      <c r="BV145" t="s">
        <v>89</v>
      </c>
      <c r="BY145">
        <v>4142.4799999999996</v>
      </c>
      <c r="BZ145" t="s">
        <v>27</v>
      </c>
      <c r="CA145" t="s">
        <v>205</v>
      </c>
      <c r="CC145" t="s">
        <v>202</v>
      </c>
      <c r="CD145">
        <v>3610</v>
      </c>
      <c r="CE145" t="s">
        <v>116</v>
      </c>
      <c r="CF145" s="3">
        <v>43808</v>
      </c>
      <c r="CI145">
        <v>1</v>
      </c>
      <c r="CJ145">
        <v>4</v>
      </c>
      <c r="CK145">
        <v>21</v>
      </c>
      <c r="CL145" t="s">
        <v>89</v>
      </c>
    </row>
    <row r="146" spans="1:90">
      <c r="A146" t="s">
        <v>72</v>
      </c>
      <c r="B146" t="s">
        <v>73</v>
      </c>
      <c r="C146" t="s">
        <v>74</v>
      </c>
      <c r="E146" t="str">
        <f>"FES1162726482"</f>
        <v>FES1162726482</v>
      </c>
      <c r="F146" s="3">
        <v>43802</v>
      </c>
      <c r="G146">
        <v>202006</v>
      </c>
      <c r="H146" t="s">
        <v>75</v>
      </c>
      <c r="I146" t="s">
        <v>76</v>
      </c>
      <c r="J146" t="s">
        <v>77</v>
      </c>
      <c r="K146" t="s">
        <v>78</v>
      </c>
      <c r="L146" t="s">
        <v>169</v>
      </c>
      <c r="M146" t="s">
        <v>170</v>
      </c>
      <c r="N146" t="s">
        <v>248</v>
      </c>
      <c r="O146" t="s">
        <v>82</v>
      </c>
      <c r="P146" t="str">
        <f>"2170718033                    "</f>
        <v xml:space="preserve">2170718033                    </v>
      </c>
      <c r="Q146">
        <v>0</v>
      </c>
      <c r="R146">
        <v>0</v>
      </c>
      <c r="S146">
        <v>0</v>
      </c>
      <c r="T146">
        <v>0</v>
      </c>
      <c r="U146">
        <v>0</v>
      </c>
      <c r="V146">
        <v>0</v>
      </c>
      <c r="W146">
        <v>0</v>
      </c>
      <c r="X146">
        <v>0</v>
      </c>
      <c r="Y146">
        <v>0</v>
      </c>
      <c r="Z146">
        <v>0</v>
      </c>
      <c r="AA146">
        <v>0</v>
      </c>
      <c r="AB146">
        <v>0</v>
      </c>
      <c r="AC146">
        <v>0</v>
      </c>
      <c r="AD146">
        <v>0</v>
      </c>
      <c r="AE146">
        <v>0</v>
      </c>
      <c r="AF146">
        <v>0</v>
      </c>
      <c r="AG146">
        <v>0</v>
      </c>
      <c r="AH146">
        <v>0</v>
      </c>
      <c r="AI146">
        <v>0</v>
      </c>
      <c r="AJ146">
        <v>0</v>
      </c>
      <c r="AK146">
        <v>0</v>
      </c>
      <c r="AL146">
        <v>0</v>
      </c>
      <c r="AM146">
        <v>6.71</v>
      </c>
      <c r="AN146">
        <v>0</v>
      </c>
      <c r="AO146">
        <v>0</v>
      </c>
      <c r="AP146">
        <v>0</v>
      </c>
      <c r="AQ146">
        <v>0</v>
      </c>
      <c r="AR146">
        <v>0</v>
      </c>
      <c r="AS146">
        <v>0</v>
      </c>
      <c r="AT146">
        <v>0</v>
      </c>
      <c r="AU146">
        <v>0</v>
      </c>
      <c r="AV146">
        <v>0</v>
      </c>
      <c r="AW146">
        <v>0</v>
      </c>
      <c r="AX146">
        <v>0</v>
      </c>
      <c r="AY146">
        <v>0</v>
      </c>
      <c r="AZ146">
        <v>0</v>
      </c>
      <c r="BA146">
        <v>0</v>
      </c>
      <c r="BB146">
        <v>0</v>
      </c>
      <c r="BC146">
        <v>0</v>
      </c>
      <c r="BD146">
        <v>0</v>
      </c>
      <c r="BE146">
        <v>0</v>
      </c>
      <c r="BF146">
        <v>0</v>
      </c>
      <c r="BG146">
        <v>0</v>
      </c>
      <c r="BH146">
        <v>1</v>
      </c>
      <c r="BI146">
        <v>1</v>
      </c>
      <c r="BJ146">
        <v>0.2</v>
      </c>
      <c r="BK146">
        <v>1</v>
      </c>
      <c r="BL146" s="4">
        <v>39.42</v>
      </c>
      <c r="BM146" s="4">
        <v>5.91</v>
      </c>
      <c r="BN146" s="4">
        <v>45.33</v>
      </c>
      <c r="BO146" s="4">
        <v>45.33</v>
      </c>
      <c r="BQ146" t="s">
        <v>147</v>
      </c>
      <c r="BR146" t="s">
        <v>84</v>
      </c>
      <c r="BS146" s="3">
        <v>43803</v>
      </c>
      <c r="BT146" s="5">
        <v>0.36388888888888887</v>
      </c>
      <c r="BU146" t="s">
        <v>249</v>
      </c>
      <c r="BV146" t="s">
        <v>86</v>
      </c>
      <c r="BY146">
        <v>1200</v>
      </c>
      <c r="CA146" t="s">
        <v>250</v>
      </c>
      <c r="CC146" t="s">
        <v>170</v>
      </c>
      <c r="CD146">
        <v>1459</v>
      </c>
      <c r="CE146" t="s">
        <v>88</v>
      </c>
      <c r="CF146" s="3">
        <v>43804</v>
      </c>
      <c r="CI146">
        <v>1</v>
      </c>
      <c r="CJ146">
        <v>1</v>
      </c>
      <c r="CK146">
        <v>22</v>
      </c>
      <c r="CL146" t="s">
        <v>89</v>
      </c>
    </row>
    <row r="147" spans="1:90">
      <c r="A147" t="s">
        <v>72</v>
      </c>
      <c r="B147" t="s">
        <v>73</v>
      </c>
      <c r="C147" t="s">
        <v>74</v>
      </c>
      <c r="E147" t="str">
        <f>"FES1162726249"</f>
        <v>FES1162726249</v>
      </c>
      <c r="F147" s="3">
        <v>43801</v>
      </c>
      <c r="G147">
        <v>202006</v>
      </c>
      <c r="H147" t="s">
        <v>75</v>
      </c>
      <c r="I147" t="s">
        <v>76</v>
      </c>
      <c r="J147" t="s">
        <v>77</v>
      </c>
      <c r="K147" t="s">
        <v>78</v>
      </c>
      <c r="L147" t="s">
        <v>90</v>
      </c>
      <c r="M147" t="s">
        <v>91</v>
      </c>
      <c r="N147" t="s">
        <v>438</v>
      </c>
      <c r="O147" t="s">
        <v>82</v>
      </c>
      <c r="P147" t="str">
        <f>"2170719740                    "</f>
        <v xml:space="preserve">2170719740                    </v>
      </c>
      <c r="Q147">
        <v>0</v>
      </c>
      <c r="R147">
        <v>0</v>
      </c>
      <c r="S147">
        <v>0</v>
      </c>
      <c r="T147">
        <v>0</v>
      </c>
      <c r="U147">
        <v>0</v>
      </c>
      <c r="V147">
        <v>0</v>
      </c>
      <c r="W147">
        <v>0</v>
      </c>
      <c r="X147">
        <v>0</v>
      </c>
      <c r="Y147">
        <v>0</v>
      </c>
      <c r="Z147">
        <v>0</v>
      </c>
      <c r="AA147">
        <v>0</v>
      </c>
      <c r="AB147">
        <v>0</v>
      </c>
      <c r="AC147">
        <v>0</v>
      </c>
      <c r="AD147">
        <v>0</v>
      </c>
      <c r="AE147">
        <v>0</v>
      </c>
      <c r="AF147">
        <v>0</v>
      </c>
      <c r="AG147">
        <v>0</v>
      </c>
      <c r="AH147">
        <v>0</v>
      </c>
      <c r="AI147">
        <v>0</v>
      </c>
      <c r="AJ147">
        <v>0</v>
      </c>
      <c r="AK147">
        <v>0</v>
      </c>
      <c r="AL147">
        <v>0</v>
      </c>
      <c r="AM147">
        <v>10.73</v>
      </c>
      <c r="AN147">
        <v>0</v>
      </c>
      <c r="AO147">
        <v>0</v>
      </c>
      <c r="AP147">
        <v>0</v>
      </c>
      <c r="AQ147">
        <v>0</v>
      </c>
      <c r="AR147">
        <v>0</v>
      </c>
      <c r="AS147">
        <v>0</v>
      </c>
      <c r="AT147">
        <v>0</v>
      </c>
      <c r="AU147">
        <v>0</v>
      </c>
      <c r="AV147">
        <v>0</v>
      </c>
      <c r="AW147">
        <v>0</v>
      </c>
      <c r="AX147">
        <v>0</v>
      </c>
      <c r="AY147">
        <v>0</v>
      </c>
      <c r="AZ147">
        <v>0</v>
      </c>
      <c r="BA147">
        <v>0</v>
      </c>
      <c r="BB147">
        <v>0</v>
      </c>
      <c r="BC147">
        <v>0</v>
      </c>
      <c r="BD147">
        <v>0</v>
      </c>
      <c r="BE147">
        <v>0</v>
      </c>
      <c r="BF147">
        <v>0</v>
      </c>
      <c r="BG147">
        <v>0</v>
      </c>
      <c r="BH147">
        <v>1</v>
      </c>
      <c r="BI147">
        <v>2.4</v>
      </c>
      <c r="BJ147">
        <v>1.3</v>
      </c>
      <c r="BK147">
        <v>2.5</v>
      </c>
      <c r="BL147" s="4">
        <v>63.06</v>
      </c>
      <c r="BM147" s="4">
        <v>9.4600000000000009</v>
      </c>
      <c r="BN147" s="4">
        <v>72.52</v>
      </c>
      <c r="BO147" s="4">
        <v>72.52</v>
      </c>
      <c r="BQ147" t="s">
        <v>135</v>
      </c>
      <c r="BR147" t="s">
        <v>84</v>
      </c>
      <c r="BS147" s="3">
        <v>43802</v>
      </c>
      <c r="BT147" s="5">
        <v>0.38125000000000003</v>
      </c>
      <c r="BU147" t="s">
        <v>439</v>
      </c>
      <c r="BV147" t="s">
        <v>86</v>
      </c>
      <c r="BY147">
        <v>6489.65</v>
      </c>
      <c r="BZ147" t="s">
        <v>27</v>
      </c>
      <c r="CA147" t="s">
        <v>440</v>
      </c>
      <c r="CC147" t="s">
        <v>91</v>
      </c>
      <c r="CD147">
        <v>7493</v>
      </c>
      <c r="CE147" t="s">
        <v>96</v>
      </c>
      <c r="CF147" s="3">
        <v>43803</v>
      </c>
      <c r="CI147">
        <v>1</v>
      </c>
      <c r="CJ147">
        <v>1</v>
      </c>
      <c r="CK147">
        <v>21</v>
      </c>
      <c r="CL147" t="s">
        <v>89</v>
      </c>
    </row>
    <row r="148" spans="1:90">
      <c r="A148" t="s">
        <v>72</v>
      </c>
      <c r="B148" t="s">
        <v>73</v>
      </c>
      <c r="C148" t="s">
        <v>74</v>
      </c>
      <c r="E148" t="str">
        <f>"FES1162726415"</f>
        <v>FES1162726415</v>
      </c>
      <c r="F148" s="3">
        <v>43802</v>
      </c>
      <c r="G148">
        <v>202006</v>
      </c>
      <c r="H148" t="s">
        <v>75</v>
      </c>
      <c r="I148" t="s">
        <v>76</v>
      </c>
      <c r="J148" t="s">
        <v>77</v>
      </c>
      <c r="K148" t="s">
        <v>78</v>
      </c>
      <c r="L148" t="s">
        <v>75</v>
      </c>
      <c r="M148" t="s">
        <v>76</v>
      </c>
      <c r="N148" t="s">
        <v>441</v>
      </c>
      <c r="O148" t="s">
        <v>82</v>
      </c>
      <c r="P148" t="str">
        <f>"2170713888                    "</f>
        <v xml:space="preserve">2170713888                    </v>
      </c>
      <c r="Q148">
        <v>0</v>
      </c>
      <c r="R148">
        <v>0</v>
      </c>
      <c r="S148">
        <v>0</v>
      </c>
      <c r="T148">
        <v>0</v>
      </c>
      <c r="U148">
        <v>0</v>
      </c>
      <c r="V148">
        <v>0</v>
      </c>
      <c r="W148">
        <v>0</v>
      </c>
      <c r="X148">
        <v>0</v>
      </c>
      <c r="Y148">
        <v>0</v>
      </c>
      <c r="Z148">
        <v>0</v>
      </c>
      <c r="AA148">
        <v>0</v>
      </c>
      <c r="AB148">
        <v>0</v>
      </c>
      <c r="AC148">
        <v>0</v>
      </c>
      <c r="AD148">
        <v>0</v>
      </c>
      <c r="AE148">
        <v>0</v>
      </c>
      <c r="AF148">
        <v>0</v>
      </c>
      <c r="AG148">
        <v>0</v>
      </c>
      <c r="AH148">
        <v>0</v>
      </c>
      <c r="AI148">
        <v>0</v>
      </c>
      <c r="AJ148">
        <v>0</v>
      </c>
      <c r="AK148">
        <v>0</v>
      </c>
      <c r="AL148">
        <v>0</v>
      </c>
      <c r="AM148">
        <v>6.71</v>
      </c>
      <c r="AN148">
        <v>0</v>
      </c>
      <c r="AO148">
        <v>0</v>
      </c>
      <c r="AP148">
        <v>0</v>
      </c>
      <c r="AQ148">
        <v>0</v>
      </c>
      <c r="AR148">
        <v>0</v>
      </c>
      <c r="AS148">
        <v>0</v>
      </c>
      <c r="AT148">
        <v>0</v>
      </c>
      <c r="AU148">
        <v>0</v>
      </c>
      <c r="AV148">
        <v>0</v>
      </c>
      <c r="AW148">
        <v>0</v>
      </c>
      <c r="AX148">
        <v>0</v>
      </c>
      <c r="AY148">
        <v>0</v>
      </c>
      <c r="AZ148">
        <v>0</v>
      </c>
      <c r="BA148">
        <v>0</v>
      </c>
      <c r="BB148">
        <v>0</v>
      </c>
      <c r="BC148">
        <v>0</v>
      </c>
      <c r="BD148">
        <v>0</v>
      </c>
      <c r="BE148">
        <v>0</v>
      </c>
      <c r="BF148">
        <v>0</v>
      </c>
      <c r="BG148">
        <v>0</v>
      </c>
      <c r="BH148">
        <v>1</v>
      </c>
      <c r="BI148">
        <v>1</v>
      </c>
      <c r="BJ148">
        <v>0.2</v>
      </c>
      <c r="BK148">
        <v>1</v>
      </c>
      <c r="BL148" s="4">
        <v>39.42</v>
      </c>
      <c r="BM148" s="4">
        <v>5.91</v>
      </c>
      <c r="BN148" s="4">
        <v>45.33</v>
      </c>
      <c r="BO148" s="4">
        <v>45.33</v>
      </c>
      <c r="BR148" t="s">
        <v>84</v>
      </c>
      <c r="BS148" s="3">
        <v>43803</v>
      </c>
      <c r="BT148" s="5">
        <v>0.35416666666666669</v>
      </c>
      <c r="BU148" t="s">
        <v>442</v>
      </c>
      <c r="BV148" t="s">
        <v>86</v>
      </c>
      <c r="BY148">
        <v>1200</v>
      </c>
      <c r="CA148" t="s">
        <v>320</v>
      </c>
      <c r="CC148" t="s">
        <v>76</v>
      </c>
      <c r="CD148">
        <v>1666</v>
      </c>
      <c r="CE148" t="s">
        <v>88</v>
      </c>
      <c r="CF148" s="3">
        <v>43804</v>
      </c>
      <c r="CI148">
        <v>1</v>
      </c>
      <c r="CJ148">
        <v>1</v>
      </c>
      <c r="CK148">
        <v>22</v>
      </c>
      <c r="CL148" t="s">
        <v>89</v>
      </c>
    </row>
    <row r="149" spans="1:90">
      <c r="A149" t="s">
        <v>72</v>
      </c>
      <c r="B149" t="s">
        <v>73</v>
      </c>
      <c r="C149" t="s">
        <v>74</v>
      </c>
      <c r="E149" t="str">
        <f>"FES1162726191"</f>
        <v>FES1162726191</v>
      </c>
      <c r="F149" s="3">
        <v>43801</v>
      </c>
      <c r="G149">
        <v>202006</v>
      </c>
      <c r="H149" t="s">
        <v>75</v>
      </c>
      <c r="I149" t="s">
        <v>76</v>
      </c>
      <c r="J149" t="s">
        <v>77</v>
      </c>
      <c r="K149" t="s">
        <v>78</v>
      </c>
      <c r="L149" t="s">
        <v>201</v>
      </c>
      <c r="M149" t="s">
        <v>202</v>
      </c>
      <c r="N149" t="s">
        <v>443</v>
      </c>
      <c r="O149" t="s">
        <v>82</v>
      </c>
      <c r="P149" t="str">
        <f>"2170719701                    "</f>
        <v xml:space="preserve">2170719701                    </v>
      </c>
      <c r="Q149">
        <v>0</v>
      </c>
      <c r="R149">
        <v>0</v>
      </c>
      <c r="S149">
        <v>0</v>
      </c>
      <c r="T149">
        <v>0</v>
      </c>
      <c r="U149">
        <v>0</v>
      </c>
      <c r="V149">
        <v>0</v>
      </c>
      <c r="W149">
        <v>0</v>
      </c>
      <c r="X149">
        <v>0</v>
      </c>
      <c r="Y149">
        <v>0</v>
      </c>
      <c r="Z149">
        <v>0</v>
      </c>
      <c r="AA149">
        <v>0</v>
      </c>
      <c r="AB149">
        <v>0</v>
      </c>
      <c r="AC149">
        <v>0</v>
      </c>
      <c r="AD149">
        <v>0</v>
      </c>
      <c r="AE149">
        <v>0</v>
      </c>
      <c r="AF149">
        <v>0</v>
      </c>
      <c r="AG149">
        <v>0</v>
      </c>
      <c r="AH149">
        <v>0</v>
      </c>
      <c r="AI149">
        <v>0</v>
      </c>
      <c r="AJ149">
        <v>0</v>
      </c>
      <c r="AK149">
        <v>0</v>
      </c>
      <c r="AL149">
        <v>0</v>
      </c>
      <c r="AM149">
        <v>8.58</v>
      </c>
      <c r="AN149">
        <v>0</v>
      </c>
      <c r="AO149">
        <v>0</v>
      </c>
      <c r="AP149">
        <v>0</v>
      </c>
      <c r="AQ149">
        <v>0</v>
      </c>
      <c r="AR149">
        <v>0</v>
      </c>
      <c r="AS149">
        <v>0</v>
      </c>
      <c r="AT149">
        <v>0</v>
      </c>
      <c r="AU149">
        <v>0</v>
      </c>
      <c r="AV149">
        <v>0</v>
      </c>
      <c r="AW149">
        <v>0</v>
      </c>
      <c r="AX149">
        <v>0</v>
      </c>
      <c r="AY149">
        <v>0</v>
      </c>
      <c r="AZ149">
        <v>0</v>
      </c>
      <c r="BA149">
        <v>0</v>
      </c>
      <c r="BB149">
        <v>0</v>
      </c>
      <c r="BC149">
        <v>0</v>
      </c>
      <c r="BD149">
        <v>0</v>
      </c>
      <c r="BE149">
        <v>0</v>
      </c>
      <c r="BF149">
        <v>0</v>
      </c>
      <c r="BG149">
        <v>0</v>
      </c>
      <c r="BH149">
        <v>1</v>
      </c>
      <c r="BI149">
        <v>1</v>
      </c>
      <c r="BJ149">
        <v>0.2</v>
      </c>
      <c r="BK149">
        <v>1</v>
      </c>
      <c r="BL149" s="4">
        <v>50.45</v>
      </c>
      <c r="BM149" s="4">
        <v>7.57</v>
      </c>
      <c r="BN149" s="4">
        <v>58.02</v>
      </c>
      <c r="BO149" s="4">
        <v>58.02</v>
      </c>
      <c r="BQ149" t="s">
        <v>256</v>
      </c>
      <c r="BR149" t="s">
        <v>84</v>
      </c>
      <c r="BS149" s="3">
        <v>43802</v>
      </c>
      <c r="BT149" s="5">
        <v>0.33263888888888887</v>
      </c>
      <c r="BU149" t="s">
        <v>444</v>
      </c>
      <c r="BV149" t="s">
        <v>86</v>
      </c>
      <c r="BY149">
        <v>1200</v>
      </c>
      <c r="BZ149" t="s">
        <v>27</v>
      </c>
      <c r="CA149" t="s">
        <v>205</v>
      </c>
      <c r="CC149" t="s">
        <v>202</v>
      </c>
      <c r="CD149">
        <v>3610</v>
      </c>
      <c r="CE149" t="s">
        <v>88</v>
      </c>
      <c r="CI149">
        <v>1</v>
      </c>
      <c r="CJ149">
        <v>1</v>
      </c>
      <c r="CK149">
        <v>21</v>
      </c>
      <c r="CL149" t="s">
        <v>89</v>
      </c>
    </row>
    <row r="150" spans="1:90">
      <c r="A150" t="s">
        <v>72</v>
      </c>
      <c r="B150" t="s">
        <v>73</v>
      </c>
      <c r="C150" t="s">
        <v>74</v>
      </c>
      <c r="E150" t="str">
        <f>"FES1162726369"</f>
        <v>FES1162726369</v>
      </c>
      <c r="F150" s="3">
        <v>43802</v>
      </c>
      <c r="G150">
        <v>202006</v>
      </c>
      <c r="H150" t="s">
        <v>75</v>
      </c>
      <c r="I150" t="s">
        <v>76</v>
      </c>
      <c r="J150" t="s">
        <v>77</v>
      </c>
      <c r="K150" t="s">
        <v>78</v>
      </c>
      <c r="L150" t="s">
        <v>151</v>
      </c>
      <c r="M150" t="s">
        <v>102</v>
      </c>
      <c r="N150" t="s">
        <v>161</v>
      </c>
      <c r="O150" t="s">
        <v>82</v>
      </c>
      <c r="P150" t="str">
        <f>"2170715031                    "</f>
        <v xml:space="preserve">2170715031                    </v>
      </c>
      <c r="Q150">
        <v>0</v>
      </c>
      <c r="R150">
        <v>0</v>
      </c>
      <c r="S150">
        <v>0</v>
      </c>
      <c r="T150">
        <v>0</v>
      </c>
      <c r="U150">
        <v>0</v>
      </c>
      <c r="V150">
        <v>0</v>
      </c>
      <c r="W150">
        <v>0</v>
      </c>
      <c r="X150">
        <v>0</v>
      </c>
      <c r="Y150">
        <v>0</v>
      </c>
      <c r="Z150">
        <v>0</v>
      </c>
      <c r="AA150">
        <v>0</v>
      </c>
      <c r="AB150">
        <v>0</v>
      </c>
      <c r="AC150">
        <v>0</v>
      </c>
      <c r="AD150">
        <v>0</v>
      </c>
      <c r="AE150">
        <v>0</v>
      </c>
      <c r="AF150">
        <v>0</v>
      </c>
      <c r="AG150">
        <v>0</v>
      </c>
      <c r="AH150">
        <v>0</v>
      </c>
      <c r="AI150">
        <v>0</v>
      </c>
      <c r="AJ150">
        <v>0</v>
      </c>
      <c r="AK150">
        <v>0</v>
      </c>
      <c r="AL150">
        <v>0</v>
      </c>
      <c r="AM150">
        <v>8.58</v>
      </c>
      <c r="AN150">
        <v>0</v>
      </c>
      <c r="AO150">
        <v>0</v>
      </c>
      <c r="AP150">
        <v>0</v>
      </c>
      <c r="AQ150">
        <v>0</v>
      </c>
      <c r="AR150">
        <v>0</v>
      </c>
      <c r="AS150">
        <v>0</v>
      </c>
      <c r="AT150">
        <v>0</v>
      </c>
      <c r="AU150">
        <v>0</v>
      </c>
      <c r="AV150">
        <v>0</v>
      </c>
      <c r="AW150">
        <v>0</v>
      </c>
      <c r="AX150">
        <v>0</v>
      </c>
      <c r="AY150">
        <v>0</v>
      </c>
      <c r="AZ150">
        <v>0</v>
      </c>
      <c r="BA150">
        <v>0</v>
      </c>
      <c r="BB150">
        <v>0</v>
      </c>
      <c r="BC150">
        <v>0</v>
      </c>
      <c r="BD150">
        <v>0</v>
      </c>
      <c r="BE150">
        <v>0</v>
      </c>
      <c r="BF150">
        <v>0</v>
      </c>
      <c r="BG150">
        <v>0</v>
      </c>
      <c r="BH150">
        <v>1</v>
      </c>
      <c r="BI150">
        <v>1</v>
      </c>
      <c r="BJ150">
        <v>0.2</v>
      </c>
      <c r="BK150">
        <v>1</v>
      </c>
      <c r="BL150" s="4">
        <v>50.45</v>
      </c>
      <c r="BM150" s="4">
        <v>7.57</v>
      </c>
      <c r="BN150" s="4">
        <v>58.02</v>
      </c>
      <c r="BO150" s="4">
        <v>58.02</v>
      </c>
      <c r="BQ150" t="s">
        <v>147</v>
      </c>
      <c r="BR150" t="s">
        <v>84</v>
      </c>
      <c r="BS150" s="3">
        <v>43803</v>
      </c>
      <c r="BT150" s="5">
        <v>0.41666666666666669</v>
      </c>
      <c r="BU150" t="s">
        <v>445</v>
      </c>
      <c r="BV150" t="s">
        <v>86</v>
      </c>
      <c r="BY150">
        <v>1200</v>
      </c>
      <c r="CA150" t="s">
        <v>163</v>
      </c>
      <c r="CC150" t="s">
        <v>102</v>
      </c>
      <c r="CD150">
        <v>200</v>
      </c>
      <c r="CE150" t="s">
        <v>88</v>
      </c>
      <c r="CF150" s="3">
        <v>43804</v>
      </c>
      <c r="CI150">
        <v>1</v>
      </c>
      <c r="CJ150">
        <v>1</v>
      </c>
      <c r="CK150">
        <v>21</v>
      </c>
      <c r="CL150" t="s">
        <v>89</v>
      </c>
    </row>
    <row r="151" spans="1:90">
      <c r="A151" t="s">
        <v>72</v>
      </c>
      <c r="B151" t="s">
        <v>73</v>
      </c>
      <c r="C151" t="s">
        <v>74</v>
      </c>
      <c r="E151" t="str">
        <f>"FES1162726277"</f>
        <v>FES1162726277</v>
      </c>
      <c r="F151" s="3">
        <v>43801</v>
      </c>
      <c r="G151">
        <v>202006</v>
      </c>
      <c r="H151" t="s">
        <v>75</v>
      </c>
      <c r="I151" t="s">
        <v>76</v>
      </c>
      <c r="J151" t="s">
        <v>77</v>
      </c>
      <c r="K151" t="s">
        <v>78</v>
      </c>
      <c r="L151" t="s">
        <v>446</v>
      </c>
      <c r="M151" t="s">
        <v>447</v>
      </c>
      <c r="N151" t="s">
        <v>448</v>
      </c>
      <c r="O151" t="s">
        <v>82</v>
      </c>
      <c r="P151" t="str">
        <f>"21707191781                   "</f>
        <v xml:space="preserve">21707191781                   </v>
      </c>
      <c r="Q151">
        <v>0</v>
      </c>
      <c r="R151">
        <v>0</v>
      </c>
      <c r="S151">
        <v>0</v>
      </c>
      <c r="T151">
        <v>0</v>
      </c>
      <c r="U151">
        <v>0</v>
      </c>
      <c r="V151">
        <v>0</v>
      </c>
      <c r="W151">
        <v>0</v>
      </c>
      <c r="X151">
        <v>0</v>
      </c>
      <c r="Y151">
        <v>0</v>
      </c>
      <c r="Z151">
        <v>0</v>
      </c>
      <c r="AA151">
        <v>0</v>
      </c>
      <c r="AB151">
        <v>0</v>
      </c>
      <c r="AC151">
        <v>0</v>
      </c>
      <c r="AD151">
        <v>0</v>
      </c>
      <c r="AE151">
        <v>0</v>
      </c>
      <c r="AF151">
        <v>0</v>
      </c>
      <c r="AG151">
        <v>0</v>
      </c>
      <c r="AH151">
        <v>0</v>
      </c>
      <c r="AI151">
        <v>0</v>
      </c>
      <c r="AJ151">
        <v>0</v>
      </c>
      <c r="AK151">
        <v>0</v>
      </c>
      <c r="AL151">
        <v>0</v>
      </c>
      <c r="AM151">
        <v>47.18</v>
      </c>
      <c r="AN151">
        <v>0</v>
      </c>
      <c r="AO151">
        <v>0</v>
      </c>
      <c r="AP151">
        <v>0</v>
      </c>
      <c r="AQ151">
        <v>0</v>
      </c>
      <c r="AR151">
        <v>0</v>
      </c>
      <c r="AS151">
        <v>0</v>
      </c>
      <c r="AT151">
        <v>0</v>
      </c>
      <c r="AU151">
        <v>0</v>
      </c>
      <c r="AV151">
        <v>0</v>
      </c>
      <c r="AW151">
        <v>0</v>
      </c>
      <c r="AX151">
        <v>0</v>
      </c>
      <c r="AY151">
        <v>0</v>
      </c>
      <c r="AZ151">
        <v>0</v>
      </c>
      <c r="BA151">
        <v>0</v>
      </c>
      <c r="BB151">
        <v>0</v>
      </c>
      <c r="BC151">
        <v>0</v>
      </c>
      <c r="BD151">
        <v>0</v>
      </c>
      <c r="BE151">
        <v>0</v>
      </c>
      <c r="BF151">
        <v>0</v>
      </c>
      <c r="BG151">
        <v>0</v>
      </c>
      <c r="BH151">
        <v>1</v>
      </c>
      <c r="BI151">
        <v>11</v>
      </c>
      <c r="BJ151">
        <v>7</v>
      </c>
      <c r="BK151">
        <v>11</v>
      </c>
      <c r="BL151" s="4">
        <v>277.33</v>
      </c>
      <c r="BM151" s="4">
        <v>41.6</v>
      </c>
      <c r="BN151" s="4">
        <v>318.93</v>
      </c>
      <c r="BO151" s="4">
        <v>318.93</v>
      </c>
      <c r="BQ151" t="s">
        <v>256</v>
      </c>
      <c r="BR151" t="s">
        <v>84</v>
      </c>
      <c r="BS151" s="3">
        <v>43802</v>
      </c>
      <c r="BT151" s="5">
        <v>0.41041666666666665</v>
      </c>
      <c r="BU151" t="s">
        <v>449</v>
      </c>
      <c r="BV151" t="s">
        <v>86</v>
      </c>
      <c r="BY151">
        <v>35242.120000000003</v>
      </c>
      <c r="BZ151" t="s">
        <v>27</v>
      </c>
      <c r="CA151" t="s">
        <v>212</v>
      </c>
      <c r="CC151" t="s">
        <v>447</v>
      </c>
      <c r="CD151">
        <v>4113</v>
      </c>
      <c r="CE151" t="s">
        <v>116</v>
      </c>
      <c r="CI151">
        <v>1</v>
      </c>
      <c r="CJ151">
        <v>1</v>
      </c>
      <c r="CK151">
        <v>21</v>
      </c>
      <c r="CL151" t="s">
        <v>89</v>
      </c>
    </row>
    <row r="152" spans="1:90">
      <c r="A152" t="s">
        <v>72</v>
      </c>
      <c r="B152" t="s">
        <v>73</v>
      </c>
      <c r="C152" t="s">
        <v>74</v>
      </c>
      <c r="E152" t="str">
        <f>"FES1162726419"</f>
        <v>FES1162726419</v>
      </c>
      <c r="F152" s="3">
        <v>43802</v>
      </c>
      <c r="G152">
        <v>202006</v>
      </c>
      <c r="H152" t="s">
        <v>75</v>
      </c>
      <c r="I152" t="s">
        <v>76</v>
      </c>
      <c r="J152" t="s">
        <v>77</v>
      </c>
      <c r="K152" t="s">
        <v>78</v>
      </c>
      <c r="L152" t="s">
        <v>79</v>
      </c>
      <c r="M152" t="s">
        <v>80</v>
      </c>
      <c r="N152" t="s">
        <v>183</v>
      </c>
      <c r="O152" t="s">
        <v>82</v>
      </c>
      <c r="P152" t="str">
        <f>"2170719478                    "</f>
        <v xml:space="preserve">2170719478                    </v>
      </c>
      <c r="Q152">
        <v>0</v>
      </c>
      <c r="R152">
        <v>0</v>
      </c>
      <c r="S152">
        <v>0</v>
      </c>
      <c r="T152">
        <v>0</v>
      </c>
      <c r="U152">
        <v>0</v>
      </c>
      <c r="V152">
        <v>0</v>
      </c>
      <c r="W152">
        <v>0</v>
      </c>
      <c r="X152">
        <v>0</v>
      </c>
      <c r="Y152">
        <v>0</v>
      </c>
      <c r="Z152">
        <v>0</v>
      </c>
      <c r="AA152">
        <v>0</v>
      </c>
      <c r="AB152">
        <v>0</v>
      </c>
      <c r="AC152">
        <v>0</v>
      </c>
      <c r="AD152">
        <v>0</v>
      </c>
      <c r="AE152">
        <v>0</v>
      </c>
      <c r="AF152">
        <v>0</v>
      </c>
      <c r="AG152">
        <v>0</v>
      </c>
      <c r="AH152">
        <v>0</v>
      </c>
      <c r="AI152">
        <v>0</v>
      </c>
      <c r="AJ152">
        <v>0</v>
      </c>
      <c r="AK152">
        <v>0</v>
      </c>
      <c r="AL152">
        <v>0</v>
      </c>
      <c r="AM152">
        <v>8.58</v>
      </c>
      <c r="AN152">
        <v>0</v>
      </c>
      <c r="AO152">
        <v>0</v>
      </c>
      <c r="AP152">
        <v>0</v>
      </c>
      <c r="AQ152">
        <v>0</v>
      </c>
      <c r="AR152">
        <v>0</v>
      </c>
      <c r="AS152">
        <v>0</v>
      </c>
      <c r="AT152">
        <v>0</v>
      </c>
      <c r="AU152">
        <v>0</v>
      </c>
      <c r="AV152">
        <v>0</v>
      </c>
      <c r="AW152">
        <v>0</v>
      </c>
      <c r="AX152">
        <v>0</v>
      </c>
      <c r="AY152">
        <v>0</v>
      </c>
      <c r="AZ152">
        <v>0</v>
      </c>
      <c r="BA152">
        <v>0</v>
      </c>
      <c r="BB152">
        <v>0</v>
      </c>
      <c r="BC152">
        <v>0</v>
      </c>
      <c r="BD152">
        <v>0</v>
      </c>
      <c r="BE152">
        <v>0</v>
      </c>
      <c r="BF152">
        <v>0</v>
      </c>
      <c r="BG152">
        <v>0</v>
      </c>
      <c r="BH152">
        <v>1</v>
      </c>
      <c r="BI152">
        <v>1</v>
      </c>
      <c r="BJ152">
        <v>0.2</v>
      </c>
      <c r="BK152">
        <v>1</v>
      </c>
      <c r="BL152" s="4">
        <v>50.45</v>
      </c>
      <c r="BM152" s="4">
        <v>7.57</v>
      </c>
      <c r="BN152" s="4">
        <v>58.02</v>
      </c>
      <c r="BO152" s="4">
        <v>58.02</v>
      </c>
      <c r="BQ152" t="s">
        <v>147</v>
      </c>
      <c r="BR152" t="s">
        <v>84</v>
      </c>
      <c r="BS152" s="3">
        <v>43803</v>
      </c>
      <c r="BT152" s="5">
        <v>0.39027777777777778</v>
      </c>
      <c r="BU152" t="s">
        <v>450</v>
      </c>
      <c r="BV152" t="s">
        <v>86</v>
      </c>
      <c r="BY152">
        <v>1200</v>
      </c>
      <c r="CA152" t="s">
        <v>185</v>
      </c>
      <c r="CC152" t="s">
        <v>80</v>
      </c>
      <c r="CD152">
        <v>6001</v>
      </c>
      <c r="CE152" t="s">
        <v>88</v>
      </c>
      <c r="CF152" s="3">
        <v>43804</v>
      </c>
      <c r="CI152">
        <v>1</v>
      </c>
      <c r="CJ152">
        <v>1</v>
      </c>
      <c r="CK152">
        <v>21</v>
      </c>
      <c r="CL152" t="s">
        <v>89</v>
      </c>
    </row>
    <row r="153" spans="1:90">
      <c r="A153" t="s">
        <v>72</v>
      </c>
      <c r="B153" t="s">
        <v>73</v>
      </c>
      <c r="C153" t="s">
        <v>74</v>
      </c>
      <c r="E153" t="str">
        <f>"FES1162726270"</f>
        <v>FES1162726270</v>
      </c>
      <c r="F153" s="3">
        <v>43801</v>
      </c>
      <c r="G153">
        <v>202006</v>
      </c>
      <c r="H153" t="s">
        <v>75</v>
      </c>
      <c r="I153" t="s">
        <v>76</v>
      </c>
      <c r="J153" t="s">
        <v>77</v>
      </c>
      <c r="K153" t="s">
        <v>78</v>
      </c>
      <c r="L153" t="s">
        <v>451</v>
      </c>
      <c r="M153" t="s">
        <v>452</v>
      </c>
      <c r="N153" t="s">
        <v>453</v>
      </c>
      <c r="O153" t="s">
        <v>82</v>
      </c>
      <c r="P153" t="str">
        <f>"2170719768                    "</f>
        <v xml:space="preserve">2170719768                    </v>
      </c>
      <c r="Q153">
        <v>0</v>
      </c>
      <c r="R153">
        <v>0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  <c r="AA153">
        <v>0</v>
      </c>
      <c r="AB153">
        <v>0</v>
      </c>
      <c r="AC153">
        <v>0</v>
      </c>
      <c r="AD153">
        <v>0</v>
      </c>
      <c r="AE153">
        <v>0</v>
      </c>
      <c r="AF153">
        <v>0</v>
      </c>
      <c r="AG153">
        <v>0</v>
      </c>
      <c r="AH153">
        <v>0</v>
      </c>
      <c r="AI153">
        <v>0</v>
      </c>
      <c r="AJ153">
        <v>0</v>
      </c>
      <c r="AK153">
        <v>0</v>
      </c>
      <c r="AL153">
        <v>0</v>
      </c>
      <c r="AM153">
        <v>8.58</v>
      </c>
      <c r="AN153">
        <v>0</v>
      </c>
      <c r="AO153">
        <v>0</v>
      </c>
      <c r="AP153">
        <v>0</v>
      </c>
      <c r="AQ153">
        <v>0</v>
      </c>
      <c r="AR153">
        <v>0</v>
      </c>
      <c r="AS153">
        <v>0</v>
      </c>
      <c r="AT153">
        <v>0</v>
      </c>
      <c r="AU153">
        <v>0</v>
      </c>
      <c r="AV153">
        <v>0</v>
      </c>
      <c r="AW153">
        <v>0</v>
      </c>
      <c r="AX153">
        <v>0</v>
      </c>
      <c r="AY153">
        <v>0</v>
      </c>
      <c r="AZ153">
        <v>0</v>
      </c>
      <c r="BA153">
        <v>0</v>
      </c>
      <c r="BB153">
        <v>0</v>
      </c>
      <c r="BC153">
        <v>0</v>
      </c>
      <c r="BD153">
        <v>0</v>
      </c>
      <c r="BE153">
        <v>0</v>
      </c>
      <c r="BF153">
        <v>0</v>
      </c>
      <c r="BG153">
        <v>0</v>
      </c>
      <c r="BH153">
        <v>1</v>
      </c>
      <c r="BI153">
        <v>1</v>
      </c>
      <c r="BJ153">
        <v>0.2</v>
      </c>
      <c r="BK153">
        <v>1</v>
      </c>
      <c r="BL153" s="4">
        <v>50.45</v>
      </c>
      <c r="BM153" s="4">
        <v>7.57</v>
      </c>
      <c r="BN153" s="4">
        <v>58.02</v>
      </c>
      <c r="BO153" s="4">
        <v>58.02</v>
      </c>
      <c r="BQ153" t="s">
        <v>147</v>
      </c>
      <c r="BR153" t="s">
        <v>84</v>
      </c>
      <c r="BS153" s="3">
        <v>43803</v>
      </c>
      <c r="BT153" s="5">
        <v>0.4861111111111111</v>
      </c>
      <c r="BU153" t="s">
        <v>454</v>
      </c>
      <c r="BV153" t="s">
        <v>86</v>
      </c>
      <c r="BY153">
        <v>1200</v>
      </c>
      <c r="CA153" t="s">
        <v>225</v>
      </c>
      <c r="CC153" t="s">
        <v>452</v>
      </c>
      <c r="CD153">
        <v>3760</v>
      </c>
      <c r="CE153" t="s">
        <v>88</v>
      </c>
      <c r="CF153" s="3">
        <v>43804</v>
      </c>
      <c r="CI153">
        <v>4</v>
      </c>
      <c r="CJ153">
        <v>2</v>
      </c>
      <c r="CK153">
        <v>21</v>
      </c>
      <c r="CL153" t="s">
        <v>89</v>
      </c>
    </row>
    <row r="154" spans="1:90">
      <c r="A154" t="s">
        <v>72</v>
      </c>
      <c r="B154" t="s">
        <v>73</v>
      </c>
      <c r="C154" t="s">
        <v>74</v>
      </c>
      <c r="E154" t="str">
        <f>"FES1162726424"</f>
        <v>FES1162726424</v>
      </c>
      <c r="F154" s="3">
        <v>43802</v>
      </c>
      <c r="G154">
        <v>202006</v>
      </c>
      <c r="H154" t="s">
        <v>75</v>
      </c>
      <c r="I154" t="s">
        <v>76</v>
      </c>
      <c r="J154" t="s">
        <v>77</v>
      </c>
      <c r="K154" t="s">
        <v>78</v>
      </c>
      <c r="L154" t="s">
        <v>455</v>
      </c>
      <c r="M154" t="s">
        <v>456</v>
      </c>
      <c r="N154" t="s">
        <v>457</v>
      </c>
      <c r="O154" t="s">
        <v>82</v>
      </c>
      <c r="P154" t="str">
        <f>"2170719579                    "</f>
        <v xml:space="preserve">2170719579                    </v>
      </c>
      <c r="Q154">
        <v>0</v>
      </c>
      <c r="R154">
        <v>0</v>
      </c>
      <c r="S154">
        <v>0</v>
      </c>
      <c r="T154">
        <v>0</v>
      </c>
      <c r="U154">
        <v>0</v>
      </c>
      <c r="V154">
        <v>0</v>
      </c>
      <c r="W154">
        <v>0</v>
      </c>
      <c r="X154">
        <v>0</v>
      </c>
      <c r="Y154">
        <v>0</v>
      </c>
      <c r="Z154">
        <v>0</v>
      </c>
      <c r="AA154">
        <v>0</v>
      </c>
      <c r="AB154">
        <v>0</v>
      </c>
      <c r="AC154">
        <v>0</v>
      </c>
      <c r="AD154">
        <v>0</v>
      </c>
      <c r="AE154">
        <v>0</v>
      </c>
      <c r="AF154">
        <v>0</v>
      </c>
      <c r="AG154">
        <v>0</v>
      </c>
      <c r="AH154">
        <v>0</v>
      </c>
      <c r="AI154">
        <v>0</v>
      </c>
      <c r="AJ154">
        <v>0</v>
      </c>
      <c r="AK154">
        <v>0</v>
      </c>
      <c r="AL154">
        <v>0</v>
      </c>
      <c r="AM154">
        <v>8.58</v>
      </c>
      <c r="AN154">
        <v>0</v>
      </c>
      <c r="AO154">
        <v>0</v>
      </c>
      <c r="AP154">
        <v>0</v>
      </c>
      <c r="AQ154">
        <v>0</v>
      </c>
      <c r="AR154">
        <v>0</v>
      </c>
      <c r="AS154">
        <v>0</v>
      </c>
      <c r="AT154">
        <v>0</v>
      </c>
      <c r="AU154">
        <v>0</v>
      </c>
      <c r="AV154">
        <v>0</v>
      </c>
      <c r="AW154">
        <v>0</v>
      </c>
      <c r="AX154">
        <v>0</v>
      </c>
      <c r="AY154">
        <v>0</v>
      </c>
      <c r="AZ154">
        <v>0</v>
      </c>
      <c r="BA154">
        <v>0</v>
      </c>
      <c r="BB154">
        <v>0</v>
      </c>
      <c r="BC154">
        <v>0</v>
      </c>
      <c r="BD154">
        <v>0</v>
      </c>
      <c r="BE154">
        <v>0</v>
      </c>
      <c r="BF154">
        <v>0</v>
      </c>
      <c r="BG154">
        <v>0</v>
      </c>
      <c r="BH154">
        <v>1</v>
      </c>
      <c r="BI154">
        <v>1</v>
      </c>
      <c r="BJ154">
        <v>0.2</v>
      </c>
      <c r="BK154">
        <v>1</v>
      </c>
      <c r="BL154" s="4">
        <v>50.45</v>
      </c>
      <c r="BM154" s="4">
        <v>7.57</v>
      </c>
      <c r="BN154" s="4">
        <v>58.02</v>
      </c>
      <c r="BO154" s="4">
        <v>58.02</v>
      </c>
      <c r="BR154" t="s">
        <v>84</v>
      </c>
      <c r="BS154" s="3">
        <v>43803</v>
      </c>
      <c r="BT154" s="5">
        <v>0.4861111111111111</v>
      </c>
      <c r="BU154" t="s">
        <v>458</v>
      </c>
      <c r="BV154" t="s">
        <v>86</v>
      </c>
      <c r="BY154">
        <v>1200</v>
      </c>
      <c r="CA154" t="s">
        <v>459</v>
      </c>
      <c r="CC154" t="s">
        <v>456</v>
      </c>
      <c r="CD154">
        <v>3699</v>
      </c>
      <c r="CE154" t="s">
        <v>88</v>
      </c>
      <c r="CF154" s="3">
        <v>43804</v>
      </c>
      <c r="CI154">
        <v>1</v>
      </c>
      <c r="CJ154">
        <v>1</v>
      </c>
      <c r="CK154">
        <v>21</v>
      </c>
      <c r="CL154" t="s">
        <v>89</v>
      </c>
    </row>
    <row r="155" spans="1:90">
      <c r="A155" t="s">
        <v>72</v>
      </c>
      <c r="B155" t="s">
        <v>73</v>
      </c>
      <c r="C155" t="s">
        <v>74</v>
      </c>
      <c r="E155" t="str">
        <f>"FES1162726373"</f>
        <v>FES1162726373</v>
      </c>
      <c r="F155" s="3">
        <v>43802</v>
      </c>
      <c r="G155">
        <v>202006</v>
      </c>
      <c r="H155" t="s">
        <v>75</v>
      </c>
      <c r="I155" t="s">
        <v>76</v>
      </c>
      <c r="J155" t="s">
        <v>77</v>
      </c>
      <c r="K155" t="s">
        <v>78</v>
      </c>
      <c r="L155" t="s">
        <v>151</v>
      </c>
      <c r="M155" t="s">
        <v>102</v>
      </c>
      <c r="N155" t="s">
        <v>460</v>
      </c>
      <c r="O155" t="s">
        <v>82</v>
      </c>
      <c r="P155" t="str">
        <f>"2170715930                    "</f>
        <v xml:space="preserve">2170715930                    </v>
      </c>
      <c r="Q155">
        <v>0</v>
      </c>
      <c r="R155">
        <v>0</v>
      </c>
      <c r="S155">
        <v>0</v>
      </c>
      <c r="T155">
        <v>0</v>
      </c>
      <c r="U155">
        <v>0</v>
      </c>
      <c r="V155">
        <v>0</v>
      </c>
      <c r="W155">
        <v>0</v>
      </c>
      <c r="X155">
        <v>0</v>
      </c>
      <c r="Y155">
        <v>0</v>
      </c>
      <c r="Z155">
        <v>0</v>
      </c>
      <c r="AA155">
        <v>0</v>
      </c>
      <c r="AB155">
        <v>0</v>
      </c>
      <c r="AC155">
        <v>0</v>
      </c>
      <c r="AD155">
        <v>0</v>
      </c>
      <c r="AE155">
        <v>0</v>
      </c>
      <c r="AF155">
        <v>0</v>
      </c>
      <c r="AG155">
        <v>0</v>
      </c>
      <c r="AH155">
        <v>0</v>
      </c>
      <c r="AI155">
        <v>0</v>
      </c>
      <c r="AJ155">
        <v>0</v>
      </c>
      <c r="AK155">
        <v>0</v>
      </c>
      <c r="AL155">
        <v>0</v>
      </c>
      <c r="AM155">
        <v>8.58</v>
      </c>
      <c r="AN155">
        <v>0</v>
      </c>
      <c r="AO155">
        <v>0</v>
      </c>
      <c r="AP155">
        <v>0</v>
      </c>
      <c r="AQ155">
        <v>0</v>
      </c>
      <c r="AR155">
        <v>0</v>
      </c>
      <c r="AS155">
        <v>0</v>
      </c>
      <c r="AT155">
        <v>0</v>
      </c>
      <c r="AU155">
        <v>0</v>
      </c>
      <c r="AV155">
        <v>0</v>
      </c>
      <c r="AW155">
        <v>0</v>
      </c>
      <c r="AX155">
        <v>0</v>
      </c>
      <c r="AY155">
        <v>0</v>
      </c>
      <c r="AZ155">
        <v>0</v>
      </c>
      <c r="BA155">
        <v>0</v>
      </c>
      <c r="BB155">
        <v>0</v>
      </c>
      <c r="BC155">
        <v>0</v>
      </c>
      <c r="BD155">
        <v>0</v>
      </c>
      <c r="BE155">
        <v>0</v>
      </c>
      <c r="BF155">
        <v>0</v>
      </c>
      <c r="BG155">
        <v>0</v>
      </c>
      <c r="BH155">
        <v>1</v>
      </c>
      <c r="BI155">
        <v>1</v>
      </c>
      <c r="BJ155">
        <v>0.2</v>
      </c>
      <c r="BK155">
        <v>1</v>
      </c>
      <c r="BL155" s="4">
        <v>50.45</v>
      </c>
      <c r="BM155" s="4">
        <v>7.57</v>
      </c>
      <c r="BN155" s="4">
        <v>58.02</v>
      </c>
      <c r="BO155" s="4">
        <v>58.02</v>
      </c>
      <c r="BQ155" t="s">
        <v>93</v>
      </c>
      <c r="BR155" t="s">
        <v>84</v>
      </c>
      <c r="BS155" s="3">
        <v>43803</v>
      </c>
      <c r="BT155" s="5">
        <v>0.38125000000000003</v>
      </c>
      <c r="BU155" t="s">
        <v>461</v>
      </c>
      <c r="BV155" t="s">
        <v>86</v>
      </c>
      <c r="BY155">
        <v>1200</v>
      </c>
      <c r="CA155" t="s">
        <v>462</v>
      </c>
      <c r="CC155" t="s">
        <v>102</v>
      </c>
      <c r="CD155">
        <v>181</v>
      </c>
      <c r="CE155" t="s">
        <v>88</v>
      </c>
      <c r="CF155" s="3">
        <v>43804</v>
      </c>
      <c r="CI155">
        <v>1</v>
      </c>
      <c r="CJ155">
        <v>1</v>
      </c>
      <c r="CK155">
        <v>21</v>
      </c>
      <c r="CL155" t="s">
        <v>89</v>
      </c>
    </row>
    <row r="156" spans="1:90">
      <c r="A156" t="s">
        <v>72</v>
      </c>
      <c r="B156" t="s">
        <v>73</v>
      </c>
      <c r="C156" t="s">
        <v>74</v>
      </c>
      <c r="E156" t="str">
        <f>"FES1162726292"</f>
        <v>FES1162726292</v>
      </c>
      <c r="F156" s="3">
        <v>43801</v>
      </c>
      <c r="G156">
        <v>202006</v>
      </c>
      <c r="H156" t="s">
        <v>75</v>
      </c>
      <c r="I156" t="s">
        <v>76</v>
      </c>
      <c r="J156" t="s">
        <v>77</v>
      </c>
      <c r="K156" t="s">
        <v>78</v>
      </c>
      <c r="L156" t="s">
        <v>151</v>
      </c>
      <c r="M156" t="s">
        <v>102</v>
      </c>
      <c r="N156" t="s">
        <v>463</v>
      </c>
      <c r="O156" t="s">
        <v>82</v>
      </c>
      <c r="P156" t="str">
        <f>"2170719799                    "</f>
        <v xml:space="preserve">2170719799                    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0</v>
      </c>
      <c r="Z156">
        <v>0</v>
      </c>
      <c r="AA156">
        <v>0</v>
      </c>
      <c r="AB156">
        <v>0</v>
      </c>
      <c r="AC156">
        <v>0</v>
      </c>
      <c r="AD156">
        <v>0</v>
      </c>
      <c r="AE156">
        <v>0</v>
      </c>
      <c r="AF156">
        <v>0</v>
      </c>
      <c r="AG156">
        <v>0</v>
      </c>
      <c r="AH156">
        <v>0</v>
      </c>
      <c r="AI156">
        <v>0</v>
      </c>
      <c r="AJ156">
        <v>0</v>
      </c>
      <c r="AK156">
        <v>0</v>
      </c>
      <c r="AL156">
        <v>0</v>
      </c>
      <c r="AM156">
        <v>8.58</v>
      </c>
      <c r="AN156">
        <v>0</v>
      </c>
      <c r="AO156">
        <v>0</v>
      </c>
      <c r="AP156">
        <v>0</v>
      </c>
      <c r="AQ156">
        <v>0</v>
      </c>
      <c r="AR156">
        <v>0</v>
      </c>
      <c r="AS156">
        <v>0</v>
      </c>
      <c r="AT156">
        <v>0</v>
      </c>
      <c r="AU156">
        <v>0</v>
      </c>
      <c r="AV156">
        <v>0</v>
      </c>
      <c r="AW156">
        <v>0</v>
      </c>
      <c r="AX156">
        <v>0</v>
      </c>
      <c r="AY156">
        <v>0</v>
      </c>
      <c r="AZ156">
        <v>0</v>
      </c>
      <c r="BA156">
        <v>0</v>
      </c>
      <c r="BB156">
        <v>0</v>
      </c>
      <c r="BC156">
        <v>0</v>
      </c>
      <c r="BD156">
        <v>0</v>
      </c>
      <c r="BE156">
        <v>0</v>
      </c>
      <c r="BF156">
        <v>0</v>
      </c>
      <c r="BG156">
        <v>0</v>
      </c>
      <c r="BH156">
        <v>1</v>
      </c>
      <c r="BI156">
        <v>1</v>
      </c>
      <c r="BJ156">
        <v>0.2</v>
      </c>
      <c r="BK156">
        <v>1</v>
      </c>
      <c r="BL156" s="4">
        <v>50.45</v>
      </c>
      <c r="BM156" s="4">
        <v>7.57</v>
      </c>
      <c r="BN156" s="4">
        <v>58.02</v>
      </c>
      <c r="BO156" s="4">
        <v>58.02</v>
      </c>
      <c r="BR156" t="s">
        <v>84</v>
      </c>
      <c r="BS156" s="3">
        <v>43802</v>
      </c>
      <c r="BT156" s="5">
        <v>0.39583333333333331</v>
      </c>
      <c r="BU156" t="s">
        <v>464</v>
      </c>
      <c r="BV156" t="s">
        <v>86</v>
      </c>
      <c r="BY156">
        <v>1200</v>
      </c>
      <c r="BZ156" t="s">
        <v>27</v>
      </c>
      <c r="CA156" t="s">
        <v>344</v>
      </c>
      <c r="CC156" t="s">
        <v>102</v>
      </c>
      <c r="CD156">
        <v>62</v>
      </c>
      <c r="CE156" t="s">
        <v>88</v>
      </c>
      <c r="CF156" s="3">
        <v>43803</v>
      </c>
      <c r="CI156">
        <v>1</v>
      </c>
      <c r="CJ156">
        <v>1</v>
      </c>
      <c r="CK156">
        <v>21</v>
      </c>
      <c r="CL156" t="s">
        <v>89</v>
      </c>
    </row>
    <row r="157" spans="1:90">
      <c r="A157" t="s">
        <v>72</v>
      </c>
      <c r="B157" t="s">
        <v>73</v>
      </c>
      <c r="C157" t="s">
        <v>74</v>
      </c>
      <c r="E157" t="str">
        <f>"FES1162726490"</f>
        <v>FES1162726490</v>
      </c>
      <c r="F157" s="3">
        <v>43802</v>
      </c>
      <c r="G157">
        <v>202006</v>
      </c>
      <c r="H157" t="s">
        <v>75</v>
      </c>
      <c r="I157" t="s">
        <v>76</v>
      </c>
      <c r="J157" t="s">
        <v>77</v>
      </c>
      <c r="K157" t="s">
        <v>78</v>
      </c>
      <c r="L157" t="s">
        <v>221</v>
      </c>
      <c r="M157" t="s">
        <v>222</v>
      </c>
      <c r="N157" t="s">
        <v>465</v>
      </c>
      <c r="O157" t="s">
        <v>82</v>
      </c>
      <c r="P157" t="str">
        <f>"2170719925                    "</f>
        <v xml:space="preserve">2170719925                    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  <c r="AA157">
        <v>0</v>
      </c>
      <c r="AB157">
        <v>0</v>
      </c>
      <c r="AC157">
        <v>0</v>
      </c>
      <c r="AD157">
        <v>0</v>
      </c>
      <c r="AE157">
        <v>0</v>
      </c>
      <c r="AF157">
        <v>0</v>
      </c>
      <c r="AG157">
        <v>0</v>
      </c>
      <c r="AH157">
        <v>0</v>
      </c>
      <c r="AI157">
        <v>0</v>
      </c>
      <c r="AJ157">
        <v>0</v>
      </c>
      <c r="AK157">
        <v>0</v>
      </c>
      <c r="AL157">
        <v>0</v>
      </c>
      <c r="AM157">
        <v>8.58</v>
      </c>
      <c r="AN157">
        <v>0</v>
      </c>
      <c r="AO157">
        <v>0</v>
      </c>
      <c r="AP157">
        <v>0</v>
      </c>
      <c r="AQ157">
        <v>0</v>
      </c>
      <c r="AR157">
        <v>0</v>
      </c>
      <c r="AS157">
        <v>0</v>
      </c>
      <c r="AT157">
        <v>0</v>
      </c>
      <c r="AU157">
        <v>0</v>
      </c>
      <c r="AV157">
        <v>0</v>
      </c>
      <c r="AW157">
        <v>0</v>
      </c>
      <c r="AX157">
        <v>0</v>
      </c>
      <c r="AY157">
        <v>0</v>
      </c>
      <c r="AZ157">
        <v>0</v>
      </c>
      <c r="BA157">
        <v>0</v>
      </c>
      <c r="BB157">
        <v>0</v>
      </c>
      <c r="BC157">
        <v>0</v>
      </c>
      <c r="BD157">
        <v>0</v>
      </c>
      <c r="BE157">
        <v>0</v>
      </c>
      <c r="BF157">
        <v>0</v>
      </c>
      <c r="BG157">
        <v>0</v>
      </c>
      <c r="BH157">
        <v>1</v>
      </c>
      <c r="BI157">
        <v>1</v>
      </c>
      <c r="BJ157">
        <v>0.2</v>
      </c>
      <c r="BK157">
        <v>1</v>
      </c>
      <c r="BL157" s="4">
        <v>50.45</v>
      </c>
      <c r="BM157" s="4">
        <v>7.57</v>
      </c>
      <c r="BN157" s="4">
        <v>58.02</v>
      </c>
      <c r="BO157" s="4">
        <v>58.02</v>
      </c>
      <c r="BQ157" t="s">
        <v>466</v>
      </c>
      <c r="BR157" t="s">
        <v>84</v>
      </c>
      <c r="BS157" s="3">
        <v>43803</v>
      </c>
      <c r="BT157" s="5">
        <v>0.33958333333333335</v>
      </c>
      <c r="BU157" t="s">
        <v>467</v>
      </c>
      <c r="BV157" t="s">
        <v>86</v>
      </c>
      <c r="BY157">
        <v>1200</v>
      </c>
      <c r="CA157" t="s">
        <v>468</v>
      </c>
      <c r="CC157" t="s">
        <v>222</v>
      </c>
      <c r="CD157">
        <v>3201</v>
      </c>
      <c r="CE157" t="s">
        <v>88</v>
      </c>
      <c r="CF157" s="3">
        <v>43804</v>
      </c>
      <c r="CI157">
        <v>1</v>
      </c>
      <c r="CJ157">
        <v>1</v>
      </c>
      <c r="CK157">
        <v>21</v>
      </c>
      <c r="CL157" t="s">
        <v>89</v>
      </c>
    </row>
    <row r="158" spans="1:90">
      <c r="A158" t="s">
        <v>72</v>
      </c>
      <c r="B158" t="s">
        <v>73</v>
      </c>
      <c r="C158" t="s">
        <v>74</v>
      </c>
      <c r="E158" t="str">
        <f>"FES1162726165"</f>
        <v>FES1162726165</v>
      </c>
      <c r="F158" s="3">
        <v>43801</v>
      </c>
      <c r="G158">
        <v>202006</v>
      </c>
      <c r="H158" t="s">
        <v>75</v>
      </c>
      <c r="I158" t="s">
        <v>76</v>
      </c>
      <c r="J158" t="s">
        <v>77</v>
      </c>
      <c r="K158" t="s">
        <v>78</v>
      </c>
      <c r="L158" t="s">
        <v>469</v>
      </c>
      <c r="M158" t="s">
        <v>470</v>
      </c>
      <c r="N158" t="s">
        <v>471</v>
      </c>
      <c r="O158" t="s">
        <v>82</v>
      </c>
      <c r="P158" t="str">
        <f>"2170719654                    "</f>
        <v xml:space="preserve">2170719654                    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0</v>
      </c>
      <c r="Z158">
        <v>0</v>
      </c>
      <c r="AA158">
        <v>0</v>
      </c>
      <c r="AB158">
        <v>0</v>
      </c>
      <c r="AC158">
        <v>0</v>
      </c>
      <c r="AD158">
        <v>0</v>
      </c>
      <c r="AE158">
        <v>0</v>
      </c>
      <c r="AF158">
        <v>0</v>
      </c>
      <c r="AG158">
        <v>0</v>
      </c>
      <c r="AH158">
        <v>0</v>
      </c>
      <c r="AI158">
        <v>0</v>
      </c>
      <c r="AJ158">
        <v>0</v>
      </c>
      <c r="AK158">
        <v>0</v>
      </c>
      <c r="AL158">
        <v>0</v>
      </c>
      <c r="AM158">
        <v>16.63</v>
      </c>
      <c r="AN158">
        <v>0</v>
      </c>
      <c r="AO158">
        <v>0</v>
      </c>
      <c r="AP158">
        <v>0</v>
      </c>
      <c r="AQ158">
        <v>0</v>
      </c>
      <c r="AR158">
        <v>0</v>
      </c>
      <c r="AS158">
        <v>0</v>
      </c>
      <c r="AT158">
        <v>0</v>
      </c>
      <c r="AU158">
        <v>0</v>
      </c>
      <c r="AV158">
        <v>0</v>
      </c>
      <c r="AW158">
        <v>0</v>
      </c>
      <c r="AX158">
        <v>0</v>
      </c>
      <c r="AY158">
        <v>0</v>
      </c>
      <c r="AZ158">
        <v>0</v>
      </c>
      <c r="BA158">
        <v>0</v>
      </c>
      <c r="BB158">
        <v>0</v>
      </c>
      <c r="BC158">
        <v>0</v>
      </c>
      <c r="BD158">
        <v>0</v>
      </c>
      <c r="BE158">
        <v>0</v>
      </c>
      <c r="BF158">
        <v>0</v>
      </c>
      <c r="BG158">
        <v>0</v>
      </c>
      <c r="BH158">
        <v>1</v>
      </c>
      <c r="BI158">
        <v>1</v>
      </c>
      <c r="BJ158">
        <v>0.2</v>
      </c>
      <c r="BK158">
        <v>1</v>
      </c>
      <c r="BL158" s="4">
        <v>97.75</v>
      </c>
      <c r="BM158" s="4">
        <v>14.66</v>
      </c>
      <c r="BN158" s="4">
        <v>112.41</v>
      </c>
      <c r="BO158" s="4">
        <v>112.41</v>
      </c>
      <c r="BQ158" t="s">
        <v>147</v>
      </c>
      <c r="BR158" t="s">
        <v>84</v>
      </c>
      <c r="BS158" s="3">
        <v>43802</v>
      </c>
      <c r="BT158" s="5">
        <v>0.39583333333333331</v>
      </c>
      <c r="BU158" t="s">
        <v>472</v>
      </c>
      <c r="BV158" t="s">
        <v>86</v>
      </c>
      <c r="BY158">
        <v>1200</v>
      </c>
      <c r="BZ158" t="s">
        <v>27</v>
      </c>
      <c r="CC158" t="s">
        <v>470</v>
      </c>
      <c r="CD158">
        <v>9880</v>
      </c>
      <c r="CE158" t="s">
        <v>88</v>
      </c>
      <c r="CF158" s="3">
        <v>43804</v>
      </c>
      <c r="CI158">
        <v>1</v>
      </c>
      <c r="CJ158">
        <v>1</v>
      </c>
      <c r="CK158">
        <v>23</v>
      </c>
      <c r="CL158" t="s">
        <v>89</v>
      </c>
    </row>
    <row r="159" spans="1:90">
      <c r="A159" t="s">
        <v>72</v>
      </c>
      <c r="B159" t="s">
        <v>73</v>
      </c>
      <c r="C159" t="s">
        <v>74</v>
      </c>
      <c r="E159" t="str">
        <f>"FES1162726440"</f>
        <v>FES1162726440</v>
      </c>
      <c r="F159" s="3">
        <v>43802</v>
      </c>
      <c r="G159">
        <v>202006</v>
      </c>
      <c r="H159" t="s">
        <v>75</v>
      </c>
      <c r="I159" t="s">
        <v>76</v>
      </c>
      <c r="J159" t="s">
        <v>77</v>
      </c>
      <c r="K159" t="s">
        <v>78</v>
      </c>
      <c r="L159" t="s">
        <v>221</v>
      </c>
      <c r="M159" t="s">
        <v>222</v>
      </c>
      <c r="N159" t="s">
        <v>473</v>
      </c>
      <c r="O159" t="s">
        <v>82</v>
      </c>
      <c r="P159" t="str">
        <f>"2170719792                    "</f>
        <v xml:space="preserve">2170719792                    </v>
      </c>
      <c r="Q159">
        <v>0</v>
      </c>
      <c r="R159">
        <v>0</v>
      </c>
      <c r="S159">
        <v>0</v>
      </c>
      <c r="T159">
        <v>0</v>
      </c>
      <c r="U159">
        <v>0</v>
      </c>
      <c r="V159">
        <v>0</v>
      </c>
      <c r="W159">
        <v>0</v>
      </c>
      <c r="X159">
        <v>0</v>
      </c>
      <c r="Y159">
        <v>0</v>
      </c>
      <c r="Z159">
        <v>0</v>
      </c>
      <c r="AA159">
        <v>0</v>
      </c>
      <c r="AB159">
        <v>0</v>
      </c>
      <c r="AC159">
        <v>0</v>
      </c>
      <c r="AD159">
        <v>0</v>
      </c>
      <c r="AE159">
        <v>0</v>
      </c>
      <c r="AF159">
        <v>0</v>
      </c>
      <c r="AG159">
        <v>0</v>
      </c>
      <c r="AH159">
        <v>0</v>
      </c>
      <c r="AI159">
        <v>0</v>
      </c>
      <c r="AJ159">
        <v>0</v>
      </c>
      <c r="AK159">
        <v>0</v>
      </c>
      <c r="AL159">
        <v>0</v>
      </c>
      <c r="AM159">
        <v>8.58</v>
      </c>
      <c r="AN159">
        <v>0</v>
      </c>
      <c r="AO159">
        <v>0</v>
      </c>
      <c r="AP159">
        <v>0</v>
      </c>
      <c r="AQ159">
        <v>0</v>
      </c>
      <c r="AR159">
        <v>0</v>
      </c>
      <c r="AS159">
        <v>0</v>
      </c>
      <c r="AT159">
        <v>0</v>
      </c>
      <c r="AU159">
        <v>0</v>
      </c>
      <c r="AV159">
        <v>0</v>
      </c>
      <c r="AW159">
        <v>0</v>
      </c>
      <c r="AX159">
        <v>0</v>
      </c>
      <c r="AY159">
        <v>0</v>
      </c>
      <c r="AZ159">
        <v>0</v>
      </c>
      <c r="BA159">
        <v>0</v>
      </c>
      <c r="BB159">
        <v>0</v>
      </c>
      <c r="BC159">
        <v>0</v>
      </c>
      <c r="BD159">
        <v>0</v>
      </c>
      <c r="BE159">
        <v>0</v>
      </c>
      <c r="BF159">
        <v>0</v>
      </c>
      <c r="BG159">
        <v>0</v>
      </c>
      <c r="BH159">
        <v>1</v>
      </c>
      <c r="BI159">
        <v>1</v>
      </c>
      <c r="BJ159">
        <v>0.2</v>
      </c>
      <c r="BK159">
        <v>1</v>
      </c>
      <c r="BL159" s="4">
        <v>50.45</v>
      </c>
      <c r="BM159" s="4">
        <v>7.57</v>
      </c>
      <c r="BN159" s="4">
        <v>58.02</v>
      </c>
      <c r="BO159" s="4">
        <v>58.02</v>
      </c>
      <c r="BQ159" t="s">
        <v>147</v>
      </c>
      <c r="BR159" t="s">
        <v>84</v>
      </c>
      <c r="BS159" s="3">
        <v>43803</v>
      </c>
      <c r="BT159" s="5">
        <v>0.3888888888888889</v>
      </c>
      <c r="BU159" t="s">
        <v>474</v>
      </c>
      <c r="BV159" t="s">
        <v>86</v>
      </c>
      <c r="BY159">
        <v>1200</v>
      </c>
      <c r="CA159" t="s">
        <v>475</v>
      </c>
      <c r="CC159" t="s">
        <v>222</v>
      </c>
      <c r="CD159">
        <v>3201</v>
      </c>
      <c r="CE159" t="s">
        <v>88</v>
      </c>
      <c r="CF159" s="3">
        <v>43804</v>
      </c>
      <c r="CI159">
        <v>1</v>
      </c>
      <c r="CJ159">
        <v>1</v>
      </c>
      <c r="CK159">
        <v>21</v>
      </c>
      <c r="CL159" t="s">
        <v>89</v>
      </c>
    </row>
    <row r="160" spans="1:90">
      <c r="A160" t="s">
        <v>72</v>
      </c>
      <c r="B160" t="s">
        <v>73</v>
      </c>
      <c r="C160" t="s">
        <v>74</v>
      </c>
      <c r="E160" t="str">
        <f>"FES1162726152"</f>
        <v>FES1162726152</v>
      </c>
      <c r="F160" s="3">
        <v>43801</v>
      </c>
      <c r="G160">
        <v>202006</v>
      </c>
      <c r="H160" t="s">
        <v>75</v>
      </c>
      <c r="I160" t="s">
        <v>76</v>
      </c>
      <c r="J160" t="s">
        <v>77</v>
      </c>
      <c r="K160" t="s">
        <v>78</v>
      </c>
      <c r="L160" t="s">
        <v>404</v>
      </c>
      <c r="M160" t="s">
        <v>405</v>
      </c>
      <c r="N160" t="s">
        <v>406</v>
      </c>
      <c r="O160" t="s">
        <v>82</v>
      </c>
      <c r="P160" t="str">
        <f>"2170719639                    "</f>
        <v xml:space="preserve">2170719639                    </v>
      </c>
      <c r="Q160">
        <v>0</v>
      </c>
      <c r="R160">
        <v>0</v>
      </c>
      <c r="S160">
        <v>0</v>
      </c>
      <c r="T160">
        <v>0</v>
      </c>
      <c r="U160">
        <v>0</v>
      </c>
      <c r="V160">
        <v>0</v>
      </c>
      <c r="W160">
        <v>0</v>
      </c>
      <c r="X160">
        <v>0</v>
      </c>
      <c r="Y160">
        <v>0</v>
      </c>
      <c r="Z160">
        <v>0</v>
      </c>
      <c r="AA160">
        <v>0</v>
      </c>
      <c r="AB160">
        <v>0</v>
      </c>
      <c r="AC160">
        <v>0</v>
      </c>
      <c r="AD160">
        <v>0</v>
      </c>
      <c r="AE160">
        <v>0</v>
      </c>
      <c r="AF160">
        <v>0</v>
      </c>
      <c r="AG160">
        <v>0</v>
      </c>
      <c r="AH160">
        <v>0</v>
      </c>
      <c r="AI160">
        <v>0</v>
      </c>
      <c r="AJ160">
        <v>0</v>
      </c>
      <c r="AK160">
        <v>0</v>
      </c>
      <c r="AL160">
        <v>0</v>
      </c>
      <c r="AM160">
        <v>8.58</v>
      </c>
      <c r="AN160">
        <v>0</v>
      </c>
      <c r="AO160">
        <v>0</v>
      </c>
      <c r="AP160">
        <v>0</v>
      </c>
      <c r="AQ160">
        <v>0</v>
      </c>
      <c r="AR160">
        <v>0</v>
      </c>
      <c r="AS160">
        <v>0</v>
      </c>
      <c r="AT160">
        <v>0</v>
      </c>
      <c r="AU160">
        <v>0</v>
      </c>
      <c r="AV160">
        <v>0</v>
      </c>
      <c r="AW160">
        <v>0</v>
      </c>
      <c r="AX160">
        <v>0</v>
      </c>
      <c r="AY160">
        <v>0</v>
      </c>
      <c r="AZ160">
        <v>0</v>
      </c>
      <c r="BA160">
        <v>0</v>
      </c>
      <c r="BB160">
        <v>0</v>
      </c>
      <c r="BC160">
        <v>0</v>
      </c>
      <c r="BD160">
        <v>0</v>
      </c>
      <c r="BE160">
        <v>0</v>
      </c>
      <c r="BF160">
        <v>0</v>
      </c>
      <c r="BG160">
        <v>0</v>
      </c>
      <c r="BH160">
        <v>1</v>
      </c>
      <c r="BI160">
        <v>1</v>
      </c>
      <c r="BJ160">
        <v>0.2</v>
      </c>
      <c r="BK160">
        <v>1</v>
      </c>
      <c r="BL160" s="4">
        <v>50.45</v>
      </c>
      <c r="BM160" s="4">
        <v>7.57</v>
      </c>
      <c r="BN160" s="4">
        <v>58.02</v>
      </c>
      <c r="BO160" s="4">
        <v>58.02</v>
      </c>
      <c r="BQ160" t="s">
        <v>93</v>
      </c>
      <c r="BR160" t="s">
        <v>84</v>
      </c>
      <c r="BS160" s="3">
        <v>43802</v>
      </c>
      <c r="BT160" s="5">
        <v>0.37777777777777777</v>
      </c>
      <c r="BU160" t="s">
        <v>407</v>
      </c>
      <c r="BV160" t="s">
        <v>86</v>
      </c>
      <c r="BY160">
        <v>1200</v>
      </c>
      <c r="BZ160" t="s">
        <v>27</v>
      </c>
      <c r="CA160" t="s">
        <v>408</v>
      </c>
      <c r="CC160" t="s">
        <v>405</v>
      </c>
      <c r="CD160">
        <v>4026</v>
      </c>
      <c r="CE160" t="s">
        <v>88</v>
      </c>
      <c r="CF160" s="3">
        <v>43803</v>
      </c>
      <c r="CI160">
        <v>1</v>
      </c>
      <c r="CJ160">
        <v>1</v>
      </c>
      <c r="CK160">
        <v>21</v>
      </c>
      <c r="CL160" t="s">
        <v>89</v>
      </c>
    </row>
    <row r="161" spans="1:90">
      <c r="A161" t="s">
        <v>72</v>
      </c>
      <c r="B161" t="s">
        <v>73</v>
      </c>
      <c r="C161" t="s">
        <v>74</v>
      </c>
      <c r="E161" t="str">
        <f>"FES1162726398"</f>
        <v>FES1162726398</v>
      </c>
      <c r="F161" s="3">
        <v>43802</v>
      </c>
      <c r="G161">
        <v>202006</v>
      </c>
      <c r="H161" t="s">
        <v>75</v>
      </c>
      <c r="I161" t="s">
        <v>76</v>
      </c>
      <c r="J161" t="s">
        <v>77</v>
      </c>
      <c r="K161" t="s">
        <v>78</v>
      </c>
      <c r="L161" t="s">
        <v>75</v>
      </c>
      <c r="M161" t="s">
        <v>76</v>
      </c>
      <c r="N161" t="s">
        <v>476</v>
      </c>
      <c r="O161" t="s">
        <v>82</v>
      </c>
      <c r="P161" t="str">
        <f>"2170719015                    "</f>
        <v xml:space="preserve">2170719015                    </v>
      </c>
      <c r="Q161">
        <v>0</v>
      </c>
      <c r="R161">
        <v>0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0</v>
      </c>
      <c r="Z161">
        <v>0</v>
      </c>
      <c r="AA161">
        <v>0</v>
      </c>
      <c r="AB161">
        <v>0</v>
      </c>
      <c r="AC161">
        <v>0</v>
      </c>
      <c r="AD161">
        <v>0</v>
      </c>
      <c r="AE161">
        <v>0</v>
      </c>
      <c r="AF161">
        <v>0</v>
      </c>
      <c r="AG161">
        <v>0</v>
      </c>
      <c r="AH161">
        <v>0</v>
      </c>
      <c r="AI161">
        <v>0</v>
      </c>
      <c r="AJ161">
        <v>0</v>
      </c>
      <c r="AK161">
        <v>0</v>
      </c>
      <c r="AL161">
        <v>0</v>
      </c>
      <c r="AM161">
        <v>7.51</v>
      </c>
      <c r="AN161">
        <v>0</v>
      </c>
      <c r="AO161">
        <v>0</v>
      </c>
      <c r="AP161">
        <v>0</v>
      </c>
      <c r="AQ161">
        <v>0</v>
      </c>
      <c r="AR161">
        <v>0</v>
      </c>
      <c r="AS161">
        <v>0</v>
      </c>
      <c r="AT161">
        <v>0</v>
      </c>
      <c r="AU161">
        <v>0</v>
      </c>
      <c r="AV161">
        <v>0</v>
      </c>
      <c r="AW161">
        <v>0</v>
      </c>
      <c r="AX161">
        <v>0</v>
      </c>
      <c r="AY161">
        <v>0</v>
      </c>
      <c r="AZ161">
        <v>0</v>
      </c>
      <c r="BA161">
        <v>0</v>
      </c>
      <c r="BB161">
        <v>0</v>
      </c>
      <c r="BC161">
        <v>0</v>
      </c>
      <c r="BD161">
        <v>0</v>
      </c>
      <c r="BE161">
        <v>0</v>
      </c>
      <c r="BF161">
        <v>0</v>
      </c>
      <c r="BG161">
        <v>0</v>
      </c>
      <c r="BH161">
        <v>1</v>
      </c>
      <c r="BI161">
        <v>2.2999999999999998</v>
      </c>
      <c r="BJ161">
        <v>2.1</v>
      </c>
      <c r="BK161">
        <v>2.5</v>
      </c>
      <c r="BL161" s="4">
        <v>44.14</v>
      </c>
      <c r="BM161" s="4">
        <v>6.62</v>
      </c>
      <c r="BN161" s="4">
        <v>50.76</v>
      </c>
      <c r="BO161" s="4">
        <v>50.76</v>
      </c>
      <c r="BQ161" t="s">
        <v>477</v>
      </c>
      <c r="BR161" t="s">
        <v>84</v>
      </c>
      <c r="BS161" s="3">
        <v>43803</v>
      </c>
      <c r="BT161" s="5">
        <v>0.37986111111111115</v>
      </c>
      <c r="BU161" t="s">
        <v>478</v>
      </c>
      <c r="BV161" t="s">
        <v>86</v>
      </c>
      <c r="BY161">
        <v>10266.85</v>
      </c>
      <c r="CA161" t="s">
        <v>155</v>
      </c>
      <c r="CC161" t="s">
        <v>76</v>
      </c>
      <c r="CD161">
        <v>1601</v>
      </c>
      <c r="CE161" t="s">
        <v>96</v>
      </c>
      <c r="CF161" s="3">
        <v>43804</v>
      </c>
      <c r="CI161">
        <v>1</v>
      </c>
      <c r="CJ161">
        <v>1</v>
      </c>
      <c r="CK161">
        <v>22</v>
      </c>
      <c r="CL161" t="s">
        <v>89</v>
      </c>
    </row>
    <row r="162" spans="1:90">
      <c r="A162" t="s">
        <v>72</v>
      </c>
      <c r="B162" t="s">
        <v>73</v>
      </c>
      <c r="C162" t="s">
        <v>74</v>
      </c>
      <c r="E162" t="str">
        <f>"FES1162726150"</f>
        <v>FES1162726150</v>
      </c>
      <c r="F162" s="3">
        <v>43801</v>
      </c>
      <c r="G162">
        <v>202006</v>
      </c>
      <c r="H162" t="s">
        <v>75</v>
      </c>
      <c r="I162" t="s">
        <v>76</v>
      </c>
      <c r="J162" t="s">
        <v>77</v>
      </c>
      <c r="K162" t="s">
        <v>78</v>
      </c>
      <c r="L162" t="s">
        <v>75</v>
      </c>
      <c r="M162" t="s">
        <v>76</v>
      </c>
      <c r="N162" t="s">
        <v>479</v>
      </c>
      <c r="O162" t="s">
        <v>82</v>
      </c>
      <c r="P162" t="str">
        <f>"2170719634                    "</f>
        <v xml:space="preserve">2170719634                    </v>
      </c>
      <c r="Q162">
        <v>0</v>
      </c>
      <c r="R162">
        <v>0</v>
      </c>
      <c r="S162">
        <v>0</v>
      </c>
      <c r="T162">
        <v>0</v>
      </c>
      <c r="U162">
        <v>0</v>
      </c>
      <c r="V162">
        <v>0</v>
      </c>
      <c r="W162">
        <v>0</v>
      </c>
      <c r="X162">
        <v>0</v>
      </c>
      <c r="Y162">
        <v>0</v>
      </c>
      <c r="Z162">
        <v>0</v>
      </c>
      <c r="AA162">
        <v>0</v>
      </c>
      <c r="AB162">
        <v>0</v>
      </c>
      <c r="AC162">
        <v>0</v>
      </c>
      <c r="AD162">
        <v>0</v>
      </c>
      <c r="AE162">
        <v>0</v>
      </c>
      <c r="AF162">
        <v>0</v>
      </c>
      <c r="AG162">
        <v>0</v>
      </c>
      <c r="AH162">
        <v>0</v>
      </c>
      <c r="AI162">
        <v>0</v>
      </c>
      <c r="AJ162">
        <v>0</v>
      </c>
      <c r="AK162">
        <v>0</v>
      </c>
      <c r="AL162">
        <v>0</v>
      </c>
      <c r="AM162">
        <v>6.71</v>
      </c>
      <c r="AN162">
        <v>0</v>
      </c>
      <c r="AO162">
        <v>0</v>
      </c>
      <c r="AP162">
        <v>0</v>
      </c>
      <c r="AQ162">
        <v>0</v>
      </c>
      <c r="AR162">
        <v>0</v>
      </c>
      <c r="AS162">
        <v>0</v>
      </c>
      <c r="AT162">
        <v>0</v>
      </c>
      <c r="AU162">
        <v>0</v>
      </c>
      <c r="AV162">
        <v>0</v>
      </c>
      <c r="AW162">
        <v>0</v>
      </c>
      <c r="AX162">
        <v>0</v>
      </c>
      <c r="AY162">
        <v>0</v>
      </c>
      <c r="AZ162">
        <v>0</v>
      </c>
      <c r="BA162">
        <v>0</v>
      </c>
      <c r="BB162">
        <v>0</v>
      </c>
      <c r="BC162">
        <v>0</v>
      </c>
      <c r="BD162">
        <v>0</v>
      </c>
      <c r="BE162">
        <v>0</v>
      </c>
      <c r="BF162">
        <v>0</v>
      </c>
      <c r="BG162">
        <v>0</v>
      </c>
      <c r="BH162">
        <v>1</v>
      </c>
      <c r="BI162">
        <v>1</v>
      </c>
      <c r="BJ162">
        <v>0.2</v>
      </c>
      <c r="BK162">
        <v>1</v>
      </c>
      <c r="BL162" s="4">
        <v>39.42</v>
      </c>
      <c r="BM162" s="4">
        <v>5.91</v>
      </c>
      <c r="BN162" s="4">
        <v>45.33</v>
      </c>
      <c r="BO162" s="4">
        <v>45.33</v>
      </c>
      <c r="BQ162" t="s">
        <v>147</v>
      </c>
      <c r="BR162" t="s">
        <v>84</v>
      </c>
      <c r="BS162" s="3">
        <v>43802</v>
      </c>
      <c r="BT162" s="5">
        <v>0.34652777777777777</v>
      </c>
      <c r="BU162" t="s">
        <v>480</v>
      </c>
      <c r="BV162" t="s">
        <v>86</v>
      </c>
      <c r="BY162">
        <v>1200</v>
      </c>
      <c r="BZ162" t="s">
        <v>27</v>
      </c>
      <c r="CA162" t="s">
        <v>197</v>
      </c>
      <c r="CC162" t="s">
        <v>76</v>
      </c>
      <c r="CD162">
        <v>1600</v>
      </c>
      <c r="CE162" t="s">
        <v>88</v>
      </c>
      <c r="CF162" s="3">
        <v>43803</v>
      </c>
      <c r="CI162">
        <v>1</v>
      </c>
      <c r="CJ162">
        <v>1</v>
      </c>
      <c r="CK162">
        <v>22</v>
      </c>
      <c r="CL162" t="s">
        <v>89</v>
      </c>
    </row>
    <row r="163" spans="1:90">
      <c r="A163" t="s">
        <v>72</v>
      </c>
      <c r="B163" t="s">
        <v>73</v>
      </c>
      <c r="C163" t="s">
        <v>74</v>
      </c>
      <c r="E163" t="str">
        <f>"FES1162726391"</f>
        <v>FES1162726391</v>
      </c>
      <c r="F163" s="3">
        <v>43802</v>
      </c>
      <c r="G163">
        <v>202006</v>
      </c>
      <c r="H163" t="s">
        <v>75</v>
      </c>
      <c r="I163" t="s">
        <v>76</v>
      </c>
      <c r="J163" t="s">
        <v>77</v>
      </c>
      <c r="K163" t="s">
        <v>78</v>
      </c>
      <c r="L163" t="s">
        <v>79</v>
      </c>
      <c r="M163" t="s">
        <v>80</v>
      </c>
      <c r="N163" t="s">
        <v>481</v>
      </c>
      <c r="O163" t="s">
        <v>82</v>
      </c>
      <c r="P163" t="str">
        <f>"2170718633                    "</f>
        <v xml:space="preserve">2170718633                    </v>
      </c>
      <c r="Q163">
        <v>0</v>
      </c>
      <c r="R163">
        <v>0</v>
      </c>
      <c r="S163">
        <v>0</v>
      </c>
      <c r="T163">
        <v>0</v>
      </c>
      <c r="U163">
        <v>0</v>
      </c>
      <c r="V163">
        <v>0</v>
      </c>
      <c r="W163">
        <v>0</v>
      </c>
      <c r="X163">
        <v>0</v>
      </c>
      <c r="Y163">
        <v>0</v>
      </c>
      <c r="Z163">
        <v>0</v>
      </c>
      <c r="AA163">
        <v>0</v>
      </c>
      <c r="AB163">
        <v>0</v>
      </c>
      <c r="AC163">
        <v>0</v>
      </c>
      <c r="AD163">
        <v>0</v>
      </c>
      <c r="AE163">
        <v>0</v>
      </c>
      <c r="AF163">
        <v>0</v>
      </c>
      <c r="AG163">
        <v>0</v>
      </c>
      <c r="AH163">
        <v>0</v>
      </c>
      <c r="AI163">
        <v>0</v>
      </c>
      <c r="AJ163">
        <v>0</v>
      </c>
      <c r="AK163">
        <v>0</v>
      </c>
      <c r="AL163">
        <v>0</v>
      </c>
      <c r="AM163">
        <v>8.58</v>
      </c>
      <c r="AN163">
        <v>0</v>
      </c>
      <c r="AO163">
        <v>0</v>
      </c>
      <c r="AP163">
        <v>0</v>
      </c>
      <c r="AQ163">
        <v>0</v>
      </c>
      <c r="AR163">
        <v>0</v>
      </c>
      <c r="AS163">
        <v>0</v>
      </c>
      <c r="AT163">
        <v>0</v>
      </c>
      <c r="AU163">
        <v>0</v>
      </c>
      <c r="AV163">
        <v>0</v>
      </c>
      <c r="AW163">
        <v>0</v>
      </c>
      <c r="AX163">
        <v>0</v>
      </c>
      <c r="AY163">
        <v>0</v>
      </c>
      <c r="AZ163">
        <v>0</v>
      </c>
      <c r="BA163">
        <v>0</v>
      </c>
      <c r="BB163">
        <v>0</v>
      </c>
      <c r="BC163">
        <v>0</v>
      </c>
      <c r="BD163">
        <v>0</v>
      </c>
      <c r="BE163">
        <v>0</v>
      </c>
      <c r="BF163">
        <v>0</v>
      </c>
      <c r="BG163">
        <v>0</v>
      </c>
      <c r="BH163">
        <v>1</v>
      </c>
      <c r="BI163">
        <v>1</v>
      </c>
      <c r="BJ163">
        <v>0.2</v>
      </c>
      <c r="BK163">
        <v>1</v>
      </c>
      <c r="BL163" s="4">
        <v>50.45</v>
      </c>
      <c r="BM163" s="4">
        <v>7.57</v>
      </c>
      <c r="BN163" s="4">
        <v>58.02</v>
      </c>
      <c r="BO163" s="4">
        <v>58.02</v>
      </c>
      <c r="BR163" t="s">
        <v>84</v>
      </c>
      <c r="BS163" s="3">
        <v>43803</v>
      </c>
      <c r="BT163" s="5">
        <v>0.35555555555555557</v>
      </c>
      <c r="BU163" t="s">
        <v>482</v>
      </c>
      <c r="BV163" t="s">
        <v>86</v>
      </c>
      <c r="BY163">
        <v>1200</v>
      </c>
      <c r="CA163" t="s">
        <v>131</v>
      </c>
      <c r="CC163" t="s">
        <v>80</v>
      </c>
      <c r="CD163">
        <v>6001</v>
      </c>
      <c r="CE163" t="s">
        <v>88</v>
      </c>
      <c r="CF163" s="3">
        <v>43804</v>
      </c>
      <c r="CI163">
        <v>1</v>
      </c>
      <c r="CJ163">
        <v>1</v>
      </c>
      <c r="CK163">
        <v>21</v>
      </c>
      <c r="CL163" t="s">
        <v>89</v>
      </c>
    </row>
    <row r="164" spans="1:90">
      <c r="A164" t="s">
        <v>72</v>
      </c>
      <c r="B164" t="s">
        <v>73</v>
      </c>
      <c r="C164" t="s">
        <v>74</v>
      </c>
      <c r="E164" t="str">
        <f>"FES1162726189"</f>
        <v>FES1162726189</v>
      </c>
      <c r="F164" s="3">
        <v>43801</v>
      </c>
      <c r="G164">
        <v>202006</v>
      </c>
      <c r="H164" t="s">
        <v>75</v>
      </c>
      <c r="I164" t="s">
        <v>76</v>
      </c>
      <c r="J164" t="s">
        <v>77</v>
      </c>
      <c r="K164" t="s">
        <v>78</v>
      </c>
      <c r="L164" t="s">
        <v>332</v>
      </c>
      <c r="M164" t="s">
        <v>333</v>
      </c>
      <c r="N164" t="s">
        <v>483</v>
      </c>
      <c r="O164" t="s">
        <v>82</v>
      </c>
      <c r="P164" t="str">
        <f>"2170719694                    "</f>
        <v xml:space="preserve">2170719694                    </v>
      </c>
      <c r="Q164">
        <v>0</v>
      </c>
      <c r="R164">
        <v>0</v>
      </c>
      <c r="S164">
        <v>0</v>
      </c>
      <c r="T164">
        <v>0</v>
      </c>
      <c r="U164">
        <v>0</v>
      </c>
      <c r="V164">
        <v>0</v>
      </c>
      <c r="W164">
        <v>0</v>
      </c>
      <c r="X164">
        <v>0</v>
      </c>
      <c r="Y164">
        <v>0</v>
      </c>
      <c r="Z164">
        <v>0</v>
      </c>
      <c r="AA164">
        <v>0</v>
      </c>
      <c r="AB164">
        <v>0</v>
      </c>
      <c r="AC164">
        <v>0</v>
      </c>
      <c r="AD164">
        <v>0</v>
      </c>
      <c r="AE164">
        <v>0</v>
      </c>
      <c r="AF164">
        <v>0</v>
      </c>
      <c r="AG164">
        <v>0</v>
      </c>
      <c r="AH164">
        <v>0</v>
      </c>
      <c r="AI164">
        <v>0</v>
      </c>
      <c r="AJ164">
        <v>0</v>
      </c>
      <c r="AK164">
        <v>0</v>
      </c>
      <c r="AL164">
        <v>0</v>
      </c>
      <c r="AM164">
        <v>6.71</v>
      </c>
      <c r="AN164">
        <v>0</v>
      </c>
      <c r="AO164">
        <v>0</v>
      </c>
      <c r="AP164">
        <v>0</v>
      </c>
      <c r="AQ164">
        <v>0</v>
      </c>
      <c r="AR164">
        <v>0</v>
      </c>
      <c r="AS164">
        <v>0</v>
      </c>
      <c r="AT164">
        <v>0</v>
      </c>
      <c r="AU164">
        <v>0</v>
      </c>
      <c r="AV164">
        <v>0</v>
      </c>
      <c r="AW164">
        <v>0</v>
      </c>
      <c r="AX164">
        <v>0</v>
      </c>
      <c r="AY164">
        <v>0</v>
      </c>
      <c r="AZ164">
        <v>0</v>
      </c>
      <c r="BA164">
        <v>0</v>
      </c>
      <c r="BB164">
        <v>0</v>
      </c>
      <c r="BC164">
        <v>0</v>
      </c>
      <c r="BD164">
        <v>0</v>
      </c>
      <c r="BE164">
        <v>0</v>
      </c>
      <c r="BF164">
        <v>0</v>
      </c>
      <c r="BG164">
        <v>0</v>
      </c>
      <c r="BH164">
        <v>1</v>
      </c>
      <c r="BI164">
        <v>1</v>
      </c>
      <c r="BJ164">
        <v>0.2</v>
      </c>
      <c r="BK164">
        <v>1</v>
      </c>
      <c r="BL164" s="4">
        <v>39.42</v>
      </c>
      <c r="BM164" s="4">
        <v>5.91</v>
      </c>
      <c r="BN164" s="4">
        <v>45.33</v>
      </c>
      <c r="BO164" s="4">
        <v>45.33</v>
      </c>
      <c r="BR164" t="s">
        <v>84</v>
      </c>
      <c r="BS164" s="3">
        <v>43802</v>
      </c>
      <c r="BT164" s="5">
        <v>0.35069444444444442</v>
      </c>
      <c r="BU164" t="s">
        <v>484</v>
      </c>
      <c r="BV164" t="s">
        <v>86</v>
      </c>
      <c r="BY164">
        <v>1200</v>
      </c>
      <c r="BZ164" t="s">
        <v>27</v>
      </c>
      <c r="CC164" t="s">
        <v>333</v>
      </c>
      <c r="CD164">
        <v>2093</v>
      </c>
      <c r="CE164" t="s">
        <v>88</v>
      </c>
      <c r="CF164" s="3">
        <v>43803</v>
      </c>
      <c r="CI164">
        <v>1</v>
      </c>
      <c r="CJ164">
        <v>1</v>
      </c>
      <c r="CK164">
        <v>22</v>
      </c>
      <c r="CL164" t="s">
        <v>89</v>
      </c>
    </row>
    <row r="165" spans="1:90">
      <c r="A165" t="s">
        <v>72</v>
      </c>
      <c r="B165" t="s">
        <v>73</v>
      </c>
      <c r="C165" t="s">
        <v>74</v>
      </c>
      <c r="E165" t="str">
        <f>"FES1162726478"</f>
        <v>FES1162726478</v>
      </c>
      <c r="F165" s="3">
        <v>43802</v>
      </c>
      <c r="G165">
        <v>202006</v>
      </c>
      <c r="H165" t="s">
        <v>75</v>
      </c>
      <c r="I165" t="s">
        <v>76</v>
      </c>
      <c r="J165" t="s">
        <v>77</v>
      </c>
      <c r="K165" t="s">
        <v>78</v>
      </c>
      <c r="L165" t="s">
        <v>198</v>
      </c>
      <c r="M165" t="s">
        <v>199</v>
      </c>
      <c r="N165" t="s">
        <v>485</v>
      </c>
      <c r="O165" t="s">
        <v>82</v>
      </c>
      <c r="P165" t="str">
        <f>"2170719911                    "</f>
        <v xml:space="preserve">2170719911                    </v>
      </c>
      <c r="Q165">
        <v>0</v>
      </c>
      <c r="R165">
        <v>0</v>
      </c>
      <c r="S165">
        <v>0</v>
      </c>
      <c r="T165">
        <v>0</v>
      </c>
      <c r="U165">
        <v>0</v>
      </c>
      <c r="V165">
        <v>0</v>
      </c>
      <c r="W165">
        <v>0</v>
      </c>
      <c r="X165">
        <v>0</v>
      </c>
      <c r="Y165">
        <v>0</v>
      </c>
      <c r="Z165">
        <v>0</v>
      </c>
      <c r="AA165">
        <v>0</v>
      </c>
      <c r="AB165">
        <v>0</v>
      </c>
      <c r="AC165">
        <v>0</v>
      </c>
      <c r="AD165">
        <v>0</v>
      </c>
      <c r="AE165">
        <v>0</v>
      </c>
      <c r="AF165">
        <v>0</v>
      </c>
      <c r="AG165">
        <v>0</v>
      </c>
      <c r="AH165">
        <v>0</v>
      </c>
      <c r="AI165">
        <v>0</v>
      </c>
      <c r="AJ165">
        <v>0</v>
      </c>
      <c r="AK165">
        <v>0</v>
      </c>
      <c r="AL165">
        <v>0</v>
      </c>
      <c r="AM165">
        <v>8.58</v>
      </c>
      <c r="AN165">
        <v>0</v>
      </c>
      <c r="AO165">
        <v>0</v>
      </c>
      <c r="AP165">
        <v>0</v>
      </c>
      <c r="AQ165">
        <v>0</v>
      </c>
      <c r="AR165">
        <v>0</v>
      </c>
      <c r="AS165">
        <v>0</v>
      </c>
      <c r="AT165">
        <v>0</v>
      </c>
      <c r="AU165">
        <v>0</v>
      </c>
      <c r="AV165">
        <v>0</v>
      </c>
      <c r="AW165">
        <v>0</v>
      </c>
      <c r="AX165">
        <v>0</v>
      </c>
      <c r="AY165">
        <v>0</v>
      </c>
      <c r="AZ165">
        <v>0</v>
      </c>
      <c r="BA165">
        <v>0</v>
      </c>
      <c r="BB165">
        <v>0</v>
      </c>
      <c r="BC165">
        <v>0</v>
      </c>
      <c r="BD165">
        <v>0</v>
      </c>
      <c r="BE165">
        <v>0</v>
      </c>
      <c r="BF165">
        <v>0</v>
      </c>
      <c r="BG165">
        <v>0</v>
      </c>
      <c r="BH165">
        <v>1</v>
      </c>
      <c r="BI165">
        <v>1</v>
      </c>
      <c r="BJ165">
        <v>0.2</v>
      </c>
      <c r="BK165">
        <v>1</v>
      </c>
      <c r="BL165" s="4">
        <v>50.45</v>
      </c>
      <c r="BM165" s="4">
        <v>7.57</v>
      </c>
      <c r="BN165" s="4">
        <v>58.02</v>
      </c>
      <c r="BO165" s="4">
        <v>58.02</v>
      </c>
      <c r="BQ165" t="s">
        <v>486</v>
      </c>
      <c r="BR165" t="s">
        <v>84</v>
      </c>
      <c r="BS165" s="3">
        <v>43803</v>
      </c>
      <c r="BT165" s="5">
        <v>0.3034722222222222</v>
      </c>
      <c r="BU165" t="s">
        <v>487</v>
      </c>
      <c r="BV165" t="s">
        <v>86</v>
      </c>
      <c r="BY165">
        <v>1200</v>
      </c>
      <c r="CA165" t="s">
        <v>488</v>
      </c>
      <c r="CC165" t="s">
        <v>199</v>
      </c>
      <c r="CD165">
        <v>4001</v>
      </c>
      <c r="CE165" t="s">
        <v>88</v>
      </c>
      <c r="CF165" s="3">
        <v>43804</v>
      </c>
      <c r="CI165">
        <v>1</v>
      </c>
      <c r="CJ165">
        <v>1</v>
      </c>
      <c r="CK165">
        <v>21</v>
      </c>
      <c r="CL165" t="s">
        <v>89</v>
      </c>
    </row>
    <row r="166" spans="1:90">
      <c r="A166" t="s">
        <v>72</v>
      </c>
      <c r="B166" t="s">
        <v>73</v>
      </c>
      <c r="C166" t="s">
        <v>74</v>
      </c>
      <c r="E166" t="str">
        <f>"FES1162726169"</f>
        <v>FES1162726169</v>
      </c>
      <c r="F166" s="3">
        <v>43801</v>
      </c>
      <c r="G166">
        <v>202006</v>
      </c>
      <c r="H166" t="s">
        <v>75</v>
      </c>
      <c r="I166" t="s">
        <v>76</v>
      </c>
      <c r="J166" t="s">
        <v>77</v>
      </c>
      <c r="K166" t="s">
        <v>78</v>
      </c>
      <c r="L166" t="s">
        <v>350</v>
      </c>
      <c r="M166" t="s">
        <v>351</v>
      </c>
      <c r="N166" t="s">
        <v>489</v>
      </c>
      <c r="O166" t="s">
        <v>82</v>
      </c>
      <c r="P166" t="str">
        <f>"1162726169                    "</f>
        <v xml:space="preserve">1162726169                    </v>
      </c>
      <c r="Q166">
        <v>0</v>
      </c>
      <c r="R166">
        <v>0</v>
      </c>
      <c r="S166">
        <v>0</v>
      </c>
      <c r="T166">
        <v>0</v>
      </c>
      <c r="U166">
        <v>0</v>
      </c>
      <c r="V166">
        <v>0</v>
      </c>
      <c r="W166">
        <v>0</v>
      </c>
      <c r="X166">
        <v>0</v>
      </c>
      <c r="Y166">
        <v>0</v>
      </c>
      <c r="Z166">
        <v>0</v>
      </c>
      <c r="AA166">
        <v>0</v>
      </c>
      <c r="AB166">
        <v>0</v>
      </c>
      <c r="AC166">
        <v>0</v>
      </c>
      <c r="AD166">
        <v>0</v>
      </c>
      <c r="AE166">
        <v>0</v>
      </c>
      <c r="AF166">
        <v>0</v>
      </c>
      <c r="AG166">
        <v>0</v>
      </c>
      <c r="AH166">
        <v>0</v>
      </c>
      <c r="AI166">
        <v>0</v>
      </c>
      <c r="AJ166">
        <v>0</v>
      </c>
      <c r="AK166">
        <v>0</v>
      </c>
      <c r="AL166">
        <v>0</v>
      </c>
      <c r="AM166">
        <v>6.71</v>
      </c>
      <c r="AN166">
        <v>0</v>
      </c>
      <c r="AO166">
        <v>0</v>
      </c>
      <c r="AP166">
        <v>0</v>
      </c>
      <c r="AQ166">
        <v>0</v>
      </c>
      <c r="AR166">
        <v>0</v>
      </c>
      <c r="AS166">
        <v>0</v>
      </c>
      <c r="AT166">
        <v>0</v>
      </c>
      <c r="AU166">
        <v>0</v>
      </c>
      <c r="AV166">
        <v>0</v>
      </c>
      <c r="AW166">
        <v>0</v>
      </c>
      <c r="AX166">
        <v>0</v>
      </c>
      <c r="AY166">
        <v>0</v>
      </c>
      <c r="AZ166">
        <v>0</v>
      </c>
      <c r="BA166">
        <v>0</v>
      </c>
      <c r="BB166">
        <v>0</v>
      </c>
      <c r="BC166">
        <v>0</v>
      </c>
      <c r="BD166">
        <v>0</v>
      </c>
      <c r="BE166">
        <v>0</v>
      </c>
      <c r="BF166">
        <v>0</v>
      </c>
      <c r="BG166">
        <v>0</v>
      </c>
      <c r="BH166">
        <v>1</v>
      </c>
      <c r="BI166">
        <v>1</v>
      </c>
      <c r="BJ166">
        <v>0.2</v>
      </c>
      <c r="BK166">
        <v>1</v>
      </c>
      <c r="BL166" s="4">
        <v>39.42</v>
      </c>
      <c r="BM166" s="4">
        <v>5.91</v>
      </c>
      <c r="BN166" s="4">
        <v>45.33</v>
      </c>
      <c r="BO166" s="4">
        <v>45.33</v>
      </c>
      <c r="BR166" t="s">
        <v>84</v>
      </c>
      <c r="BS166" s="3">
        <v>43802</v>
      </c>
      <c r="BT166" s="5">
        <v>0.3430555555555555</v>
      </c>
      <c r="BU166" t="s">
        <v>490</v>
      </c>
      <c r="BV166" t="s">
        <v>86</v>
      </c>
      <c r="BY166">
        <v>1200</v>
      </c>
      <c r="BZ166" t="s">
        <v>27</v>
      </c>
      <c r="CC166" t="s">
        <v>351</v>
      </c>
      <c r="CD166">
        <v>1501</v>
      </c>
      <c r="CE166" t="s">
        <v>88</v>
      </c>
      <c r="CF166" s="3">
        <v>43803</v>
      </c>
      <c r="CI166">
        <v>1</v>
      </c>
      <c r="CJ166">
        <v>1</v>
      </c>
      <c r="CK166">
        <v>22</v>
      </c>
      <c r="CL166" t="s">
        <v>89</v>
      </c>
    </row>
    <row r="167" spans="1:90">
      <c r="A167" t="s">
        <v>72</v>
      </c>
      <c r="B167" t="s">
        <v>73</v>
      </c>
      <c r="C167" t="s">
        <v>74</v>
      </c>
      <c r="E167" t="str">
        <f>"FES1162726340"</f>
        <v>FES1162726340</v>
      </c>
      <c r="F167" s="3">
        <v>43802</v>
      </c>
      <c r="G167">
        <v>202006</v>
      </c>
      <c r="H167" t="s">
        <v>75</v>
      </c>
      <c r="I167" t="s">
        <v>76</v>
      </c>
      <c r="J167" t="s">
        <v>77</v>
      </c>
      <c r="K167" t="s">
        <v>78</v>
      </c>
      <c r="L167" t="s">
        <v>151</v>
      </c>
      <c r="M167" t="s">
        <v>102</v>
      </c>
      <c r="N167" t="s">
        <v>103</v>
      </c>
      <c r="O167" t="s">
        <v>82</v>
      </c>
      <c r="P167" t="str">
        <f>"2170719835                    "</f>
        <v xml:space="preserve">2170719835                    </v>
      </c>
      <c r="Q167">
        <v>0</v>
      </c>
      <c r="R167">
        <v>0</v>
      </c>
      <c r="S167">
        <v>0</v>
      </c>
      <c r="T167">
        <v>0</v>
      </c>
      <c r="U167">
        <v>0</v>
      </c>
      <c r="V167">
        <v>0</v>
      </c>
      <c r="W167">
        <v>0</v>
      </c>
      <c r="X167">
        <v>0</v>
      </c>
      <c r="Y167">
        <v>0</v>
      </c>
      <c r="Z167">
        <v>0</v>
      </c>
      <c r="AA167">
        <v>0</v>
      </c>
      <c r="AB167">
        <v>0</v>
      </c>
      <c r="AC167">
        <v>0</v>
      </c>
      <c r="AD167">
        <v>0</v>
      </c>
      <c r="AE167">
        <v>0</v>
      </c>
      <c r="AF167">
        <v>0</v>
      </c>
      <c r="AG167">
        <v>0</v>
      </c>
      <c r="AH167">
        <v>0</v>
      </c>
      <c r="AI167">
        <v>0</v>
      </c>
      <c r="AJ167">
        <v>0</v>
      </c>
      <c r="AK167">
        <v>0</v>
      </c>
      <c r="AL167">
        <v>0</v>
      </c>
      <c r="AM167">
        <v>8.58</v>
      </c>
      <c r="AN167">
        <v>0</v>
      </c>
      <c r="AO167">
        <v>0</v>
      </c>
      <c r="AP167">
        <v>0</v>
      </c>
      <c r="AQ167">
        <v>0</v>
      </c>
      <c r="AR167">
        <v>0</v>
      </c>
      <c r="AS167">
        <v>0</v>
      </c>
      <c r="AT167">
        <v>0</v>
      </c>
      <c r="AU167">
        <v>0</v>
      </c>
      <c r="AV167">
        <v>0</v>
      </c>
      <c r="AW167">
        <v>0</v>
      </c>
      <c r="AX167">
        <v>0</v>
      </c>
      <c r="AY167">
        <v>0</v>
      </c>
      <c r="AZ167">
        <v>0</v>
      </c>
      <c r="BA167">
        <v>0</v>
      </c>
      <c r="BB167">
        <v>0</v>
      </c>
      <c r="BC167">
        <v>0</v>
      </c>
      <c r="BD167">
        <v>0</v>
      </c>
      <c r="BE167">
        <v>0</v>
      </c>
      <c r="BF167">
        <v>0</v>
      </c>
      <c r="BG167">
        <v>0</v>
      </c>
      <c r="BH167">
        <v>1</v>
      </c>
      <c r="BI167">
        <v>1</v>
      </c>
      <c r="BJ167">
        <v>0.2</v>
      </c>
      <c r="BK167">
        <v>1</v>
      </c>
      <c r="BL167" s="4">
        <v>50.45</v>
      </c>
      <c r="BM167" s="4">
        <v>7.57</v>
      </c>
      <c r="BN167" s="4">
        <v>58.02</v>
      </c>
      <c r="BO167" s="4">
        <v>58.02</v>
      </c>
      <c r="BQ167" t="s">
        <v>93</v>
      </c>
      <c r="BR167" t="s">
        <v>84</v>
      </c>
      <c r="BS167" s="3">
        <v>43803</v>
      </c>
      <c r="BT167" s="5">
        <v>0.39999999999999997</v>
      </c>
      <c r="BU167" t="s">
        <v>426</v>
      </c>
      <c r="BV167" t="s">
        <v>86</v>
      </c>
      <c r="BY167">
        <v>1200</v>
      </c>
      <c r="CA167" t="s">
        <v>107</v>
      </c>
      <c r="CC167" t="s">
        <v>102</v>
      </c>
      <c r="CD167">
        <v>1</v>
      </c>
      <c r="CE167" t="s">
        <v>88</v>
      </c>
      <c r="CF167" s="3">
        <v>43804</v>
      </c>
      <c r="CI167">
        <v>1</v>
      </c>
      <c r="CJ167">
        <v>1</v>
      </c>
      <c r="CK167">
        <v>21</v>
      </c>
      <c r="CL167" t="s">
        <v>89</v>
      </c>
    </row>
    <row r="168" spans="1:90">
      <c r="A168" t="s">
        <v>72</v>
      </c>
      <c r="B168" t="s">
        <v>73</v>
      </c>
      <c r="C168" t="s">
        <v>74</v>
      </c>
      <c r="E168" t="str">
        <f>"FES1162726268"</f>
        <v>FES1162726268</v>
      </c>
      <c r="F168" s="3">
        <v>43801</v>
      </c>
      <c r="G168">
        <v>202006</v>
      </c>
      <c r="H168" t="s">
        <v>75</v>
      </c>
      <c r="I168" t="s">
        <v>76</v>
      </c>
      <c r="J168" t="s">
        <v>77</v>
      </c>
      <c r="K168" t="s">
        <v>78</v>
      </c>
      <c r="L168" t="s">
        <v>491</v>
      </c>
      <c r="M168" t="s">
        <v>492</v>
      </c>
      <c r="N168" t="s">
        <v>493</v>
      </c>
      <c r="O168" t="s">
        <v>82</v>
      </c>
      <c r="P168" t="str">
        <f>"2170719764                    "</f>
        <v xml:space="preserve">2170719764                    </v>
      </c>
      <c r="Q168">
        <v>0</v>
      </c>
      <c r="R168">
        <v>0</v>
      </c>
      <c r="S168">
        <v>0</v>
      </c>
      <c r="T168">
        <v>0</v>
      </c>
      <c r="U168">
        <v>0</v>
      </c>
      <c r="V168">
        <v>0</v>
      </c>
      <c r="W168">
        <v>0</v>
      </c>
      <c r="X168">
        <v>0</v>
      </c>
      <c r="Y168">
        <v>0</v>
      </c>
      <c r="Z168">
        <v>0</v>
      </c>
      <c r="AA168">
        <v>0</v>
      </c>
      <c r="AB168">
        <v>0</v>
      </c>
      <c r="AC168">
        <v>0</v>
      </c>
      <c r="AD168">
        <v>0</v>
      </c>
      <c r="AE168">
        <v>0</v>
      </c>
      <c r="AF168">
        <v>0</v>
      </c>
      <c r="AG168">
        <v>0</v>
      </c>
      <c r="AH168">
        <v>0</v>
      </c>
      <c r="AI168">
        <v>0</v>
      </c>
      <c r="AJ168">
        <v>0</v>
      </c>
      <c r="AK168">
        <v>0</v>
      </c>
      <c r="AL168">
        <v>0</v>
      </c>
      <c r="AM168">
        <v>21.97</v>
      </c>
      <c r="AN168">
        <v>0</v>
      </c>
      <c r="AO168">
        <v>0</v>
      </c>
      <c r="AP168">
        <v>0</v>
      </c>
      <c r="AQ168">
        <v>0</v>
      </c>
      <c r="AR168">
        <v>0</v>
      </c>
      <c r="AS168">
        <v>0</v>
      </c>
      <c r="AT168">
        <v>0</v>
      </c>
      <c r="AU168">
        <v>0</v>
      </c>
      <c r="AV168">
        <v>0</v>
      </c>
      <c r="AW168">
        <v>0</v>
      </c>
      <c r="AX168">
        <v>0</v>
      </c>
      <c r="AY168">
        <v>0</v>
      </c>
      <c r="AZ168">
        <v>0</v>
      </c>
      <c r="BA168">
        <v>0</v>
      </c>
      <c r="BB168">
        <v>0</v>
      </c>
      <c r="BC168">
        <v>0</v>
      </c>
      <c r="BD168">
        <v>0</v>
      </c>
      <c r="BE168">
        <v>0</v>
      </c>
      <c r="BF168">
        <v>0</v>
      </c>
      <c r="BG168">
        <v>0</v>
      </c>
      <c r="BH168">
        <v>1</v>
      </c>
      <c r="BI168">
        <v>11.1</v>
      </c>
      <c r="BJ168">
        <v>8.5</v>
      </c>
      <c r="BK168">
        <v>11.5</v>
      </c>
      <c r="BL168" s="4">
        <v>129.16</v>
      </c>
      <c r="BM168" s="4">
        <v>19.37</v>
      </c>
      <c r="BN168" s="4">
        <v>148.53</v>
      </c>
      <c r="BO168" s="4">
        <v>148.53</v>
      </c>
      <c r="BQ168" t="s">
        <v>93</v>
      </c>
      <c r="BR168" t="s">
        <v>84</v>
      </c>
      <c r="BS168" s="3">
        <v>43805</v>
      </c>
      <c r="BT168" s="5">
        <v>0.46736111111111112</v>
      </c>
      <c r="BU168" t="s">
        <v>494</v>
      </c>
      <c r="BV168" t="s">
        <v>89</v>
      </c>
      <c r="BW168" t="s">
        <v>149</v>
      </c>
      <c r="BX168" t="s">
        <v>495</v>
      </c>
      <c r="BY168">
        <v>42339.24</v>
      </c>
      <c r="BZ168" t="s">
        <v>27</v>
      </c>
      <c r="CC168" t="s">
        <v>492</v>
      </c>
      <c r="CD168">
        <v>1724</v>
      </c>
      <c r="CE168" t="s">
        <v>116</v>
      </c>
      <c r="CF168" s="3">
        <v>43819</v>
      </c>
      <c r="CI168">
        <v>1</v>
      </c>
      <c r="CJ168">
        <v>4</v>
      </c>
      <c r="CK168">
        <v>22</v>
      </c>
      <c r="CL168" t="s">
        <v>89</v>
      </c>
    </row>
    <row r="169" spans="1:90">
      <c r="A169" t="s">
        <v>72</v>
      </c>
      <c r="B169" t="s">
        <v>73</v>
      </c>
      <c r="C169" t="s">
        <v>74</v>
      </c>
      <c r="E169" t="str">
        <f>"FES1162726414"</f>
        <v>FES1162726414</v>
      </c>
      <c r="F169" s="3">
        <v>43802</v>
      </c>
      <c r="G169">
        <v>202006</v>
      </c>
      <c r="H169" t="s">
        <v>75</v>
      </c>
      <c r="I169" t="s">
        <v>76</v>
      </c>
      <c r="J169" t="s">
        <v>77</v>
      </c>
      <c r="K169" t="s">
        <v>78</v>
      </c>
      <c r="L169" t="s">
        <v>198</v>
      </c>
      <c r="M169" t="s">
        <v>199</v>
      </c>
      <c r="N169" t="s">
        <v>496</v>
      </c>
      <c r="O169" t="s">
        <v>82</v>
      </c>
      <c r="P169" t="str">
        <f>"2170719375                    "</f>
        <v xml:space="preserve">2170719375                    </v>
      </c>
      <c r="Q169">
        <v>0</v>
      </c>
      <c r="R169">
        <v>0</v>
      </c>
      <c r="S169">
        <v>0</v>
      </c>
      <c r="T169">
        <v>0</v>
      </c>
      <c r="U169">
        <v>0</v>
      </c>
      <c r="V169">
        <v>0</v>
      </c>
      <c r="W169">
        <v>0</v>
      </c>
      <c r="X169">
        <v>0</v>
      </c>
      <c r="Y169">
        <v>0</v>
      </c>
      <c r="Z169">
        <v>0</v>
      </c>
      <c r="AA169">
        <v>0</v>
      </c>
      <c r="AB169">
        <v>0</v>
      </c>
      <c r="AC169">
        <v>0</v>
      </c>
      <c r="AD169">
        <v>0</v>
      </c>
      <c r="AE169">
        <v>0</v>
      </c>
      <c r="AF169">
        <v>0</v>
      </c>
      <c r="AG169">
        <v>0</v>
      </c>
      <c r="AH169">
        <v>0</v>
      </c>
      <c r="AI169">
        <v>0</v>
      </c>
      <c r="AJ169">
        <v>0</v>
      </c>
      <c r="AK169">
        <v>0</v>
      </c>
      <c r="AL169">
        <v>0</v>
      </c>
      <c r="AM169">
        <v>8.58</v>
      </c>
      <c r="AN169">
        <v>0</v>
      </c>
      <c r="AO169">
        <v>0</v>
      </c>
      <c r="AP169">
        <v>0</v>
      </c>
      <c r="AQ169">
        <v>0</v>
      </c>
      <c r="AR169">
        <v>0</v>
      </c>
      <c r="AS169">
        <v>0</v>
      </c>
      <c r="AT169">
        <v>0</v>
      </c>
      <c r="AU169">
        <v>0</v>
      </c>
      <c r="AV169">
        <v>0</v>
      </c>
      <c r="AW169">
        <v>0</v>
      </c>
      <c r="AX169">
        <v>0</v>
      </c>
      <c r="AY169">
        <v>0</v>
      </c>
      <c r="AZ169">
        <v>0</v>
      </c>
      <c r="BA169">
        <v>0</v>
      </c>
      <c r="BB169">
        <v>0</v>
      </c>
      <c r="BC169">
        <v>0</v>
      </c>
      <c r="BD169">
        <v>0</v>
      </c>
      <c r="BE169">
        <v>0</v>
      </c>
      <c r="BF169">
        <v>0</v>
      </c>
      <c r="BG169">
        <v>0</v>
      </c>
      <c r="BH169">
        <v>1</v>
      </c>
      <c r="BI169">
        <v>1</v>
      </c>
      <c r="BJ169">
        <v>0.2</v>
      </c>
      <c r="BK169">
        <v>1</v>
      </c>
      <c r="BL169" s="4">
        <v>50.45</v>
      </c>
      <c r="BM169" s="4">
        <v>7.57</v>
      </c>
      <c r="BN169" s="4">
        <v>58.02</v>
      </c>
      <c r="BO169" s="4">
        <v>58.02</v>
      </c>
      <c r="BQ169" t="s">
        <v>93</v>
      </c>
      <c r="BR169" t="s">
        <v>84</v>
      </c>
      <c r="BS169" s="3">
        <v>43803</v>
      </c>
      <c r="BT169" s="5">
        <v>0.37152777777777773</v>
      </c>
      <c r="BU169" t="s">
        <v>497</v>
      </c>
      <c r="BV169" t="s">
        <v>86</v>
      </c>
      <c r="BY169">
        <v>1200</v>
      </c>
      <c r="CA169" t="s">
        <v>212</v>
      </c>
      <c r="CC169" t="s">
        <v>199</v>
      </c>
      <c r="CD169">
        <v>4052</v>
      </c>
      <c r="CE169" t="s">
        <v>88</v>
      </c>
      <c r="CF169" s="3">
        <v>43804</v>
      </c>
      <c r="CI169">
        <v>1</v>
      </c>
      <c r="CJ169">
        <v>1</v>
      </c>
      <c r="CK169">
        <v>21</v>
      </c>
      <c r="CL169" t="s">
        <v>89</v>
      </c>
    </row>
    <row r="170" spans="1:90">
      <c r="A170" t="s">
        <v>72</v>
      </c>
      <c r="B170" t="s">
        <v>73</v>
      </c>
      <c r="C170" t="s">
        <v>74</v>
      </c>
      <c r="E170" t="str">
        <f>"FES116272176"</f>
        <v>FES116272176</v>
      </c>
      <c r="F170" s="3">
        <v>43801</v>
      </c>
      <c r="G170">
        <v>202006</v>
      </c>
      <c r="H170" t="s">
        <v>75</v>
      </c>
      <c r="I170" t="s">
        <v>76</v>
      </c>
      <c r="J170" t="s">
        <v>77</v>
      </c>
      <c r="K170" t="s">
        <v>78</v>
      </c>
      <c r="L170" t="s">
        <v>498</v>
      </c>
      <c r="M170" t="s">
        <v>499</v>
      </c>
      <c r="N170" t="s">
        <v>500</v>
      </c>
      <c r="O170" t="s">
        <v>82</v>
      </c>
      <c r="P170" t="str">
        <f>"21707419671                   "</f>
        <v xml:space="preserve">21707419671                   </v>
      </c>
      <c r="Q170">
        <v>0</v>
      </c>
      <c r="R170">
        <v>0</v>
      </c>
      <c r="S170">
        <v>0</v>
      </c>
      <c r="T170">
        <v>0</v>
      </c>
      <c r="U170">
        <v>0</v>
      </c>
      <c r="V170">
        <v>0</v>
      </c>
      <c r="W170">
        <v>0</v>
      </c>
      <c r="X170">
        <v>0</v>
      </c>
      <c r="Y170">
        <v>0</v>
      </c>
      <c r="Z170">
        <v>0</v>
      </c>
      <c r="AA170">
        <v>0</v>
      </c>
      <c r="AB170">
        <v>0</v>
      </c>
      <c r="AC170">
        <v>0</v>
      </c>
      <c r="AD170">
        <v>0</v>
      </c>
      <c r="AE170">
        <v>0</v>
      </c>
      <c r="AF170">
        <v>0</v>
      </c>
      <c r="AG170">
        <v>0</v>
      </c>
      <c r="AH170">
        <v>0</v>
      </c>
      <c r="AI170">
        <v>0</v>
      </c>
      <c r="AJ170">
        <v>0</v>
      </c>
      <c r="AK170">
        <v>0</v>
      </c>
      <c r="AL170">
        <v>0</v>
      </c>
      <c r="AM170">
        <v>16.63</v>
      </c>
      <c r="AN170">
        <v>0</v>
      </c>
      <c r="AO170">
        <v>0</v>
      </c>
      <c r="AP170">
        <v>0</v>
      </c>
      <c r="AQ170">
        <v>0</v>
      </c>
      <c r="AR170">
        <v>0</v>
      </c>
      <c r="AS170">
        <v>0</v>
      </c>
      <c r="AT170">
        <v>0</v>
      </c>
      <c r="AU170">
        <v>0</v>
      </c>
      <c r="AV170">
        <v>0</v>
      </c>
      <c r="AW170">
        <v>0</v>
      </c>
      <c r="AX170">
        <v>0</v>
      </c>
      <c r="AY170">
        <v>0</v>
      </c>
      <c r="AZ170">
        <v>0</v>
      </c>
      <c r="BA170">
        <v>0</v>
      </c>
      <c r="BB170">
        <v>0</v>
      </c>
      <c r="BC170">
        <v>0</v>
      </c>
      <c r="BD170">
        <v>0</v>
      </c>
      <c r="BE170">
        <v>0</v>
      </c>
      <c r="BF170">
        <v>0</v>
      </c>
      <c r="BG170">
        <v>0</v>
      </c>
      <c r="BH170">
        <v>1</v>
      </c>
      <c r="BI170">
        <v>2</v>
      </c>
      <c r="BJ170">
        <v>1</v>
      </c>
      <c r="BK170">
        <v>2</v>
      </c>
      <c r="BL170" s="4">
        <v>97.75</v>
      </c>
      <c r="BM170" s="4">
        <v>14.66</v>
      </c>
      <c r="BN170" s="4">
        <v>112.41</v>
      </c>
      <c r="BO170" s="4">
        <v>112.41</v>
      </c>
      <c r="BQ170" t="s">
        <v>147</v>
      </c>
      <c r="BR170" t="s">
        <v>84</v>
      </c>
      <c r="BS170" s="3">
        <v>43802</v>
      </c>
      <c r="BT170" s="5">
        <v>0.39583333333333331</v>
      </c>
      <c r="BU170" t="s">
        <v>501</v>
      </c>
      <c r="BV170" t="s">
        <v>86</v>
      </c>
      <c r="BY170">
        <v>4853.16</v>
      </c>
      <c r="BZ170" t="s">
        <v>27</v>
      </c>
      <c r="CA170" t="s">
        <v>502</v>
      </c>
      <c r="CC170" t="s">
        <v>499</v>
      </c>
      <c r="CD170">
        <v>9700</v>
      </c>
      <c r="CE170" t="s">
        <v>96</v>
      </c>
      <c r="CF170" s="3">
        <v>43829</v>
      </c>
      <c r="CI170">
        <v>1</v>
      </c>
      <c r="CJ170">
        <v>1</v>
      </c>
      <c r="CK170">
        <v>23</v>
      </c>
      <c r="CL170" t="s">
        <v>89</v>
      </c>
    </row>
    <row r="171" spans="1:90">
      <c r="A171" t="s">
        <v>72</v>
      </c>
      <c r="B171" t="s">
        <v>73</v>
      </c>
      <c r="C171" t="s">
        <v>74</v>
      </c>
      <c r="E171" t="str">
        <f>"FES1162726506"</f>
        <v>FES1162726506</v>
      </c>
      <c r="F171" s="3">
        <v>43802</v>
      </c>
      <c r="G171">
        <v>202006</v>
      </c>
      <c r="H171" t="s">
        <v>75</v>
      </c>
      <c r="I171" t="s">
        <v>76</v>
      </c>
      <c r="J171" t="s">
        <v>77</v>
      </c>
      <c r="K171" t="s">
        <v>78</v>
      </c>
      <c r="L171" t="s">
        <v>198</v>
      </c>
      <c r="M171" t="s">
        <v>199</v>
      </c>
      <c r="N171" t="s">
        <v>503</v>
      </c>
      <c r="O171" t="s">
        <v>82</v>
      </c>
      <c r="P171" t="str">
        <f>"2170717869                    "</f>
        <v xml:space="preserve">2170717869                    </v>
      </c>
      <c r="Q171">
        <v>0</v>
      </c>
      <c r="R171">
        <v>0</v>
      </c>
      <c r="S171">
        <v>0</v>
      </c>
      <c r="T171">
        <v>0</v>
      </c>
      <c r="U171">
        <v>0</v>
      </c>
      <c r="V171">
        <v>0</v>
      </c>
      <c r="W171">
        <v>0</v>
      </c>
      <c r="X171">
        <v>0</v>
      </c>
      <c r="Y171">
        <v>0</v>
      </c>
      <c r="Z171">
        <v>0</v>
      </c>
      <c r="AA171">
        <v>0</v>
      </c>
      <c r="AB171">
        <v>0</v>
      </c>
      <c r="AC171">
        <v>0</v>
      </c>
      <c r="AD171">
        <v>0</v>
      </c>
      <c r="AE171">
        <v>0</v>
      </c>
      <c r="AF171">
        <v>0</v>
      </c>
      <c r="AG171">
        <v>0</v>
      </c>
      <c r="AH171">
        <v>0</v>
      </c>
      <c r="AI171">
        <v>0</v>
      </c>
      <c r="AJ171">
        <v>0</v>
      </c>
      <c r="AK171">
        <v>0</v>
      </c>
      <c r="AL171">
        <v>0</v>
      </c>
      <c r="AM171">
        <v>8.58</v>
      </c>
      <c r="AN171">
        <v>0</v>
      </c>
      <c r="AO171">
        <v>0</v>
      </c>
      <c r="AP171">
        <v>0</v>
      </c>
      <c r="AQ171">
        <v>0</v>
      </c>
      <c r="AR171">
        <v>0</v>
      </c>
      <c r="AS171">
        <v>0</v>
      </c>
      <c r="AT171">
        <v>0</v>
      </c>
      <c r="AU171">
        <v>0</v>
      </c>
      <c r="AV171">
        <v>0</v>
      </c>
      <c r="AW171">
        <v>0</v>
      </c>
      <c r="AX171">
        <v>0</v>
      </c>
      <c r="AY171">
        <v>0</v>
      </c>
      <c r="AZ171">
        <v>0</v>
      </c>
      <c r="BA171">
        <v>0</v>
      </c>
      <c r="BB171">
        <v>0</v>
      </c>
      <c r="BC171">
        <v>0</v>
      </c>
      <c r="BD171">
        <v>0</v>
      </c>
      <c r="BE171">
        <v>0</v>
      </c>
      <c r="BF171">
        <v>0</v>
      </c>
      <c r="BG171">
        <v>0</v>
      </c>
      <c r="BH171">
        <v>1</v>
      </c>
      <c r="BI171">
        <v>1</v>
      </c>
      <c r="BJ171">
        <v>0.2</v>
      </c>
      <c r="BK171">
        <v>1</v>
      </c>
      <c r="BL171" s="4">
        <v>50.45</v>
      </c>
      <c r="BM171" s="4">
        <v>7.57</v>
      </c>
      <c r="BN171" s="4">
        <v>58.02</v>
      </c>
      <c r="BO171" s="4">
        <v>58.02</v>
      </c>
      <c r="BQ171" t="s">
        <v>93</v>
      </c>
      <c r="BR171" t="s">
        <v>84</v>
      </c>
      <c r="BS171" s="3">
        <v>43803</v>
      </c>
      <c r="BT171" s="5">
        <v>0.41944444444444445</v>
      </c>
      <c r="BU171" t="s">
        <v>504</v>
      </c>
      <c r="BV171" t="s">
        <v>86</v>
      </c>
      <c r="BY171">
        <v>1200</v>
      </c>
      <c r="CA171" t="s">
        <v>212</v>
      </c>
      <c r="CC171" t="s">
        <v>199</v>
      </c>
      <c r="CD171">
        <v>4068</v>
      </c>
      <c r="CE171" t="s">
        <v>88</v>
      </c>
      <c r="CF171" s="3">
        <v>43804</v>
      </c>
      <c r="CI171">
        <v>1</v>
      </c>
      <c r="CJ171">
        <v>1</v>
      </c>
      <c r="CK171">
        <v>21</v>
      </c>
      <c r="CL171" t="s">
        <v>89</v>
      </c>
    </row>
    <row r="172" spans="1:90">
      <c r="A172" t="s">
        <v>72</v>
      </c>
      <c r="B172" t="s">
        <v>73</v>
      </c>
      <c r="C172" t="s">
        <v>74</v>
      </c>
      <c r="E172" t="str">
        <f>"FES1162726159"</f>
        <v>FES1162726159</v>
      </c>
      <c r="F172" s="3">
        <v>43801</v>
      </c>
      <c r="G172">
        <v>202006</v>
      </c>
      <c r="H172" t="s">
        <v>75</v>
      </c>
      <c r="I172" t="s">
        <v>76</v>
      </c>
      <c r="J172" t="s">
        <v>77</v>
      </c>
      <c r="K172" t="s">
        <v>78</v>
      </c>
      <c r="L172" t="s">
        <v>198</v>
      </c>
      <c r="M172" t="s">
        <v>199</v>
      </c>
      <c r="N172" t="s">
        <v>210</v>
      </c>
      <c r="O172" t="s">
        <v>82</v>
      </c>
      <c r="P172" t="str">
        <f>"2170719649                    "</f>
        <v xml:space="preserve">2170719649                    </v>
      </c>
      <c r="Q172">
        <v>0</v>
      </c>
      <c r="R172">
        <v>0</v>
      </c>
      <c r="S172">
        <v>0</v>
      </c>
      <c r="T172">
        <v>0</v>
      </c>
      <c r="U172">
        <v>0</v>
      </c>
      <c r="V172">
        <v>0</v>
      </c>
      <c r="W172">
        <v>0</v>
      </c>
      <c r="X172">
        <v>0</v>
      </c>
      <c r="Y172">
        <v>0</v>
      </c>
      <c r="Z172">
        <v>0</v>
      </c>
      <c r="AA172">
        <v>0</v>
      </c>
      <c r="AB172">
        <v>0</v>
      </c>
      <c r="AC172">
        <v>0</v>
      </c>
      <c r="AD172">
        <v>0</v>
      </c>
      <c r="AE172">
        <v>0</v>
      </c>
      <c r="AF172">
        <v>0</v>
      </c>
      <c r="AG172">
        <v>0</v>
      </c>
      <c r="AH172">
        <v>0</v>
      </c>
      <c r="AI172">
        <v>0</v>
      </c>
      <c r="AJ172">
        <v>0</v>
      </c>
      <c r="AK172">
        <v>0</v>
      </c>
      <c r="AL172">
        <v>0</v>
      </c>
      <c r="AM172">
        <v>25.74</v>
      </c>
      <c r="AN172">
        <v>0</v>
      </c>
      <c r="AO172">
        <v>0</v>
      </c>
      <c r="AP172">
        <v>0</v>
      </c>
      <c r="AQ172">
        <v>0</v>
      </c>
      <c r="AR172">
        <v>0</v>
      </c>
      <c r="AS172">
        <v>0</v>
      </c>
      <c r="AT172">
        <v>0</v>
      </c>
      <c r="AU172">
        <v>0</v>
      </c>
      <c r="AV172">
        <v>0</v>
      </c>
      <c r="AW172">
        <v>0</v>
      </c>
      <c r="AX172">
        <v>0</v>
      </c>
      <c r="AY172">
        <v>0</v>
      </c>
      <c r="AZ172">
        <v>0</v>
      </c>
      <c r="BA172">
        <v>0</v>
      </c>
      <c r="BB172">
        <v>0</v>
      </c>
      <c r="BC172">
        <v>0</v>
      </c>
      <c r="BD172">
        <v>0</v>
      </c>
      <c r="BE172">
        <v>0</v>
      </c>
      <c r="BF172">
        <v>0</v>
      </c>
      <c r="BG172">
        <v>0</v>
      </c>
      <c r="BH172">
        <v>1</v>
      </c>
      <c r="BI172">
        <v>6</v>
      </c>
      <c r="BJ172">
        <v>3.2</v>
      </c>
      <c r="BK172">
        <v>6</v>
      </c>
      <c r="BL172" s="4">
        <v>151.29</v>
      </c>
      <c r="BM172" s="4">
        <v>22.69</v>
      </c>
      <c r="BN172" s="4">
        <v>173.98</v>
      </c>
      <c r="BO172" s="4">
        <v>173.98</v>
      </c>
      <c r="BQ172" t="s">
        <v>93</v>
      </c>
      <c r="BR172" t="s">
        <v>84</v>
      </c>
      <c r="BS172" s="3">
        <v>43802</v>
      </c>
      <c r="BT172" s="5">
        <v>0.61875000000000002</v>
      </c>
      <c r="BU172" t="s">
        <v>505</v>
      </c>
      <c r="BV172" t="s">
        <v>89</v>
      </c>
      <c r="BW172" t="s">
        <v>506</v>
      </c>
      <c r="BX172" t="s">
        <v>507</v>
      </c>
      <c r="BY172">
        <v>15990.4</v>
      </c>
      <c r="BZ172" t="s">
        <v>27</v>
      </c>
      <c r="CA172" t="s">
        <v>270</v>
      </c>
      <c r="CC172" t="s">
        <v>199</v>
      </c>
      <c r="CD172">
        <v>4302</v>
      </c>
      <c r="CE172" t="s">
        <v>96</v>
      </c>
      <c r="CF172" s="3">
        <v>43803</v>
      </c>
      <c r="CI172">
        <v>1</v>
      </c>
      <c r="CJ172">
        <v>1</v>
      </c>
      <c r="CK172">
        <v>21</v>
      </c>
      <c r="CL172" t="s">
        <v>89</v>
      </c>
    </row>
    <row r="173" spans="1:90">
      <c r="A173" t="s">
        <v>72</v>
      </c>
      <c r="B173" t="s">
        <v>73</v>
      </c>
      <c r="C173" t="s">
        <v>74</v>
      </c>
      <c r="E173" t="str">
        <f>"FES1162726425"</f>
        <v>FES1162726425</v>
      </c>
      <c r="F173" s="3">
        <v>43802</v>
      </c>
      <c r="G173">
        <v>202006</v>
      </c>
      <c r="H173" t="s">
        <v>75</v>
      </c>
      <c r="I173" t="s">
        <v>76</v>
      </c>
      <c r="J173" t="s">
        <v>77</v>
      </c>
      <c r="K173" t="s">
        <v>78</v>
      </c>
      <c r="L173" t="s">
        <v>221</v>
      </c>
      <c r="M173" t="s">
        <v>222</v>
      </c>
      <c r="N173" t="s">
        <v>508</v>
      </c>
      <c r="O173" t="s">
        <v>82</v>
      </c>
      <c r="P173" t="str">
        <f>"2170719585                    "</f>
        <v xml:space="preserve">2170719585                    </v>
      </c>
      <c r="Q173">
        <v>0</v>
      </c>
      <c r="R173">
        <v>0</v>
      </c>
      <c r="S173">
        <v>0</v>
      </c>
      <c r="T173">
        <v>0</v>
      </c>
      <c r="U173">
        <v>0</v>
      </c>
      <c r="V173">
        <v>0</v>
      </c>
      <c r="W173">
        <v>0</v>
      </c>
      <c r="X173">
        <v>0</v>
      </c>
      <c r="Y173">
        <v>0</v>
      </c>
      <c r="Z173">
        <v>0</v>
      </c>
      <c r="AA173">
        <v>0</v>
      </c>
      <c r="AB173">
        <v>0</v>
      </c>
      <c r="AC173">
        <v>0</v>
      </c>
      <c r="AD173">
        <v>0</v>
      </c>
      <c r="AE173">
        <v>0</v>
      </c>
      <c r="AF173">
        <v>0</v>
      </c>
      <c r="AG173">
        <v>0</v>
      </c>
      <c r="AH173">
        <v>0</v>
      </c>
      <c r="AI173">
        <v>0</v>
      </c>
      <c r="AJ173">
        <v>0</v>
      </c>
      <c r="AK173">
        <v>0</v>
      </c>
      <c r="AL173">
        <v>0</v>
      </c>
      <c r="AM173">
        <v>8.58</v>
      </c>
      <c r="AN173">
        <v>0</v>
      </c>
      <c r="AO173">
        <v>0</v>
      </c>
      <c r="AP173">
        <v>0</v>
      </c>
      <c r="AQ173">
        <v>0</v>
      </c>
      <c r="AR173">
        <v>0</v>
      </c>
      <c r="AS173">
        <v>0</v>
      </c>
      <c r="AT173">
        <v>0</v>
      </c>
      <c r="AU173">
        <v>0</v>
      </c>
      <c r="AV173">
        <v>0</v>
      </c>
      <c r="AW173">
        <v>0</v>
      </c>
      <c r="AX173">
        <v>0</v>
      </c>
      <c r="AY173">
        <v>0</v>
      </c>
      <c r="AZ173">
        <v>0</v>
      </c>
      <c r="BA173">
        <v>0</v>
      </c>
      <c r="BB173">
        <v>0</v>
      </c>
      <c r="BC173">
        <v>0</v>
      </c>
      <c r="BD173">
        <v>0</v>
      </c>
      <c r="BE173">
        <v>0</v>
      </c>
      <c r="BF173">
        <v>0</v>
      </c>
      <c r="BG173">
        <v>0</v>
      </c>
      <c r="BH173">
        <v>1</v>
      </c>
      <c r="BI173">
        <v>1</v>
      </c>
      <c r="BJ173">
        <v>0.2</v>
      </c>
      <c r="BK173">
        <v>1</v>
      </c>
      <c r="BL173" s="4">
        <v>50.45</v>
      </c>
      <c r="BM173" s="4">
        <v>7.57</v>
      </c>
      <c r="BN173" s="4">
        <v>58.02</v>
      </c>
      <c r="BO173" s="4">
        <v>58.02</v>
      </c>
      <c r="BQ173" t="s">
        <v>509</v>
      </c>
      <c r="BR173" t="s">
        <v>84</v>
      </c>
      <c r="BS173" s="3">
        <v>43803</v>
      </c>
      <c r="BT173" s="5">
        <v>0.41666666666666669</v>
      </c>
      <c r="BU173" t="s">
        <v>510</v>
      </c>
      <c r="BV173" t="s">
        <v>86</v>
      </c>
      <c r="BY173">
        <v>1200</v>
      </c>
      <c r="CA173" t="s">
        <v>247</v>
      </c>
      <c r="CC173" t="s">
        <v>222</v>
      </c>
      <c r="CD173">
        <v>3200</v>
      </c>
      <c r="CE173" t="s">
        <v>88</v>
      </c>
      <c r="CF173" s="3">
        <v>43804</v>
      </c>
      <c r="CI173">
        <v>1</v>
      </c>
      <c r="CJ173">
        <v>1</v>
      </c>
      <c r="CK173">
        <v>21</v>
      </c>
      <c r="CL173" t="s">
        <v>89</v>
      </c>
    </row>
    <row r="174" spans="1:90">
      <c r="A174" t="s">
        <v>72</v>
      </c>
      <c r="B174" t="s">
        <v>73</v>
      </c>
      <c r="C174" t="s">
        <v>74</v>
      </c>
      <c r="E174" t="str">
        <f>"FES1162726178"</f>
        <v>FES1162726178</v>
      </c>
      <c r="F174" s="3">
        <v>43801</v>
      </c>
      <c r="G174">
        <v>202006</v>
      </c>
      <c r="H174" t="s">
        <v>75</v>
      </c>
      <c r="I174" t="s">
        <v>76</v>
      </c>
      <c r="J174" t="s">
        <v>77</v>
      </c>
      <c r="K174" t="s">
        <v>78</v>
      </c>
      <c r="L174" t="s">
        <v>201</v>
      </c>
      <c r="M174" t="s">
        <v>202</v>
      </c>
      <c r="N174" t="s">
        <v>511</v>
      </c>
      <c r="O174" t="s">
        <v>82</v>
      </c>
      <c r="P174" t="str">
        <f>"2170718100                    "</f>
        <v xml:space="preserve">2170718100                    </v>
      </c>
      <c r="Q174">
        <v>0</v>
      </c>
      <c r="R174">
        <v>0</v>
      </c>
      <c r="S174">
        <v>0</v>
      </c>
      <c r="T174">
        <v>0</v>
      </c>
      <c r="U174">
        <v>0</v>
      </c>
      <c r="V174">
        <v>0</v>
      </c>
      <c r="W174">
        <v>0</v>
      </c>
      <c r="X174">
        <v>0</v>
      </c>
      <c r="Y174">
        <v>0</v>
      </c>
      <c r="Z174">
        <v>0</v>
      </c>
      <c r="AA174">
        <v>0</v>
      </c>
      <c r="AB174">
        <v>0</v>
      </c>
      <c r="AC174">
        <v>0</v>
      </c>
      <c r="AD174">
        <v>0</v>
      </c>
      <c r="AE174">
        <v>0</v>
      </c>
      <c r="AF174">
        <v>0</v>
      </c>
      <c r="AG174">
        <v>0</v>
      </c>
      <c r="AH174">
        <v>0</v>
      </c>
      <c r="AI174">
        <v>0</v>
      </c>
      <c r="AJ174">
        <v>0</v>
      </c>
      <c r="AK174">
        <v>0</v>
      </c>
      <c r="AL174">
        <v>0</v>
      </c>
      <c r="AM174">
        <v>8.58</v>
      </c>
      <c r="AN174">
        <v>0</v>
      </c>
      <c r="AO174">
        <v>0</v>
      </c>
      <c r="AP174">
        <v>0</v>
      </c>
      <c r="AQ174">
        <v>0</v>
      </c>
      <c r="AR174">
        <v>0</v>
      </c>
      <c r="AS174">
        <v>0</v>
      </c>
      <c r="AT174">
        <v>0</v>
      </c>
      <c r="AU174">
        <v>0</v>
      </c>
      <c r="AV174">
        <v>0</v>
      </c>
      <c r="AW174">
        <v>0</v>
      </c>
      <c r="AX174">
        <v>0</v>
      </c>
      <c r="AY174">
        <v>0</v>
      </c>
      <c r="AZ174">
        <v>0</v>
      </c>
      <c r="BA174">
        <v>0</v>
      </c>
      <c r="BB174">
        <v>0</v>
      </c>
      <c r="BC174">
        <v>0</v>
      </c>
      <c r="BD174">
        <v>0</v>
      </c>
      <c r="BE174">
        <v>0</v>
      </c>
      <c r="BF174">
        <v>0</v>
      </c>
      <c r="BG174">
        <v>0</v>
      </c>
      <c r="BH174">
        <v>1</v>
      </c>
      <c r="BI174">
        <v>2</v>
      </c>
      <c r="BJ174">
        <v>1</v>
      </c>
      <c r="BK174">
        <v>2</v>
      </c>
      <c r="BL174" s="4">
        <v>50.45</v>
      </c>
      <c r="BM174" s="4">
        <v>7.57</v>
      </c>
      <c r="BN174" s="4">
        <v>58.02</v>
      </c>
      <c r="BO174" s="4">
        <v>58.02</v>
      </c>
      <c r="BQ174" t="s">
        <v>93</v>
      </c>
      <c r="BR174" t="s">
        <v>84</v>
      </c>
      <c r="BS174" s="3">
        <v>43802</v>
      </c>
      <c r="BT174" s="5">
        <v>0.34166666666666662</v>
      </c>
      <c r="BU174" t="s">
        <v>512</v>
      </c>
      <c r="BV174" t="s">
        <v>86</v>
      </c>
      <c r="BY174">
        <v>4837.04</v>
      </c>
      <c r="BZ174" t="s">
        <v>27</v>
      </c>
      <c r="CA174" t="s">
        <v>288</v>
      </c>
      <c r="CC174" t="s">
        <v>202</v>
      </c>
      <c r="CD174">
        <v>3610</v>
      </c>
      <c r="CE174" t="s">
        <v>96</v>
      </c>
      <c r="CI174">
        <v>1</v>
      </c>
      <c r="CJ174">
        <v>1</v>
      </c>
      <c r="CK174">
        <v>21</v>
      </c>
      <c r="CL174" t="s">
        <v>89</v>
      </c>
    </row>
    <row r="175" spans="1:90">
      <c r="A175" t="s">
        <v>72</v>
      </c>
      <c r="B175" t="s">
        <v>73</v>
      </c>
      <c r="C175" t="s">
        <v>74</v>
      </c>
      <c r="E175" t="str">
        <f>"FES1162726437"</f>
        <v>FES1162726437</v>
      </c>
      <c r="F175" s="3">
        <v>43802</v>
      </c>
      <c r="G175">
        <v>202006</v>
      </c>
      <c r="H175" t="s">
        <v>75</v>
      </c>
      <c r="I175" t="s">
        <v>76</v>
      </c>
      <c r="J175" t="s">
        <v>77</v>
      </c>
      <c r="K175" t="s">
        <v>78</v>
      </c>
      <c r="L175" t="s">
        <v>455</v>
      </c>
      <c r="M175" t="s">
        <v>456</v>
      </c>
      <c r="N175" t="s">
        <v>513</v>
      </c>
      <c r="O175" t="s">
        <v>82</v>
      </c>
      <c r="P175" t="str">
        <f>"2170719749                    "</f>
        <v xml:space="preserve">2170719749                    </v>
      </c>
      <c r="Q175">
        <v>0</v>
      </c>
      <c r="R175">
        <v>0</v>
      </c>
      <c r="S175">
        <v>0</v>
      </c>
      <c r="T175">
        <v>0</v>
      </c>
      <c r="U175">
        <v>0</v>
      </c>
      <c r="V175">
        <v>0</v>
      </c>
      <c r="W175">
        <v>0</v>
      </c>
      <c r="X175">
        <v>0</v>
      </c>
      <c r="Y175">
        <v>0</v>
      </c>
      <c r="Z175">
        <v>0</v>
      </c>
      <c r="AA175">
        <v>0</v>
      </c>
      <c r="AB175">
        <v>0</v>
      </c>
      <c r="AC175">
        <v>0</v>
      </c>
      <c r="AD175">
        <v>0</v>
      </c>
      <c r="AE175">
        <v>0</v>
      </c>
      <c r="AF175">
        <v>0</v>
      </c>
      <c r="AG175">
        <v>0</v>
      </c>
      <c r="AH175">
        <v>0</v>
      </c>
      <c r="AI175">
        <v>0</v>
      </c>
      <c r="AJ175">
        <v>0</v>
      </c>
      <c r="AK175">
        <v>0</v>
      </c>
      <c r="AL175">
        <v>0</v>
      </c>
      <c r="AM175">
        <v>8.58</v>
      </c>
      <c r="AN175">
        <v>0</v>
      </c>
      <c r="AO175">
        <v>0</v>
      </c>
      <c r="AP175">
        <v>0</v>
      </c>
      <c r="AQ175">
        <v>0</v>
      </c>
      <c r="AR175">
        <v>0</v>
      </c>
      <c r="AS175">
        <v>0</v>
      </c>
      <c r="AT175">
        <v>0</v>
      </c>
      <c r="AU175">
        <v>0</v>
      </c>
      <c r="AV175">
        <v>0</v>
      </c>
      <c r="AW175">
        <v>0</v>
      </c>
      <c r="AX175">
        <v>0</v>
      </c>
      <c r="AY175">
        <v>0</v>
      </c>
      <c r="AZ175">
        <v>0</v>
      </c>
      <c r="BA175">
        <v>0</v>
      </c>
      <c r="BB175">
        <v>0</v>
      </c>
      <c r="BC175">
        <v>0</v>
      </c>
      <c r="BD175">
        <v>0</v>
      </c>
      <c r="BE175">
        <v>0</v>
      </c>
      <c r="BF175">
        <v>0</v>
      </c>
      <c r="BG175">
        <v>0</v>
      </c>
      <c r="BH175">
        <v>1</v>
      </c>
      <c r="BI175">
        <v>1</v>
      </c>
      <c r="BJ175">
        <v>0.2</v>
      </c>
      <c r="BK175">
        <v>1</v>
      </c>
      <c r="BL175" s="4">
        <v>50.45</v>
      </c>
      <c r="BM175" s="4">
        <v>7.57</v>
      </c>
      <c r="BN175" s="4">
        <v>58.02</v>
      </c>
      <c r="BO175" s="4">
        <v>58.02</v>
      </c>
      <c r="BR175" t="s">
        <v>84</v>
      </c>
      <c r="BS175" s="3">
        <v>43803</v>
      </c>
      <c r="BT175" s="5">
        <v>0.50347222222222221</v>
      </c>
      <c r="BU175" t="s">
        <v>514</v>
      </c>
      <c r="BV175" t="s">
        <v>86</v>
      </c>
      <c r="BY175">
        <v>1200</v>
      </c>
      <c r="CA175" t="s">
        <v>459</v>
      </c>
      <c r="CC175" t="s">
        <v>456</v>
      </c>
      <c r="CD175">
        <v>3699</v>
      </c>
      <c r="CE175" t="s">
        <v>88</v>
      </c>
      <c r="CF175" s="3">
        <v>43804</v>
      </c>
      <c r="CI175">
        <v>1</v>
      </c>
      <c r="CJ175">
        <v>1</v>
      </c>
      <c r="CK175">
        <v>21</v>
      </c>
      <c r="CL175" t="s">
        <v>89</v>
      </c>
    </row>
    <row r="176" spans="1:90">
      <c r="A176" t="s">
        <v>72</v>
      </c>
      <c r="B176" t="s">
        <v>73</v>
      </c>
      <c r="C176" t="s">
        <v>74</v>
      </c>
      <c r="E176" t="str">
        <f>"FES1162726156"</f>
        <v>FES1162726156</v>
      </c>
      <c r="F176" s="3">
        <v>43801</v>
      </c>
      <c r="G176">
        <v>202006</v>
      </c>
      <c r="H176" t="s">
        <v>75</v>
      </c>
      <c r="I176" t="s">
        <v>76</v>
      </c>
      <c r="J176" t="s">
        <v>77</v>
      </c>
      <c r="K176" t="s">
        <v>78</v>
      </c>
      <c r="L176" t="s">
        <v>515</v>
      </c>
      <c r="M176" t="s">
        <v>516</v>
      </c>
      <c r="N176" t="s">
        <v>517</v>
      </c>
      <c r="O176" t="s">
        <v>82</v>
      </c>
      <c r="P176" t="str">
        <f>"2170719469                    "</f>
        <v xml:space="preserve">2170719469                    </v>
      </c>
      <c r="Q176">
        <v>0</v>
      </c>
      <c r="R176">
        <v>0</v>
      </c>
      <c r="S176">
        <v>0</v>
      </c>
      <c r="T176">
        <v>0</v>
      </c>
      <c r="U176">
        <v>0</v>
      </c>
      <c r="V176">
        <v>0</v>
      </c>
      <c r="W176">
        <v>0</v>
      </c>
      <c r="X176">
        <v>0</v>
      </c>
      <c r="Y176">
        <v>0</v>
      </c>
      <c r="Z176">
        <v>0</v>
      </c>
      <c r="AA176">
        <v>0</v>
      </c>
      <c r="AB176">
        <v>0</v>
      </c>
      <c r="AC176">
        <v>0</v>
      </c>
      <c r="AD176">
        <v>0</v>
      </c>
      <c r="AE176">
        <v>0</v>
      </c>
      <c r="AF176">
        <v>0</v>
      </c>
      <c r="AG176">
        <v>0</v>
      </c>
      <c r="AH176">
        <v>0</v>
      </c>
      <c r="AI176">
        <v>0</v>
      </c>
      <c r="AJ176">
        <v>0</v>
      </c>
      <c r="AK176">
        <v>0</v>
      </c>
      <c r="AL176">
        <v>0</v>
      </c>
      <c r="AM176">
        <v>8.58</v>
      </c>
      <c r="AN176">
        <v>0</v>
      </c>
      <c r="AO176">
        <v>0</v>
      </c>
      <c r="AP176">
        <v>0</v>
      </c>
      <c r="AQ176">
        <v>0</v>
      </c>
      <c r="AR176">
        <v>0</v>
      </c>
      <c r="AS176">
        <v>0</v>
      </c>
      <c r="AT176">
        <v>0</v>
      </c>
      <c r="AU176">
        <v>0</v>
      </c>
      <c r="AV176">
        <v>0</v>
      </c>
      <c r="AW176">
        <v>0</v>
      </c>
      <c r="AX176">
        <v>0</v>
      </c>
      <c r="AY176">
        <v>0</v>
      </c>
      <c r="AZ176">
        <v>0</v>
      </c>
      <c r="BA176">
        <v>0</v>
      </c>
      <c r="BB176">
        <v>0</v>
      </c>
      <c r="BC176">
        <v>0</v>
      </c>
      <c r="BD176">
        <v>0</v>
      </c>
      <c r="BE176">
        <v>0</v>
      </c>
      <c r="BF176">
        <v>0</v>
      </c>
      <c r="BG176">
        <v>0</v>
      </c>
      <c r="BH176">
        <v>1</v>
      </c>
      <c r="BI176">
        <v>1.4</v>
      </c>
      <c r="BJ176">
        <v>0.9</v>
      </c>
      <c r="BK176">
        <v>1.5</v>
      </c>
      <c r="BL176" s="4">
        <v>50.45</v>
      </c>
      <c r="BM176" s="4">
        <v>7.57</v>
      </c>
      <c r="BN176" s="4">
        <v>58.02</v>
      </c>
      <c r="BO176" s="4">
        <v>58.02</v>
      </c>
      <c r="BQ176" t="s">
        <v>147</v>
      </c>
      <c r="BR176" t="s">
        <v>84</v>
      </c>
      <c r="BS176" s="3">
        <v>43802</v>
      </c>
      <c r="BT176" s="5">
        <v>0.34652777777777777</v>
      </c>
      <c r="BU176" t="s">
        <v>518</v>
      </c>
      <c r="BV176" t="s">
        <v>86</v>
      </c>
      <c r="BY176">
        <v>4719.05</v>
      </c>
      <c r="BZ176" t="s">
        <v>27</v>
      </c>
      <c r="CA176" t="s">
        <v>270</v>
      </c>
      <c r="CC176" t="s">
        <v>516</v>
      </c>
      <c r="CD176">
        <v>4300</v>
      </c>
      <c r="CE176" t="s">
        <v>96</v>
      </c>
      <c r="CF176" s="3">
        <v>43803</v>
      </c>
      <c r="CI176">
        <v>1</v>
      </c>
      <c r="CJ176">
        <v>1</v>
      </c>
      <c r="CK176">
        <v>21</v>
      </c>
      <c r="CL176" t="s">
        <v>89</v>
      </c>
    </row>
    <row r="177" spans="1:90">
      <c r="A177" t="s">
        <v>72</v>
      </c>
      <c r="B177" t="s">
        <v>73</v>
      </c>
      <c r="C177" t="s">
        <v>74</v>
      </c>
      <c r="E177" t="str">
        <f>"FES1162726436"</f>
        <v>FES1162726436</v>
      </c>
      <c r="F177" s="3">
        <v>43802</v>
      </c>
      <c r="G177">
        <v>202006</v>
      </c>
      <c r="H177" t="s">
        <v>75</v>
      </c>
      <c r="I177" t="s">
        <v>76</v>
      </c>
      <c r="J177" t="s">
        <v>77</v>
      </c>
      <c r="K177" t="s">
        <v>78</v>
      </c>
      <c r="L177" t="s">
        <v>201</v>
      </c>
      <c r="M177" t="s">
        <v>202</v>
      </c>
      <c r="N177" t="s">
        <v>519</v>
      </c>
      <c r="O177" t="s">
        <v>82</v>
      </c>
      <c r="P177" t="str">
        <f>"2170719737                    "</f>
        <v xml:space="preserve">2170719737                    </v>
      </c>
      <c r="Q177">
        <v>0</v>
      </c>
      <c r="R177">
        <v>0</v>
      </c>
      <c r="S177">
        <v>0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0</v>
      </c>
      <c r="Z177">
        <v>0</v>
      </c>
      <c r="AA177">
        <v>0</v>
      </c>
      <c r="AB177">
        <v>0</v>
      </c>
      <c r="AC177">
        <v>0</v>
      </c>
      <c r="AD177">
        <v>0</v>
      </c>
      <c r="AE177">
        <v>0</v>
      </c>
      <c r="AF177">
        <v>0</v>
      </c>
      <c r="AG177">
        <v>0</v>
      </c>
      <c r="AH177">
        <v>0</v>
      </c>
      <c r="AI177">
        <v>0</v>
      </c>
      <c r="AJ177">
        <v>0</v>
      </c>
      <c r="AK177">
        <v>0</v>
      </c>
      <c r="AL177">
        <v>0</v>
      </c>
      <c r="AM177">
        <v>8.58</v>
      </c>
      <c r="AN177">
        <v>0</v>
      </c>
      <c r="AO177">
        <v>0</v>
      </c>
      <c r="AP177">
        <v>0</v>
      </c>
      <c r="AQ177">
        <v>0</v>
      </c>
      <c r="AR177">
        <v>0</v>
      </c>
      <c r="AS177">
        <v>0</v>
      </c>
      <c r="AT177">
        <v>0</v>
      </c>
      <c r="AU177">
        <v>0</v>
      </c>
      <c r="AV177">
        <v>0</v>
      </c>
      <c r="AW177">
        <v>0</v>
      </c>
      <c r="AX177">
        <v>0</v>
      </c>
      <c r="AY177">
        <v>0</v>
      </c>
      <c r="AZ177">
        <v>0</v>
      </c>
      <c r="BA177">
        <v>0</v>
      </c>
      <c r="BB177">
        <v>0</v>
      </c>
      <c r="BC177">
        <v>0</v>
      </c>
      <c r="BD177">
        <v>0</v>
      </c>
      <c r="BE177">
        <v>0</v>
      </c>
      <c r="BF177">
        <v>0</v>
      </c>
      <c r="BG177">
        <v>0</v>
      </c>
      <c r="BH177">
        <v>1</v>
      </c>
      <c r="BI177">
        <v>1</v>
      </c>
      <c r="BJ177">
        <v>0.2</v>
      </c>
      <c r="BK177">
        <v>1</v>
      </c>
      <c r="BL177" s="4">
        <v>50.45</v>
      </c>
      <c r="BM177" s="4">
        <v>7.57</v>
      </c>
      <c r="BN177" s="4">
        <v>58.02</v>
      </c>
      <c r="BO177" s="4">
        <v>58.02</v>
      </c>
      <c r="BQ177" t="s">
        <v>93</v>
      </c>
      <c r="BR177" t="s">
        <v>84</v>
      </c>
      <c r="BS177" s="3">
        <v>43803</v>
      </c>
      <c r="BT177" s="5">
        <v>0.4201388888888889</v>
      </c>
      <c r="BU177" t="s">
        <v>520</v>
      </c>
      <c r="BV177" t="s">
        <v>86</v>
      </c>
      <c r="BY177">
        <v>1200</v>
      </c>
      <c r="CA177" t="s">
        <v>205</v>
      </c>
      <c r="CC177" t="s">
        <v>202</v>
      </c>
      <c r="CD177">
        <v>3610</v>
      </c>
      <c r="CE177" t="s">
        <v>88</v>
      </c>
      <c r="CF177" s="3">
        <v>43804</v>
      </c>
      <c r="CI177">
        <v>1</v>
      </c>
      <c r="CJ177">
        <v>1</v>
      </c>
      <c r="CK177">
        <v>21</v>
      </c>
      <c r="CL177" t="s">
        <v>89</v>
      </c>
    </row>
    <row r="178" spans="1:90">
      <c r="A178" t="s">
        <v>72</v>
      </c>
      <c r="B178" t="s">
        <v>73</v>
      </c>
      <c r="C178" t="s">
        <v>74</v>
      </c>
      <c r="E178" t="str">
        <f>"FES1162726174"</f>
        <v>FES1162726174</v>
      </c>
      <c r="F178" s="3">
        <v>43801</v>
      </c>
      <c r="G178">
        <v>202006</v>
      </c>
      <c r="H178" t="s">
        <v>75</v>
      </c>
      <c r="I178" t="s">
        <v>76</v>
      </c>
      <c r="J178" t="s">
        <v>77</v>
      </c>
      <c r="K178" t="s">
        <v>78</v>
      </c>
      <c r="L178" t="s">
        <v>221</v>
      </c>
      <c r="M178" t="s">
        <v>222</v>
      </c>
      <c r="N178" t="s">
        <v>521</v>
      </c>
      <c r="O178" t="s">
        <v>82</v>
      </c>
      <c r="P178" t="str">
        <f>"2170719669                    "</f>
        <v xml:space="preserve">2170719669                    </v>
      </c>
      <c r="Q178">
        <v>0</v>
      </c>
      <c r="R178">
        <v>0</v>
      </c>
      <c r="S178">
        <v>0</v>
      </c>
      <c r="T178">
        <v>0</v>
      </c>
      <c r="U178">
        <v>0</v>
      </c>
      <c r="V178">
        <v>0</v>
      </c>
      <c r="W178">
        <v>0</v>
      </c>
      <c r="X178">
        <v>0</v>
      </c>
      <c r="Y178">
        <v>0</v>
      </c>
      <c r="Z178">
        <v>0</v>
      </c>
      <c r="AA178">
        <v>0</v>
      </c>
      <c r="AB178">
        <v>0</v>
      </c>
      <c r="AC178">
        <v>0</v>
      </c>
      <c r="AD178">
        <v>0</v>
      </c>
      <c r="AE178">
        <v>0</v>
      </c>
      <c r="AF178">
        <v>0</v>
      </c>
      <c r="AG178">
        <v>0</v>
      </c>
      <c r="AH178">
        <v>0</v>
      </c>
      <c r="AI178">
        <v>0</v>
      </c>
      <c r="AJ178">
        <v>0</v>
      </c>
      <c r="AK178">
        <v>0</v>
      </c>
      <c r="AL178">
        <v>0</v>
      </c>
      <c r="AM178">
        <v>12.87</v>
      </c>
      <c r="AN178">
        <v>0</v>
      </c>
      <c r="AO178">
        <v>0</v>
      </c>
      <c r="AP178">
        <v>0</v>
      </c>
      <c r="AQ178">
        <v>0</v>
      </c>
      <c r="AR178">
        <v>0</v>
      </c>
      <c r="AS178">
        <v>0</v>
      </c>
      <c r="AT178">
        <v>0</v>
      </c>
      <c r="AU178">
        <v>0</v>
      </c>
      <c r="AV178">
        <v>0</v>
      </c>
      <c r="AW178">
        <v>0</v>
      </c>
      <c r="AX178">
        <v>0</v>
      </c>
      <c r="AY178">
        <v>0</v>
      </c>
      <c r="AZ178">
        <v>0</v>
      </c>
      <c r="BA178">
        <v>0</v>
      </c>
      <c r="BB178">
        <v>0</v>
      </c>
      <c r="BC178">
        <v>0</v>
      </c>
      <c r="BD178">
        <v>0</v>
      </c>
      <c r="BE178">
        <v>0</v>
      </c>
      <c r="BF178">
        <v>0</v>
      </c>
      <c r="BG178">
        <v>0</v>
      </c>
      <c r="BH178">
        <v>1</v>
      </c>
      <c r="BI178">
        <v>3</v>
      </c>
      <c r="BJ178">
        <v>3</v>
      </c>
      <c r="BK178">
        <v>3</v>
      </c>
      <c r="BL178" s="4">
        <v>75.66</v>
      </c>
      <c r="BM178" s="4">
        <v>11.35</v>
      </c>
      <c r="BN178" s="4">
        <v>87.01</v>
      </c>
      <c r="BO178" s="4">
        <v>87.01</v>
      </c>
      <c r="BQ178" t="s">
        <v>522</v>
      </c>
      <c r="BR178" t="s">
        <v>84</v>
      </c>
      <c r="BS178" s="3">
        <v>43802</v>
      </c>
      <c r="BT178" s="5">
        <v>0.46527777777777773</v>
      </c>
      <c r="BU178" t="s">
        <v>523</v>
      </c>
      <c r="BV178" t="s">
        <v>89</v>
      </c>
      <c r="BW178" t="s">
        <v>149</v>
      </c>
      <c r="BX178" t="s">
        <v>524</v>
      </c>
      <c r="BY178">
        <v>15053.47</v>
      </c>
      <c r="BZ178" t="s">
        <v>27</v>
      </c>
      <c r="CA178" t="s">
        <v>225</v>
      </c>
      <c r="CC178" t="s">
        <v>222</v>
      </c>
      <c r="CD178">
        <v>3201</v>
      </c>
      <c r="CE178" t="s">
        <v>96</v>
      </c>
      <c r="CF178" s="3">
        <v>43803</v>
      </c>
      <c r="CI178">
        <v>1</v>
      </c>
      <c r="CJ178">
        <v>1</v>
      </c>
      <c r="CK178">
        <v>21</v>
      </c>
      <c r="CL178" t="s">
        <v>89</v>
      </c>
    </row>
    <row r="179" spans="1:90">
      <c r="A179" t="s">
        <v>72</v>
      </c>
      <c r="B179" t="s">
        <v>73</v>
      </c>
      <c r="C179" t="s">
        <v>74</v>
      </c>
      <c r="E179" t="str">
        <f>"FES1162726408"</f>
        <v>FES1162726408</v>
      </c>
      <c r="F179" s="3">
        <v>43802</v>
      </c>
      <c r="G179">
        <v>202006</v>
      </c>
      <c r="H179" t="s">
        <v>75</v>
      </c>
      <c r="I179" t="s">
        <v>76</v>
      </c>
      <c r="J179" t="s">
        <v>77</v>
      </c>
      <c r="K179" t="s">
        <v>78</v>
      </c>
      <c r="L179" t="s">
        <v>198</v>
      </c>
      <c r="M179" t="s">
        <v>199</v>
      </c>
      <c r="N179" t="s">
        <v>525</v>
      </c>
      <c r="O179" t="s">
        <v>82</v>
      </c>
      <c r="P179" t="str">
        <f>"2170719250                    "</f>
        <v xml:space="preserve">2170719250                    </v>
      </c>
      <c r="Q179">
        <v>0</v>
      </c>
      <c r="R179">
        <v>0</v>
      </c>
      <c r="S179">
        <v>0</v>
      </c>
      <c r="T179">
        <v>0</v>
      </c>
      <c r="U179">
        <v>0</v>
      </c>
      <c r="V179">
        <v>0</v>
      </c>
      <c r="W179">
        <v>0</v>
      </c>
      <c r="X179">
        <v>0</v>
      </c>
      <c r="Y179">
        <v>0</v>
      </c>
      <c r="Z179">
        <v>0</v>
      </c>
      <c r="AA179">
        <v>0</v>
      </c>
      <c r="AB179">
        <v>0</v>
      </c>
      <c r="AC179">
        <v>0</v>
      </c>
      <c r="AD179">
        <v>0</v>
      </c>
      <c r="AE179">
        <v>0</v>
      </c>
      <c r="AF179">
        <v>0</v>
      </c>
      <c r="AG179">
        <v>0</v>
      </c>
      <c r="AH179">
        <v>0</v>
      </c>
      <c r="AI179">
        <v>0</v>
      </c>
      <c r="AJ179">
        <v>0</v>
      </c>
      <c r="AK179">
        <v>0</v>
      </c>
      <c r="AL179">
        <v>0</v>
      </c>
      <c r="AM179">
        <v>8.58</v>
      </c>
      <c r="AN179">
        <v>0</v>
      </c>
      <c r="AO179">
        <v>0</v>
      </c>
      <c r="AP179">
        <v>0</v>
      </c>
      <c r="AQ179">
        <v>0</v>
      </c>
      <c r="AR179">
        <v>0</v>
      </c>
      <c r="AS179">
        <v>0</v>
      </c>
      <c r="AT179">
        <v>0</v>
      </c>
      <c r="AU179">
        <v>0</v>
      </c>
      <c r="AV179">
        <v>0</v>
      </c>
      <c r="AW179">
        <v>0</v>
      </c>
      <c r="AX179">
        <v>0</v>
      </c>
      <c r="AY179">
        <v>0</v>
      </c>
      <c r="AZ179">
        <v>0</v>
      </c>
      <c r="BA179">
        <v>0</v>
      </c>
      <c r="BB179">
        <v>0</v>
      </c>
      <c r="BC179">
        <v>0</v>
      </c>
      <c r="BD179">
        <v>0</v>
      </c>
      <c r="BE179">
        <v>0</v>
      </c>
      <c r="BF179">
        <v>0</v>
      </c>
      <c r="BG179">
        <v>0</v>
      </c>
      <c r="BH179">
        <v>1</v>
      </c>
      <c r="BI179">
        <v>1</v>
      </c>
      <c r="BJ179">
        <v>0.2</v>
      </c>
      <c r="BK179">
        <v>1</v>
      </c>
      <c r="BL179" s="4">
        <v>50.45</v>
      </c>
      <c r="BM179" s="4">
        <v>7.57</v>
      </c>
      <c r="BN179" s="4">
        <v>58.02</v>
      </c>
      <c r="BO179" s="4">
        <v>58.02</v>
      </c>
      <c r="BQ179" t="s">
        <v>147</v>
      </c>
      <c r="BR179" t="s">
        <v>84</v>
      </c>
      <c r="BS179" s="3">
        <v>43803</v>
      </c>
      <c r="BT179" s="5">
        <v>0.40208333333333335</v>
      </c>
      <c r="BU179" t="s">
        <v>526</v>
      </c>
      <c r="BV179" t="s">
        <v>86</v>
      </c>
      <c r="BY179">
        <v>1200</v>
      </c>
      <c r="CA179" t="s">
        <v>408</v>
      </c>
      <c r="CC179" t="s">
        <v>199</v>
      </c>
      <c r="CD179">
        <v>4001</v>
      </c>
      <c r="CE179" t="s">
        <v>88</v>
      </c>
      <c r="CF179" s="3">
        <v>43804</v>
      </c>
      <c r="CI179">
        <v>1</v>
      </c>
      <c r="CJ179">
        <v>1</v>
      </c>
      <c r="CK179">
        <v>21</v>
      </c>
      <c r="CL179" t="s">
        <v>89</v>
      </c>
    </row>
    <row r="180" spans="1:90">
      <c r="A180" t="s">
        <v>72</v>
      </c>
      <c r="B180" t="s">
        <v>73</v>
      </c>
      <c r="C180" t="s">
        <v>74</v>
      </c>
      <c r="E180" t="str">
        <f>"FES1162726186"</f>
        <v>FES1162726186</v>
      </c>
      <c r="F180" s="3">
        <v>43801</v>
      </c>
      <c r="G180">
        <v>202006</v>
      </c>
      <c r="H180" t="s">
        <v>75</v>
      </c>
      <c r="I180" t="s">
        <v>76</v>
      </c>
      <c r="J180" t="s">
        <v>77</v>
      </c>
      <c r="K180" t="s">
        <v>78</v>
      </c>
      <c r="L180" t="s">
        <v>201</v>
      </c>
      <c r="M180" t="s">
        <v>202</v>
      </c>
      <c r="N180" t="s">
        <v>203</v>
      </c>
      <c r="O180" t="s">
        <v>82</v>
      </c>
      <c r="P180" t="str">
        <f>"2170719687                    "</f>
        <v xml:space="preserve">2170719687                    </v>
      </c>
      <c r="Q180">
        <v>0</v>
      </c>
      <c r="R180">
        <v>0</v>
      </c>
      <c r="S180">
        <v>0</v>
      </c>
      <c r="T180">
        <v>0</v>
      </c>
      <c r="U180">
        <v>0</v>
      </c>
      <c r="V180">
        <v>0</v>
      </c>
      <c r="W180">
        <v>0</v>
      </c>
      <c r="X180">
        <v>0</v>
      </c>
      <c r="Y180">
        <v>0</v>
      </c>
      <c r="Z180">
        <v>0</v>
      </c>
      <c r="AA180">
        <v>0</v>
      </c>
      <c r="AB180">
        <v>0</v>
      </c>
      <c r="AC180">
        <v>0</v>
      </c>
      <c r="AD180">
        <v>0</v>
      </c>
      <c r="AE180">
        <v>0</v>
      </c>
      <c r="AF180">
        <v>0</v>
      </c>
      <c r="AG180">
        <v>0</v>
      </c>
      <c r="AH180">
        <v>0</v>
      </c>
      <c r="AI180">
        <v>0</v>
      </c>
      <c r="AJ180">
        <v>0</v>
      </c>
      <c r="AK180">
        <v>0</v>
      </c>
      <c r="AL180">
        <v>0</v>
      </c>
      <c r="AM180">
        <v>19.3</v>
      </c>
      <c r="AN180">
        <v>0</v>
      </c>
      <c r="AO180">
        <v>0</v>
      </c>
      <c r="AP180">
        <v>0</v>
      </c>
      <c r="AQ180">
        <v>0</v>
      </c>
      <c r="AR180">
        <v>0</v>
      </c>
      <c r="AS180">
        <v>0</v>
      </c>
      <c r="AT180">
        <v>0</v>
      </c>
      <c r="AU180">
        <v>0</v>
      </c>
      <c r="AV180">
        <v>0</v>
      </c>
      <c r="AW180">
        <v>0</v>
      </c>
      <c r="AX180">
        <v>0</v>
      </c>
      <c r="AY180">
        <v>0</v>
      </c>
      <c r="AZ180">
        <v>0</v>
      </c>
      <c r="BA180">
        <v>0</v>
      </c>
      <c r="BB180">
        <v>0</v>
      </c>
      <c r="BC180">
        <v>0</v>
      </c>
      <c r="BD180">
        <v>0</v>
      </c>
      <c r="BE180">
        <v>0</v>
      </c>
      <c r="BF180">
        <v>0</v>
      </c>
      <c r="BG180">
        <v>0</v>
      </c>
      <c r="BH180">
        <v>1</v>
      </c>
      <c r="BI180">
        <v>2</v>
      </c>
      <c r="BJ180">
        <v>4.3</v>
      </c>
      <c r="BK180">
        <v>4.5</v>
      </c>
      <c r="BL180" s="4">
        <v>113.47</v>
      </c>
      <c r="BM180" s="4">
        <v>17.02</v>
      </c>
      <c r="BN180" s="4">
        <v>130.49</v>
      </c>
      <c r="BO180" s="4">
        <v>130.49</v>
      </c>
      <c r="BQ180" t="s">
        <v>147</v>
      </c>
      <c r="BR180" t="s">
        <v>84</v>
      </c>
      <c r="BS180" s="3">
        <v>43802</v>
      </c>
      <c r="BT180" s="5">
        <v>0.32916666666666666</v>
      </c>
      <c r="BU180" t="s">
        <v>204</v>
      </c>
      <c r="BV180" t="s">
        <v>86</v>
      </c>
      <c r="BY180">
        <v>21496.400000000001</v>
      </c>
      <c r="BZ180" t="s">
        <v>27</v>
      </c>
      <c r="CA180" t="s">
        <v>205</v>
      </c>
      <c r="CC180" t="s">
        <v>202</v>
      </c>
      <c r="CD180">
        <v>3610</v>
      </c>
      <c r="CE180" t="s">
        <v>96</v>
      </c>
      <c r="CI180">
        <v>1</v>
      </c>
      <c r="CJ180">
        <v>1</v>
      </c>
      <c r="CK180">
        <v>21</v>
      </c>
      <c r="CL180" t="s">
        <v>89</v>
      </c>
    </row>
    <row r="181" spans="1:90">
      <c r="A181" t="s">
        <v>72</v>
      </c>
      <c r="B181" t="s">
        <v>73</v>
      </c>
      <c r="C181" t="s">
        <v>74</v>
      </c>
      <c r="E181" t="str">
        <f>"FES1162726458"</f>
        <v>FES1162726458</v>
      </c>
      <c r="F181" s="3">
        <v>43802</v>
      </c>
      <c r="G181">
        <v>202006</v>
      </c>
      <c r="H181" t="s">
        <v>75</v>
      </c>
      <c r="I181" t="s">
        <v>76</v>
      </c>
      <c r="J181" t="s">
        <v>77</v>
      </c>
      <c r="K181" t="s">
        <v>78</v>
      </c>
      <c r="L181" t="s">
        <v>198</v>
      </c>
      <c r="M181" t="s">
        <v>199</v>
      </c>
      <c r="N181" t="s">
        <v>527</v>
      </c>
      <c r="O181" t="s">
        <v>82</v>
      </c>
      <c r="P181" t="str">
        <f>"2170719888                    "</f>
        <v xml:space="preserve">2170719888                    </v>
      </c>
      <c r="Q181">
        <v>0</v>
      </c>
      <c r="R181">
        <v>0</v>
      </c>
      <c r="S181">
        <v>0</v>
      </c>
      <c r="T181">
        <v>0</v>
      </c>
      <c r="U181">
        <v>0</v>
      </c>
      <c r="V181">
        <v>0</v>
      </c>
      <c r="W181">
        <v>0</v>
      </c>
      <c r="X181">
        <v>0</v>
      </c>
      <c r="Y181">
        <v>0</v>
      </c>
      <c r="Z181">
        <v>0</v>
      </c>
      <c r="AA181">
        <v>0</v>
      </c>
      <c r="AB181">
        <v>0</v>
      </c>
      <c r="AC181">
        <v>0</v>
      </c>
      <c r="AD181">
        <v>0</v>
      </c>
      <c r="AE181">
        <v>0</v>
      </c>
      <c r="AF181">
        <v>0</v>
      </c>
      <c r="AG181">
        <v>0</v>
      </c>
      <c r="AH181">
        <v>0</v>
      </c>
      <c r="AI181">
        <v>0</v>
      </c>
      <c r="AJ181">
        <v>0</v>
      </c>
      <c r="AK181">
        <v>0</v>
      </c>
      <c r="AL181">
        <v>0</v>
      </c>
      <c r="AM181">
        <v>8.58</v>
      </c>
      <c r="AN181">
        <v>0</v>
      </c>
      <c r="AO181">
        <v>0</v>
      </c>
      <c r="AP181">
        <v>0</v>
      </c>
      <c r="AQ181">
        <v>0</v>
      </c>
      <c r="AR181">
        <v>0</v>
      </c>
      <c r="AS181">
        <v>0</v>
      </c>
      <c r="AT181">
        <v>0</v>
      </c>
      <c r="AU181">
        <v>0</v>
      </c>
      <c r="AV181">
        <v>0</v>
      </c>
      <c r="AW181">
        <v>0</v>
      </c>
      <c r="AX181">
        <v>0</v>
      </c>
      <c r="AY181">
        <v>0</v>
      </c>
      <c r="AZ181">
        <v>0</v>
      </c>
      <c r="BA181">
        <v>0</v>
      </c>
      <c r="BB181">
        <v>0</v>
      </c>
      <c r="BC181">
        <v>0</v>
      </c>
      <c r="BD181">
        <v>0</v>
      </c>
      <c r="BE181">
        <v>0</v>
      </c>
      <c r="BF181">
        <v>0</v>
      </c>
      <c r="BG181">
        <v>0</v>
      </c>
      <c r="BH181">
        <v>1</v>
      </c>
      <c r="BI181">
        <v>1</v>
      </c>
      <c r="BJ181">
        <v>0.2</v>
      </c>
      <c r="BK181">
        <v>1</v>
      </c>
      <c r="BL181" s="4">
        <v>50.45</v>
      </c>
      <c r="BM181" s="4">
        <v>7.57</v>
      </c>
      <c r="BN181" s="4">
        <v>58.02</v>
      </c>
      <c r="BO181" s="4">
        <v>58.02</v>
      </c>
      <c r="BQ181" t="s">
        <v>93</v>
      </c>
      <c r="BR181" t="s">
        <v>84</v>
      </c>
      <c r="BS181" s="3">
        <v>43803</v>
      </c>
      <c r="BT181" s="5">
        <v>0.32013888888888892</v>
      </c>
      <c r="BU181" t="s">
        <v>528</v>
      </c>
      <c r="BV181" t="s">
        <v>86</v>
      </c>
      <c r="BY181">
        <v>1200</v>
      </c>
      <c r="CA181" t="s">
        <v>529</v>
      </c>
      <c r="CC181" t="s">
        <v>199</v>
      </c>
      <c r="CD181">
        <v>4001</v>
      </c>
      <c r="CE181" t="s">
        <v>88</v>
      </c>
      <c r="CF181" s="3">
        <v>43804</v>
      </c>
      <c r="CI181">
        <v>1</v>
      </c>
      <c r="CJ181">
        <v>1</v>
      </c>
      <c r="CK181">
        <v>21</v>
      </c>
      <c r="CL181" t="s">
        <v>89</v>
      </c>
    </row>
    <row r="182" spans="1:90">
      <c r="A182" t="s">
        <v>72</v>
      </c>
      <c r="B182" t="s">
        <v>73</v>
      </c>
      <c r="C182" t="s">
        <v>74</v>
      </c>
      <c r="E182" t="str">
        <f>"FES1162726220"</f>
        <v>FES1162726220</v>
      </c>
      <c r="F182" s="3">
        <v>43801</v>
      </c>
      <c r="G182">
        <v>202006</v>
      </c>
      <c r="H182" t="s">
        <v>75</v>
      </c>
      <c r="I182" t="s">
        <v>76</v>
      </c>
      <c r="J182" t="s">
        <v>77</v>
      </c>
      <c r="K182" t="s">
        <v>78</v>
      </c>
      <c r="L182" t="s">
        <v>90</v>
      </c>
      <c r="M182" t="s">
        <v>91</v>
      </c>
      <c r="N182" t="s">
        <v>530</v>
      </c>
      <c r="O182" t="s">
        <v>82</v>
      </c>
      <c r="P182" t="str">
        <f>"21707198298                   "</f>
        <v xml:space="preserve">21707198298                   </v>
      </c>
      <c r="Q182">
        <v>0</v>
      </c>
      <c r="R182">
        <v>0</v>
      </c>
      <c r="S182">
        <v>0</v>
      </c>
      <c r="T182">
        <v>0</v>
      </c>
      <c r="U182">
        <v>0</v>
      </c>
      <c r="V182">
        <v>0</v>
      </c>
      <c r="W182">
        <v>0</v>
      </c>
      <c r="X182">
        <v>0</v>
      </c>
      <c r="Y182">
        <v>0</v>
      </c>
      <c r="Z182">
        <v>0</v>
      </c>
      <c r="AA182">
        <v>0</v>
      </c>
      <c r="AB182">
        <v>0</v>
      </c>
      <c r="AC182">
        <v>0</v>
      </c>
      <c r="AD182">
        <v>0</v>
      </c>
      <c r="AE182">
        <v>0</v>
      </c>
      <c r="AF182">
        <v>0</v>
      </c>
      <c r="AG182">
        <v>0</v>
      </c>
      <c r="AH182">
        <v>0</v>
      </c>
      <c r="AI182">
        <v>0</v>
      </c>
      <c r="AJ182">
        <v>0</v>
      </c>
      <c r="AK182">
        <v>0</v>
      </c>
      <c r="AL182">
        <v>0</v>
      </c>
      <c r="AM182">
        <v>17.16</v>
      </c>
      <c r="AN182">
        <v>0</v>
      </c>
      <c r="AO182">
        <v>0</v>
      </c>
      <c r="AP182">
        <v>0</v>
      </c>
      <c r="AQ182">
        <v>0</v>
      </c>
      <c r="AR182">
        <v>0</v>
      </c>
      <c r="AS182">
        <v>0</v>
      </c>
      <c r="AT182">
        <v>0</v>
      </c>
      <c r="AU182">
        <v>0</v>
      </c>
      <c r="AV182">
        <v>0</v>
      </c>
      <c r="AW182">
        <v>0</v>
      </c>
      <c r="AX182">
        <v>0</v>
      </c>
      <c r="AY182">
        <v>0</v>
      </c>
      <c r="AZ182">
        <v>0</v>
      </c>
      <c r="BA182">
        <v>0</v>
      </c>
      <c r="BB182">
        <v>0</v>
      </c>
      <c r="BC182">
        <v>0</v>
      </c>
      <c r="BD182">
        <v>0</v>
      </c>
      <c r="BE182">
        <v>0</v>
      </c>
      <c r="BF182">
        <v>0</v>
      </c>
      <c r="BG182">
        <v>0</v>
      </c>
      <c r="BH182">
        <v>1</v>
      </c>
      <c r="BI182">
        <v>4</v>
      </c>
      <c r="BJ182">
        <v>1.1000000000000001</v>
      </c>
      <c r="BK182">
        <v>4</v>
      </c>
      <c r="BL182" s="4">
        <v>100.87</v>
      </c>
      <c r="BM182" s="4">
        <v>15.13</v>
      </c>
      <c r="BN182" s="4">
        <v>116</v>
      </c>
      <c r="BO182" s="4">
        <v>116</v>
      </c>
      <c r="BQ182" t="s">
        <v>277</v>
      </c>
      <c r="BR182" t="s">
        <v>84</v>
      </c>
      <c r="BS182" s="3">
        <v>43802</v>
      </c>
      <c r="BT182" s="5">
        <v>0.3756944444444445</v>
      </c>
      <c r="BU182" t="s">
        <v>531</v>
      </c>
      <c r="BV182" t="s">
        <v>86</v>
      </c>
      <c r="BY182">
        <v>5745.17</v>
      </c>
      <c r="BZ182" t="s">
        <v>27</v>
      </c>
      <c r="CA182" t="s">
        <v>532</v>
      </c>
      <c r="CC182" t="s">
        <v>91</v>
      </c>
      <c r="CD182">
        <v>7405</v>
      </c>
      <c r="CE182" t="s">
        <v>96</v>
      </c>
      <c r="CF182" s="3">
        <v>43803</v>
      </c>
      <c r="CI182">
        <v>1</v>
      </c>
      <c r="CJ182">
        <v>1</v>
      </c>
      <c r="CK182">
        <v>21</v>
      </c>
      <c r="CL182" t="s">
        <v>89</v>
      </c>
    </row>
    <row r="183" spans="1:90">
      <c r="A183" t="s">
        <v>72</v>
      </c>
      <c r="B183" t="s">
        <v>73</v>
      </c>
      <c r="C183" t="s">
        <v>74</v>
      </c>
      <c r="E183" t="str">
        <f>"FES1162726465"</f>
        <v>FES1162726465</v>
      </c>
      <c r="F183" s="3">
        <v>43802</v>
      </c>
      <c r="G183">
        <v>202006</v>
      </c>
      <c r="H183" t="s">
        <v>75</v>
      </c>
      <c r="I183" t="s">
        <v>76</v>
      </c>
      <c r="J183" t="s">
        <v>77</v>
      </c>
      <c r="K183" t="s">
        <v>78</v>
      </c>
      <c r="L183" t="s">
        <v>151</v>
      </c>
      <c r="M183" t="s">
        <v>102</v>
      </c>
      <c r="N183" t="s">
        <v>533</v>
      </c>
      <c r="O183" t="s">
        <v>82</v>
      </c>
      <c r="P183" t="str">
        <f>"2170719899                    "</f>
        <v xml:space="preserve">2170719899                    </v>
      </c>
      <c r="Q183">
        <v>0</v>
      </c>
      <c r="R183">
        <v>0</v>
      </c>
      <c r="S183">
        <v>0</v>
      </c>
      <c r="T183">
        <v>0</v>
      </c>
      <c r="U183">
        <v>0</v>
      </c>
      <c r="V183">
        <v>0</v>
      </c>
      <c r="W183">
        <v>0</v>
      </c>
      <c r="X183">
        <v>0</v>
      </c>
      <c r="Y183">
        <v>0</v>
      </c>
      <c r="Z183">
        <v>0</v>
      </c>
      <c r="AA183">
        <v>0</v>
      </c>
      <c r="AB183">
        <v>0</v>
      </c>
      <c r="AC183">
        <v>0</v>
      </c>
      <c r="AD183">
        <v>0</v>
      </c>
      <c r="AE183">
        <v>0</v>
      </c>
      <c r="AF183">
        <v>0</v>
      </c>
      <c r="AG183">
        <v>0</v>
      </c>
      <c r="AH183">
        <v>0</v>
      </c>
      <c r="AI183">
        <v>0</v>
      </c>
      <c r="AJ183">
        <v>0</v>
      </c>
      <c r="AK183">
        <v>0</v>
      </c>
      <c r="AL183">
        <v>0</v>
      </c>
      <c r="AM183">
        <v>8.58</v>
      </c>
      <c r="AN183">
        <v>0</v>
      </c>
      <c r="AO183">
        <v>0</v>
      </c>
      <c r="AP183">
        <v>0</v>
      </c>
      <c r="AQ183">
        <v>0</v>
      </c>
      <c r="AR183">
        <v>0</v>
      </c>
      <c r="AS183">
        <v>0</v>
      </c>
      <c r="AT183">
        <v>0</v>
      </c>
      <c r="AU183">
        <v>0</v>
      </c>
      <c r="AV183">
        <v>0</v>
      </c>
      <c r="AW183">
        <v>0</v>
      </c>
      <c r="AX183">
        <v>0</v>
      </c>
      <c r="AY183">
        <v>0</v>
      </c>
      <c r="AZ183">
        <v>0</v>
      </c>
      <c r="BA183">
        <v>0</v>
      </c>
      <c r="BB183">
        <v>0</v>
      </c>
      <c r="BC183">
        <v>0</v>
      </c>
      <c r="BD183">
        <v>0</v>
      </c>
      <c r="BE183">
        <v>0</v>
      </c>
      <c r="BF183">
        <v>0</v>
      </c>
      <c r="BG183">
        <v>0</v>
      </c>
      <c r="BH183">
        <v>1</v>
      </c>
      <c r="BI183">
        <v>1</v>
      </c>
      <c r="BJ183">
        <v>0.2</v>
      </c>
      <c r="BK183">
        <v>1</v>
      </c>
      <c r="BL183" s="4">
        <v>50.45</v>
      </c>
      <c r="BM183" s="4">
        <v>7.57</v>
      </c>
      <c r="BN183" s="4">
        <v>58.02</v>
      </c>
      <c r="BO183" s="4">
        <v>58.02</v>
      </c>
      <c r="BQ183" t="s">
        <v>147</v>
      </c>
      <c r="BR183" t="s">
        <v>84</v>
      </c>
      <c r="BS183" s="3">
        <v>43803</v>
      </c>
      <c r="BT183" s="5">
        <v>0.41666666666666669</v>
      </c>
      <c r="BU183" t="s">
        <v>534</v>
      </c>
      <c r="BV183" t="s">
        <v>86</v>
      </c>
      <c r="BY183">
        <v>1200</v>
      </c>
      <c r="CA183" t="s">
        <v>163</v>
      </c>
      <c r="CC183" t="s">
        <v>102</v>
      </c>
      <c r="CD183">
        <v>200</v>
      </c>
      <c r="CE183" t="s">
        <v>88</v>
      </c>
      <c r="CF183" s="3">
        <v>43804</v>
      </c>
      <c r="CI183">
        <v>1</v>
      </c>
      <c r="CJ183">
        <v>1</v>
      </c>
      <c r="CK183">
        <v>21</v>
      </c>
      <c r="CL183" t="s">
        <v>89</v>
      </c>
    </row>
    <row r="184" spans="1:90">
      <c r="A184" t="s">
        <v>72</v>
      </c>
      <c r="B184" t="s">
        <v>73</v>
      </c>
      <c r="C184" t="s">
        <v>74</v>
      </c>
      <c r="E184" t="str">
        <f>"FES1162726242"</f>
        <v>FES1162726242</v>
      </c>
      <c r="F184" s="3">
        <v>43801</v>
      </c>
      <c r="G184">
        <v>202006</v>
      </c>
      <c r="H184" t="s">
        <v>75</v>
      </c>
      <c r="I184" t="s">
        <v>76</v>
      </c>
      <c r="J184" t="s">
        <v>77</v>
      </c>
      <c r="K184" t="s">
        <v>78</v>
      </c>
      <c r="L184" t="s">
        <v>90</v>
      </c>
      <c r="M184" t="s">
        <v>91</v>
      </c>
      <c r="N184" t="s">
        <v>535</v>
      </c>
      <c r="O184" t="s">
        <v>82</v>
      </c>
      <c r="P184" t="str">
        <f>"2170719732                    "</f>
        <v xml:space="preserve">2170719732                    </v>
      </c>
      <c r="Q184">
        <v>0</v>
      </c>
      <c r="R184">
        <v>0</v>
      </c>
      <c r="S184">
        <v>0</v>
      </c>
      <c r="T184">
        <v>0</v>
      </c>
      <c r="U184">
        <v>0</v>
      </c>
      <c r="V184">
        <v>0</v>
      </c>
      <c r="W184">
        <v>0</v>
      </c>
      <c r="X184">
        <v>0</v>
      </c>
      <c r="Y184">
        <v>0</v>
      </c>
      <c r="Z184">
        <v>0</v>
      </c>
      <c r="AA184">
        <v>0</v>
      </c>
      <c r="AB184">
        <v>0</v>
      </c>
      <c r="AC184">
        <v>0</v>
      </c>
      <c r="AD184">
        <v>0</v>
      </c>
      <c r="AE184">
        <v>0</v>
      </c>
      <c r="AF184">
        <v>0</v>
      </c>
      <c r="AG184">
        <v>0</v>
      </c>
      <c r="AH184">
        <v>0</v>
      </c>
      <c r="AI184">
        <v>0</v>
      </c>
      <c r="AJ184">
        <v>0</v>
      </c>
      <c r="AK184">
        <v>0</v>
      </c>
      <c r="AL184">
        <v>0</v>
      </c>
      <c r="AM184">
        <v>8.58</v>
      </c>
      <c r="AN184">
        <v>0</v>
      </c>
      <c r="AO184">
        <v>0</v>
      </c>
      <c r="AP184">
        <v>0</v>
      </c>
      <c r="AQ184">
        <v>0</v>
      </c>
      <c r="AR184">
        <v>0</v>
      </c>
      <c r="AS184">
        <v>0</v>
      </c>
      <c r="AT184">
        <v>0</v>
      </c>
      <c r="AU184">
        <v>0</v>
      </c>
      <c r="AV184">
        <v>0</v>
      </c>
      <c r="AW184">
        <v>0</v>
      </c>
      <c r="AX184">
        <v>0</v>
      </c>
      <c r="AY184">
        <v>0</v>
      </c>
      <c r="AZ184">
        <v>0</v>
      </c>
      <c r="BA184">
        <v>0</v>
      </c>
      <c r="BB184">
        <v>0</v>
      </c>
      <c r="BC184">
        <v>0</v>
      </c>
      <c r="BD184">
        <v>0</v>
      </c>
      <c r="BE184">
        <v>0</v>
      </c>
      <c r="BF184">
        <v>0</v>
      </c>
      <c r="BG184">
        <v>0</v>
      </c>
      <c r="BH184">
        <v>1</v>
      </c>
      <c r="BI184">
        <v>1</v>
      </c>
      <c r="BJ184">
        <v>0.2</v>
      </c>
      <c r="BK184">
        <v>1</v>
      </c>
      <c r="BL184" s="4">
        <v>50.45</v>
      </c>
      <c r="BM184" s="4">
        <v>7.57</v>
      </c>
      <c r="BN184" s="4">
        <v>58.02</v>
      </c>
      <c r="BO184" s="4">
        <v>58.02</v>
      </c>
      <c r="BQ184" t="s">
        <v>147</v>
      </c>
      <c r="BR184" t="s">
        <v>84</v>
      </c>
      <c r="BS184" s="3">
        <v>43802</v>
      </c>
      <c r="BT184" s="5">
        <v>0.43402777777777773</v>
      </c>
      <c r="BU184" t="s">
        <v>536</v>
      </c>
      <c r="BV184" t="s">
        <v>86</v>
      </c>
      <c r="BY184">
        <v>1200</v>
      </c>
      <c r="BZ184" t="s">
        <v>27</v>
      </c>
      <c r="CA184" t="s">
        <v>209</v>
      </c>
      <c r="CC184" t="s">
        <v>91</v>
      </c>
      <c r="CD184">
        <v>7441</v>
      </c>
      <c r="CE184" t="s">
        <v>88</v>
      </c>
      <c r="CF184" s="3">
        <v>43803</v>
      </c>
      <c r="CI184">
        <v>1</v>
      </c>
      <c r="CJ184">
        <v>1</v>
      </c>
      <c r="CK184">
        <v>21</v>
      </c>
      <c r="CL184" t="s">
        <v>89</v>
      </c>
    </row>
    <row r="185" spans="1:90">
      <c r="A185" t="s">
        <v>72</v>
      </c>
      <c r="B185" t="s">
        <v>73</v>
      </c>
      <c r="C185" t="s">
        <v>74</v>
      </c>
      <c r="E185" t="str">
        <f>"FES1162726460"</f>
        <v>FES1162726460</v>
      </c>
      <c r="F185" s="3">
        <v>43802</v>
      </c>
      <c r="G185">
        <v>202006</v>
      </c>
      <c r="H185" t="s">
        <v>75</v>
      </c>
      <c r="I185" t="s">
        <v>76</v>
      </c>
      <c r="J185" t="s">
        <v>77</v>
      </c>
      <c r="K185" t="s">
        <v>78</v>
      </c>
      <c r="L185" t="s">
        <v>90</v>
      </c>
      <c r="M185" t="s">
        <v>91</v>
      </c>
      <c r="N185" t="s">
        <v>537</v>
      </c>
      <c r="O185" t="s">
        <v>82</v>
      </c>
      <c r="P185" t="str">
        <f>"2170719892                    "</f>
        <v xml:space="preserve">2170719892                    </v>
      </c>
      <c r="Q185">
        <v>0</v>
      </c>
      <c r="R185">
        <v>0</v>
      </c>
      <c r="S185">
        <v>0</v>
      </c>
      <c r="T185">
        <v>0</v>
      </c>
      <c r="U185">
        <v>0</v>
      </c>
      <c r="V185">
        <v>0</v>
      </c>
      <c r="W185">
        <v>0</v>
      </c>
      <c r="X185">
        <v>0</v>
      </c>
      <c r="Y185">
        <v>0</v>
      </c>
      <c r="Z185">
        <v>0</v>
      </c>
      <c r="AA185">
        <v>0</v>
      </c>
      <c r="AB185">
        <v>0</v>
      </c>
      <c r="AC185">
        <v>0</v>
      </c>
      <c r="AD185">
        <v>0</v>
      </c>
      <c r="AE185">
        <v>0</v>
      </c>
      <c r="AF185">
        <v>0</v>
      </c>
      <c r="AG185">
        <v>0</v>
      </c>
      <c r="AH185">
        <v>0</v>
      </c>
      <c r="AI185">
        <v>0</v>
      </c>
      <c r="AJ185">
        <v>0</v>
      </c>
      <c r="AK185">
        <v>0</v>
      </c>
      <c r="AL185">
        <v>0</v>
      </c>
      <c r="AM185">
        <v>8.58</v>
      </c>
      <c r="AN185">
        <v>0</v>
      </c>
      <c r="AO185">
        <v>0</v>
      </c>
      <c r="AP185">
        <v>0</v>
      </c>
      <c r="AQ185">
        <v>0</v>
      </c>
      <c r="AR185">
        <v>0</v>
      </c>
      <c r="AS185">
        <v>0</v>
      </c>
      <c r="AT185">
        <v>0</v>
      </c>
      <c r="AU185">
        <v>0</v>
      </c>
      <c r="AV185">
        <v>0</v>
      </c>
      <c r="AW185">
        <v>0</v>
      </c>
      <c r="AX185">
        <v>0</v>
      </c>
      <c r="AY185">
        <v>0</v>
      </c>
      <c r="AZ185">
        <v>0</v>
      </c>
      <c r="BA185">
        <v>0</v>
      </c>
      <c r="BB185">
        <v>0</v>
      </c>
      <c r="BC185">
        <v>0</v>
      </c>
      <c r="BD185">
        <v>0</v>
      </c>
      <c r="BE185">
        <v>0</v>
      </c>
      <c r="BF185">
        <v>0</v>
      </c>
      <c r="BG185">
        <v>0</v>
      </c>
      <c r="BH185">
        <v>1</v>
      </c>
      <c r="BI185">
        <v>1</v>
      </c>
      <c r="BJ185">
        <v>0.2</v>
      </c>
      <c r="BK185">
        <v>1</v>
      </c>
      <c r="BL185" s="4">
        <v>50.45</v>
      </c>
      <c r="BM185" s="4">
        <v>7.57</v>
      </c>
      <c r="BN185" s="4">
        <v>58.02</v>
      </c>
      <c r="BO185" s="4">
        <v>58.02</v>
      </c>
      <c r="BQ185" t="s">
        <v>93</v>
      </c>
      <c r="BR185" t="s">
        <v>84</v>
      </c>
      <c r="BS185" s="3">
        <v>43803</v>
      </c>
      <c r="BT185" s="5">
        <v>0.33680555555555558</v>
      </c>
      <c r="BU185" t="s">
        <v>538</v>
      </c>
      <c r="BV185" t="s">
        <v>86</v>
      </c>
      <c r="BY185">
        <v>1200</v>
      </c>
      <c r="CA185" t="s">
        <v>539</v>
      </c>
      <c r="CC185" t="s">
        <v>91</v>
      </c>
      <c r="CD185">
        <v>7530</v>
      </c>
      <c r="CE185" t="s">
        <v>88</v>
      </c>
      <c r="CF185" s="3">
        <v>43804</v>
      </c>
      <c r="CI185">
        <v>1</v>
      </c>
      <c r="CJ185">
        <v>1</v>
      </c>
      <c r="CK185">
        <v>21</v>
      </c>
      <c r="CL185" t="s">
        <v>89</v>
      </c>
    </row>
    <row r="186" spans="1:90">
      <c r="A186" t="s">
        <v>72</v>
      </c>
      <c r="B186" t="s">
        <v>73</v>
      </c>
      <c r="C186" t="s">
        <v>74</v>
      </c>
      <c r="E186" t="str">
        <f>"FES1162726219"</f>
        <v>FES1162726219</v>
      </c>
      <c r="F186" s="3">
        <v>43801</v>
      </c>
      <c r="G186">
        <v>202006</v>
      </c>
      <c r="H186" t="s">
        <v>75</v>
      </c>
      <c r="I186" t="s">
        <v>76</v>
      </c>
      <c r="J186" t="s">
        <v>77</v>
      </c>
      <c r="K186" t="s">
        <v>78</v>
      </c>
      <c r="L186" t="s">
        <v>308</v>
      </c>
      <c r="M186" t="s">
        <v>308</v>
      </c>
      <c r="N186" t="s">
        <v>540</v>
      </c>
      <c r="O186" t="s">
        <v>82</v>
      </c>
      <c r="P186" t="str">
        <f>"217017910                     "</f>
        <v xml:space="preserve">217017910                     </v>
      </c>
      <c r="Q186">
        <v>0</v>
      </c>
      <c r="R186">
        <v>0</v>
      </c>
      <c r="S186">
        <v>0</v>
      </c>
      <c r="T186">
        <v>0</v>
      </c>
      <c r="U186">
        <v>0</v>
      </c>
      <c r="V186">
        <v>0</v>
      </c>
      <c r="W186">
        <v>0</v>
      </c>
      <c r="X186">
        <v>0</v>
      </c>
      <c r="Y186">
        <v>0</v>
      </c>
      <c r="Z186">
        <v>0</v>
      </c>
      <c r="AA186">
        <v>0</v>
      </c>
      <c r="AB186">
        <v>0</v>
      </c>
      <c r="AC186">
        <v>0</v>
      </c>
      <c r="AD186">
        <v>0</v>
      </c>
      <c r="AE186">
        <v>0</v>
      </c>
      <c r="AF186">
        <v>0</v>
      </c>
      <c r="AG186">
        <v>0</v>
      </c>
      <c r="AH186">
        <v>0</v>
      </c>
      <c r="AI186">
        <v>0</v>
      </c>
      <c r="AJ186">
        <v>0</v>
      </c>
      <c r="AK186">
        <v>0</v>
      </c>
      <c r="AL186">
        <v>0</v>
      </c>
      <c r="AM186">
        <v>16.63</v>
      </c>
      <c r="AN186">
        <v>0</v>
      </c>
      <c r="AO186">
        <v>0</v>
      </c>
      <c r="AP186">
        <v>0</v>
      </c>
      <c r="AQ186">
        <v>0</v>
      </c>
      <c r="AR186">
        <v>0</v>
      </c>
      <c r="AS186">
        <v>0</v>
      </c>
      <c r="AT186">
        <v>0</v>
      </c>
      <c r="AU186">
        <v>0</v>
      </c>
      <c r="AV186">
        <v>0</v>
      </c>
      <c r="AW186">
        <v>0</v>
      </c>
      <c r="AX186">
        <v>0</v>
      </c>
      <c r="AY186">
        <v>0</v>
      </c>
      <c r="AZ186">
        <v>0</v>
      </c>
      <c r="BA186">
        <v>0</v>
      </c>
      <c r="BB186">
        <v>0</v>
      </c>
      <c r="BC186">
        <v>0</v>
      </c>
      <c r="BD186">
        <v>0</v>
      </c>
      <c r="BE186">
        <v>0</v>
      </c>
      <c r="BF186">
        <v>0</v>
      </c>
      <c r="BG186">
        <v>0</v>
      </c>
      <c r="BH186">
        <v>1</v>
      </c>
      <c r="BI186">
        <v>1</v>
      </c>
      <c r="BJ186">
        <v>1.1000000000000001</v>
      </c>
      <c r="BK186">
        <v>1.5</v>
      </c>
      <c r="BL186" s="4">
        <v>97.75</v>
      </c>
      <c r="BM186" s="4">
        <v>14.66</v>
      </c>
      <c r="BN186" s="4">
        <v>112.41</v>
      </c>
      <c r="BO186" s="4">
        <v>112.41</v>
      </c>
      <c r="BQ186" t="s">
        <v>147</v>
      </c>
      <c r="BR186" t="s">
        <v>84</v>
      </c>
      <c r="BS186" s="3">
        <v>43802</v>
      </c>
      <c r="BT186" s="5">
        <v>0.4375</v>
      </c>
      <c r="BU186" t="s">
        <v>541</v>
      </c>
      <c r="BV186" t="s">
        <v>86</v>
      </c>
      <c r="BY186">
        <v>5637.72</v>
      </c>
      <c r="BZ186" t="s">
        <v>27</v>
      </c>
      <c r="CA186" t="s">
        <v>311</v>
      </c>
      <c r="CC186" t="s">
        <v>308</v>
      </c>
      <c r="CD186">
        <v>7646</v>
      </c>
      <c r="CE186" t="s">
        <v>96</v>
      </c>
      <c r="CF186" s="3">
        <v>43803</v>
      </c>
      <c r="CI186">
        <v>1</v>
      </c>
      <c r="CJ186">
        <v>1</v>
      </c>
      <c r="CK186">
        <v>23</v>
      </c>
      <c r="CL186" t="s">
        <v>89</v>
      </c>
    </row>
    <row r="187" spans="1:90">
      <c r="A187" t="s">
        <v>72</v>
      </c>
      <c r="B187" t="s">
        <v>73</v>
      </c>
      <c r="C187" t="s">
        <v>74</v>
      </c>
      <c r="E187" t="str">
        <f>"FES1162726451"</f>
        <v>FES1162726451</v>
      </c>
      <c r="F187" s="3">
        <v>43802</v>
      </c>
      <c r="G187">
        <v>202006</v>
      </c>
      <c r="H187" t="s">
        <v>75</v>
      </c>
      <c r="I187" t="s">
        <v>76</v>
      </c>
      <c r="J187" t="s">
        <v>77</v>
      </c>
      <c r="K187" t="s">
        <v>78</v>
      </c>
      <c r="L187" t="s">
        <v>198</v>
      </c>
      <c r="M187" t="s">
        <v>199</v>
      </c>
      <c r="N187" t="s">
        <v>297</v>
      </c>
      <c r="O187" t="s">
        <v>82</v>
      </c>
      <c r="P187" t="str">
        <f>"2170719873                    "</f>
        <v xml:space="preserve">2170719873                    </v>
      </c>
      <c r="Q187">
        <v>0</v>
      </c>
      <c r="R187">
        <v>0</v>
      </c>
      <c r="S187">
        <v>0</v>
      </c>
      <c r="T187">
        <v>0</v>
      </c>
      <c r="U187">
        <v>0</v>
      </c>
      <c r="V187">
        <v>0</v>
      </c>
      <c r="W187">
        <v>0</v>
      </c>
      <c r="X187">
        <v>0</v>
      </c>
      <c r="Y187">
        <v>0</v>
      </c>
      <c r="Z187">
        <v>0</v>
      </c>
      <c r="AA187">
        <v>0</v>
      </c>
      <c r="AB187">
        <v>0</v>
      </c>
      <c r="AC187">
        <v>0</v>
      </c>
      <c r="AD187">
        <v>0</v>
      </c>
      <c r="AE187">
        <v>0</v>
      </c>
      <c r="AF187">
        <v>0</v>
      </c>
      <c r="AG187">
        <v>0</v>
      </c>
      <c r="AH187">
        <v>0</v>
      </c>
      <c r="AI187">
        <v>0</v>
      </c>
      <c r="AJ187">
        <v>0</v>
      </c>
      <c r="AK187">
        <v>0</v>
      </c>
      <c r="AL187">
        <v>0</v>
      </c>
      <c r="AM187">
        <v>8.58</v>
      </c>
      <c r="AN187">
        <v>0</v>
      </c>
      <c r="AO187">
        <v>0</v>
      </c>
      <c r="AP187">
        <v>0</v>
      </c>
      <c r="AQ187">
        <v>0</v>
      </c>
      <c r="AR187">
        <v>0</v>
      </c>
      <c r="AS187">
        <v>0</v>
      </c>
      <c r="AT187">
        <v>0</v>
      </c>
      <c r="AU187">
        <v>0</v>
      </c>
      <c r="AV187">
        <v>0</v>
      </c>
      <c r="AW187">
        <v>0</v>
      </c>
      <c r="AX187">
        <v>0</v>
      </c>
      <c r="AY187">
        <v>0</v>
      </c>
      <c r="AZ187">
        <v>0</v>
      </c>
      <c r="BA187">
        <v>0</v>
      </c>
      <c r="BB187">
        <v>0</v>
      </c>
      <c r="BC187">
        <v>0</v>
      </c>
      <c r="BD187">
        <v>0</v>
      </c>
      <c r="BE187">
        <v>0</v>
      </c>
      <c r="BF187">
        <v>0</v>
      </c>
      <c r="BG187">
        <v>0</v>
      </c>
      <c r="BH187">
        <v>1</v>
      </c>
      <c r="BI187">
        <v>1</v>
      </c>
      <c r="BJ187">
        <v>0.2</v>
      </c>
      <c r="BK187">
        <v>1</v>
      </c>
      <c r="BL187" s="4">
        <v>50.45</v>
      </c>
      <c r="BM187" s="4">
        <v>7.57</v>
      </c>
      <c r="BN187" s="4">
        <v>58.02</v>
      </c>
      <c r="BO187" s="4">
        <v>58.02</v>
      </c>
      <c r="BQ187" t="s">
        <v>172</v>
      </c>
      <c r="BR187" t="s">
        <v>84</v>
      </c>
      <c r="BS187" s="3">
        <v>43803</v>
      </c>
      <c r="BT187" s="5">
        <v>0.36805555555555558</v>
      </c>
      <c r="BU187" t="s">
        <v>542</v>
      </c>
      <c r="BV187" t="s">
        <v>86</v>
      </c>
      <c r="BY187">
        <v>1200</v>
      </c>
      <c r="CA187" t="s">
        <v>299</v>
      </c>
      <c r="CC187" t="s">
        <v>199</v>
      </c>
      <c r="CD187">
        <v>4000</v>
      </c>
      <c r="CE187" t="s">
        <v>88</v>
      </c>
      <c r="CF187" s="3">
        <v>43804</v>
      </c>
      <c r="CI187">
        <v>1</v>
      </c>
      <c r="CJ187">
        <v>1</v>
      </c>
      <c r="CK187">
        <v>21</v>
      </c>
      <c r="CL187" t="s">
        <v>89</v>
      </c>
    </row>
    <row r="188" spans="1:90">
      <c r="A188" t="s">
        <v>72</v>
      </c>
      <c r="B188" t="s">
        <v>73</v>
      </c>
      <c r="C188" t="s">
        <v>74</v>
      </c>
      <c r="E188" t="str">
        <f>"FES1162726231"</f>
        <v>FES1162726231</v>
      </c>
      <c r="F188" s="3">
        <v>43801</v>
      </c>
      <c r="G188">
        <v>202006</v>
      </c>
      <c r="H188" t="s">
        <v>75</v>
      </c>
      <c r="I188" t="s">
        <v>76</v>
      </c>
      <c r="J188" t="s">
        <v>77</v>
      </c>
      <c r="K188" t="s">
        <v>78</v>
      </c>
      <c r="L188" t="s">
        <v>90</v>
      </c>
      <c r="M188" t="s">
        <v>91</v>
      </c>
      <c r="N188" t="s">
        <v>543</v>
      </c>
      <c r="O188" t="s">
        <v>82</v>
      </c>
      <c r="P188" t="str">
        <f>"2170717703                    "</f>
        <v xml:space="preserve">2170717703                    </v>
      </c>
      <c r="Q188">
        <v>0</v>
      </c>
      <c r="R188">
        <v>0</v>
      </c>
      <c r="S188">
        <v>0</v>
      </c>
      <c r="T188">
        <v>0</v>
      </c>
      <c r="U188">
        <v>0</v>
      </c>
      <c r="V188">
        <v>0</v>
      </c>
      <c r="W188">
        <v>0</v>
      </c>
      <c r="X188">
        <v>0</v>
      </c>
      <c r="Y188">
        <v>0</v>
      </c>
      <c r="Z188">
        <v>0</v>
      </c>
      <c r="AA188">
        <v>0</v>
      </c>
      <c r="AB188">
        <v>0</v>
      </c>
      <c r="AC188">
        <v>0</v>
      </c>
      <c r="AD188">
        <v>0</v>
      </c>
      <c r="AE188">
        <v>0</v>
      </c>
      <c r="AF188">
        <v>0</v>
      </c>
      <c r="AG188">
        <v>0</v>
      </c>
      <c r="AH188">
        <v>0</v>
      </c>
      <c r="AI188">
        <v>0</v>
      </c>
      <c r="AJ188">
        <v>0</v>
      </c>
      <c r="AK188">
        <v>0</v>
      </c>
      <c r="AL188">
        <v>0</v>
      </c>
      <c r="AM188">
        <v>32.17</v>
      </c>
      <c r="AN188">
        <v>0</v>
      </c>
      <c r="AO188">
        <v>0</v>
      </c>
      <c r="AP188">
        <v>0</v>
      </c>
      <c r="AQ188">
        <v>0</v>
      </c>
      <c r="AR188">
        <v>0</v>
      </c>
      <c r="AS188">
        <v>0</v>
      </c>
      <c r="AT188">
        <v>0</v>
      </c>
      <c r="AU188">
        <v>0</v>
      </c>
      <c r="AV188">
        <v>0</v>
      </c>
      <c r="AW188">
        <v>0</v>
      </c>
      <c r="AX188">
        <v>0</v>
      </c>
      <c r="AY188">
        <v>0</v>
      </c>
      <c r="AZ188">
        <v>0</v>
      </c>
      <c r="BA188">
        <v>0</v>
      </c>
      <c r="BB188">
        <v>0</v>
      </c>
      <c r="BC188">
        <v>0</v>
      </c>
      <c r="BD188">
        <v>0</v>
      </c>
      <c r="BE188">
        <v>0</v>
      </c>
      <c r="BF188">
        <v>0</v>
      </c>
      <c r="BG188">
        <v>0</v>
      </c>
      <c r="BH188">
        <v>1</v>
      </c>
      <c r="BI188">
        <v>4.3</v>
      </c>
      <c r="BJ188">
        <v>7.2</v>
      </c>
      <c r="BK188">
        <v>7.5</v>
      </c>
      <c r="BL188" s="4">
        <v>189.1</v>
      </c>
      <c r="BM188" s="4">
        <v>28.37</v>
      </c>
      <c r="BN188" s="4">
        <v>217.47</v>
      </c>
      <c r="BO188" s="4">
        <v>217.47</v>
      </c>
      <c r="BQ188" t="s">
        <v>544</v>
      </c>
      <c r="BR188" t="s">
        <v>84</v>
      </c>
      <c r="BS188" s="3">
        <v>43802</v>
      </c>
      <c r="BT188" s="5">
        <v>0.54166666666666663</v>
      </c>
      <c r="BU188" t="s">
        <v>545</v>
      </c>
      <c r="BV188" t="s">
        <v>89</v>
      </c>
      <c r="BW188" t="s">
        <v>149</v>
      </c>
      <c r="BX188" t="s">
        <v>284</v>
      </c>
      <c r="BY188">
        <v>36230.449999999997</v>
      </c>
      <c r="BZ188" t="s">
        <v>27</v>
      </c>
      <c r="CA188" t="s">
        <v>546</v>
      </c>
      <c r="CC188" t="s">
        <v>91</v>
      </c>
      <c r="CD188">
        <v>8000</v>
      </c>
      <c r="CE188" t="s">
        <v>116</v>
      </c>
      <c r="CF188" s="3">
        <v>43803</v>
      </c>
      <c r="CI188">
        <v>1</v>
      </c>
      <c r="CJ188">
        <v>1</v>
      </c>
      <c r="CK188">
        <v>21</v>
      </c>
      <c r="CL188" t="s">
        <v>89</v>
      </c>
    </row>
    <row r="189" spans="1:90">
      <c r="A189" t="s">
        <v>72</v>
      </c>
      <c r="B189" t="s">
        <v>73</v>
      </c>
      <c r="C189" t="s">
        <v>74</v>
      </c>
      <c r="E189" t="str">
        <f>"FES1162726438"</f>
        <v>FES1162726438</v>
      </c>
      <c r="F189" s="3">
        <v>43802</v>
      </c>
      <c r="G189">
        <v>202006</v>
      </c>
      <c r="H189" t="s">
        <v>75</v>
      </c>
      <c r="I189" t="s">
        <v>76</v>
      </c>
      <c r="J189" t="s">
        <v>77</v>
      </c>
      <c r="K189" t="s">
        <v>78</v>
      </c>
      <c r="L189" t="s">
        <v>90</v>
      </c>
      <c r="M189" t="s">
        <v>91</v>
      </c>
      <c r="N189" t="s">
        <v>389</v>
      </c>
      <c r="O189" t="s">
        <v>82</v>
      </c>
      <c r="P189" t="str">
        <f>"2170719751                    "</f>
        <v xml:space="preserve">2170719751                    </v>
      </c>
      <c r="Q189">
        <v>0</v>
      </c>
      <c r="R189">
        <v>0</v>
      </c>
      <c r="S189">
        <v>0</v>
      </c>
      <c r="T189">
        <v>0</v>
      </c>
      <c r="U189">
        <v>0</v>
      </c>
      <c r="V189">
        <v>0</v>
      </c>
      <c r="W189">
        <v>0</v>
      </c>
      <c r="X189">
        <v>0</v>
      </c>
      <c r="Y189">
        <v>0</v>
      </c>
      <c r="Z189">
        <v>0</v>
      </c>
      <c r="AA189">
        <v>0</v>
      </c>
      <c r="AB189">
        <v>0</v>
      </c>
      <c r="AC189">
        <v>0</v>
      </c>
      <c r="AD189">
        <v>0</v>
      </c>
      <c r="AE189">
        <v>0</v>
      </c>
      <c r="AF189">
        <v>0</v>
      </c>
      <c r="AG189">
        <v>0</v>
      </c>
      <c r="AH189">
        <v>0</v>
      </c>
      <c r="AI189">
        <v>0</v>
      </c>
      <c r="AJ189">
        <v>0</v>
      </c>
      <c r="AK189">
        <v>0</v>
      </c>
      <c r="AL189">
        <v>0</v>
      </c>
      <c r="AM189">
        <v>8.58</v>
      </c>
      <c r="AN189">
        <v>0</v>
      </c>
      <c r="AO189">
        <v>0</v>
      </c>
      <c r="AP189">
        <v>0</v>
      </c>
      <c r="AQ189">
        <v>0</v>
      </c>
      <c r="AR189">
        <v>0</v>
      </c>
      <c r="AS189">
        <v>0</v>
      </c>
      <c r="AT189">
        <v>0</v>
      </c>
      <c r="AU189">
        <v>0</v>
      </c>
      <c r="AV189">
        <v>0</v>
      </c>
      <c r="AW189">
        <v>0</v>
      </c>
      <c r="AX189">
        <v>0</v>
      </c>
      <c r="AY189">
        <v>0</v>
      </c>
      <c r="AZ189">
        <v>0</v>
      </c>
      <c r="BA189">
        <v>0</v>
      </c>
      <c r="BB189">
        <v>0</v>
      </c>
      <c r="BC189">
        <v>0</v>
      </c>
      <c r="BD189">
        <v>0</v>
      </c>
      <c r="BE189">
        <v>0</v>
      </c>
      <c r="BF189">
        <v>0</v>
      </c>
      <c r="BG189">
        <v>0</v>
      </c>
      <c r="BH189">
        <v>1</v>
      </c>
      <c r="BI189">
        <v>1</v>
      </c>
      <c r="BJ189">
        <v>0.2</v>
      </c>
      <c r="BK189">
        <v>1</v>
      </c>
      <c r="BL189" s="4">
        <v>50.45</v>
      </c>
      <c r="BM189" s="4">
        <v>7.57</v>
      </c>
      <c r="BN189" s="4">
        <v>58.02</v>
      </c>
      <c r="BO189" s="4">
        <v>58.02</v>
      </c>
      <c r="BQ189" t="s">
        <v>390</v>
      </c>
      <c r="BR189" t="s">
        <v>84</v>
      </c>
      <c r="BS189" s="3">
        <v>43803</v>
      </c>
      <c r="BT189" s="5">
        <v>0.30486111111111108</v>
      </c>
      <c r="BU189" t="s">
        <v>547</v>
      </c>
      <c r="BV189" t="s">
        <v>86</v>
      </c>
      <c r="BY189">
        <v>1200</v>
      </c>
      <c r="CA189" t="s">
        <v>112</v>
      </c>
      <c r="CC189" t="s">
        <v>91</v>
      </c>
      <c r="CD189">
        <v>7405</v>
      </c>
      <c r="CE189" t="s">
        <v>88</v>
      </c>
      <c r="CF189" s="3">
        <v>43804</v>
      </c>
      <c r="CI189">
        <v>1</v>
      </c>
      <c r="CJ189">
        <v>1</v>
      </c>
      <c r="CK189">
        <v>21</v>
      </c>
      <c r="CL189" t="s">
        <v>89</v>
      </c>
    </row>
    <row r="190" spans="1:90">
      <c r="A190" t="s">
        <v>72</v>
      </c>
      <c r="B190" t="s">
        <v>73</v>
      </c>
      <c r="C190" t="s">
        <v>74</v>
      </c>
      <c r="E190" t="str">
        <f>"FES1162726243"</f>
        <v>FES1162726243</v>
      </c>
      <c r="F190" s="3">
        <v>43801</v>
      </c>
      <c r="G190">
        <v>202006</v>
      </c>
      <c r="H190" t="s">
        <v>75</v>
      </c>
      <c r="I190" t="s">
        <v>76</v>
      </c>
      <c r="J190" t="s">
        <v>77</v>
      </c>
      <c r="K190" t="s">
        <v>78</v>
      </c>
      <c r="L190" t="s">
        <v>90</v>
      </c>
      <c r="M190" t="s">
        <v>91</v>
      </c>
      <c r="N190" t="s">
        <v>548</v>
      </c>
      <c r="O190" t="s">
        <v>82</v>
      </c>
      <c r="P190" t="str">
        <f>"2170719733                    "</f>
        <v xml:space="preserve">2170719733                    </v>
      </c>
      <c r="Q190">
        <v>0</v>
      </c>
      <c r="R190">
        <v>0</v>
      </c>
      <c r="S190">
        <v>0</v>
      </c>
      <c r="T190">
        <v>0</v>
      </c>
      <c r="U190">
        <v>0</v>
      </c>
      <c r="V190">
        <v>0</v>
      </c>
      <c r="W190">
        <v>0</v>
      </c>
      <c r="X190">
        <v>0</v>
      </c>
      <c r="Y190">
        <v>0</v>
      </c>
      <c r="Z190">
        <v>0</v>
      </c>
      <c r="AA190">
        <v>0</v>
      </c>
      <c r="AB190">
        <v>0</v>
      </c>
      <c r="AC190">
        <v>0</v>
      </c>
      <c r="AD190">
        <v>0</v>
      </c>
      <c r="AE190">
        <v>0</v>
      </c>
      <c r="AF190">
        <v>0</v>
      </c>
      <c r="AG190">
        <v>0</v>
      </c>
      <c r="AH190">
        <v>0</v>
      </c>
      <c r="AI190">
        <v>0</v>
      </c>
      <c r="AJ190">
        <v>0</v>
      </c>
      <c r="AK190">
        <v>0</v>
      </c>
      <c r="AL190">
        <v>0</v>
      </c>
      <c r="AM190">
        <v>8.58</v>
      </c>
      <c r="AN190">
        <v>0</v>
      </c>
      <c r="AO190">
        <v>0</v>
      </c>
      <c r="AP190">
        <v>0</v>
      </c>
      <c r="AQ190">
        <v>0</v>
      </c>
      <c r="AR190">
        <v>0</v>
      </c>
      <c r="AS190">
        <v>0</v>
      </c>
      <c r="AT190">
        <v>0</v>
      </c>
      <c r="AU190">
        <v>0</v>
      </c>
      <c r="AV190">
        <v>0</v>
      </c>
      <c r="AW190">
        <v>0</v>
      </c>
      <c r="AX190">
        <v>0</v>
      </c>
      <c r="AY190">
        <v>0</v>
      </c>
      <c r="AZ190">
        <v>0</v>
      </c>
      <c r="BA190">
        <v>0</v>
      </c>
      <c r="BB190">
        <v>0</v>
      </c>
      <c r="BC190">
        <v>0</v>
      </c>
      <c r="BD190">
        <v>0</v>
      </c>
      <c r="BE190">
        <v>0</v>
      </c>
      <c r="BF190">
        <v>0</v>
      </c>
      <c r="BG190">
        <v>0</v>
      </c>
      <c r="BH190">
        <v>1</v>
      </c>
      <c r="BI190">
        <v>1</v>
      </c>
      <c r="BJ190">
        <v>0.2</v>
      </c>
      <c r="BK190">
        <v>1</v>
      </c>
      <c r="BL190" s="4">
        <v>50.45</v>
      </c>
      <c r="BM190" s="4">
        <v>7.57</v>
      </c>
      <c r="BN190" s="4">
        <v>58.02</v>
      </c>
      <c r="BO190" s="4">
        <v>58.02</v>
      </c>
      <c r="BQ190" t="s">
        <v>147</v>
      </c>
      <c r="BR190" t="s">
        <v>84</v>
      </c>
      <c r="BS190" s="3">
        <v>43802</v>
      </c>
      <c r="BT190" s="5">
        <v>0.32430555555555557</v>
      </c>
      <c r="BU190" t="s">
        <v>549</v>
      </c>
      <c r="BV190" t="s">
        <v>86</v>
      </c>
      <c r="BY190">
        <v>1200</v>
      </c>
      <c r="BZ190" t="s">
        <v>27</v>
      </c>
      <c r="CA190" t="s">
        <v>550</v>
      </c>
      <c r="CC190" t="s">
        <v>91</v>
      </c>
      <c r="CD190">
        <v>7530</v>
      </c>
      <c r="CE190" t="s">
        <v>88</v>
      </c>
      <c r="CF190" s="3">
        <v>43803</v>
      </c>
      <c r="CI190">
        <v>1</v>
      </c>
      <c r="CJ190">
        <v>1</v>
      </c>
      <c r="CK190">
        <v>21</v>
      </c>
      <c r="CL190" t="s">
        <v>89</v>
      </c>
    </row>
    <row r="191" spans="1:90">
      <c r="A191" t="s">
        <v>72</v>
      </c>
      <c r="B191" t="s">
        <v>73</v>
      </c>
      <c r="C191" t="s">
        <v>74</v>
      </c>
      <c r="E191" t="str">
        <f>"FES1162726399"</f>
        <v>FES1162726399</v>
      </c>
      <c r="F191" s="3">
        <v>43802</v>
      </c>
      <c r="G191">
        <v>202006</v>
      </c>
      <c r="H191" t="s">
        <v>75</v>
      </c>
      <c r="I191" t="s">
        <v>76</v>
      </c>
      <c r="J191" t="s">
        <v>77</v>
      </c>
      <c r="K191" t="s">
        <v>78</v>
      </c>
      <c r="L191" t="s">
        <v>396</v>
      </c>
      <c r="M191" t="s">
        <v>397</v>
      </c>
      <c r="N191" t="s">
        <v>551</v>
      </c>
      <c r="O191" t="s">
        <v>82</v>
      </c>
      <c r="P191" t="str">
        <f>"2170719031                    "</f>
        <v xml:space="preserve">2170719031                    </v>
      </c>
      <c r="Q191">
        <v>0</v>
      </c>
      <c r="R191">
        <v>0</v>
      </c>
      <c r="S191">
        <v>0</v>
      </c>
      <c r="T191">
        <v>0</v>
      </c>
      <c r="U191">
        <v>0</v>
      </c>
      <c r="V191">
        <v>0</v>
      </c>
      <c r="W191">
        <v>0</v>
      </c>
      <c r="X191">
        <v>0</v>
      </c>
      <c r="Y191">
        <v>0</v>
      </c>
      <c r="Z191">
        <v>0</v>
      </c>
      <c r="AA191">
        <v>0</v>
      </c>
      <c r="AB191">
        <v>0</v>
      </c>
      <c r="AC191">
        <v>0</v>
      </c>
      <c r="AD191">
        <v>0</v>
      </c>
      <c r="AE191">
        <v>0</v>
      </c>
      <c r="AF191">
        <v>0</v>
      </c>
      <c r="AG191">
        <v>0</v>
      </c>
      <c r="AH191">
        <v>0</v>
      </c>
      <c r="AI191">
        <v>0</v>
      </c>
      <c r="AJ191">
        <v>0</v>
      </c>
      <c r="AK191">
        <v>0</v>
      </c>
      <c r="AL191">
        <v>0</v>
      </c>
      <c r="AM191">
        <v>16.63</v>
      </c>
      <c r="AN191">
        <v>0</v>
      </c>
      <c r="AO191">
        <v>0</v>
      </c>
      <c r="AP191">
        <v>0</v>
      </c>
      <c r="AQ191">
        <v>0</v>
      </c>
      <c r="AR191">
        <v>0</v>
      </c>
      <c r="AS191">
        <v>0</v>
      </c>
      <c r="AT191">
        <v>0</v>
      </c>
      <c r="AU191">
        <v>0</v>
      </c>
      <c r="AV191">
        <v>0</v>
      </c>
      <c r="AW191">
        <v>0</v>
      </c>
      <c r="AX191">
        <v>0</v>
      </c>
      <c r="AY191">
        <v>0</v>
      </c>
      <c r="AZ191">
        <v>0</v>
      </c>
      <c r="BA191">
        <v>0</v>
      </c>
      <c r="BB191">
        <v>0</v>
      </c>
      <c r="BC191">
        <v>0</v>
      </c>
      <c r="BD191">
        <v>0</v>
      </c>
      <c r="BE191">
        <v>0</v>
      </c>
      <c r="BF191">
        <v>0</v>
      </c>
      <c r="BG191">
        <v>0</v>
      </c>
      <c r="BH191">
        <v>1</v>
      </c>
      <c r="BI191">
        <v>1</v>
      </c>
      <c r="BJ191">
        <v>0.2</v>
      </c>
      <c r="BK191">
        <v>1</v>
      </c>
      <c r="BL191" s="4">
        <v>97.75</v>
      </c>
      <c r="BM191" s="4">
        <v>14.66</v>
      </c>
      <c r="BN191" s="4">
        <v>112.41</v>
      </c>
      <c r="BO191" s="4">
        <v>112.41</v>
      </c>
      <c r="BQ191" t="s">
        <v>552</v>
      </c>
      <c r="BR191" t="s">
        <v>84</v>
      </c>
      <c r="BS191" s="3">
        <v>43803</v>
      </c>
      <c r="BT191" s="5">
        <v>0.4375</v>
      </c>
      <c r="BU191" t="s">
        <v>553</v>
      </c>
      <c r="BV191" t="s">
        <v>86</v>
      </c>
      <c r="BY191">
        <v>1200</v>
      </c>
      <c r="CA191" t="s">
        <v>400</v>
      </c>
      <c r="CC191" t="s">
        <v>397</v>
      </c>
      <c r="CD191">
        <v>7130</v>
      </c>
      <c r="CE191" t="s">
        <v>88</v>
      </c>
      <c r="CF191" s="3">
        <v>43804</v>
      </c>
      <c r="CI191">
        <v>1</v>
      </c>
      <c r="CJ191">
        <v>1</v>
      </c>
      <c r="CK191">
        <v>23</v>
      </c>
      <c r="CL191" t="s">
        <v>89</v>
      </c>
    </row>
    <row r="192" spans="1:90">
      <c r="A192" t="s">
        <v>72</v>
      </c>
      <c r="B192" t="s">
        <v>73</v>
      </c>
      <c r="C192" t="s">
        <v>74</v>
      </c>
      <c r="E192" t="str">
        <f>"FES1162726233"</f>
        <v>FES1162726233</v>
      </c>
      <c r="F192" s="3">
        <v>43801</v>
      </c>
      <c r="G192">
        <v>202006</v>
      </c>
      <c r="H192" t="s">
        <v>75</v>
      </c>
      <c r="I192" t="s">
        <v>76</v>
      </c>
      <c r="J192" t="s">
        <v>77</v>
      </c>
      <c r="K192" t="s">
        <v>78</v>
      </c>
      <c r="L192" t="s">
        <v>90</v>
      </c>
      <c r="M192" t="s">
        <v>91</v>
      </c>
      <c r="N192" t="s">
        <v>554</v>
      </c>
      <c r="O192" t="s">
        <v>82</v>
      </c>
      <c r="P192" t="str">
        <f>"2170719764                    "</f>
        <v xml:space="preserve">2170719764                    </v>
      </c>
      <c r="Q192">
        <v>0</v>
      </c>
      <c r="R192">
        <v>0</v>
      </c>
      <c r="S192">
        <v>0</v>
      </c>
      <c r="T192">
        <v>0</v>
      </c>
      <c r="U192">
        <v>0</v>
      </c>
      <c r="V192">
        <v>0</v>
      </c>
      <c r="W192">
        <v>0</v>
      </c>
      <c r="X192">
        <v>0</v>
      </c>
      <c r="Y192">
        <v>0</v>
      </c>
      <c r="Z192">
        <v>0</v>
      </c>
      <c r="AA192">
        <v>0</v>
      </c>
      <c r="AB192">
        <v>0</v>
      </c>
      <c r="AC192">
        <v>0</v>
      </c>
      <c r="AD192">
        <v>0</v>
      </c>
      <c r="AE192">
        <v>0</v>
      </c>
      <c r="AF192">
        <v>0</v>
      </c>
      <c r="AG192">
        <v>0</v>
      </c>
      <c r="AH192">
        <v>0</v>
      </c>
      <c r="AI192">
        <v>0</v>
      </c>
      <c r="AJ192">
        <v>0</v>
      </c>
      <c r="AK192">
        <v>0</v>
      </c>
      <c r="AL192">
        <v>0</v>
      </c>
      <c r="AM192">
        <v>27.88</v>
      </c>
      <c r="AN192">
        <v>0</v>
      </c>
      <c r="AO192">
        <v>0</v>
      </c>
      <c r="AP192">
        <v>0</v>
      </c>
      <c r="AQ192">
        <v>0</v>
      </c>
      <c r="AR192">
        <v>0</v>
      </c>
      <c r="AS192">
        <v>0</v>
      </c>
      <c r="AT192">
        <v>0</v>
      </c>
      <c r="AU192">
        <v>0</v>
      </c>
      <c r="AV192">
        <v>0</v>
      </c>
      <c r="AW192">
        <v>0</v>
      </c>
      <c r="AX192">
        <v>0</v>
      </c>
      <c r="AY192">
        <v>0</v>
      </c>
      <c r="AZ192">
        <v>0</v>
      </c>
      <c r="BA192">
        <v>0</v>
      </c>
      <c r="BB192">
        <v>0</v>
      </c>
      <c r="BC192">
        <v>0</v>
      </c>
      <c r="BD192">
        <v>0</v>
      </c>
      <c r="BE192">
        <v>0</v>
      </c>
      <c r="BF192">
        <v>0</v>
      </c>
      <c r="BG192">
        <v>0</v>
      </c>
      <c r="BH192">
        <v>1</v>
      </c>
      <c r="BI192">
        <v>2.7</v>
      </c>
      <c r="BJ192">
        <v>6.1</v>
      </c>
      <c r="BK192">
        <v>6.5</v>
      </c>
      <c r="BL192" s="4">
        <v>163.89</v>
      </c>
      <c r="BM192" s="4">
        <v>24.58</v>
      </c>
      <c r="BN192" s="4">
        <v>188.47</v>
      </c>
      <c r="BO192" s="4">
        <v>188.47</v>
      </c>
      <c r="BQ192" t="s">
        <v>147</v>
      </c>
      <c r="BR192" t="s">
        <v>84</v>
      </c>
      <c r="BS192" s="3">
        <v>43802</v>
      </c>
      <c r="BT192" s="5">
        <v>0.38194444444444442</v>
      </c>
      <c r="BU192" t="s">
        <v>555</v>
      </c>
      <c r="BV192" t="s">
        <v>86</v>
      </c>
      <c r="BY192">
        <v>30743.64</v>
      </c>
      <c r="CA192" t="s">
        <v>550</v>
      </c>
      <c r="CC192" t="s">
        <v>91</v>
      </c>
      <c r="CD192">
        <v>7560</v>
      </c>
      <c r="CE192" t="s">
        <v>556</v>
      </c>
      <c r="CF192" s="3">
        <v>43803</v>
      </c>
      <c r="CI192">
        <v>1</v>
      </c>
      <c r="CJ192">
        <v>1</v>
      </c>
      <c r="CK192">
        <v>21</v>
      </c>
      <c r="CL192" t="s">
        <v>89</v>
      </c>
    </row>
    <row r="193" spans="1:90">
      <c r="A193" t="s">
        <v>72</v>
      </c>
      <c r="B193" t="s">
        <v>73</v>
      </c>
      <c r="C193" t="s">
        <v>74</v>
      </c>
      <c r="E193" t="str">
        <f>"FES1162726293"</f>
        <v>FES1162726293</v>
      </c>
      <c r="F193" s="3">
        <v>43802</v>
      </c>
      <c r="G193">
        <v>202006</v>
      </c>
      <c r="H193" t="s">
        <v>75</v>
      </c>
      <c r="I193" t="s">
        <v>76</v>
      </c>
      <c r="J193" t="s">
        <v>77</v>
      </c>
      <c r="K193" t="s">
        <v>78</v>
      </c>
      <c r="L193" t="s">
        <v>90</v>
      </c>
      <c r="M193" t="s">
        <v>91</v>
      </c>
      <c r="N193" t="s">
        <v>219</v>
      </c>
      <c r="O193" t="s">
        <v>82</v>
      </c>
      <c r="P193" t="str">
        <f>"2170719800                    "</f>
        <v xml:space="preserve">2170719800                    </v>
      </c>
      <c r="Q193">
        <v>0</v>
      </c>
      <c r="R193">
        <v>0</v>
      </c>
      <c r="S193">
        <v>0</v>
      </c>
      <c r="T193">
        <v>0</v>
      </c>
      <c r="U193">
        <v>0</v>
      </c>
      <c r="V193">
        <v>0</v>
      </c>
      <c r="W193">
        <v>0</v>
      </c>
      <c r="X193">
        <v>0</v>
      </c>
      <c r="Y193">
        <v>0</v>
      </c>
      <c r="Z193">
        <v>0</v>
      </c>
      <c r="AA193">
        <v>0</v>
      </c>
      <c r="AB193">
        <v>0</v>
      </c>
      <c r="AC193">
        <v>0</v>
      </c>
      <c r="AD193">
        <v>0</v>
      </c>
      <c r="AE193">
        <v>0</v>
      </c>
      <c r="AF193">
        <v>0</v>
      </c>
      <c r="AG193">
        <v>0</v>
      </c>
      <c r="AH193">
        <v>0</v>
      </c>
      <c r="AI193">
        <v>0</v>
      </c>
      <c r="AJ193">
        <v>0</v>
      </c>
      <c r="AK193">
        <v>0</v>
      </c>
      <c r="AL193">
        <v>0</v>
      </c>
      <c r="AM193">
        <v>8.58</v>
      </c>
      <c r="AN193">
        <v>0</v>
      </c>
      <c r="AO193">
        <v>0</v>
      </c>
      <c r="AP193">
        <v>0</v>
      </c>
      <c r="AQ193">
        <v>0</v>
      </c>
      <c r="AR193">
        <v>0</v>
      </c>
      <c r="AS193">
        <v>0</v>
      </c>
      <c r="AT193">
        <v>0</v>
      </c>
      <c r="AU193">
        <v>0</v>
      </c>
      <c r="AV193">
        <v>0</v>
      </c>
      <c r="AW193">
        <v>0</v>
      </c>
      <c r="AX193">
        <v>0</v>
      </c>
      <c r="AY193">
        <v>0</v>
      </c>
      <c r="AZ193">
        <v>0</v>
      </c>
      <c r="BA193">
        <v>0</v>
      </c>
      <c r="BB193">
        <v>0</v>
      </c>
      <c r="BC193">
        <v>0</v>
      </c>
      <c r="BD193">
        <v>0</v>
      </c>
      <c r="BE193">
        <v>0</v>
      </c>
      <c r="BF193">
        <v>0</v>
      </c>
      <c r="BG193">
        <v>0</v>
      </c>
      <c r="BH193">
        <v>1</v>
      </c>
      <c r="BI193">
        <v>1</v>
      </c>
      <c r="BJ193">
        <v>0.2</v>
      </c>
      <c r="BK193">
        <v>1</v>
      </c>
      <c r="BL193" s="4">
        <v>50.45</v>
      </c>
      <c r="BM193" s="4">
        <v>7.57</v>
      </c>
      <c r="BN193" s="4">
        <v>58.02</v>
      </c>
      <c r="BO193" s="4">
        <v>58.02</v>
      </c>
      <c r="BQ193" t="s">
        <v>147</v>
      </c>
      <c r="BR193" t="s">
        <v>84</v>
      </c>
      <c r="BS193" s="3">
        <v>43803</v>
      </c>
      <c r="BT193" s="5">
        <v>0.34791666666666665</v>
      </c>
      <c r="BU193" t="s">
        <v>220</v>
      </c>
      <c r="BV193" t="s">
        <v>86</v>
      </c>
      <c r="BY193">
        <v>1200</v>
      </c>
      <c r="CA193" t="s">
        <v>112</v>
      </c>
      <c r="CC193" t="s">
        <v>91</v>
      </c>
      <c r="CD193">
        <v>7441</v>
      </c>
      <c r="CE193" t="s">
        <v>88</v>
      </c>
      <c r="CF193" s="3">
        <v>43804</v>
      </c>
      <c r="CI193">
        <v>1</v>
      </c>
      <c r="CJ193">
        <v>1</v>
      </c>
      <c r="CK193">
        <v>21</v>
      </c>
      <c r="CL193" t="s">
        <v>89</v>
      </c>
    </row>
    <row r="194" spans="1:90">
      <c r="A194" t="s">
        <v>72</v>
      </c>
      <c r="B194" t="s">
        <v>73</v>
      </c>
      <c r="C194" t="s">
        <v>74</v>
      </c>
      <c r="E194" t="str">
        <f>"FES1162726389"</f>
        <v>FES1162726389</v>
      </c>
      <c r="F194" s="3">
        <v>43802</v>
      </c>
      <c r="G194">
        <v>202006</v>
      </c>
      <c r="H194" t="s">
        <v>75</v>
      </c>
      <c r="I194" t="s">
        <v>76</v>
      </c>
      <c r="J194" t="s">
        <v>77</v>
      </c>
      <c r="K194" t="s">
        <v>78</v>
      </c>
      <c r="L194" t="s">
        <v>198</v>
      </c>
      <c r="M194" t="s">
        <v>199</v>
      </c>
      <c r="N194" t="s">
        <v>557</v>
      </c>
      <c r="O194" t="s">
        <v>82</v>
      </c>
      <c r="P194" t="str">
        <f>"2170718364                    "</f>
        <v xml:space="preserve">2170718364                    </v>
      </c>
      <c r="Q194">
        <v>0</v>
      </c>
      <c r="R194">
        <v>0</v>
      </c>
      <c r="S194">
        <v>0</v>
      </c>
      <c r="T194">
        <v>0</v>
      </c>
      <c r="U194">
        <v>0</v>
      </c>
      <c r="V194">
        <v>0</v>
      </c>
      <c r="W194">
        <v>0</v>
      </c>
      <c r="X194">
        <v>0</v>
      </c>
      <c r="Y194">
        <v>0</v>
      </c>
      <c r="Z194">
        <v>0</v>
      </c>
      <c r="AA194">
        <v>0</v>
      </c>
      <c r="AB194">
        <v>0</v>
      </c>
      <c r="AC194">
        <v>0</v>
      </c>
      <c r="AD194">
        <v>0</v>
      </c>
      <c r="AE194">
        <v>0</v>
      </c>
      <c r="AF194">
        <v>0</v>
      </c>
      <c r="AG194">
        <v>0</v>
      </c>
      <c r="AH194">
        <v>0</v>
      </c>
      <c r="AI194">
        <v>0</v>
      </c>
      <c r="AJ194">
        <v>0</v>
      </c>
      <c r="AK194">
        <v>0</v>
      </c>
      <c r="AL194">
        <v>0</v>
      </c>
      <c r="AM194">
        <v>8.58</v>
      </c>
      <c r="AN194">
        <v>0</v>
      </c>
      <c r="AO194">
        <v>0</v>
      </c>
      <c r="AP194">
        <v>0</v>
      </c>
      <c r="AQ194">
        <v>0</v>
      </c>
      <c r="AR194">
        <v>0</v>
      </c>
      <c r="AS194">
        <v>0</v>
      </c>
      <c r="AT194">
        <v>0</v>
      </c>
      <c r="AU194">
        <v>0</v>
      </c>
      <c r="AV194">
        <v>0</v>
      </c>
      <c r="AW194">
        <v>0</v>
      </c>
      <c r="AX194">
        <v>0</v>
      </c>
      <c r="AY194">
        <v>0</v>
      </c>
      <c r="AZ194">
        <v>0</v>
      </c>
      <c r="BA194">
        <v>0</v>
      </c>
      <c r="BB194">
        <v>0</v>
      </c>
      <c r="BC194">
        <v>0</v>
      </c>
      <c r="BD194">
        <v>0</v>
      </c>
      <c r="BE194">
        <v>0</v>
      </c>
      <c r="BF194">
        <v>0</v>
      </c>
      <c r="BG194">
        <v>0</v>
      </c>
      <c r="BH194">
        <v>1</v>
      </c>
      <c r="BI194">
        <v>1</v>
      </c>
      <c r="BJ194">
        <v>1</v>
      </c>
      <c r="BK194">
        <v>1</v>
      </c>
      <c r="BL194" s="4">
        <v>50.45</v>
      </c>
      <c r="BM194" s="4">
        <v>7.57</v>
      </c>
      <c r="BN194" s="4">
        <v>58.02</v>
      </c>
      <c r="BO194" s="4">
        <v>58.02</v>
      </c>
      <c r="BQ194" t="s">
        <v>93</v>
      </c>
      <c r="BR194" t="s">
        <v>84</v>
      </c>
      <c r="BS194" s="3">
        <v>43803</v>
      </c>
      <c r="BT194" s="5">
        <v>0.33749999999999997</v>
      </c>
      <c r="BU194" t="s">
        <v>558</v>
      </c>
      <c r="BV194" t="s">
        <v>86</v>
      </c>
      <c r="BY194">
        <v>5248.28</v>
      </c>
      <c r="CA194" t="s">
        <v>212</v>
      </c>
      <c r="CC194" t="s">
        <v>199</v>
      </c>
      <c r="CD194">
        <v>4052</v>
      </c>
      <c r="CE194" t="s">
        <v>116</v>
      </c>
      <c r="CF194" s="3">
        <v>43804</v>
      </c>
      <c r="CI194">
        <v>1</v>
      </c>
      <c r="CJ194">
        <v>1</v>
      </c>
      <c r="CK194">
        <v>21</v>
      </c>
      <c r="CL194" t="s">
        <v>89</v>
      </c>
    </row>
    <row r="195" spans="1:90">
      <c r="A195" t="s">
        <v>72</v>
      </c>
      <c r="B195" t="s">
        <v>73</v>
      </c>
      <c r="C195" t="s">
        <v>74</v>
      </c>
      <c r="E195" t="str">
        <f>"FES1162726198"</f>
        <v>FES1162726198</v>
      </c>
      <c r="F195" s="3">
        <v>43801</v>
      </c>
      <c r="G195">
        <v>202006</v>
      </c>
      <c r="H195" t="s">
        <v>75</v>
      </c>
      <c r="I195" t="s">
        <v>76</v>
      </c>
      <c r="J195" t="s">
        <v>77</v>
      </c>
      <c r="K195" t="s">
        <v>78</v>
      </c>
      <c r="L195" t="s">
        <v>90</v>
      </c>
      <c r="M195" t="s">
        <v>91</v>
      </c>
      <c r="N195" t="s">
        <v>559</v>
      </c>
      <c r="O195" t="s">
        <v>82</v>
      </c>
      <c r="P195" t="str">
        <f>"2170719707                    "</f>
        <v xml:space="preserve">2170719707                    </v>
      </c>
      <c r="Q195">
        <v>0</v>
      </c>
      <c r="R195">
        <v>0</v>
      </c>
      <c r="S195">
        <v>0</v>
      </c>
      <c r="T195">
        <v>0</v>
      </c>
      <c r="U195">
        <v>0</v>
      </c>
      <c r="V195">
        <v>0</v>
      </c>
      <c r="W195">
        <v>0</v>
      </c>
      <c r="X195">
        <v>0</v>
      </c>
      <c r="Y195">
        <v>0</v>
      </c>
      <c r="Z195">
        <v>0</v>
      </c>
      <c r="AA195">
        <v>0</v>
      </c>
      <c r="AB195">
        <v>0</v>
      </c>
      <c r="AC195">
        <v>0</v>
      </c>
      <c r="AD195">
        <v>0</v>
      </c>
      <c r="AE195">
        <v>0</v>
      </c>
      <c r="AF195">
        <v>0</v>
      </c>
      <c r="AG195">
        <v>0</v>
      </c>
      <c r="AH195">
        <v>0</v>
      </c>
      <c r="AI195">
        <v>0</v>
      </c>
      <c r="AJ195">
        <v>0</v>
      </c>
      <c r="AK195">
        <v>0</v>
      </c>
      <c r="AL195">
        <v>0</v>
      </c>
      <c r="AM195">
        <v>8.58</v>
      </c>
      <c r="AN195">
        <v>0</v>
      </c>
      <c r="AO195">
        <v>0</v>
      </c>
      <c r="AP195">
        <v>0</v>
      </c>
      <c r="AQ195">
        <v>0</v>
      </c>
      <c r="AR195">
        <v>0</v>
      </c>
      <c r="AS195">
        <v>0</v>
      </c>
      <c r="AT195">
        <v>0</v>
      </c>
      <c r="AU195">
        <v>0</v>
      </c>
      <c r="AV195">
        <v>0</v>
      </c>
      <c r="AW195">
        <v>0</v>
      </c>
      <c r="AX195">
        <v>0</v>
      </c>
      <c r="AY195">
        <v>0</v>
      </c>
      <c r="AZ195">
        <v>0</v>
      </c>
      <c r="BA195">
        <v>0</v>
      </c>
      <c r="BB195">
        <v>0</v>
      </c>
      <c r="BC195">
        <v>0</v>
      </c>
      <c r="BD195">
        <v>0</v>
      </c>
      <c r="BE195">
        <v>0</v>
      </c>
      <c r="BF195">
        <v>0</v>
      </c>
      <c r="BG195">
        <v>0</v>
      </c>
      <c r="BH195">
        <v>1</v>
      </c>
      <c r="BI195">
        <v>1</v>
      </c>
      <c r="BJ195">
        <v>0.2</v>
      </c>
      <c r="BK195">
        <v>1</v>
      </c>
      <c r="BL195" s="4">
        <v>50.45</v>
      </c>
      <c r="BM195" s="4">
        <v>7.57</v>
      </c>
      <c r="BN195" s="4">
        <v>58.02</v>
      </c>
      <c r="BO195" s="4">
        <v>58.02</v>
      </c>
      <c r="BR195" t="s">
        <v>84</v>
      </c>
      <c r="BS195" s="3">
        <v>43802</v>
      </c>
      <c r="BT195" s="5">
        <v>0.3347222222222222</v>
      </c>
      <c r="BU195" t="s">
        <v>560</v>
      </c>
      <c r="BV195" t="s">
        <v>86</v>
      </c>
      <c r="BY195">
        <v>1200</v>
      </c>
      <c r="BZ195" t="s">
        <v>27</v>
      </c>
      <c r="CA195" t="s">
        <v>440</v>
      </c>
      <c r="CC195" t="s">
        <v>91</v>
      </c>
      <c r="CD195">
        <v>7493</v>
      </c>
      <c r="CE195" t="s">
        <v>88</v>
      </c>
      <c r="CF195" s="3">
        <v>43803</v>
      </c>
      <c r="CI195">
        <v>1</v>
      </c>
      <c r="CJ195">
        <v>1</v>
      </c>
      <c r="CK195">
        <v>21</v>
      </c>
      <c r="CL195" t="s">
        <v>89</v>
      </c>
    </row>
    <row r="196" spans="1:90">
      <c r="A196" t="s">
        <v>72</v>
      </c>
      <c r="B196" t="s">
        <v>73</v>
      </c>
      <c r="C196" t="s">
        <v>74</v>
      </c>
      <c r="E196" t="str">
        <f>"FES1162726343"</f>
        <v>FES1162726343</v>
      </c>
      <c r="F196" s="3">
        <v>43802</v>
      </c>
      <c r="G196">
        <v>202006</v>
      </c>
      <c r="H196" t="s">
        <v>75</v>
      </c>
      <c r="I196" t="s">
        <v>76</v>
      </c>
      <c r="J196" t="s">
        <v>77</v>
      </c>
      <c r="K196" t="s">
        <v>78</v>
      </c>
      <c r="L196" t="s">
        <v>90</v>
      </c>
      <c r="M196" t="s">
        <v>91</v>
      </c>
      <c r="N196" t="s">
        <v>92</v>
      </c>
      <c r="O196" t="s">
        <v>82</v>
      </c>
      <c r="P196" t="str">
        <f>"2170719839                    "</f>
        <v xml:space="preserve">2170719839                    </v>
      </c>
      <c r="Q196">
        <v>0</v>
      </c>
      <c r="R196">
        <v>0</v>
      </c>
      <c r="S196">
        <v>0</v>
      </c>
      <c r="T196">
        <v>0</v>
      </c>
      <c r="U196">
        <v>0</v>
      </c>
      <c r="V196">
        <v>0</v>
      </c>
      <c r="W196">
        <v>0</v>
      </c>
      <c r="X196">
        <v>0</v>
      </c>
      <c r="Y196">
        <v>0</v>
      </c>
      <c r="Z196">
        <v>0</v>
      </c>
      <c r="AA196">
        <v>0</v>
      </c>
      <c r="AB196">
        <v>0</v>
      </c>
      <c r="AC196">
        <v>0</v>
      </c>
      <c r="AD196">
        <v>0</v>
      </c>
      <c r="AE196">
        <v>0</v>
      </c>
      <c r="AF196">
        <v>0</v>
      </c>
      <c r="AG196">
        <v>0</v>
      </c>
      <c r="AH196">
        <v>0</v>
      </c>
      <c r="AI196">
        <v>0</v>
      </c>
      <c r="AJ196">
        <v>0</v>
      </c>
      <c r="AK196">
        <v>0</v>
      </c>
      <c r="AL196">
        <v>0</v>
      </c>
      <c r="AM196">
        <v>8.58</v>
      </c>
      <c r="AN196">
        <v>0</v>
      </c>
      <c r="AO196">
        <v>0</v>
      </c>
      <c r="AP196">
        <v>0</v>
      </c>
      <c r="AQ196">
        <v>0</v>
      </c>
      <c r="AR196">
        <v>0</v>
      </c>
      <c r="AS196">
        <v>0</v>
      </c>
      <c r="AT196">
        <v>0</v>
      </c>
      <c r="AU196">
        <v>0</v>
      </c>
      <c r="AV196">
        <v>0</v>
      </c>
      <c r="AW196">
        <v>0</v>
      </c>
      <c r="AX196">
        <v>0</v>
      </c>
      <c r="AY196">
        <v>0</v>
      </c>
      <c r="AZ196">
        <v>0</v>
      </c>
      <c r="BA196">
        <v>0</v>
      </c>
      <c r="BB196">
        <v>0</v>
      </c>
      <c r="BC196">
        <v>0</v>
      </c>
      <c r="BD196">
        <v>0</v>
      </c>
      <c r="BE196">
        <v>0</v>
      </c>
      <c r="BF196">
        <v>0</v>
      </c>
      <c r="BG196">
        <v>0</v>
      </c>
      <c r="BH196">
        <v>1</v>
      </c>
      <c r="BI196">
        <v>1.1000000000000001</v>
      </c>
      <c r="BJ196">
        <v>1</v>
      </c>
      <c r="BK196">
        <v>1.5</v>
      </c>
      <c r="BL196" s="4">
        <v>50.45</v>
      </c>
      <c r="BM196" s="4">
        <v>7.57</v>
      </c>
      <c r="BN196" s="4">
        <v>58.02</v>
      </c>
      <c r="BO196" s="4">
        <v>58.02</v>
      </c>
      <c r="BQ196" t="s">
        <v>93</v>
      </c>
      <c r="BR196" t="s">
        <v>84</v>
      </c>
      <c r="BS196" s="3">
        <v>43803</v>
      </c>
      <c r="BT196" s="5">
        <v>0.37083333333333335</v>
      </c>
      <c r="BU196" t="s">
        <v>94</v>
      </c>
      <c r="BV196" t="s">
        <v>86</v>
      </c>
      <c r="BY196">
        <v>5027.07</v>
      </c>
      <c r="CA196" t="s">
        <v>95</v>
      </c>
      <c r="CC196" t="s">
        <v>91</v>
      </c>
      <c r="CD196">
        <v>7764</v>
      </c>
      <c r="CE196" t="s">
        <v>96</v>
      </c>
      <c r="CF196" s="3">
        <v>43804</v>
      </c>
      <c r="CI196">
        <v>1</v>
      </c>
      <c r="CJ196">
        <v>1</v>
      </c>
      <c r="CK196">
        <v>21</v>
      </c>
      <c r="CL196" t="s">
        <v>89</v>
      </c>
    </row>
    <row r="197" spans="1:90">
      <c r="A197" t="s">
        <v>72</v>
      </c>
      <c r="B197" t="s">
        <v>73</v>
      </c>
      <c r="C197" t="s">
        <v>74</v>
      </c>
      <c r="E197" t="str">
        <f>"FES1162726196"</f>
        <v>FES1162726196</v>
      </c>
      <c r="F197" s="3">
        <v>43801</v>
      </c>
      <c r="G197">
        <v>202006</v>
      </c>
      <c r="H197" t="s">
        <v>75</v>
      </c>
      <c r="I197" t="s">
        <v>76</v>
      </c>
      <c r="J197" t="s">
        <v>77</v>
      </c>
      <c r="K197" t="s">
        <v>78</v>
      </c>
      <c r="L197" t="s">
        <v>90</v>
      </c>
      <c r="M197" t="s">
        <v>91</v>
      </c>
      <c r="N197" t="s">
        <v>561</v>
      </c>
      <c r="O197" t="s">
        <v>82</v>
      </c>
      <c r="P197" t="str">
        <f>"2170719705                    "</f>
        <v xml:space="preserve">2170719705                    </v>
      </c>
      <c r="Q197">
        <v>0</v>
      </c>
      <c r="R197">
        <v>0</v>
      </c>
      <c r="S197">
        <v>0</v>
      </c>
      <c r="T197">
        <v>0</v>
      </c>
      <c r="U197">
        <v>0</v>
      </c>
      <c r="V197">
        <v>0</v>
      </c>
      <c r="W197">
        <v>0</v>
      </c>
      <c r="X197">
        <v>0</v>
      </c>
      <c r="Y197">
        <v>0</v>
      </c>
      <c r="Z197">
        <v>0</v>
      </c>
      <c r="AA197">
        <v>0</v>
      </c>
      <c r="AB197">
        <v>0</v>
      </c>
      <c r="AC197">
        <v>0</v>
      </c>
      <c r="AD197">
        <v>0</v>
      </c>
      <c r="AE197">
        <v>0</v>
      </c>
      <c r="AF197">
        <v>0</v>
      </c>
      <c r="AG197">
        <v>0</v>
      </c>
      <c r="AH197">
        <v>0</v>
      </c>
      <c r="AI197">
        <v>0</v>
      </c>
      <c r="AJ197">
        <v>0</v>
      </c>
      <c r="AK197">
        <v>0</v>
      </c>
      <c r="AL197">
        <v>0</v>
      </c>
      <c r="AM197">
        <v>8.58</v>
      </c>
      <c r="AN197">
        <v>0</v>
      </c>
      <c r="AO197">
        <v>0</v>
      </c>
      <c r="AP197">
        <v>0</v>
      </c>
      <c r="AQ197">
        <v>0</v>
      </c>
      <c r="AR197">
        <v>0</v>
      </c>
      <c r="AS197">
        <v>0</v>
      </c>
      <c r="AT197">
        <v>0</v>
      </c>
      <c r="AU197">
        <v>0</v>
      </c>
      <c r="AV197">
        <v>0</v>
      </c>
      <c r="AW197">
        <v>0</v>
      </c>
      <c r="AX197">
        <v>0</v>
      </c>
      <c r="AY197">
        <v>0</v>
      </c>
      <c r="AZ197">
        <v>0</v>
      </c>
      <c r="BA197">
        <v>0</v>
      </c>
      <c r="BB197">
        <v>0</v>
      </c>
      <c r="BC197">
        <v>0</v>
      </c>
      <c r="BD197">
        <v>0</v>
      </c>
      <c r="BE197">
        <v>0</v>
      </c>
      <c r="BF197">
        <v>0</v>
      </c>
      <c r="BG197">
        <v>0</v>
      </c>
      <c r="BH197">
        <v>1</v>
      </c>
      <c r="BI197">
        <v>1</v>
      </c>
      <c r="BJ197">
        <v>0.2</v>
      </c>
      <c r="BK197">
        <v>1</v>
      </c>
      <c r="BL197" s="4">
        <v>50.45</v>
      </c>
      <c r="BM197" s="4">
        <v>7.57</v>
      </c>
      <c r="BN197" s="4">
        <v>58.02</v>
      </c>
      <c r="BO197" s="4">
        <v>58.02</v>
      </c>
      <c r="BQ197" t="s">
        <v>172</v>
      </c>
      <c r="BR197" t="s">
        <v>84</v>
      </c>
      <c r="BS197" s="3">
        <v>43802</v>
      </c>
      <c r="BT197" s="5">
        <v>0.35902777777777778</v>
      </c>
      <c r="BU197" t="s">
        <v>562</v>
      </c>
      <c r="BV197" t="s">
        <v>86</v>
      </c>
      <c r="BY197">
        <v>1200</v>
      </c>
      <c r="BZ197" t="s">
        <v>27</v>
      </c>
      <c r="CA197" t="s">
        <v>563</v>
      </c>
      <c r="CC197" t="s">
        <v>91</v>
      </c>
      <c r="CD197">
        <v>7460</v>
      </c>
      <c r="CE197" t="s">
        <v>88</v>
      </c>
      <c r="CF197" s="3">
        <v>43803</v>
      </c>
      <c r="CI197">
        <v>1</v>
      </c>
      <c r="CJ197">
        <v>1</v>
      </c>
      <c r="CK197">
        <v>21</v>
      </c>
      <c r="CL197" t="s">
        <v>89</v>
      </c>
    </row>
    <row r="198" spans="1:90">
      <c r="A198" t="s">
        <v>72</v>
      </c>
      <c r="B198" t="s">
        <v>73</v>
      </c>
      <c r="C198" t="s">
        <v>74</v>
      </c>
      <c r="E198" t="str">
        <f>"FES1162726454"</f>
        <v>FES1162726454</v>
      </c>
      <c r="F198" s="3">
        <v>43802</v>
      </c>
      <c r="G198">
        <v>202006</v>
      </c>
      <c r="H198" t="s">
        <v>75</v>
      </c>
      <c r="I198" t="s">
        <v>76</v>
      </c>
      <c r="J198" t="s">
        <v>77</v>
      </c>
      <c r="K198" t="s">
        <v>78</v>
      </c>
      <c r="L198" t="s">
        <v>564</v>
      </c>
      <c r="M198" t="s">
        <v>565</v>
      </c>
      <c r="N198" t="s">
        <v>566</v>
      </c>
      <c r="O198" t="s">
        <v>82</v>
      </c>
      <c r="P198" t="str">
        <f>"2170719880                    "</f>
        <v xml:space="preserve">2170719880                    </v>
      </c>
      <c r="Q198">
        <v>0</v>
      </c>
      <c r="R198">
        <v>0</v>
      </c>
      <c r="S198">
        <v>0</v>
      </c>
      <c r="T198">
        <v>0</v>
      </c>
      <c r="U198">
        <v>0</v>
      </c>
      <c r="V198">
        <v>0</v>
      </c>
      <c r="W198">
        <v>0</v>
      </c>
      <c r="X198">
        <v>0</v>
      </c>
      <c r="Y198">
        <v>0</v>
      </c>
      <c r="Z198">
        <v>0</v>
      </c>
      <c r="AA198">
        <v>0</v>
      </c>
      <c r="AB198">
        <v>0</v>
      </c>
      <c r="AC198">
        <v>0</v>
      </c>
      <c r="AD198">
        <v>0</v>
      </c>
      <c r="AE198">
        <v>0</v>
      </c>
      <c r="AF198">
        <v>0</v>
      </c>
      <c r="AG198">
        <v>0</v>
      </c>
      <c r="AH198">
        <v>0</v>
      </c>
      <c r="AI198">
        <v>0</v>
      </c>
      <c r="AJ198">
        <v>0</v>
      </c>
      <c r="AK198">
        <v>0</v>
      </c>
      <c r="AL198">
        <v>0</v>
      </c>
      <c r="AM198">
        <v>27.9</v>
      </c>
      <c r="AN198">
        <v>0</v>
      </c>
      <c r="AO198">
        <v>0</v>
      </c>
      <c r="AP198">
        <v>0</v>
      </c>
      <c r="AQ198">
        <v>0</v>
      </c>
      <c r="AR198">
        <v>0</v>
      </c>
      <c r="AS198">
        <v>0</v>
      </c>
      <c r="AT198">
        <v>0</v>
      </c>
      <c r="AU198">
        <v>0</v>
      </c>
      <c r="AV198">
        <v>0</v>
      </c>
      <c r="AW198">
        <v>0</v>
      </c>
      <c r="AX198">
        <v>0</v>
      </c>
      <c r="AY198">
        <v>0</v>
      </c>
      <c r="AZ198">
        <v>0</v>
      </c>
      <c r="BA198">
        <v>0</v>
      </c>
      <c r="BB198">
        <v>0</v>
      </c>
      <c r="BC198">
        <v>0</v>
      </c>
      <c r="BD198">
        <v>0</v>
      </c>
      <c r="BE198">
        <v>0</v>
      </c>
      <c r="BF198">
        <v>0</v>
      </c>
      <c r="BG198">
        <v>0</v>
      </c>
      <c r="BH198">
        <v>1</v>
      </c>
      <c r="BI198">
        <v>2</v>
      </c>
      <c r="BJ198">
        <v>3.1</v>
      </c>
      <c r="BK198">
        <v>3.5</v>
      </c>
      <c r="BL198" s="4">
        <v>163.98</v>
      </c>
      <c r="BM198" s="4">
        <v>24.6</v>
      </c>
      <c r="BN198" s="4">
        <v>188.58</v>
      </c>
      <c r="BO198" s="4">
        <v>188.58</v>
      </c>
      <c r="BQ198" t="s">
        <v>135</v>
      </c>
      <c r="BR198" t="s">
        <v>84</v>
      </c>
      <c r="BS198" s="3">
        <v>43803</v>
      </c>
      <c r="BT198" s="5">
        <v>0.7895833333333333</v>
      </c>
      <c r="BU198" t="s">
        <v>567</v>
      </c>
      <c r="BV198" t="s">
        <v>89</v>
      </c>
      <c r="BW198" t="s">
        <v>149</v>
      </c>
      <c r="BX198" t="s">
        <v>568</v>
      </c>
      <c r="BY198">
        <v>15414.1</v>
      </c>
      <c r="CA198" t="s">
        <v>569</v>
      </c>
      <c r="CC198" t="s">
        <v>565</v>
      </c>
      <c r="CD198">
        <v>4276</v>
      </c>
      <c r="CE198" t="s">
        <v>116</v>
      </c>
      <c r="CF198" s="3">
        <v>43805</v>
      </c>
      <c r="CI198">
        <v>1</v>
      </c>
      <c r="CJ198">
        <v>1</v>
      </c>
      <c r="CK198">
        <v>23</v>
      </c>
      <c r="CL198" t="s">
        <v>89</v>
      </c>
    </row>
    <row r="199" spans="1:90">
      <c r="A199" t="s">
        <v>72</v>
      </c>
      <c r="B199" t="s">
        <v>73</v>
      </c>
      <c r="C199" t="s">
        <v>74</v>
      </c>
      <c r="E199" t="str">
        <f>"FES1162726172"</f>
        <v>FES1162726172</v>
      </c>
      <c r="F199" s="3">
        <v>43801</v>
      </c>
      <c r="G199">
        <v>202006</v>
      </c>
      <c r="H199" t="s">
        <v>75</v>
      </c>
      <c r="I199" t="s">
        <v>76</v>
      </c>
      <c r="J199" t="s">
        <v>77</v>
      </c>
      <c r="K199" t="s">
        <v>78</v>
      </c>
      <c r="L199" t="s">
        <v>308</v>
      </c>
      <c r="M199" t="s">
        <v>308</v>
      </c>
      <c r="N199" t="s">
        <v>309</v>
      </c>
      <c r="O199" t="s">
        <v>82</v>
      </c>
      <c r="P199" t="str">
        <f>"2170726172                    "</f>
        <v xml:space="preserve">2170726172                    </v>
      </c>
      <c r="Q199">
        <v>0</v>
      </c>
      <c r="R199">
        <v>0</v>
      </c>
      <c r="S199">
        <v>0</v>
      </c>
      <c r="T199">
        <v>0</v>
      </c>
      <c r="U199">
        <v>0</v>
      </c>
      <c r="V199">
        <v>0</v>
      </c>
      <c r="W199">
        <v>0</v>
      </c>
      <c r="X199">
        <v>0</v>
      </c>
      <c r="Y199">
        <v>0</v>
      </c>
      <c r="Z199">
        <v>0</v>
      </c>
      <c r="AA199">
        <v>0</v>
      </c>
      <c r="AB199">
        <v>0</v>
      </c>
      <c r="AC199">
        <v>0</v>
      </c>
      <c r="AD199">
        <v>0</v>
      </c>
      <c r="AE199">
        <v>0</v>
      </c>
      <c r="AF199">
        <v>0</v>
      </c>
      <c r="AG199">
        <v>0</v>
      </c>
      <c r="AH199">
        <v>0</v>
      </c>
      <c r="AI199">
        <v>0</v>
      </c>
      <c r="AJ199">
        <v>0</v>
      </c>
      <c r="AK199">
        <v>0</v>
      </c>
      <c r="AL199">
        <v>0</v>
      </c>
      <c r="AM199">
        <v>16.63</v>
      </c>
      <c r="AN199">
        <v>0</v>
      </c>
      <c r="AO199">
        <v>0</v>
      </c>
      <c r="AP199">
        <v>0</v>
      </c>
      <c r="AQ199">
        <v>0</v>
      </c>
      <c r="AR199">
        <v>0</v>
      </c>
      <c r="AS199">
        <v>0</v>
      </c>
      <c r="AT199">
        <v>0</v>
      </c>
      <c r="AU199">
        <v>0</v>
      </c>
      <c r="AV199">
        <v>0</v>
      </c>
      <c r="AW199">
        <v>0</v>
      </c>
      <c r="AX199">
        <v>0</v>
      </c>
      <c r="AY199">
        <v>0</v>
      </c>
      <c r="AZ199">
        <v>0</v>
      </c>
      <c r="BA199">
        <v>0</v>
      </c>
      <c r="BB199">
        <v>0</v>
      </c>
      <c r="BC199">
        <v>0</v>
      </c>
      <c r="BD199">
        <v>0</v>
      </c>
      <c r="BE199">
        <v>0</v>
      </c>
      <c r="BF199">
        <v>0</v>
      </c>
      <c r="BG199">
        <v>0</v>
      </c>
      <c r="BH199">
        <v>1</v>
      </c>
      <c r="BI199">
        <v>1</v>
      </c>
      <c r="BJ199">
        <v>0.2</v>
      </c>
      <c r="BK199">
        <v>1</v>
      </c>
      <c r="BL199" s="4">
        <v>97.75</v>
      </c>
      <c r="BM199" s="4">
        <v>14.66</v>
      </c>
      <c r="BN199" s="4">
        <v>112.41</v>
      </c>
      <c r="BO199" s="4">
        <v>112.41</v>
      </c>
      <c r="BQ199" t="s">
        <v>93</v>
      </c>
      <c r="BR199" t="s">
        <v>84</v>
      </c>
      <c r="BS199" s="3">
        <v>43802</v>
      </c>
      <c r="BT199" s="5">
        <v>0.4375</v>
      </c>
      <c r="BU199" t="s">
        <v>310</v>
      </c>
      <c r="BV199" t="s">
        <v>86</v>
      </c>
      <c r="BY199">
        <v>1200</v>
      </c>
      <c r="BZ199" t="s">
        <v>27</v>
      </c>
      <c r="CA199" t="s">
        <v>311</v>
      </c>
      <c r="CC199" t="s">
        <v>308</v>
      </c>
      <c r="CD199">
        <v>7646</v>
      </c>
      <c r="CE199" t="s">
        <v>88</v>
      </c>
      <c r="CF199" s="3">
        <v>43803</v>
      </c>
      <c r="CI199">
        <v>1</v>
      </c>
      <c r="CJ199">
        <v>1</v>
      </c>
      <c r="CK199">
        <v>23</v>
      </c>
      <c r="CL199" t="s">
        <v>89</v>
      </c>
    </row>
    <row r="200" spans="1:90">
      <c r="A200" t="s">
        <v>72</v>
      </c>
      <c r="B200" t="s">
        <v>73</v>
      </c>
      <c r="C200" t="s">
        <v>74</v>
      </c>
      <c r="E200" t="str">
        <f>"FES1162726500"</f>
        <v>FES1162726500</v>
      </c>
      <c r="F200" s="3">
        <v>43802</v>
      </c>
      <c r="G200">
        <v>202006</v>
      </c>
      <c r="H200" t="s">
        <v>75</v>
      </c>
      <c r="I200" t="s">
        <v>76</v>
      </c>
      <c r="J200" t="s">
        <v>77</v>
      </c>
      <c r="K200" t="s">
        <v>78</v>
      </c>
      <c r="L200" t="s">
        <v>169</v>
      </c>
      <c r="M200" t="s">
        <v>170</v>
      </c>
      <c r="N200" t="s">
        <v>570</v>
      </c>
      <c r="O200" t="s">
        <v>82</v>
      </c>
      <c r="P200" t="str">
        <f>"2170719938                    "</f>
        <v xml:space="preserve">2170719938                    </v>
      </c>
      <c r="Q200">
        <v>0</v>
      </c>
      <c r="R200">
        <v>0</v>
      </c>
      <c r="S200">
        <v>0</v>
      </c>
      <c r="T200">
        <v>0</v>
      </c>
      <c r="U200">
        <v>0</v>
      </c>
      <c r="V200">
        <v>0</v>
      </c>
      <c r="W200">
        <v>0</v>
      </c>
      <c r="X200">
        <v>0</v>
      </c>
      <c r="Y200">
        <v>0</v>
      </c>
      <c r="Z200">
        <v>0</v>
      </c>
      <c r="AA200">
        <v>0</v>
      </c>
      <c r="AB200">
        <v>0</v>
      </c>
      <c r="AC200">
        <v>0</v>
      </c>
      <c r="AD200">
        <v>0</v>
      </c>
      <c r="AE200">
        <v>0</v>
      </c>
      <c r="AF200">
        <v>0</v>
      </c>
      <c r="AG200">
        <v>0</v>
      </c>
      <c r="AH200">
        <v>0</v>
      </c>
      <c r="AI200">
        <v>0</v>
      </c>
      <c r="AJ200">
        <v>0</v>
      </c>
      <c r="AK200">
        <v>0</v>
      </c>
      <c r="AL200">
        <v>0</v>
      </c>
      <c r="AM200">
        <v>6.71</v>
      </c>
      <c r="AN200">
        <v>0</v>
      </c>
      <c r="AO200">
        <v>0</v>
      </c>
      <c r="AP200">
        <v>0</v>
      </c>
      <c r="AQ200">
        <v>0</v>
      </c>
      <c r="AR200">
        <v>0</v>
      </c>
      <c r="AS200">
        <v>0</v>
      </c>
      <c r="AT200">
        <v>0</v>
      </c>
      <c r="AU200">
        <v>0</v>
      </c>
      <c r="AV200">
        <v>0</v>
      </c>
      <c r="AW200">
        <v>0</v>
      </c>
      <c r="AX200">
        <v>0</v>
      </c>
      <c r="AY200">
        <v>0</v>
      </c>
      <c r="AZ200">
        <v>0</v>
      </c>
      <c r="BA200">
        <v>0</v>
      </c>
      <c r="BB200">
        <v>0</v>
      </c>
      <c r="BC200">
        <v>0</v>
      </c>
      <c r="BD200">
        <v>0</v>
      </c>
      <c r="BE200">
        <v>0</v>
      </c>
      <c r="BF200">
        <v>0</v>
      </c>
      <c r="BG200">
        <v>0</v>
      </c>
      <c r="BH200">
        <v>1</v>
      </c>
      <c r="BI200">
        <v>2</v>
      </c>
      <c r="BJ200">
        <v>0.2</v>
      </c>
      <c r="BK200">
        <v>2</v>
      </c>
      <c r="BL200" s="4">
        <v>39.42</v>
      </c>
      <c r="BM200" s="4">
        <v>5.91</v>
      </c>
      <c r="BN200" s="4">
        <v>45.33</v>
      </c>
      <c r="BO200" s="4">
        <v>45.33</v>
      </c>
      <c r="BR200" t="s">
        <v>84</v>
      </c>
      <c r="BS200" s="3">
        <v>43803</v>
      </c>
      <c r="BT200" s="5">
        <v>0.27430555555555552</v>
      </c>
      <c r="BU200" t="s">
        <v>571</v>
      </c>
      <c r="BV200" t="s">
        <v>86</v>
      </c>
      <c r="BY200">
        <v>1200</v>
      </c>
      <c r="CC200" t="s">
        <v>170</v>
      </c>
      <c r="CD200">
        <v>1460</v>
      </c>
      <c r="CE200" t="s">
        <v>88</v>
      </c>
      <c r="CF200" s="3">
        <v>43804</v>
      </c>
      <c r="CI200">
        <v>1</v>
      </c>
      <c r="CJ200">
        <v>1</v>
      </c>
      <c r="CK200">
        <v>22</v>
      </c>
      <c r="CL200" t="s">
        <v>89</v>
      </c>
    </row>
    <row r="201" spans="1:90">
      <c r="A201" t="s">
        <v>72</v>
      </c>
      <c r="B201" t="s">
        <v>73</v>
      </c>
      <c r="C201" t="s">
        <v>74</v>
      </c>
      <c r="E201" t="str">
        <f>"FES1162726163"</f>
        <v>FES1162726163</v>
      </c>
      <c r="F201" s="3">
        <v>43801</v>
      </c>
      <c r="G201">
        <v>202006</v>
      </c>
      <c r="H201" t="s">
        <v>75</v>
      </c>
      <c r="I201" t="s">
        <v>76</v>
      </c>
      <c r="J201" t="s">
        <v>77</v>
      </c>
      <c r="K201" t="s">
        <v>78</v>
      </c>
      <c r="L201" t="s">
        <v>186</v>
      </c>
      <c r="M201" t="s">
        <v>187</v>
      </c>
      <c r="N201" t="s">
        <v>572</v>
      </c>
      <c r="O201" t="s">
        <v>82</v>
      </c>
      <c r="P201" t="str">
        <f>"2170718924                    "</f>
        <v xml:space="preserve">2170718924                    </v>
      </c>
      <c r="Q201">
        <v>0</v>
      </c>
      <c r="R201">
        <v>0</v>
      </c>
      <c r="S201">
        <v>0</v>
      </c>
      <c r="T201">
        <v>0</v>
      </c>
      <c r="U201">
        <v>0</v>
      </c>
      <c r="V201">
        <v>0</v>
      </c>
      <c r="W201">
        <v>0</v>
      </c>
      <c r="X201">
        <v>0</v>
      </c>
      <c r="Y201">
        <v>0</v>
      </c>
      <c r="Z201">
        <v>0</v>
      </c>
      <c r="AA201">
        <v>0</v>
      </c>
      <c r="AB201">
        <v>0</v>
      </c>
      <c r="AC201">
        <v>0</v>
      </c>
      <c r="AD201">
        <v>0</v>
      </c>
      <c r="AE201">
        <v>0</v>
      </c>
      <c r="AF201">
        <v>0</v>
      </c>
      <c r="AG201">
        <v>0</v>
      </c>
      <c r="AH201">
        <v>0</v>
      </c>
      <c r="AI201">
        <v>0</v>
      </c>
      <c r="AJ201">
        <v>0</v>
      </c>
      <c r="AK201">
        <v>0</v>
      </c>
      <c r="AL201">
        <v>0</v>
      </c>
      <c r="AM201">
        <v>16.63</v>
      </c>
      <c r="AN201">
        <v>0</v>
      </c>
      <c r="AO201">
        <v>0</v>
      </c>
      <c r="AP201">
        <v>0</v>
      </c>
      <c r="AQ201">
        <v>0</v>
      </c>
      <c r="AR201">
        <v>0</v>
      </c>
      <c r="AS201">
        <v>0</v>
      </c>
      <c r="AT201">
        <v>0</v>
      </c>
      <c r="AU201">
        <v>0</v>
      </c>
      <c r="AV201">
        <v>0</v>
      </c>
      <c r="AW201">
        <v>0</v>
      </c>
      <c r="AX201">
        <v>0</v>
      </c>
      <c r="AY201">
        <v>0</v>
      </c>
      <c r="AZ201">
        <v>0</v>
      </c>
      <c r="BA201">
        <v>0</v>
      </c>
      <c r="BB201">
        <v>0</v>
      </c>
      <c r="BC201">
        <v>0</v>
      </c>
      <c r="BD201">
        <v>0</v>
      </c>
      <c r="BE201">
        <v>0</v>
      </c>
      <c r="BF201">
        <v>0</v>
      </c>
      <c r="BG201">
        <v>0</v>
      </c>
      <c r="BH201">
        <v>1</v>
      </c>
      <c r="BI201">
        <v>1</v>
      </c>
      <c r="BJ201">
        <v>0.2</v>
      </c>
      <c r="BK201">
        <v>1</v>
      </c>
      <c r="BL201" s="4">
        <v>97.75</v>
      </c>
      <c r="BM201" s="4">
        <v>14.66</v>
      </c>
      <c r="BN201" s="4">
        <v>112.41</v>
      </c>
      <c r="BO201" s="4">
        <v>112.41</v>
      </c>
      <c r="BQ201" t="s">
        <v>93</v>
      </c>
      <c r="BR201" t="s">
        <v>84</v>
      </c>
      <c r="BS201" s="3">
        <v>43803</v>
      </c>
      <c r="BT201" s="5">
        <v>0.3659722222222222</v>
      </c>
      <c r="BU201" t="s">
        <v>573</v>
      </c>
      <c r="BV201" t="s">
        <v>86</v>
      </c>
      <c r="BY201">
        <v>1200</v>
      </c>
      <c r="CA201" t="s">
        <v>190</v>
      </c>
      <c r="CC201" t="s">
        <v>187</v>
      </c>
      <c r="CD201">
        <v>6850</v>
      </c>
      <c r="CE201" t="s">
        <v>88</v>
      </c>
      <c r="CF201" s="3">
        <v>43804</v>
      </c>
      <c r="CI201">
        <v>3</v>
      </c>
      <c r="CJ201">
        <v>2</v>
      </c>
      <c r="CK201">
        <v>23</v>
      </c>
      <c r="CL201" t="s">
        <v>89</v>
      </c>
    </row>
    <row r="202" spans="1:90">
      <c r="A202" t="s">
        <v>72</v>
      </c>
      <c r="B202" t="s">
        <v>73</v>
      </c>
      <c r="C202" t="s">
        <v>74</v>
      </c>
      <c r="E202" t="str">
        <f>"FES1162726433"</f>
        <v>FES1162726433</v>
      </c>
      <c r="F202" s="3">
        <v>43802</v>
      </c>
      <c r="G202">
        <v>202006</v>
      </c>
      <c r="H202" t="s">
        <v>75</v>
      </c>
      <c r="I202" t="s">
        <v>76</v>
      </c>
      <c r="J202" t="s">
        <v>77</v>
      </c>
      <c r="K202" t="s">
        <v>78</v>
      </c>
      <c r="L202" t="s">
        <v>221</v>
      </c>
      <c r="M202" t="s">
        <v>222</v>
      </c>
      <c r="N202" t="s">
        <v>574</v>
      </c>
      <c r="O202" t="s">
        <v>82</v>
      </c>
      <c r="P202" t="str">
        <f>"2170719699                    "</f>
        <v xml:space="preserve">2170719699                    </v>
      </c>
      <c r="Q202">
        <v>0</v>
      </c>
      <c r="R202">
        <v>0</v>
      </c>
      <c r="S202">
        <v>0</v>
      </c>
      <c r="T202">
        <v>0</v>
      </c>
      <c r="U202">
        <v>0</v>
      </c>
      <c r="V202">
        <v>0</v>
      </c>
      <c r="W202">
        <v>0</v>
      </c>
      <c r="X202">
        <v>0</v>
      </c>
      <c r="Y202">
        <v>0</v>
      </c>
      <c r="Z202">
        <v>0</v>
      </c>
      <c r="AA202">
        <v>0</v>
      </c>
      <c r="AB202">
        <v>0</v>
      </c>
      <c r="AC202">
        <v>0</v>
      </c>
      <c r="AD202">
        <v>0</v>
      </c>
      <c r="AE202">
        <v>0</v>
      </c>
      <c r="AF202">
        <v>0</v>
      </c>
      <c r="AG202">
        <v>0</v>
      </c>
      <c r="AH202">
        <v>0</v>
      </c>
      <c r="AI202">
        <v>0</v>
      </c>
      <c r="AJ202">
        <v>0</v>
      </c>
      <c r="AK202">
        <v>0</v>
      </c>
      <c r="AL202">
        <v>0</v>
      </c>
      <c r="AM202">
        <v>8.58</v>
      </c>
      <c r="AN202">
        <v>0</v>
      </c>
      <c r="AO202">
        <v>0</v>
      </c>
      <c r="AP202">
        <v>0</v>
      </c>
      <c r="AQ202">
        <v>0</v>
      </c>
      <c r="AR202">
        <v>0</v>
      </c>
      <c r="AS202">
        <v>0</v>
      </c>
      <c r="AT202">
        <v>0</v>
      </c>
      <c r="AU202">
        <v>0</v>
      </c>
      <c r="AV202">
        <v>0</v>
      </c>
      <c r="AW202">
        <v>0</v>
      </c>
      <c r="AX202">
        <v>0</v>
      </c>
      <c r="AY202">
        <v>0</v>
      </c>
      <c r="AZ202">
        <v>0</v>
      </c>
      <c r="BA202">
        <v>0</v>
      </c>
      <c r="BB202">
        <v>0</v>
      </c>
      <c r="BC202">
        <v>0</v>
      </c>
      <c r="BD202">
        <v>0</v>
      </c>
      <c r="BE202">
        <v>0</v>
      </c>
      <c r="BF202">
        <v>0</v>
      </c>
      <c r="BG202">
        <v>0</v>
      </c>
      <c r="BH202">
        <v>1</v>
      </c>
      <c r="BI202">
        <v>1</v>
      </c>
      <c r="BJ202">
        <v>0.2</v>
      </c>
      <c r="BK202">
        <v>1</v>
      </c>
      <c r="BL202" s="4">
        <v>50.45</v>
      </c>
      <c r="BM202" s="4">
        <v>7.57</v>
      </c>
      <c r="BN202" s="4">
        <v>58.02</v>
      </c>
      <c r="BO202" s="4">
        <v>58.02</v>
      </c>
      <c r="BQ202" t="s">
        <v>575</v>
      </c>
      <c r="BR202" t="s">
        <v>84</v>
      </c>
      <c r="BS202" s="3">
        <v>43803</v>
      </c>
      <c r="BT202" s="5">
        <v>0.4152777777777778</v>
      </c>
      <c r="BU202" t="s">
        <v>576</v>
      </c>
      <c r="BV202" t="s">
        <v>86</v>
      </c>
      <c r="BY202">
        <v>1200</v>
      </c>
      <c r="CA202" t="s">
        <v>247</v>
      </c>
      <c r="CC202" t="s">
        <v>222</v>
      </c>
      <c r="CD202">
        <v>3201</v>
      </c>
      <c r="CE202" t="s">
        <v>88</v>
      </c>
      <c r="CF202" s="3">
        <v>43804</v>
      </c>
      <c r="CI202">
        <v>1</v>
      </c>
      <c r="CJ202">
        <v>1</v>
      </c>
      <c r="CK202">
        <v>21</v>
      </c>
      <c r="CL202" t="s">
        <v>89</v>
      </c>
    </row>
    <row r="203" spans="1:90">
      <c r="A203" t="s">
        <v>72</v>
      </c>
      <c r="B203" t="s">
        <v>73</v>
      </c>
      <c r="C203" t="s">
        <v>74</v>
      </c>
      <c r="E203" t="str">
        <f>"FES1162726149"</f>
        <v>FES1162726149</v>
      </c>
      <c r="F203" s="3">
        <v>43801</v>
      </c>
      <c r="G203">
        <v>202006</v>
      </c>
      <c r="H203" t="s">
        <v>75</v>
      </c>
      <c r="I203" t="s">
        <v>76</v>
      </c>
      <c r="J203" t="s">
        <v>77</v>
      </c>
      <c r="K203" t="s">
        <v>78</v>
      </c>
      <c r="L203" t="s">
        <v>577</v>
      </c>
      <c r="M203" t="s">
        <v>578</v>
      </c>
      <c r="N203" t="s">
        <v>579</v>
      </c>
      <c r="O203" t="s">
        <v>82</v>
      </c>
      <c r="P203" t="str">
        <f>"2170719300                    "</f>
        <v xml:space="preserve">2170719300                    </v>
      </c>
      <c r="Q203">
        <v>0</v>
      </c>
      <c r="R203">
        <v>0</v>
      </c>
      <c r="S203">
        <v>0</v>
      </c>
      <c r="T203">
        <v>0</v>
      </c>
      <c r="U203">
        <v>0</v>
      </c>
      <c r="V203">
        <v>0</v>
      </c>
      <c r="W203">
        <v>0</v>
      </c>
      <c r="X203">
        <v>0</v>
      </c>
      <c r="Y203">
        <v>0</v>
      </c>
      <c r="Z203">
        <v>0</v>
      </c>
      <c r="AA203">
        <v>0</v>
      </c>
      <c r="AB203">
        <v>0</v>
      </c>
      <c r="AC203">
        <v>0</v>
      </c>
      <c r="AD203">
        <v>0</v>
      </c>
      <c r="AE203">
        <v>0</v>
      </c>
      <c r="AF203">
        <v>0</v>
      </c>
      <c r="AG203">
        <v>0</v>
      </c>
      <c r="AH203">
        <v>0</v>
      </c>
      <c r="AI203">
        <v>0</v>
      </c>
      <c r="AJ203">
        <v>0</v>
      </c>
      <c r="AK203">
        <v>0</v>
      </c>
      <c r="AL203">
        <v>0</v>
      </c>
      <c r="AM203">
        <v>8.58</v>
      </c>
      <c r="AN203">
        <v>0</v>
      </c>
      <c r="AO203">
        <v>0</v>
      </c>
      <c r="AP203">
        <v>0</v>
      </c>
      <c r="AQ203">
        <v>0</v>
      </c>
      <c r="AR203">
        <v>0</v>
      </c>
      <c r="AS203">
        <v>0</v>
      </c>
      <c r="AT203">
        <v>0</v>
      </c>
      <c r="AU203">
        <v>0</v>
      </c>
      <c r="AV203">
        <v>0</v>
      </c>
      <c r="AW203">
        <v>0</v>
      </c>
      <c r="AX203">
        <v>0</v>
      </c>
      <c r="AY203">
        <v>0</v>
      </c>
      <c r="AZ203">
        <v>0</v>
      </c>
      <c r="BA203">
        <v>0</v>
      </c>
      <c r="BB203">
        <v>0</v>
      </c>
      <c r="BC203">
        <v>0</v>
      </c>
      <c r="BD203">
        <v>0</v>
      </c>
      <c r="BE203">
        <v>0</v>
      </c>
      <c r="BF203">
        <v>0</v>
      </c>
      <c r="BG203">
        <v>0</v>
      </c>
      <c r="BH203">
        <v>1</v>
      </c>
      <c r="BI203">
        <v>1</v>
      </c>
      <c r="BJ203">
        <v>0.2</v>
      </c>
      <c r="BK203">
        <v>1</v>
      </c>
      <c r="BL203" s="4">
        <v>50.45</v>
      </c>
      <c r="BM203" s="4">
        <v>7.57</v>
      </c>
      <c r="BN203" s="4">
        <v>58.02</v>
      </c>
      <c r="BO203" s="4">
        <v>58.02</v>
      </c>
      <c r="BQ203" t="s">
        <v>147</v>
      </c>
      <c r="BR203" t="s">
        <v>84</v>
      </c>
      <c r="BS203" s="3">
        <v>43802</v>
      </c>
      <c r="BT203" s="5">
        <v>0.4284722222222222</v>
      </c>
      <c r="BU203" t="s">
        <v>580</v>
      </c>
      <c r="BV203" t="s">
        <v>86</v>
      </c>
      <c r="BY203">
        <v>1200</v>
      </c>
      <c r="CC203" t="s">
        <v>578</v>
      </c>
      <c r="CD203">
        <v>6536</v>
      </c>
      <c r="CE203" t="s">
        <v>88</v>
      </c>
      <c r="CF203" s="3">
        <v>43804</v>
      </c>
      <c r="CI203">
        <v>1</v>
      </c>
      <c r="CJ203">
        <v>1</v>
      </c>
      <c r="CK203">
        <v>21</v>
      </c>
      <c r="CL203" t="s">
        <v>89</v>
      </c>
    </row>
    <row r="204" spans="1:90">
      <c r="A204" t="s">
        <v>72</v>
      </c>
      <c r="B204" t="s">
        <v>73</v>
      </c>
      <c r="C204" t="s">
        <v>74</v>
      </c>
      <c r="E204" t="str">
        <f>"FES1162726326"</f>
        <v>FES1162726326</v>
      </c>
      <c r="F204" s="3">
        <v>43802</v>
      </c>
      <c r="G204">
        <v>202006</v>
      </c>
      <c r="H204" t="s">
        <v>75</v>
      </c>
      <c r="I204" t="s">
        <v>76</v>
      </c>
      <c r="J204" t="s">
        <v>77</v>
      </c>
      <c r="K204" t="s">
        <v>78</v>
      </c>
      <c r="L204" t="s">
        <v>90</v>
      </c>
      <c r="M204" t="s">
        <v>91</v>
      </c>
      <c r="N204" t="s">
        <v>535</v>
      </c>
      <c r="O204" t="s">
        <v>82</v>
      </c>
      <c r="P204" t="str">
        <f>"2170719825                    "</f>
        <v xml:space="preserve">2170719825                    </v>
      </c>
      <c r="Q204">
        <v>0</v>
      </c>
      <c r="R204">
        <v>0</v>
      </c>
      <c r="S204">
        <v>0</v>
      </c>
      <c r="T204">
        <v>0</v>
      </c>
      <c r="U204">
        <v>0</v>
      </c>
      <c r="V204">
        <v>0</v>
      </c>
      <c r="W204">
        <v>0</v>
      </c>
      <c r="X204">
        <v>0</v>
      </c>
      <c r="Y204">
        <v>0</v>
      </c>
      <c r="Z204">
        <v>0</v>
      </c>
      <c r="AA204">
        <v>0</v>
      </c>
      <c r="AB204">
        <v>0</v>
      </c>
      <c r="AC204">
        <v>0</v>
      </c>
      <c r="AD204">
        <v>0</v>
      </c>
      <c r="AE204">
        <v>0</v>
      </c>
      <c r="AF204">
        <v>0</v>
      </c>
      <c r="AG204">
        <v>0</v>
      </c>
      <c r="AH204">
        <v>0</v>
      </c>
      <c r="AI204">
        <v>0</v>
      </c>
      <c r="AJ204">
        <v>0</v>
      </c>
      <c r="AK204">
        <v>0</v>
      </c>
      <c r="AL204">
        <v>0</v>
      </c>
      <c r="AM204">
        <v>19.3</v>
      </c>
      <c r="AN204">
        <v>0</v>
      </c>
      <c r="AO204">
        <v>0</v>
      </c>
      <c r="AP204">
        <v>0</v>
      </c>
      <c r="AQ204">
        <v>0</v>
      </c>
      <c r="AR204">
        <v>0</v>
      </c>
      <c r="AS204">
        <v>0</v>
      </c>
      <c r="AT204">
        <v>0</v>
      </c>
      <c r="AU204">
        <v>0</v>
      </c>
      <c r="AV204">
        <v>0</v>
      </c>
      <c r="AW204">
        <v>0</v>
      </c>
      <c r="AX204">
        <v>0</v>
      </c>
      <c r="AY204">
        <v>0</v>
      </c>
      <c r="AZ204">
        <v>0</v>
      </c>
      <c r="BA204">
        <v>0</v>
      </c>
      <c r="BB204">
        <v>0</v>
      </c>
      <c r="BC204">
        <v>0</v>
      </c>
      <c r="BD204">
        <v>0</v>
      </c>
      <c r="BE204">
        <v>0</v>
      </c>
      <c r="BF204">
        <v>0</v>
      </c>
      <c r="BG204">
        <v>0</v>
      </c>
      <c r="BH204">
        <v>1</v>
      </c>
      <c r="BI204">
        <v>4.2</v>
      </c>
      <c r="BJ204">
        <v>1.7</v>
      </c>
      <c r="BK204">
        <v>4.5</v>
      </c>
      <c r="BL204" s="4">
        <v>113.47</v>
      </c>
      <c r="BM204" s="4">
        <v>17.02</v>
      </c>
      <c r="BN204" s="4">
        <v>130.49</v>
      </c>
      <c r="BO204" s="4">
        <v>130.49</v>
      </c>
      <c r="BQ204" t="s">
        <v>147</v>
      </c>
      <c r="BR204" t="s">
        <v>84</v>
      </c>
      <c r="BS204" s="3">
        <v>43803</v>
      </c>
      <c r="BT204" s="5">
        <v>0.39097222222222222</v>
      </c>
      <c r="BU204" t="s">
        <v>581</v>
      </c>
      <c r="BV204" t="s">
        <v>86</v>
      </c>
      <c r="BY204">
        <v>8328.1</v>
      </c>
      <c r="CA204" t="s">
        <v>209</v>
      </c>
      <c r="CC204" t="s">
        <v>91</v>
      </c>
      <c r="CD204">
        <v>7441</v>
      </c>
      <c r="CE204" t="s">
        <v>116</v>
      </c>
      <c r="CF204" s="3">
        <v>43804</v>
      </c>
      <c r="CI204">
        <v>1</v>
      </c>
      <c r="CJ204">
        <v>1</v>
      </c>
      <c r="CK204">
        <v>21</v>
      </c>
      <c r="CL204" t="s">
        <v>89</v>
      </c>
    </row>
    <row r="205" spans="1:90">
      <c r="A205" t="s">
        <v>72</v>
      </c>
      <c r="B205" t="s">
        <v>73</v>
      </c>
      <c r="C205" t="s">
        <v>74</v>
      </c>
      <c r="E205" t="str">
        <f>"FES1162726225"</f>
        <v>FES1162726225</v>
      </c>
      <c r="F205" s="3">
        <v>43801</v>
      </c>
      <c r="G205">
        <v>202006</v>
      </c>
      <c r="H205" t="s">
        <v>75</v>
      </c>
      <c r="I205" t="s">
        <v>76</v>
      </c>
      <c r="J205" t="s">
        <v>77</v>
      </c>
      <c r="K205" t="s">
        <v>78</v>
      </c>
      <c r="L205" t="s">
        <v>90</v>
      </c>
      <c r="M205" t="s">
        <v>91</v>
      </c>
      <c r="N205" t="s">
        <v>535</v>
      </c>
      <c r="O205" t="s">
        <v>82</v>
      </c>
      <c r="P205" t="str">
        <f>"2170719720                    "</f>
        <v xml:space="preserve">2170719720                    </v>
      </c>
      <c r="Q205">
        <v>0</v>
      </c>
      <c r="R205">
        <v>0</v>
      </c>
      <c r="S205">
        <v>0</v>
      </c>
      <c r="T205">
        <v>0</v>
      </c>
      <c r="U205">
        <v>0</v>
      </c>
      <c r="V205">
        <v>0</v>
      </c>
      <c r="W205">
        <v>0</v>
      </c>
      <c r="X205">
        <v>0</v>
      </c>
      <c r="Y205">
        <v>0</v>
      </c>
      <c r="Z205">
        <v>0</v>
      </c>
      <c r="AA205">
        <v>0</v>
      </c>
      <c r="AB205">
        <v>0</v>
      </c>
      <c r="AC205">
        <v>0</v>
      </c>
      <c r="AD205">
        <v>0</v>
      </c>
      <c r="AE205">
        <v>0</v>
      </c>
      <c r="AF205">
        <v>0</v>
      </c>
      <c r="AG205">
        <v>0</v>
      </c>
      <c r="AH205">
        <v>0</v>
      </c>
      <c r="AI205">
        <v>0</v>
      </c>
      <c r="AJ205">
        <v>0</v>
      </c>
      <c r="AK205">
        <v>0</v>
      </c>
      <c r="AL205">
        <v>0</v>
      </c>
      <c r="AM205">
        <v>8.58</v>
      </c>
      <c r="AN205">
        <v>0</v>
      </c>
      <c r="AO205">
        <v>0</v>
      </c>
      <c r="AP205">
        <v>0</v>
      </c>
      <c r="AQ205">
        <v>0</v>
      </c>
      <c r="AR205">
        <v>0</v>
      </c>
      <c r="AS205">
        <v>0</v>
      </c>
      <c r="AT205">
        <v>0</v>
      </c>
      <c r="AU205">
        <v>0</v>
      </c>
      <c r="AV205">
        <v>0</v>
      </c>
      <c r="AW205">
        <v>0</v>
      </c>
      <c r="AX205">
        <v>0</v>
      </c>
      <c r="AY205">
        <v>0</v>
      </c>
      <c r="AZ205">
        <v>0</v>
      </c>
      <c r="BA205">
        <v>0</v>
      </c>
      <c r="BB205">
        <v>0</v>
      </c>
      <c r="BC205">
        <v>0</v>
      </c>
      <c r="BD205">
        <v>0</v>
      </c>
      <c r="BE205">
        <v>0</v>
      </c>
      <c r="BF205">
        <v>0</v>
      </c>
      <c r="BG205">
        <v>0</v>
      </c>
      <c r="BH205">
        <v>1</v>
      </c>
      <c r="BI205">
        <v>1</v>
      </c>
      <c r="BJ205">
        <v>0.2</v>
      </c>
      <c r="BK205">
        <v>1</v>
      </c>
      <c r="BL205" s="4">
        <v>50.45</v>
      </c>
      <c r="BM205" s="4">
        <v>7.57</v>
      </c>
      <c r="BN205" s="4">
        <v>58.02</v>
      </c>
      <c r="BO205" s="4">
        <v>58.02</v>
      </c>
      <c r="BQ205" t="s">
        <v>147</v>
      </c>
      <c r="BR205" t="s">
        <v>84</v>
      </c>
      <c r="BS205" s="3">
        <v>43802</v>
      </c>
      <c r="BT205" s="5">
        <v>0.37638888888888888</v>
      </c>
      <c r="BU205" t="s">
        <v>349</v>
      </c>
      <c r="BV205" t="s">
        <v>86</v>
      </c>
      <c r="BY205">
        <v>1200</v>
      </c>
      <c r="BZ205" t="s">
        <v>27</v>
      </c>
      <c r="CA205" t="s">
        <v>209</v>
      </c>
      <c r="CC205" t="s">
        <v>91</v>
      </c>
      <c r="CD205">
        <v>7441</v>
      </c>
      <c r="CE205" t="s">
        <v>88</v>
      </c>
      <c r="CF205" s="3">
        <v>43803</v>
      </c>
      <c r="CI205">
        <v>1</v>
      </c>
      <c r="CJ205">
        <v>1</v>
      </c>
      <c r="CK205">
        <v>21</v>
      </c>
      <c r="CL205" t="s">
        <v>89</v>
      </c>
    </row>
    <row r="206" spans="1:90">
      <c r="A206" t="s">
        <v>72</v>
      </c>
      <c r="B206" t="s">
        <v>73</v>
      </c>
      <c r="C206" t="s">
        <v>74</v>
      </c>
      <c r="E206" t="str">
        <f>"FES162726428"</f>
        <v>FES162726428</v>
      </c>
      <c r="F206" s="3">
        <v>43802</v>
      </c>
      <c r="G206">
        <v>202006</v>
      </c>
      <c r="H206" t="s">
        <v>75</v>
      </c>
      <c r="I206" t="s">
        <v>76</v>
      </c>
      <c r="J206" t="s">
        <v>77</v>
      </c>
      <c r="K206" t="s">
        <v>78</v>
      </c>
      <c r="L206" t="s">
        <v>201</v>
      </c>
      <c r="M206" t="s">
        <v>202</v>
      </c>
      <c r="N206" t="s">
        <v>286</v>
      </c>
      <c r="O206" t="s">
        <v>82</v>
      </c>
      <c r="P206" t="str">
        <f>"2170719635                    "</f>
        <v xml:space="preserve">2170719635                    </v>
      </c>
      <c r="Q206">
        <v>0</v>
      </c>
      <c r="R206">
        <v>0</v>
      </c>
      <c r="S206">
        <v>0</v>
      </c>
      <c r="T206">
        <v>0</v>
      </c>
      <c r="U206">
        <v>0</v>
      </c>
      <c r="V206">
        <v>0</v>
      </c>
      <c r="W206">
        <v>0</v>
      </c>
      <c r="X206">
        <v>0</v>
      </c>
      <c r="Y206">
        <v>0</v>
      </c>
      <c r="Z206">
        <v>0</v>
      </c>
      <c r="AA206">
        <v>0</v>
      </c>
      <c r="AB206">
        <v>0</v>
      </c>
      <c r="AC206">
        <v>0</v>
      </c>
      <c r="AD206">
        <v>0</v>
      </c>
      <c r="AE206">
        <v>0</v>
      </c>
      <c r="AF206">
        <v>0</v>
      </c>
      <c r="AG206">
        <v>0</v>
      </c>
      <c r="AH206">
        <v>0</v>
      </c>
      <c r="AI206">
        <v>0</v>
      </c>
      <c r="AJ206">
        <v>0</v>
      </c>
      <c r="AK206">
        <v>0</v>
      </c>
      <c r="AL206">
        <v>0</v>
      </c>
      <c r="AM206">
        <v>15.02</v>
      </c>
      <c r="AN206">
        <v>0</v>
      </c>
      <c r="AO206">
        <v>0</v>
      </c>
      <c r="AP206">
        <v>0</v>
      </c>
      <c r="AQ206">
        <v>0</v>
      </c>
      <c r="AR206">
        <v>0</v>
      </c>
      <c r="AS206">
        <v>0</v>
      </c>
      <c r="AT206">
        <v>0</v>
      </c>
      <c r="AU206">
        <v>0</v>
      </c>
      <c r="AV206">
        <v>0</v>
      </c>
      <c r="AW206">
        <v>0</v>
      </c>
      <c r="AX206">
        <v>0</v>
      </c>
      <c r="AY206">
        <v>0</v>
      </c>
      <c r="AZ206">
        <v>0</v>
      </c>
      <c r="BA206">
        <v>0</v>
      </c>
      <c r="BB206">
        <v>0</v>
      </c>
      <c r="BC206">
        <v>0</v>
      </c>
      <c r="BD206">
        <v>0</v>
      </c>
      <c r="BE206">
        <v>0</v>
      </c>
      <c r="BF206">
        <v>0</v>
      </c>
      <c r="BG206">
        <v>0</v>
      </c>
      <c r="BH206">
        <v>1</v>
      </c>
      <c r="BI206">
        <v>2.1</v>
      </c>
      <c r="BJ206">
        <v>3.4</v>
      </c>
      <c r="BK206">
        <v>3.5</v>
      </c>
      <c r="BL206" s="4">
        <v>88.27</v>
      </c>
      <c r="BM206" s="4">
        <v>13.24</v>
      </c>
      <c r="BN206" s="4">
        <v>101.51</v>
      </c>
      <c r="BO206" s="4">
        <v>101.51</v>
      </c>
      <c r="BQ206" t="s">
        <v>93</v>
      </c>
      <c r="BR206" t="s">
        <v>84</v>
      </c>
      <c r="BS206" s="3">
        <v>43803</v>
      </c>
      <c r="BT206" s="5">
        <v>0.38819444444444445</v>
      </c>
      <c r="BU206" t="s">
        <v>287</v>
      </c>
      <c r="BV206" t="s">
        <v>86</v>
      </c>
      <c r="BY206">
        <v>17068.46</v>
      </c>
      <c r="CA206" t="s">
        <v>288</v>
      </c>
      <c r="CC206" t="s">
        <v>202</v>
      </c>
      <c r="CD206">
        <v>3610</v>
      </c>
      <c r="CE206" t="s">
        <v>116</v>
      </c>
      <c r="CI206">
        <v>1</v>
      </c>
      <c r="CJ206">
        <v>1</v>
      </c>
      <c r="CK206">
        <v>21</v>
      </c>
      <c r="CL206" t="s">
        <v>89</v>
      </c>
    </row>
    <row r="207" spans="1:90">
      <c r="A207" t="s">
        <v>72</v>
      </c>
      <c r="B207" t="s">
        <v>73</v>
      </c>
      <c r="C207" t="s">
        <v>74</v>
      </c>
      <c r="E207" t="str">
        <f>"FES1162726203"</f>
        <v>FES1162726203</v>
      </c>
      <c r="F207" s="3">
        <v>43801</v>
      </c>
      <c r="G207">
        <v>202006</v>
      </c>
      <c r="H207" t="s">
        <v>75</v>
      </c>
      <c r="I207" t="s">
        <v>76</v>
      </c>
      <c r="J207" t="s">
        <v>77</v>
      </c>
      <c r="K207" t="s">
        <v>78</v>
      </c>
      <c r="L207" t="s">
        <v>90</v>
      </c>
      <c r="M207" t="s">
        <v>91</v>
      </c>
      <c r="N207" t="s">
        <v>582</v>
      </c>
      <c r="O207" t="s">
        <v>82</v>
      </c>
      <c r="P207" t="str">
        <f>"2170719716                    "</f>
        <v xml:space="preserve">2170719716                    </v>
      </c>
      <c r="Q207">
        <v>0</v>
      </c>
      <c r="R207">
        <v>0</v>
      </c>
      <c r="S207">
        <v>0</v>
      </c>
      <c r="T207">
        <v>0</v>
      </c>
      <c r="U207">
        <v>0</v>
      </c>
      <c r="V207">
        <v>0</v>
      </c>
      <c r="W207">
        <v>0</v>
      </c>
      <c r="X207">
        <v>0</v>
      </c>
      <c r="Y207">
        <v>0</v>
      </c>
      <c r="Z207">
        <v>0</v>
      </c>
      <c r="AA207">
        <v>0</v>
      </c>
      <c r="AB207">
        <v>0</v>
      </c>
      <c r="AC207">
        <v>0</v>
      </c>
      <c r="AD207">
        <v>0</v>
      </c>
      <c r="AE207">
        <v>0</v>
      </c>
      <c r="AF207">
        <v>0</v>
      </c>
      <c r="AG207">
        <v>0</v>
      </c>
      <c r="AH207">
        <v>0</v>
      </c>
      <c r="AI207">
        <v>0</v>
      </c>
      <c r="AJ207">
        <v>0</v>
      </c>
      <c r="AK207">
        <v>0</v>
      </c>
      <c r="AL207">
        <v>0</v>
      </c>
      <c r="AM207">
        <v>8.58</v>
      </c>
      <c r="AN207">
        <v>0</v>
      </c>
      <c r="AO207">
        <v>0</v>
      </c>
      <c r="AP207">
        <v>0</v>
      </c>
      <c r="AQ207">
        <v>0</v>
      </c>
      <c r="AR207">
        <v>0</v>
      </c>
      <c r="AS207">
        <v>0</v>
      </c>
      <c r="AT207">
        <v>0</v>
      </c>
      <c r="AU207">
        <v>0</v>
      </c>
      <c r="AV207">
        <v>0</v>
      </c>
      <c r="AW207">
        <v>0</v>
      </c>
      <c r="AX207">
        <v>0</v>
      </c>
      <c r="AY207">
        <v>0</v>
      </c>
      <c r="AZ207">
        <v>0</v>
      </c>
      <c r="BA207">
        <v>0</v>
      </c>
      <c r="BB207">
        <v>0</v>
      </c>
      <c r="BC207">
        <v>0</v>
      </c>
      <c r="BD207">
        <v>0</v>
      </c>
      <c r="BE207">
        <v>0</v>
      </c>
      <c r="BF207">
        <v>0</v>
      </c>
      <c r="BG207">
        <v>0</v>
      </c>
      <c r="BH207">
        <v>1</v>
      </c>
      <c r="BI207">
        <v>1</v>
      </c>
      <c r="BJ207">
        <v>0.2</v>
      </c>
      <c r="BK207">
        <v>1</v>
      </c>
      <c r="BL207" s="4">
        <v>50.45</v>
      </c>
      <c r="BM207" s="4">
        <v>7.57</v>
      </c>
      <c r="BN207" s="4">
        <v>58.02</v>
      </c>
      <c r="BO207" s="4">
        <v>58.02</v>
      </c>
      <c r="BQ207" t="s">
        <v>583</v>
      </c>
      <c r="BR207" t="s">
        <v>84</v>
      </c>
      <c r="BS207" s="3">
        <v>43802</v>
      </c>
      <c r="BT207" s="5">
        <v>0.36180555555555555</v>
      </c>
      <c r="BU207" t="s">
        <v>584</v>
      </c>
      <c r="BV207" t="s">
        <v>86</v>
      </c>
      <c r="BY207">
        <v>1200</v>
      </c>
      <c r="BZ207" t="s">
        <v>27</v>
      </c>
      <c r="CA207" t="s">
        <v>145</v>
      </c>
      <c r="CC207" t="s">
        <v>91</v>
      </c>
      <c r="CD207">
        <v>7441</v>
      </c>
      <c r="CE207" t="s">
        <v>88</v>
      </c>
      <c r="CF207" s="3">
        <v>43803</v>
      </c>
      <c r="CI207">
        <v>1</v>
      </c>
      <c r="CJ207">
        <v>1</v>
      </c>
      <c r="CK207">
        <v>21</v>
      </c>
      <c r="CL207" t="s">
        <v>89</v>
      </c>
    </row>
    <row r="208" spans="1:90">
      <c r="A208" t="s">
        <v>72</v>
      </c>
      <c r="B208" t="s">
        <v>73</v>
      </c>
      <c r="C208" t="s">
        <v>74</v>
      </c>
      <c r="E208" t="str">
        <f>"FES1162726202"</f>
        <v>FES1162726202</v>
      </c>
      <c r="F208" s="3">
        <v>43801</v>
      </c>
      <c r="G208">
        <v>202006</v>
      </c>
      <c r="H208" t="s">
        <v>75</v>
      </c>
      <c r="I208" t="s">
        <v>76</v>
      </c>
      <c r="J208" t="s">
        <v>77</v>
      </c>
      <c r="K208" t="s">
        <v>78</v>
      </c>
      <c r="L208" t="s">
        <v>308</v>
      </c>
      <c r="M208" t="s">
        <v>308</v>
      </c>
      <c r="N208" t="s">
        <v>585</v>
      </c>
      <c r="O208" t="s">
        <v>82</v>
      </c>
      <c r="P208" t="str">
        <f>"2170719713                    "</f>
        <v xml:space="preserve">2170719713                    </v>
      </c>
      <c r="Q208">
        <v>0</v>
      </c>
      <c r="R208">
        <v>0</v>
      </c>
      <c r="S208">
        <v>0</v>
      </c>
      <c r="T208">
        <v>0</v>
      </c>
      <c r="U208">
        <v>0</v>
      </c>
      <c r="V208">
        <v>0</v>
      </c>
      <c r="W208">
        <v>0</v>
      </c>
      <c r="X208">
        <v>0</v>
      </c>
      <c r="Y208">
        <v>0</v>
      </c>
      <c r="Z208">
        <v>0</v>
      </c>
      <c r="AA208">
        <v>0</v>
      </c>
      <c r="AB208">
        <v>0</v>
      </c>
      <c r="AC208">
        <v>0</v>
      </c>
      <c r="AD208">
        <v>0</v>
      </c>
      <c r="AE208">
        <v>0</v>
      </c>
      <c r="AF208">
        <v>0</v>
      </c>
      <c r="AG208">
        <v>0</v>
      </c>
      <c r="AH208">
        <v>0</v>
      </c>
      <c r="AI208">
        <v>0</v>
      </c>
      <c r="AJ208">
        <v>0</v>
      </c>
      <c r="AK208">
        <v>0</v>
      </c>
      <c r="AL208">
        <v>0</v>
      </c>
      <c r="AM208">
        <v>16.63</v>
      </c>
      <c r="AN208">
        <v>0</v>
      </c>
      <c r="AO208">
        <v>0</v>
      </c>
      <c r="AP208">
        <v>0</v>
      </c>
      <c r="AQ208">
        <v>0</v>
      </c>
      <c r="AR208">
        <v>0</v>
      </c>
      <c r="AS208">
        <v>0</v>
      </c>
      <c r="AT208">
        <v>0</v>
      </c>
      <c r="AU208">
        <v>0</v>
      </c>
      <c r="AV208">
        <v>0</v>
      </c>
      <c r="AW208">
        <v>0</v>
      </c>
      <c r="AX208">
        <v>0</v>
      </c>
      <c r="AY208">
        <v>0</v>
      </c>
      <c r="AZ208">
        <v>0</v>
      </c>
      <c r="BA208">
        <v>0</v>
      </c>
      <c r="BB208">
        <v>0</v>
      </c>
      <c r="BC208">
        <v>0</v>
      </c>
      <c r="BD208">
        <v>0</v>
      </c>
      <c r="BE208">
        <v>0</v>
      </c>
      <c r="BF208">
        <v>0</v>
      </c>
      <c r="BG208">
        <v>0</v>
      </c>
      <c r="BH208">
        <v>1</v>
      </c>
      <c r="BI208">
        <v>1</v>
      </c>
      <c r="BJ208">
        <v>0.2</v>
      </c>
      <c r="BK208">
        <v>1</v>
      </c>
      <c r="BL208" s="4">
        <v>97.75</v>
      </c>
      <c r="BM208" s="4">
        <v>14.66</v>
      </c>
      <c r="BN208" s="4">
        <v>112.41</v>
      </c>
      <c r="BO208" s="4">
        <v>112.41</v>
      </c>
      <c r="BQ208" t="s">
        <v>93</v>
      </c>
      <c r="BR208" t="s">
        <v>84</v>
      </c>
      <c r="BS208" s="3">
        <v>43802</v>
      </c>
      <c r="BT208" s="5">
        <v>0.4236111111111111</v>
      </c>
      <c r="BU208" t="s">
        <v>586</v>
      </c>
      <c r="BV208" t="s">
        <v>86</v>
      </c>
      <c r="BY208">
        <v>1200</v>
      </c>
      <c r="BZ208" t="s">
        <v>27</v>
      </c>
      <c r="CA208" t="s">
        <v>311</v>
      </c>
      <c r="CC208" t="s">
        <v>308</v>
      </c>
      <c r="CD208">
        <v>7646</v>
      </c>
      <c r="CE208" t="s">
        <v>88</v>
      </c>
      <c r="CF208" s="3">
        <v>43803</v>
      </c>
      <c r="CI208">
        <v>1</v>
      </c>
      <c r="CJ208">
        <v>1</v>
      </c>
      <c r="CK208">
        <v>23</v>
      </c>
      <c r="CL208" t="s">
        <v>89</v>
      </c>
    </row>
    <row r="209" spans="1:90">
      <c r="A209" t="s">
        <v>72</v>
      </c>
      <c r="B209" t="s">
        <v>73</v>
      </c>
      <c r="C209" t="s">
        <v>74</v>
      </c>
      <c r="E209" t="str">
        <f>"FES1162726157"</f>
        <v>FES1162726157</v>
      </c>
      <c r="F209" s="3">
        <v>43801</v>
      </c>
      <c r="G209">
        <v>202006</v>
      </c>
      <c r="H209" t="s">
        <v>75</v>
      </c>
      <c r="I209" t="s">
        <v>76</v>
      </c>
      <c r="J209" t="s">
        <v>77</v>
      </c>
      <c r="K209" t="s">
        <v>78</v>
      </c>
      <c r="L209" t="s">
        <v>90</v>
      </c>
      <c r="M209" t="s">
        <v>91</v>
      </c>
      <c r="N209" t="s">
        <v>548</v>
      </c>
      <c r="O209" t="s">
        <v>82</v>
      </c>
      <c r="P209" t="str">
        <f>"2170719647                    "</f>
        <v xml:space="preserve">2170719647                    </v>
      </c>
      <c r="Q209">
        <v>0</v>
      </c>
      <c r="R209">
        <v>0</v>
      </c>
      <c r="S209">
        <v>0</v>
      </c>
      <c r="T209">
        <v>0</v>
      </c>
      <c r="U209">
        <v>0</v>
      </c>
      <c r="V209">
        <v>0</v>
      </c>
      <c r="W209">
        <v>0</v>
      </c>
      <c r="X209">
        <v>0</v>
      </c>
      <c r="Y209">
        <v>0</v>
      </c>
      <c r="Z209">
        <v>0</v>
      </c>
      <c r="AA209">
        <v>0</v>
      </c>
      <c r="AB209">
        <v>0</v>
      </c>
      <c r="AC209">
        <v>0</v>
      </c>
      <c r="AD209">
        <v>0</v>
      </c>
      <c r="AE209">
        <v>0</v>
      </c>
      <c r="AF209">
        <v>0</v>
      </c>
      <c r="AG209">
        <v>0</v>
      </c>
      <c r="AH209">
        <v>0</v>
      </c>
      <c r="AI209">
        <v>0</v>
      </c>
      <c r="AJ209">
        <v>0</v>
      </c>
      <c r="AK209">
        <v>0</v>
      </c>
      <c r="AL209">
        <v>0</v>
      </c>
      <c r="AM209">
        <v>8.58</v>
      </c>
      <c r="AN209">
        <v>0</v>
      </c>
      <c r="AO209">
        <v>0</v>
      </c>
      <c r="AP209">
        <v>0</v>
      </c>
      <c r="AQ209">
        <v>0</v>
      </c>
      <c r="AR209">
        <v>0</v>
      </c>
      <c r="AS209">
        <v>0</v>
      </c>
      <c r="AT209">
        <v>0</v>
      </c>
      <c r="AU209">
        <v>0</v>
      </c>
      <c r="AV209">
        <v>0</v>
      </c>
      <c r="AW209">
        <v>0</v>
      </c>
      <c r="AX209">
        <v>0</v>
      </c>
      <c r="AY209">
        <v>0</v>
      </c>
      <c r="AZ209">
        <v>0</v>
      </c>
      <c r="BA209">
        <v>0</v>
      </c>
      <c r="BB209">
        <v>0</v>
      </c>
      <c r="BC209">
        <v>0</v>
      </c>
      <c r="BD209">
        <v>0</v>
      </c>
      <c r="BE209">
        <v>0</v>
      </c>
      <c r="BF209">
        <v>0</v>
      </c>
      <c r="BG209">
        <v>0</v>
      </c>
      <c r="BH209">
        <v>1</v>
      </c>
      <c r="BI209">
        <v>1</v>
      </c>
      <c r="BJ209">
        <v>0.2</v>
      </c>
      <c r="BK209">
        <v>1</v>
      </c>
      <c r="BL209" s="4">
        <v>50.45</v>
      </c>
      <c r="BM209" s="4">
        <v>7.57</v>
      </c>
      <c r="BN209" s="4">
        <v>58.02</v>
      </c>
      <c r="BO209" s="4">
        <v>58.02</v>
      </c>
      <c r="BQ209" t="s">
        <v>147</v>
      </c>
      <c r="BR209" t="s">
        <v>84</v>
      </c>
      <c r="BS209" s="3">
        <v>43802</v>
      </c>
      <c r="BT209" s="5">
        <v>0.32430555555555557</v>
      </c>
      <c r="BU209" t="s">
        <v>549</v>
      </c>
      <c r="BV209" t="s">
        <v>86</v>
      </c>
      <c r="BY209">
        <v>1200</v>
      </c>
      <c r="BZ209" t="s">
        <v>27</v>
      </c>
      <c r="CA209" t="s">
        <v>550</v>
      </c>
      <c r="CC209" t="s">
        <v>91</v>
      </c>
      <c r="CD209">
        <v>7530</v>
      </c>
      <c r="CE209" t="s">
        <v>88</v>
      </c>
      <c r="CF209" s="3">
        <v>43803</v>
      </c>
      <c r="CI209">
        <v>1</v>
      </c>
      <c r="CJ209">
        <v>1</v>
      </c>
      <c r="CK209">
        <v>21</v>
      </c>
      <c r="CL209" t="s">
        <v>89</v>
      </c>
    </row>
    <row r="210" spans="1:90">
      <c r="A210" t="s">
        <v>72</v>
      </c>
      <c r="B210" t="s">
        <v>73</v>
      </c>
      <c r="C210" t="s">
        <v>74</v>
      </c>
      <c r="E210" t="str">
        <f>"FES1162726248"</f>
        <v>FES1162726248</v>
      </c>
      <c r="F210" s="3">
        <v>43802</v>
      </c>
      <c r="G210">
        <v>202006</v>
      </c>
      <c r="H210" t="s">
        <v>75</v>
      </c>
      <c r="I210" t="s">
        <v>76</v>
      </c>
      <c r="J210" t="s">
        <v>77</v>
      </c>
      <c r="K210" t="s">
        <v>78</v>
      </c>
      <c r="L210" t="s">
        <v>90</v>
      </c>
      <c r="M210" t="s">
        <v>91</v>
      </c>
      <c r="N210" t="s">
        <v>438</v>
      </c>
      <c r="O210" t="s">
        <v>82</v>
      </c>
      <c r="P210" t="str">
        <f>"2170719738                    "</f>
        <v xml:space="preserve">2170719738                    </v>
      </c>
      <c r="Q210">
        <v>0</v>
      </c>
      <c r="R210">
        <v>0</v>
      </c>
      <c r="S210">
        <v>0</v>
      </c>
      <c r="T210">
        <v>0</v>
      </c>
      <c r="U210">
        <v>0</v>
      </c>
      <c r="V210">
        <v>0</v>
      </c>
      <c r="W210">
        <v>0</v>
      </c>
      <c r="X210">
        <v>0</v>
      </c>
      <c r="Y210">
        <v>0</v>
      </c>
      <c r="Z210">
        <v>0</v>
      </c>
      <c r="AA210">
        <v>0</v>
      </c>
      <c r="AB210">
        <v>0</v>
      </c>
      <c r="AC210">
        <v>0</v>
      </c>
      <c r="AD210">
        <v>0</v>
      </c>
      <c r="AE210">
        <v>0</v>
      </c>
      <c r="AF210">
        <v>0</v>
      </c>
      <c r="AG210">
        <v>0</v>
      </c>
      <c r="AH210">
        <v>0</v>
      </c>
      <c r="AI210">
        <v>0</v>
      </c>
      <c r="AJ210">
        <v>0</v>
      </c>
      <c r="AK210">
        <v>0</v>
      </c>
      <c r="AL210">
        <v>0</v>
      </c>
      <c r="AM210">
        <v>23.59</v>
      </c>
      <c r="AN210">
        <v>0</v>
      </c>
      <c r="AO210">
        <v>0</v>
      </c>
      <c r="AP210">
        <v>0</v>
      </c>
      <c r="AQ210">
        <v>0</v>
      </c>
      <c r="AR210">
        <v>0</v>
      </c>
      <c r="AS210">
        <v>0</v>
      </c>
      <c r="AT210">
        <v>0</v>
      </c>
      <c r="AU210">
        <v>0</v>
      </c>
      <c r="AV210">
        <v>0</v>
      </c>
      <c r="AW210">
        <v>0</v>
      </c>
      <c r="AX210">
        <v>0</v>
      </c>
      <c r="AY210">
        <v>0</v>
      </c>
      <c r="AZ210">
        <v>0</v>
      </c>
      <c r="BA210">
        <v>0</v>
      </c>
      <c r="BB210">
        <v>0</v>
      </c>
      <c r="BC210">
        <v>0</v>
      </c>
      <c r="BD210">
        <v>0</v>
      </c>
      <c r="BE210">
        <v>0</v>
      </c>
      <c r="BF210">
        <v>0</v>
      </c>
      <c r="BG210">
        <v>0</v>
      </c>
      <c r="BH210">
        <v>1</v>
      </c>
      <c r="BI210">
        <v>5.4</v>
      </c>
      <c r="BJ210">
        <v>3</v>
      </c>
      <c r="BK210">
        <v>5.5</v>
      </c>
      <c r="BL210" s="4">
        <v>138.68</v>
      </c>
      <c r="BM210" s="4">
        <v>20.8</v>
      </c>
      <c r="BN210" s="4">
        <v>159.47999999999999</v>
      </c>
      <c r="BO210" s="4">
        <v>159.47999999999999</v>
      </c>
      <c r="BQ210" t="s">
        <v>135</v>
      </c>
      <c r="BR210" t="s">
        <v>84</v>
      </c>
      <c r="BS210" s="3">
        <v>43803</v>
      </c>
      <c r="BT210" s="5">
        <v>0.39652777777777781</v>
      </c>
      <c r="BU210" t="s">
        <v>439</v>
      </c>
      <c r="BV210" t="s">
        <v>86</v>
      </c>
      <c r="BY210">
        <v>15229.03</v>
      </c>
      <c r="CA210" t="s">
        <v>440</v>
      </c>
      <c r="CC210" t="s">
        <v>91</v>
      </c>
      <c r="CD210">
        <v>7493</v>
      </c>
      <c r="CE210" t="s">
        <v>96</v>
      </c>
      <c r="CF210" s="3">
        <v>43804</v>
      </c>
      <c r="CI210">
        <v>1</v>
      </c>
      <c r="CJ210">
        <v>1</v>
      </c>
      <c r="CK210">
        <v>21</v>
      </c>
      <c r="CL210" t="s">
        <v>89</v>
      </c>
    </row>
    <row r="211" spans="1:90">
      <c r="A211" t="s">
        <v>72</v>
      </c>
      <c r="B211" t="s">
        <v>73</v>
      </c>
      <c r="C211" t="s">
        <v>74</v>
      </c>
      <c r="E211" t="str">
        <f>"FES1162726411"</f>
        <v>FES1162726411</v>
      </c>
      <c r="F211" s="3">
        <v>43802</v>
      </c>
      <c r="G211">
        <v>202006</v>
      </c>
      <c r="H211" t="s">
        <v>75</v>
      </c>
      <c r="I211" t="s">
        <v>76</v>
      </c>
      <c r="J211" t="s">
        <v>77</v>
      </c>
      <c r="K211" t="s">
        <v>78</v>
      </c>
      <c r="L211" t="s">
        <v>186</v>
      </c>
      <c r="M211" t="s">
        <v>187</v>
      </c>
      <c r="N211" t="s">
        <v>188</v>
      </c>
      <c r="O211" t="s">
        <v>82</v>
      </c>
      <c r="P211" t="str">
        <f>"2170719351                    "</f>
        <v xml:space="preserve">2170719351                    </v>
      </c>
      <c r="Q211">
        <v>0</v>
      </c>
      <c r="R211">
        <v>0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0</v>
      </c>
      <c r="AA211">
        <v>0</v>
      </c>
      <c r="AB211">
        <v>0</v>
      </c>
      <c r="AC211">
        <v>0</v>
      </c>
      <c r="AD211">
        <v>0</v>
      </c>
      <c r="AE211">
        <v>0</v>
      </c>
      <c r="AF211">
        <v>0</v>
      </c>
      <c r="AG211">
        <v>0</v>
      </c>
      <c r="AH211">
        <v>0</v>
      </c>
      <c r="AI211">
        <v>0</v>
      </c>
      <c r="AJ211">
        <v>0</v>
      </c>
      <c r="AK211">
        <v>0</v>
      </c>
      <c r="AL211">
        <v>0</v>
      </c>
      <c r="AM211">
        <v>54.19</v>
      </c>
      <c r="AN211">
        <v>0</v>
      </c>
      <c r="AO211">
        <v>0</v>
      </c>
      <c r="AP211">
        <v>0</v>
      </c>
      <c r="AQ211">
        <v>0</v>
      </c>
      <c r="AR211">
        <v>0</v>
      </c>
      <c r="AS211">
        <v>0</v>
      </c>
      <c r="AT211">
        <v>0</v>
      </c>
      <c r="AU211">
        <v>0</v>
      </c>
      <c r="AV211">
        <v>0</v>
      </c>
      <c r="AW211">
        <v>0</v>
      </c>
      <c r="AX211">
        <v>0</v>
      </c>
      <c r="AY211">
        <v>0</v>
      </c>
      <c r="AZ211">
        <v>0</v>
      </c>
      <c r="BA211">
        <v>0</v>
      </c>
      <c r="BB211">
        <v>0</v>
      </c>
      <c r="BC211">
        <v>0</v>
      </c>
      <c r="BD211">
        <v>0</v>
      </c>
      <c r="BE211">
        <v>0</v>
      </c>
      <c r="BF211">
        <v>0</v>
      </c>
      <c r="BG211">
        <v>0</v>
      </c>
      <c r="BH211">
        <v>1</v>
      </c>
      <c r="BI211">
        <v>7</v>
      </c>
      <c r="BJ211">
        <v>2</v>
      </c>
      <c r="BK211">
        <v>7</v>
      </c>
      <c r="BL211" s="4">
        <v>318.51</v>
      </c>
      <c r="BM211" s="4">
        <v>47.78</v>
      </c>
      <c r="BN211" s="4">
        <v>366.29</v>
      </c>
      <c r="BO211" s="4">
        <v>366.29</v>
      </c>
      <c r="BQ211" t="s">
        <v>93</v>
      </c>
      <c r="BR211" t="s">
        <v>84</v>
      </c>
      <c r="BS211" s="3">
        <v>43804</v>
      </c>
      <c r="BT211" s="5">
        <v>0.37291666666666662</v>
      </c>
      <c r="BU211" t="s">
        <v>189</v>
      </c>
      <c r="BV211" t="s">
        <v>86</v>
      </c>
      <c r="BY211">
        <v>9918</v>
      </c>
      <c r="CA211" t="s">
        <v>190</v>
      </c>
      <c r="CC211" t="s">
        <v>187</v>
      </c>
      <c r="CD211">
        <v>6849</v>
      </c>
      <c r="CE211" t="s">
        <v>96</v>
      </c>
      <c r="CF211" s="3">
        <v>43805</v>
      </c>
      <c r="CI211">
        <v>3</v>
      </c>
      <c r="CJ211">
        <v>2</v>
      </c>
      <c r="CK211">
        <v>23</v>
      </c>
      <c r="CL211" t="s">
        <v>89</v>
      </c>
    </row>
    <row r="212" spans="1:90">
      <c r="A212" t="s">
        <v>72</v>
      </c>
      <c r="B212" t="s">
        <v>73</v>
      </c>
      <c r="C212" t="s">
        <v>74</v>
      </c>
      <c r="E212" t="str">
        <f>"FES1162726410"</f>
        <v>FES1162726410</v>
      </c>
      <c r="F212" s="3">
        <v>43802</v>
      </c>
      <c r="G212">
        <v>202006</v>
      </c>
      <c r="H212" t="s">
        <v>75</v>
      </c>
      <c r="I212" t="s">
        <v>76</v>
      </c>
      <c r="J212" t="s">
        <v>77</v>
      </c>
      <c r="K212" t="s">
        <v>78</v>
      </c>
      <c r="L212" t="s">
        <v>75</v>
      </c>
      <c r="M212" t="s">
        <v>76</v>
      </c>
      <c r="N212" t="s">
        <v>194</v>
      </c>
      <c r="O212" t="s">
        <v>82</v>
      </c>
      <c r="P212" t="str">
        <f>"217071286                     "</f>
        <v xml:space="preserve">217071286                     </v>
      </c>
      <c r="Q212">
        <v>0</v>
      </c>
      <c r="R212">
        <v>0</v>
      </c>
      <c r="S212">
        <v>0</v>
      </c>
      <c r="T212">
        <v>0</v>
      </c>
      <c r="U212">
        <v>0</v>
      </c>
      <c r="V212">
        <v>0</v>
      </c>
      <c r="W212">
        <v>0</v>
      </c>
      <c r="X212">
        <v>0</v>
      </c>
      <c r="Y212">
        <v>0</v>
      </c>
      <c r="Z212">
        <v>0</v>
      </c>
      <c r="AA212">
        <v>0</v>
      </c>
      <c r="AB212">
        <v>0</v>
      </c>
      <c r="AC212">
        <v>0</v>
      </c>
      <c r="AD212">
        <v>0</v>
      </c>
      <c r="AE212">
        <v>0</v>
      </c>
      <c r="AF212">
        <v>0</v>
      </c>
      <c r="AG212">
        <v>0</v>
      </c>
      <c r="AH212">
        <v>0</v>
      </c>
      <c r="AI212">
        <v>0</v>
      </c>
      <c r="AJ212">
        <v>0</v>
      </c>
      <c r="AK212">
        <v>0</v>
      </c>
      <c r="AL212">
        <v>0</v>
      </c>
      <c r="AM212">
        <v>6.71</v>
      </c>
      <c r="AN212">
        <v>0</v>
      </c>
      <c r="AO212">
        <v>0</v>
      </c>
      <c r="AP212">
        <v>0</v>
      </c>
      <c r="AQ212">
        <v>0</v>
      </c>
      <c r="AR212">
        <v>0</v>
      </c>
      <c r="AS212">
        <v>0</v>
      </c>
      <c r="AT212">
        <v>0</v>
      </c>
      <c r="AU212">
        <v>0</v>
      </c>
      <c r="AV212">
        <v>0</v>
      </c>
      <c r="AW212">
        <v>0</v>
      </c>
      <c r="AX212">
        <v>0</v>
      </c>
      <c r="AY212">
        <v>0</v>
      </c>
      <c r="AZ212">
        <v>0</v>
      </c>
      <c r="BA212">
        <v>0</v>
      </c>
      <c r="BB212">
        <v>0</v>
      </c>
      <c r="BC212">
        <v>0</v>
      </c>
      <c r="BD212">
        <v>0</v>
      </c>
      <c r="BE212">
        <v>0</v>
      </c>
      <c r="BF212">
        <v>0</v>
      </c>
      <c r="BG212">
        <v>0</v>
      </c>
      <c r="BH212">
        <v>1</v>
      </c>
      <c r="BI212">
        <v>1</v>
      </c>
      <c r="BJ212">
        <v>0.2</v>
      </c>
      <c r="BK212">
        <v>1</v>
      </c>
      <c r="BL212" s="4">
        <v>39.42</v>
      </c>
      <c r="BM212" s="4">
        <v>5.91</v>
      </c>
      <c r="BN212" s="4">
        <v>45.33</v>
      </c>
      <c r="BO212" s="4">
        <v>45.33</v>
      </c>
      <c r="BQ212" t="s">
        <v>195</v>
      </c>
      <c r="BR212" t="s">
        <v>84</v>
      </c>
      <c r="BS212" s="3">
        <v>43803</v>
      </c>
      <c r="BT212" s="5">
        <v>0.30416666666666664</v>
      </c>
      <c r="BU212" t="s">
        <v>587</v>
      </c>
      <c r="BV212" t="s">
        <v>86</v>
      </c>
      <c r="BY212">
        <v>1200</v>
      </c>
      <c r="CA212" t="s">
        <v>588</v>
      </c>
      <c r="CC212" t="s">
        <v>76</v>
      </c>
      <c r="CD212">
        <v>1600</v>
      </c>
      <c r="CE212" t="s">
        <v>88</v>
      </c>
      <c r="CF212" s="3">
        <v>43804</v>
      </c>
      <c r="CI212">
        <v>1</v>
      </c>
      <c r="CJ212">
        <v>1</v>
      </c>
      <c r="CK212">
        <v>22</v>
      </c>
      <c r="CL212" t="s">
        <v>89</v>
      </c>
    </row>
    <row r="213" spans="1:90">
      <c r="A213" t="s">
        <v>72</v>
      </c>
      <c r="B213" t="s">
        <v>73</v>
      </c>
      <c r="C213" t="s">
        <v>74</v>
      </c>
      <c r="E213" t="str">
        <f>"FES1162726029"</f>
        <v>FES1162726029</v>
      </c>
      <c r="F213" s="3">
        <v>43801</v>
      </c>
      <c r="G213">
        <v>202006</v>
      </c>
      <c r="H213" t="s">
        <v>75</v>
      </c>
      <c r="I213" t="s">
        <v>76</v>
      </c>
      <c r="J213" t="s">
        <v>77</v>
      </c>
      <c r="K213" t="s">
        <v>78</v>
      </c>
      <c r="L213" t="s">
        <v>201</v>
      </c>
      <c r="M213" t="s">
        <v>202</v>
      </c>
      <c r="N213" t="s">
        <v>335</v>
      </c>
      <c r="O213" t="s">
        <v>82</v>
      </c>
      <c r="P213" t="str">
        <f>"217071895                     "</f>
        <v xml:space="preserve">217071895                     </v>
      </c>
      <c r="Q213">
        <v>0</v>
      </c>
      <c r="R213">
        <v>0</v>
      </c>
      <c r="S213">
        <v>0</v>
      </c>
      <c r="T213">
        <v>0</v>
      </c>
      <c r="U213">
        <v>0</v>
      </c>
      <c r="V213">
        <v>0</v>
      </c>
      <c r="W213">
        <v>0</v>
      </c>
      <c r="X213">
        <v>0</v>
      </c>
      <c r="Y213">
        <v>0</v>
      </c>
      <c r="Z213">
        <v>0</v>
      </c>
      <c r="AA213">
        <v>0</v>
      </c>
      <c r="AB213">
        <v>0</v>
      </c>
      <c r="AC213">
        <v>0</v>
      </c>
      <c r="AD213">
        <v>0</v>
      </c>
      <c r="AE213">
        <v>0</v>
      </c>
      <c r="AF213">
        <v>0</v>
      </c>
      <c r="AG213">
        <v>0</v>
      </c>
      <c r="AH213">
        <v>0</v>
      </c>
      <c r="AI213">
        <v>0</v>
      </c>
      <c r="AJ213">
        <v>0</v>
      </c>
      <c r="AK213">
        <v>0</v>
      </c>
      <c r="AL213">
        <v>0</v>
      </c>
      <c r="AM213">
        <v>38.6</v>
      </c>
      <c r="AN213">
        <v>0</v>
      </c>
      <c r="AO213">
        <v>0</v>
      </c>
      <c r="AP213">
        <v>0</v>
      </c>
      <c r="AQ213">
        <v>0</v>
      </c>
      <c r="AR213">
        <v>0</v>
      </c>
      <c r="AS213">
        <v>0</v>
      </c>
      <c r="AT213">
        <v>0</v>
      </c>
      <c r="AU213">
        <v>0</v>
      </c>
      <c r="AV213">
        <v>0</v>
      </c>
      <c r="AW213">
        <v>0</v>
      </c>
      <c r="AX213">
        <v>0</v>
      </c>
      <c r="AY213">
        <v>0</v>
      </c>
      <c r="AZ213">
        <v>0</v>
      </c>
      <c r="BA213">
        <v>0</v>
      </c>
      <c r="BB213">
        <v>0</v>
      </c>
      <c r="BC213">
        <v>0</v>
      </c>
      <c r="BD213">
        <v>0</v>
      </c>
      <c r="BE213">
        <v>0</v>
      </c>
      <c r="BF213">
        <v>0</v>
      </c>
      <c r="BG213">
        <v>0</v>
      </c>
      <c r="BH213">
        <v>1</v>
      </c>
      <c r="BI213">
        <v>4.0999999999999996</v>
      </c>
      <c r="BJ213">
        <v>9</v>
      </c>
      <c r="BK213">
        <v>9</v>
      </c>
      <c r="BL213" s="4">
        <v>226.91</v>
      </c>
      <c r="BM213" s="4">
        <v>34.04</v>
      </c>
      <c r="BN213" s="4">
        <v>260.95</v>
      </c>
      <c r="BO213" s="4">
        <v>260.95</v>
      </c>
      <c r="BQ213" t="s">
        <v>147</v>
      </c>
      <c r="BR213" t="s">
        <v>84</v>
      </c>
      <c r="BS213" s="3">
        <v>43802</v>
      </c>
      <c r="BT213" s="5">
        <v>0.3840277777777778</v>
      </c>
      <c r="BU213" t="s">
        <v>336</v>
      </c>
      <c r="BV213" t="s">
        <v>86</v>
      </c>
      <c r="BY213">
        <v>45114.82</v>
      </c>
      <c r="BZ213" t="s">
        <v>27</v>
      </c>
      <c r="CA213" t="s">
        <v>288</v>
      </c>
      <c r="CC213" t="s">
        <v>202</v>
      </c>
      <c r="CD213">
        <v>3600</v>
      </c>
      <c r="CE213" t="s">
        <v>96</v>
      </c>
      <c r="CI213">
        <v>1</v>
      </c>
      <c r="CJ213">
        <v>1</v>
      </c>
      <c r="CK213">
        <v>21</v>
      </c>
      <c r="CL213" t="s">
        <v>89</v>
      </c>
    </row>
    <row r="214" spans="1:90">
      <c r="A214" t="s">
        <v>72</v>
      </c>
      <c r="B214" t="s">
        <v>73</v>
      </c>
      <c r="C214" t="s">
        <v>74</v>
      </c>
      <c r="E214" t="str">
        <f>"FES1162726497"</f>
        <v>FES1162726497</v>
      </c>
      <c r="F214" s="3">
        <v>43802</v>
      </c>
      <c r="G214">
        <v>202006</v>
      </c>
      <c r="H214" t="s">
        <v>75</v>
      </c>
      <c r="I214" t="s">
        <v>76</v>
      </c>
      <c r="J214" t="s">
        <v>77</v>
      </c>
      <c r="K214" t="s">
        <v>78</v>
      </c>
      <c r="L214" t="s">
        <v>75</v>
      </c>
      <c r="M214" t="s">
        <v>76</v>
      </c>
      <c r="N214" t="s">
        <v>305</v>
      </c>
      <c r="O214" t="s">
        <v>82</v>
      </c>
      <c r="P214" t="str">
        <f>"2170719935                    "</f>
        <v xml:space="preserve">2170719935                    </v>
      </c>
      <c r="Q214">
        <v>0</v>
      </c>
      <c r="R214">
        <v>0</v>
      </c>
      <c r="S214">
        <v>0</v>
      </c>
      <c r="T214">
        <v>0</v>
      </c>
      <c r="U214">
        <v>0</v>
      </c>
      <c r="V214">
        <v>0</v>
      </c>
      <c r="W214">
        <v>0</v>
      </c>
      <c r="X214">
        <v>0</v>
      </c>
      <c r="Y214">
        <v>0</v>
      </c>
      <c r="Z214">
        <v>0</v>
      </c>
      <c r="AA214">
        <v>0</v>
      </c>
      <c r="AB214">
        <v>0</v>
      </c>
      <c r="AC214">
        <v>0</v>
      </c>
      <c r="AD214">
        <v>0</v>
      </c>
      <c r="AE214">
        <v>0</v>
      </c>
      <c r="AF214">
        <v>0</v>
      </c>
      <c r="AG214">
        <v>0</v>
      </c>
      <c r="AH214">
        <v>0</v>
      </c>
      <c r="AI214">
        <v>0</v>
      </c>
      <c r="AJ214">
        <v>0</v>
      </c>
      <c r="AK214">
        <v>0</v>
      </c>
      <c r="AL214">
        <v>0</v>
      </c>
      <c r="AM214">
        <v>12.33</v>
      </c>
      <c r="AN214">
        <v>0</v>
      </c>
      <c r="AO214">
        <v>0</v>
      </c>
      <c r="AP214">
        <v>0</v>
      </c>
      <c r="AQ214">
        <v>0</v>
      </c>
      <c r="AR214">
        <v>0</v>
      </c>
      <c r="AS214">
        <v>0</v>
      </c>
      <c r="AT214">
        <v>0</v>
      </c>
      <c r="AU214">
        <v>0</v>
      </c>
      <c r="AV214">
        <v>0</v>
      </c>
      <c r="AW214">
        <v>0</v>
      </c>
      <c r="AX214">
        <v>0</v>
      </c>
      <c r="AY214">
        <v>0</v>
      </c>
      <c r="AZ214">
        <v>0</v>
      </c>
      <c r="BA214">
        <v>0</v>
      </c>
      <c r="BB214">
        <v>0</v>
      </c>
      <c r="BC214">
        <v>0</v>
      </c>
      <c r="BD214">
        <v>0</v>
      </c>
      <c r="BE214">
        <v>0</v>
      </c>
      <c r="BF214">
        <v>0</v>
      </c>
      <c r="BG214">
        <v>0</v>
      </c>
      <c r="BH214">
        <v>1</v>
      </c>
      <c r="BI214">
        <v>5.4</v>
      </c>
      <c r="BJ214">
        <v>4.3</v>
      </c>
      <c r="BK214">
        <v>5.5</v>
      </c>
      <c r="BL214" s="4">
        <v>72.48</v>
      </c>
      <c r="BM214" s="4">
        <v>10.87</v>
      </c>
      <c r="BN214" s="4">
        <v>83.35</v>
      </c>
      <c r="BO214" s="4">
        <v>83.35</v>
      </c>
      <c r="BQ214" t="s">
        <v>147</v>
      </c>
      <c r="BR214" t="s">
        <v>84</v>
      </c>
      <c r="BS214" s="3">
        <v>43803</v>
      </c>
      <c r="BT214" s="5">
        <v>0.41666666666666669</v>
      </c>
      <c r="BU214" t="s">
        <v>589</v>
      </c>
      <c r="BV214" t="s">
        <v>86</v>
      </c>
      <c r="BY214">
        <v>21700.22</v>
      </c>
      <c r="CA214" t="s">
        <v>307</v>
      </c>
      <c r="CC214" t="s">
        <v>76</v>
      </c>
      <c r="CD214">
        <v>1645</v>
      </c>
      <c r="CE214" t="s">
        <v>96</v>
      </c>
      <c r="CF214" s="3">
        <v>43804</v>
      </c>
      <c r="CI214">
        <v>1</v>
      </c>
      <c r="CJ214">
        <v>1</v>
      </c>
      <c r="CK214">
        <v>22</v>
      </c>
      <c r="CL214" t="s">
        <v>89</v>
      </c>
    </row>
    <row r="215" spans="1:90">
      <c r="A215" t="s">
        <v>72</v>
      </c>
      <c r="B215" t="s">
        <v>73</v>
      </c>
      <c r="C215" t="s">
        <v>74</v>
      </c>
      <c r="E215" t="str">
        <f>"FES1162726111"</f>
        <v>FES1162726111</v>
      </c>
      <c r="F215" s="3">
        <v>43801</v>
      </c>
      <c r="G215">
        <v>202006</v>
      </c>
      <c r="H215" t="s">
        <v>75</v>
      </c>
      <c r="I215" t="s">
        <v>76</v>
      </c>
      <c r="J215" t="s">
        <v>77</v>
      </c>
      <c r="K215" t="s">
        <v>78</v>
      </c>
      <c r="L215" t="s">
        <v>164</v>
      </c>
      <c r="M215" t="s">
        <v>165</v>
      </c>
      <c r="N215" t="s">
        <v>369</v>
      </c>
      <c r="O215" t="s">
        <v>82</v>
      </c>
      <c r="P215" t="str">
        <f>"217071606                     "</f>
        <v xml:space="preserve">217071606                     </v>
      </c>
      <c r="Q215">
        <v>0</v>
      </c>
      <c r="R215">
        <v>0</v>
      </c>
      <c r="S215">
        <v>0</v>
      </c>
      <c r="T215">
        <v>0</v>
      </c>
      <c r="U215">
        <v>0</v>
      </c>
      <c r="V215">
        <v>0</v>
      </c>
      <c r="W215">
        <v>0</v>
      </c>
      <c r="X215">
        <v>0</v>
      </c>
      <c r="Y215">
        <v>0</v>
      </c>
      <c r="Z215">
        <v>0</v>
      </c>
      <c r="AA215">
        <v>0</v>
      </c>
      <c r="AB215">
        <v>0</v>
      </c>
      <c r="AC215">
        <v>0</v>
      </c>
      <c r="AD215">
        <v>0</v>
      </c>
      <c r="AE215">
        <v>0</v>
      </c>
      <c r="AF215">
        <v>0</v>
      </c>
      <c r="AG215">
        <v>0</v>
      </c>
      <c r="AH215">
        <v>0</v>
      </c>
      <c r="AI215">
        <v>0</v>
      </c>
      <c r="AJ215">
        <v>0</v>
      </c>
      <c r="AK215">
        <v>0</v>
      </c>
      <c r="AL215">
        <v>0</v>
      </c>
      <c r="AM215">
        <v>15.02</v>
      </c>
      <c r="AN215">
        <v>0</v>
      </c>
      <c r="AO215">
        <v>0</v>
      </c>
      <c r="AP215">
        <v>0</v>
      </c>
      <c r="AQ215">
        <v>0</v>
      </c>
      <c r="AR215">
        <v>0</v>
      </c>
      <c r="AS215">
        <v>0</v>
      </c>
      <c r="AT215">
        <v>0</v>
      </c>
      <c r="AU215">
        <v>0</v>
      </c>
      <c r="AV215">
        <v>0</v>
      </c>
      <c r="AW215">
        <v>0</v>
      </c>
      <c r="AX215">
        <v>0</v>
      </c>
      <c r="AY215">
        <v>0</v>
      </c>
      <c r="AZ215">
        <v>0</v>
      </c>
      <c r="BA215">
        <v>0</v>
      </c>
      <c r="BB215">
        <v>0</v>
      </c>
      <c r="BC215">
        <v>0</v>
      </c>
      <c r="BD215">
        <v>0</v>
      </c>
      <c r="BE215">
        <v>0</v>
      </c>
      <c r="BF215">
        <v>0</v>
      </c>
      <c r="BG215">
        <v>0</v>
      </c>
      <c r="BH215">
        <v>1</v>
      </c>
      <c r="BI215">
        <v>1.2</v>
      </c>
      <c r="BJ215">
        <v>3.4</v>
      </c>
      <c r="BK215">
        <v>3.5</v>
      </c>
      <c r="BL215" s="4">
        <v>88.27</v>
      </c>
      <c r="BM215" s="4">
        <v>13.24</v>
      </c>
      <c r="BN215" s="4">
        <v>101.51</v>
      </c>
      <c r="BO215" s="4">
        <v>101.51</v>
      </c>
      <c r="BQ215" t="s">
        <v>93</v>
      </c>
      <c r="BR215" t="s">
        <v>84</v>
      </c>
      <c r="BS215" s="3">
        <v>43802</v>
      </c>
      <c r="BT215" s="5">
        <v>0.36805555555555558</v>
      </c>
      <c r="BU215" t="s">
        <v>590</v>
      </c>
      <c r="BV215" t="s">
        <v>86</v>
      </c>
      <c r="BY215">
        <v>16938.560000000001</v>
      </c>
      <c r="BZ215" t="s">
        <v>27</v>
      </c>
      <c r="CA215" t="s">
        <v>265</v>
      </c>
      <c r="CC215" t="s">
        <v>165</v>
      </c>
      <c r="CD215">
        <v>5201</v>
      </c>
      <c r="CE215" t="s">
        <v>96</v>
      </c>
      <c r="CF215" s="3">
        <v>43803</v>
      </c>
      <c r="CI215">
        <v>1</v>
      </c>
      <c r="CJ215">
        <v>1</v>
      </c>
      <c r="CK215">
        <v>21</v>
      </c>
      <c r="CL215" t="s">
        <v>89</v>
      </c>
    </row>
    <row r="216" spans="1:90">
      <c r="A216" t="s">
        <v>72</v>
      </c>
      <c r="B216" t="s">
        <v>73</v>
      </c>
      <c r="C216" t="s">
        <v>74</v>
      </c>
      <c r="E216" t="str">
        <f>"FES1162726143"</f>
        <v>FES1162726143</v>
      </c>
      <c r="F216" s="3">
        <v>43801</v>
      </c>
      <c r="G216">
        <v>202006</v>
      </c>
      <c r="H216" t="s">
        <v>75</v>
      </c>
      <c r="I216" t="s">
        <v>76</v>
      </c>
      <c r="J216" t="s">
        <v>77</v>
      </c>
      <c r="K216" t="s">
        <v>78</v>
      </c>
      <c r="L216" t="s">
        <v>361</v>
      </c>
      <c r="M216" t="s">
        <v>362</v>
      </c>
      <c r="N216" t="s">
        <v>363</v>
      </c>
      <c r="O216" t="s">
        <v>82</v>
      </c>
      <c r="P216" t="str">
        <f>"2170718849                    "</f>
        <v xml:space="preserve">2170718849                    </v>
      </c>
      <c r="Q216">
        <v>0</v>
      </c>
      <c r="R216">
        <v>0</v>
      </c>
      <c r="S216">
        <v>0</v>
      </c>
      <c r="T216">
        <v>0</v>
      </c>
      <c r="U216">
        <v>0</v>
      </c>
      <c r="V216">
        <v>0</v>
      </c>
      <c r="W216">
        <v>0</v>
      </c>
      <c r="X216">
        <v>0</v>
      </c>
      <c r="Y216">
        <v>0</v>
      </c>
      <c r="Z216">
        <v>0</v>
      </c>
      <c r="AA216">
        <v>0</v>
      </c>
      <c r="AB216">
        <v>0</v>
      </c>
      <c r="AC216">
        <v>0</v>
      </c>
      <c r="AD216">
        <v>0</v>
      </c>
      <c r="AE216">
        <v>0</v>
      </c>
      <c r="AF216">
        <v>0</v>
      </c>
      <c r="AG216">
        <v>0</v>
      </c>
      <c r="AH216">
        <v>0</v>
      </c>
      <c r="AI216">
        <v>0</v>
      </c>
      <c r="AJ216">
        <v>0</v>
      </c>
      <c r="AK216">
        <v>0</v>
      </c>
      <c r="AL216">
        <v>0</v>
      </c>
      <c r="AM216">
        <v>15.02</v>
      </c>
      <c r="AN216">
        <v>0</v>
      </c>
      <c r="AO216">
        <v>0</v>
      </c>
      <c r="AP216">
        <v>0</v>
      </c>
      <c r="AQ216">
        <v>0</v>
      </c>
      <c r="AR216">
        <v>0</v>
      </c>
      <c r="AS216">
        <v>0</v>
      </c>
      <c r="AT216">
        <v>0</v>
      </c>
      <c r="AU216">
        <v>0</v>
      </c>
      <c r="AV216">
        <v>0</v>
      </c>
      <c r="AW216">
        <v>0</v>
      </c>
      <c r="AX216">
        <v>0</v>
      </c>
      <c r="AY216">
        <v>0</v>
      </c>
      <c r="AZ216">
        <v>0</v>
      </c>
      <c r="BA216">
        <v>0</v>
      </c>
      <c r="BB216">
        <v>0</v>
      </c>
      <c r="BC216">
        <v>0</v>
      </c>
      <c r="BD216">
        <v>0</v>
      </c>
      <c r="BE216">
        <v>0</v>
      </c>
      <c r="BF216">
        <v>0</v>
      </c>
      <c r="BG216">
        <v>0</v>
      </c>
      <c r="BH216">
        <v>1</v>
      </c>
      <c r="BI216">
        <v>3.1</v>
      </c>
      <c r="BJ216">
        <v>3.1</v>
      </c>
      <c r="BK216">
        <v>3.5</v>
      </c>
      <c r="BL216" s="4">
        <v>88.27</v>
      </c>
      <c r="BM216" s="4">
        <v>13.24</v>
      </c>
      <c r="BN216" s="4">
        <v>101.51</v>
      </c>
      <c r="BO216" s="4">
        <v>101.51</v>
      </c>
      <c r="BQ216" t="s">
        <v>93</v>
      </c>
      <c r="BR216" t="s">
        <v>84</v>
      </c>
      <c r="BS216" s="3">
        <v>43802</v>
      </c>
      <c r="BT216" s="5">
        <v>0.42777777777777781</v>
      </c>
      <c r="BU216" t="s">
        <v>364</v>
      </c>
      <c r="BV216" t="s">
        <v>86</v>
      </c>
      <c r="BY216">
        <v>15529.38</v>
      </c>
      <c r="BZ216" t="s">
        <v>27</v>
      </c>
      <c r="CA216" t="s">
        <v>185</v>
      </c>
      <c r="CC216" t="s">
        <v>362</v>
      </c>
      <c r="CD216">
        <v>6220</v>
      </c>
      <c r="CE216" t="s">
        <v>96</v>
      </c>
      <c r="CF216" s="3">
        <v>43804</v>
      </c>
      <c r="CI216">
        <v>1</v>
      </c>
      <c r="CJ216">
        <v>1</v>
      </c>
      <c r="CK216">
        <v>21</v>
      </c>
      <c r="CL216" t="s">
        <v>89</v>
      </c>
    </row>
    <row r="217" spans="1:90">
      <c r="A217" t="s">
        <v>72</v>
      </c>
      <c r="B217" t="s">
        <v>73</v>
      </c>
      <c r="C217" t="s">
        <v>74</v>
      </c>
      <c r="E217" t="str">
        <f>"FES1162725932"</f>
        <v>FES1162725932</v>
      </c>
      <c r="F217" s="3">
        <v>43801</v>
      </c>
      <c r="G217">
        <v>202006</v>
      </c>
      <c r="H217" t="s">
        <v>75</v>
      </c>
      <c r="I217" t="s">
        <v>76</v>
      </c>
      <c r="J217" t="s">
        <v>77</v>
      </c>
      <c r="K217" t="s">
        <v>78</v>
      </c>
      <c r="L217" t="s">
        <v>79</v>
      </c>
      <c r="M217" t="s">
        <v>80</v>
      </c>
      <c r="N217" t="s">
        <v>591</v>
      </c>
      <c r="O217" t="s">
        <v>82</v>
      </c>
      <c r="P217" t="str">
        <f>"2170715971                    "</f>
        <v xml:space="preserve">2170715971                    </v>
      </c>
      <c r="Q217">
        <v>0</v>
      </c>
      <c r="R217">
        <v>0</v>
      </c>
      <c r="S217">
        <v>0</v>
      </c>
      <c r="T217">
        <v>0</v>
      </c>
      <c r="U217">
        <v>0</v>
      </c>
      <c r="V217">
        <v>0</v>
      </c>
      <c r="W217">
        <v>0</v>
      </c>
      <c r="X217">
        <v>0</v>
      </c>
      <c r="Y217">
        <v>0</v>
      </c>
      <c r="Z217">
        <v>0</v>
      </c>
      <c r="AA217">
        <v>0</v>
      </c>
      <c r="AB217">
        <v>0</v>
      </c>
      <c r="AC217">
        <v>0</v>
      </c>
      <c r="AD217">
        <v>0</v>
      </c>
      <c r="AE217">
        <v>0</v>
      </c>
      <c r="AF217">
        <v>0</v>
      </c>
      <c r="AG217">
        <v>0</v>
      </c>
      <c r="AH217">
        <v>0</v>
      </c>
      <c r="AI217">
        <v>0</v>
      </c>
      <c r="AJ217">
        <v>0</v>
      </c>
      <c r="AK217">
        <v>0</v>
      </c>
      <c r="AL217">
        <v>0</v>
      </c>
      <c r="AM217">
        <v>25.74</v>
      </c>
      <c r="AN217">
        <v>0</v>
      </c>
      <c r="AO217">
        <v>0</v>
      </c>
      <c r="AP217">
        <v>0</v>
      </c>
      <c r="AQ217">
        <v>0</v>
      </c>
      <c r="AR217">
        <v>0</v>
      </c>
      <c r="AS217">
        <v>0</v>
      </c>
      <c r="AT217">
        <v>0</v>
      </c>
      <c r="AU217">
        <v>0</v>
      </c>
      <c r="AV217">
        <v>0</v>
      </c>
      <c r="AW217">
        <v>0</v>
      </c>
      <c r="AX217">
        <v>0</v>
      </c>
      <c r="AY217">
        <v>0</v>
      </c>
      <c r="AZ217">
        <v>0</v>
      </c>
      <c r="BA217">
        <v>0</v>
      </c>
      <c r="BB217">
        <v>0</v>
      </c>
      <c r="BC217">
        <v>0</v>
      </c>
      <c r="BD217">
        <v>0</v>
      </c>
      <c r="BE217">
        <v>0</v>
      </c>
      <c r="BF217">
        <v>0</v>
      </c>
      <c r="BG217">
        <v>0</v>
      </c>
      <c r="BH217">
        <v>1</v>
      </c>
      <c r="BI217">
        <v>6</v>
      </c>
      <c r="BJ217">
        <v>1.7</v>
      </c>
      <c r="BK217">
        <v>6</v>
      </c>
      <c r="BL217" s="4">
        <v>151.29</v>
      </c>
      <c r="BM217" s="4">
        <v>22.69</v>
      </c>
      <c r="BN217" s="4">
        <v>173.98</v>
      </c>
      <c r="BO217" s="4">
        <v>173.98</v>
      </c>
      <c r="BQ217" t="s">
        <v>93</v>
      </c>
      <c r="BR217" t="s">
        <v>84</v>
      </c>
      <c r="BS217" s="3">
        <v>43802</v>
      </c>
      <c r="BT217" s="5">
        <v>0.56944444444444442</v>
      </c>
      <c r="BU217" t="s">
        <v>592</v>
      </c>
      <c r="BV217" t="s">
        <v>89</v>
      </c>
      <c r="BW217" t="s">
        <v>593</v>
      </c>
      <c r="BX217" t="s">
        <v>594</v>
      </c>
      <c r="BY217">
        <v>8477</v>
      </c>
      <c r="BZ217" t="s">
        <v>27</v>
      </c>
      <c r="CA217" t="s">
        <v>131</v>
      </c>
      <c r="CC217" t="s">
        <v>80</v>
      </c>
      <c r="CD217">
        <v>6001</v>
      </c>
      <c r="CE217" t="s">
        <v>116</v>
      </c>
      <c r="CF217" s="3">
        <v>43804</v>
      </c>
      <c r="CI217">
        <v>1</v>
      </c>
      <c r="CJ217">
        <v>1</v>
      </c>
      <c r="CK217">
        <v>21</v>
      </c>
      <c r="CL217" t="s">
        <v>89</v>
      </c>
    </row>
    <row r="218" spans="1:90">
      <c r="A218" t="s">
        <v>72</v>
      </c>
      <c r="B218" t="s">
        <v>73</v>
      </c>
      <c r="C218" t="s">
        <v>74</v>
      </c>
      <c r="E218" t="str">
        <f>"FES1162726431"</f>
        <v>FES1162726431</v>
      </c>
      <c r="F218" s="3">
        <v>43802</v>
      </c>
      <c r="G218">
        <v>202006</v>
      </c>
      <c r="H218" t="s">
        <v>75</v>
      </c>
      <c r="I218" t="s">
        <v>76</v>
      </c>
      <c r="J218" t="s">
        <v>77</v>
      </c>
      <c r="K218" t="s">
        <v>78</v>
      </c>
      <c r="L218" t="s">
        <v>75</v>
      </c>
      <c r="M218" t="s">
        <v>76</v>
      </c>
      <c r="N218" t="s">
        <v>321</v>
      </c>
      <c r="O218" t="s">
        <v>82</v>
      </c>
      <c r="P218" t="str">
        <f>"2170719690                    "</f>
        <v xml:space="preserve">2170719690                    </v>
      </c>
      <c r="Q218">
        <v>0</v>
      </c>
      <c r="R218">
        <v>0</v>
      </c>
      <c r="S218">
        <v>0</v>
      </c>
      <c r="T218">
        <v>0</v>
      </c>
      <c r="U218">
        <v>0</v>
      </c>
      <c r="V218">
        <v>0</v>
      </c>
      <c r="W218">
        <v>0</v>
      </c>
      <c r="X218">
        <v>0</v>
      </c>
      <c r="Y218">
        <v>0</v>
      </c>
      <c r="Z218">
        <v>0</v>
      </c>
      <c r="AA218">
        <v>0</v>
      </c>
      <c r="AB218">
        <v>0</v>
      </c>
      <c r="AC218">
        <v>0</v>
      </c>
      <c r="AD218">
        <v>0</v>
      </c>
      <c r="AE218">
        <v>0</v>
      </c>
      <c r="AF218">
        <v>0</v>
      </c>
      <c r="AG218">
        <v>0</v>
      </c>
      <c r="AH218">
        <v>0</v>
      </c>
      <c r="AI218">
        <v>0</v>
      </c>
      <c r="AJ218">
        <v>0</v>
      </c>
      <c r="AK218">
        <v>0</v>
      </c>
      <c r="AL218">
        <v>0</v>
      </c>
      <c r="AM218">
        <v>6.71</v>
      </c>
      <c r="AN218">
        <v>0</v>
      </c>
      <c r="AO218">
        <v>0</v>
      </c>
      <c r="AP218">
        <v>0</v>
      </c>
      <c r="AQ218">
        <v>0</v>
      </c>
      <c r="AR218">
        <v>0</v>
      </c>
      <c r="AS218">
        <v>0</v>
      </c>
      <c r="AT218">
        <v>0</v>
      </c>
      <c r="AU218">
        <v>0</v>
      </c>
      <c r="AV218">
        <v>0</v>
      </c>
      <c r="AW218">
        <v>0</v>
      </c>
      <c r="AX218">
        <v>0</v>
      </c>
      <c r="AY218">
        <v>0</v>
      </c>
      <c r="AZ218">
        <v>0</v>
      </c>
      <c r="BA218">
        <v>0</v>
      </c>
      <c r="BB218">
        <v>0</v>
      </c>
      <c r="BC218">
        <v>0</v>
      </c>
      <c r="BD218">
        <v>0</v>
      </c>
      <c r="BE218">
        <v>0</v>
      </c>
      <c r="BF218">
        <v>0</v>
      </c>
      <c r="BG218">
        <v>0</v>
      </c>
      <c r="BH218">
        <v>1</v>
      </c>
      <c r="BI218">
        <v>1.4</v>
      </c>
      <c r="BJ218">
        <v>1.9</v>
      </c>
      <c r="BK218">
        <v>2</v>
      </c>
      <c r="BL218" s="4">
        <v>39.42</v>
      </c>
      <c r="BM218" s="4">
        <v>5.91</v>
      </c>
      <c r="BN218" s="4">
        <v>45.33</v>
      </c>
      <c r="BO218" s="4">
        <v>45.33</v>
      </c>
      <c r="BQ218" t="s">
        <v>322</v>
      </c>
      <c r="BR218" t="s">
        <v>84</v>
      </c>
      <c r="BS218" s="3">
        <v>43803</v>
      </c>
      <c r="BT218" s="5">
        <v>0.4069444444444445</v>
      </c>
      <c r="BU218" t="s">
        <v>323</v>
      </c>
      <c r="BV218" t="s">
        <v>86</v>
      </c>
      <c r="BY218">
        <v>9484.16</v>
      </c>
      <c r="CA218" t="s">
        <v>155</v>
      </c>
      <c r="CC218" t="s">
        <v>76</v>
      </c>
      <c r="CD218">
        <v>1619</v>
      </c>
      <c r="CE218" t="s">
        <v>96</v>
      </c>
      <c r="CF218" s="3">
        <v>43804</v>
      </c>
      <c r="CI218">
        <v>1</v>
      </c>
      <c r="CJ218">
        <v>1</v>
      </c>
      <c r="CK218">
        <v>22</v>
      </c>
      <c r="CL218" t="s">
        <v>89</v>
      </c>
    </row>
    <row r="219" spans="1:90">
      <c r="A219" t="s">
        <v>72</v>
      </c>
      <c r="B219" t="s">
        <v>73</v>
      </c>
      <c r="C219" t="s">
        <v>74</v>
      </c>
      <c r="E219" t="str">
        <f>"FES1162725677"</f>
        <v>FES1162725677</v>
      </c>
      <c r="F219" s="3">
        <v>43801</v>
      </c>
      <c r="G219">
        <v>202006</v>
      </c>
      <c r="H219" t="s">
        <v>75</v>
      </c>
      <c r="I219" t="s">
        <v>76</v>
      </c>
      <c r="J219" t="s">
        <v>77</v>
      </c>
      <c r="K219" t="s">
        <v>78</v>
      </c>
      <c r="L219" t="s">
        <v>79</v>
      </c>
      <c r="M219" t="s">
        <v>80</v>
      </c>
      <c r="N219" t="s">
        <v>183</v>
      </c>
      <c r="O219" t="s">
        <v>82</v>
      </c>
      <c r="P219" t="str">
        <f>"217071657                     "</f>
        <v xml:space="preserve">217071657                     </v>
      </c>
      <c r="Q219">
        <v>0</v>
      </c>
      <c r="R219">
        <v>0</v>
      </c>
      <c r="S219">
        <v>0</v>
      </c>
      <c r="T219">
        <v>0</v>
      </c>
      <c r="U219">
        <v>0</v>
      </c>
      <c r="V219">
        <v>0</v>
      </c>
      <c r="W219">
        <v>0</v>
      </c>
      <c r="X219">
        <v>0</v>
      </c>
      <c r="Y219">
        <v>0</v>
      </c>
      <c r="Z219">
        <v>0</v>
      </c>
      <c r="AA219">
        <v>0</v>
      </c>
      <c r="AB219">
        <v>0</v>
      </c>
      <c r="AC219">
        <v>0</v>
      </c>
      <c r="AD219">
        <v>0</v>
      </c>
      <c r="AE219">
        <v>0</v>
      </c>
      <c r="AF219">
        <v>0</v>
      </c>
      <c r="AG219">
        <v>0</v>
      </c>
      <c r="AH219">
        <v>0</v>
      </c>
      <c r="AI219">
        <v>0</v>
      </c>
      <c r="AJ219">
        <v>0</v>
      </c>
      <c r="AK219">
        <v>0</v>
      </c>
      <c r="AL219">
        <v>0</v>
      </c>
      <c r="AM219">
        <v>77.2</v>
      </c>
      <c r="AN219">
        <v>0</v>
      </c>
      <c r="AO219">
        <v>0</v>
      </c>
      <c r="AP219">
        <v>0</v>
      </c>
      <c r="AQ219">
        <v>0</v>
      </c>
      <c r="AR219">
        <v>0</v>
      </c>
      <c r="AS219">
        <v>0</v>
      </c>
      <c r="AT219">
        <v>0</v>
      </c>
      <c r="AU219">
        <v>0</v>
      </c>
      <c r="AV219">
        <v>0</v>
      </c>
      <c r="AW219">
        <v>0</v>
      </c>
      <c r="AX219">
        <v>0</v>
      </c>
      <c r="AY219">
        <v>0</v>
      </c>
      <c r="AZ219">
        <v>0</v>
      </c>
      <c r="BA219">
        <v>0</v>
      </c>
      <c r="BB219">
        <v>0</v>
      </c>
      <c r="BC219">
        <v>0</v>
      </c>
      <c r="BD219">
        <v>0</v>
      </c>
      <c r="BE219">
        <v>0</v>
      </c>
      <c r="BF219">
        <v>0</v>
      </c>
      <c r="BG219">
        <v>0</v>
      </c>
      <c r="BH219">
        <v>1</v>
      </c>
      <c r="BI219">
        <v>18</v>
      </c>
      <c r="BJ219">
        <v>7</v>
      </c>
      <c r="BK219">
        <v>18</v>
      </c>
      <c r="BL219" s="4">
        <v>453.79</v>
      </c>
      <c r="BM219" s="4">
        <v>68.069999999999993</v>
      </c>
      <c r="BN219" s="4">
        <v>521.86</v>
      </c>
      <c r="BO219" s="4">
        <v>521.86</v>
      </c>
      <c r="BQ219" t="s">
        <v>147</v>
      </c>
      <c r="BR219" t="s">
        <v>84</v>
      </c>
      <c r="BS219" s="3">
        <v>43802</v>
      </c>
      <c r="BT219" s="5">
        <v>0.36944444444444446</v>
      </c>
      <c r="BU219" t="s">
        <v>184</v>
      </c>
      <c r="BV219" t="s">
        <v>86</v>
      </c>
      <c r="BY219">
        <v>35123.89</v>
      </c>
      <c r="BZ219" t="s">
        <v>27</v>
      </c>
      <c r="CA219" t="s">
        <v>185</v>
      </c>
      <c r="CC219" t="s">
        <v>80</v>
      </c>
      <c r="CD219">
        <v>6001</v>
      </c>
      <c r="CE219" t="s">
        <v>116</v>
      </c>
      <c r="CF219" s="3">
        <v>43804</v>
      </c>
      <c r="CI219">
        <v>1</v>
      </c>
      <c r="CJ219">
        <v>1</v>
      </c>
      <c r="CK219">
        <v>21</v>
      </c>
      <c r="CL219" t="s">
        <v>89</v>
      </c>
    </row>
    <row r="220" spans="1:90">
      <c r="A220" t="s">
        <v>72</v>
      </c>
      <c r="B220" t="s">
        <v>73</v>
      </c>
      <c r="C220" t="s">
        <v>74</v>
      </c>
      <c r="E220" t="str">
        <f>"FES1162726493"</f>
        <v>FES1162726493</v>
      </c>
      <c r="F220" s="3">
        <v>43802</v>
      </c>
      <c r="G220">
        <v>202006</v>
      </c>
      <c r="H220" t="s">
        <v>75</v>
      </c>
      <c r="I220" t="s">
        <v>76</v>
      </c>
      <c r="J220" t="s">
        <v>77</v>
      </c>
      <c r="K220" t="s">
        <v>78</v>
      </c>
      <c r="L220" t="s">
        <v>169</v>
      </c>
      <c r="M220" t="s">
        <v>170</v>
      </c>
      <c r="N220" t="s">
        <v>171</v>
      </c>
      <c r="O220" t="s">
        <v>82</v>
      </c>
      <c r="P220" t="str">
        <f>"2170719928                    "</f>
        <v xml:space="preserve">2170719928                    </v>
      </c>
      <c r="Q220">
        <v>0</v>
      </c>
      <c r="R220">
        <v>0</v>
      </c>
      <c r="S220">
        <v>0</v>
      </c>
      <c r="T220">
        <v>0</v>
      </c>
      <c r="U220">
        <v>0</v>
      </c>
      <c r="V220">
        <v>0</v>
      </c>
      <c r="W220">
        <v>0</v>
      </c>
      <c r="X220">
        <v>0</v>
      </c>
      <c r="Y220">
        <v>0</v>
      </c>
      <c r="Z220">
        <v>0</v>
      </c>
      <c r="AA220">
        <v>0</v>
      </c>
      <c r="AB220">
        <v>0</v>
      </c>
      <c r="AC220">
        <v>0</v>
      </c>
      <c r="AD220">
        <v>0</v>
      </c>
      <c r="AE220">
        <v>0</v>
      </c>
      <c r="AF220">
        <v>0</v>
      </c>
      <c r="AG220">
        <v>0</v>
      </c>
      <c r="AH220">
        <v>0</v>
      </c>
      <c r="AI220">
        <v>0</v>
      </c>
      <c r="AJ220">
        <v>0</v>
      </c>
      <c r="AK220">
        <v>0</v>
      </c>
      <c r="AL220">
        <v>0</v>
      </c>
      <c r="AM220">
        <v>6.71</v>
      </c>
      <c r="AN220">
        <v>0</v>
      </c>
      <c r="AO220">
        <v>0</v>
      </c>
      <c r="AP220">
        <v>0</v>
      </c>
      <c r="AQ220">
        <v>0</v>
      </c>
      <c r="AR220">
        <v>0</v>
      </c>
      <c r="AS220">
        <v>0</v>
      </c>
      <c r="AT220">
        <v>0</v>
      </c>
      <c r="AU220">
        <v>0</v>
      </c>
      <c r="AV220">
        <v>0</v>
      </c>
      <c r="AW220">
        <v>0</v>
      </c>
      <c r="AX220">
        <v>0</v>
      </c>
      <c r="AY220">
        <v>0</v>
      </c>
      <c r="AZ220">
        <v>0</v>
      </c>
      <c r="BA220">
        <v>0</v>
      </c>
      <c r="BB220">
        <v>0</v>
      </c>
      <c r="BC220">
        <v>0</v>
      </c>
      <c r="BD220">
        <v>0</v>
      </c>
      <c r="BE220">
        <v>0</v>
      </c>
      <c r="BF220">
        <v>0</v>
      </c>
      <c r="BG220">
        <v>0</v>
      </c>
      <c r="BH220">
        <v>1</v>
      </c>
      <c r="BI220">
        <v>1.1000000000000001</v>
      </c>
      <c r="BJ220">
        <v>0.8</v>
      </c>
      <c r="BK220">
        <v>1.5</v>
      </c>
      <c r="BL220" s="4">
        <v>39.42</v>
      </c>
      <c r="BM220" s="4">
        <v>5.91</v>
      </c>
      <c r="BN220" s="4">
        <v>45.33</v>
      </c>
      <c r="BO220" s="4">
        <v>45.33</v>
      </c>
      <c r="BQ220" t="s">
        <v>172</v>
      </c>
      <c r="BR220" t="s">
        <v>84</v>
      </c>
      <c r="BS220" s="3">
        <v>43803</v>
      </c>
      <c r="BT220" s="5">
        <v>0.29236111111111113</v>
      </c>
      <c r="BU220" t="s">
        <v>173</v>
      </c>
      <c r="BV220" t="s">
        <v>86</v>
      </c>
      <c r="BY220">
        <v>3789.98</v>
      </c>
      <c r="CA220" t="s">
        <v>174</v>
      </c>
      <c r="CC220" t="s">
        <v>170</v>
      </c>
      <c r="CD220">
        <v>1459</v>
      </c>
      <c r="CE220" t="s">
        <v>116</v>
      </c>
      <c r="CF220" s="3">
        <v>43804</v>
      </c>
      <c r="CI220">
        <v>1</v>
      </c>
      <c r="CJ220">
        <v>1</v>
      </c>
      <c r="CK220">
        <v>22</v>
      </c>
      <c r="CL220" t="s">
        <v>89</v>
      </c>
    </row>
    <row r="221" spans="1:90">
      <c r="A221" t="s">
        <v>72</v>
      </c>
      <c r="B221" t="s">
        <v>73</v>
      </c>
      <c r="C221" t="s">
        <v>74</v>
      </c>
      <c r="E221" t="str">
        <f>"FES1162725468"</f>
        <v>FES1162725468</v>
      </c>
      <c r="F221" s="3">
        <v>43801</v>
      </c>
      <c r="G221">
        <v>202006</v>
      </c>
      <c r="H221" t="s">
        <v>75</v>
      </c>
      <c r="I221" t="s">
        <v>76</v>
      </c>
      <c r="J221" t="s">
        <v>77</v>
      </c>
      <c r="K221" t="s">
        <v>78</v>
      </c>
      <c r="L221" t="s">
        <v>79</v>
      </c>
      <c r="M221" t="s">
        <v>80</v>
      </c>
      <c r="N221" t="s">
        <v>183</v>
      </c>
      <c r="O221" t="s">
        <v>82</v>
      </c>
      <c r="P221" t="str">
        <f>"2170715041                    "</f>
        <v xml:space="preserve">2170715041                    </v>
      </c>
      <c r="Q221">
        <v>0</v>
      </c>
      <c r="R221">
        <v>0</v>
      </c>
      <c r="S221">
        <v>0</v>
      </c>
      <c r="T221">
        <v>0</v>
      </c>
      <c r="U221">
        <v>0</v>
      </c>
      <c r="V221">
        <v>0</v>
      </c>
      <c r="W221">
        <v>0</v>
      </c>
      <c r="X221">
        <v>0</v>
      </c>
      <c r="Y221">
        <v>0</v>
      </c>
      <c r="Z221">
        <v>0</v>
      </c>
      <c r="AA221">
        <v>0</v>
      </c>
      <c r="AB221">
        <v>0</v>
      </c>
      <c r="AC221">
        <v>0</v>
      </c>
      <c r="AD221">
        <v>0</v>
      </c>
      <c r="AE221">
        <v>0</v>
      </c>
      <c r="AF221">
        <v>0</v>
      </c>
      <c r="AG221">
        <v>0</v>
      </c>
      <c r="AH221">
        <v>0</v>
      </c>
      <c r="AI221">
        <v>0</v>
      </c>
      <c r="AJ221">
        <v>0</v>
      </c>
      <c r="AK221">
        <v>0</v>
      </c>
      <c r="AL221">
        <v>0</v>
      </c>
      <c r="AM221">
        <v>47.18</v>
      </c>
      <c r="AN221">
        <v>0</v>
      </c>
      <c r="AO221">
        <v>0</v>
      </c>
      <c r="AP221">
        <v>0</v>
      </c>
      <c r="AQ221">
        <v>0</v>
      </c>
      <c r="AR221">
        <v>0</v>
      </c>
      <c r="AS221">
        <v>0</v>
      </c>
      <c r="AT221">
        <v>0</v>
      </c>
      <c r="AU221">
        <v>0</v>
      </c>
      <c r="AV221">
        <v>0</v>
      </c>
      <c r="AW221">
        <v>0</v>
      </c>
      <c r="AX221">
        <v>0</v>
      </c>
      <c r="AY221">
        <v>0</v>
      </c>
      <c r="AZ221">
        <v>0</v>
      </c>
      <c r="BA221">
        <v>0</v>
      </c>
      <c r="BB221">
        <v>0</v>
      </c>
      <c r="BC221">
        <v>0</v>
      </c>
      <c r="BD221">
        <v>0</v>
      </c>
      <c r="BE221">
        <v>0</v>
      </c>
      <c r="BF221">
        <v>0</v>
      </c>
      <c r="BG221">
        <v>0</v>
      </c>
      <c r="BH221">
        <v>1</v>
      </c>
      <c r="BI221">
        <v>11</v>
      </c>
      <c r="BJ221">
        <v>8.1999999999999993</v>
      </c>
      <c r="BK221">
        <v>11</v>
      </c>
      <c r="BL221" s="4">
        <v>277.33</v>
      </c>
      <c r="BM221" s="4">
        <v>41.6</v>
      </c>
      <c r="BN221" s="4">
        <v>318.93</v>
      </c>
      <c r="BO221" s="4">
        <v>318.93</v>
      </c>
      <c r="BQ221" t="s">
        <v>147</v>
      </c>
      <c r="BR221" t="s">
        <v>84</v>
      </c>
      <c r="BS221" s="3">
        <v>43802</v>
      </c>
      <c r="BT221" s="5">
        <v>0.36944444444444446</v>
      </c>
      <c r="BU221" t="s">
        <v>184</v>
      </c>
      <c r="BV221" t="s">
        <v>86</v>
      </c>
      <c r="BY221">
        <v>41143.74</v>
      </c>
      <c r="BZ221" t="s">
        <v>27</v>
      </c>
      <c r="CA221" t="s">
        <v>185</v>
      </c>
      <c r="CC221" t="s">
        <v>80</v>
      </c>
      <c r="CD221">
        <v>6001</v>
      </c>
      <c r="CE221" t="s">
        <v>116</v>
      </c>
      <c r="CF221" s="3">
        <v>43804</v>
      </c>
      <c r="CI221">
        <v>1</v>
      </c>
      <c r="CJ221">
        <v>1</v>
      </c>
      <c r="CK221">
        <v>21</v>
      </c>
      <c r="CL221" t="s">
        <v>89</v>
      </c>
    </row>
    <row r="222" spans="1:90">
      <c r="A222" t="s">
        <v>72</v>
      </c>
      <c r="B222" t="s">
        <v>73</v>
      </c>
      <c r="C222" t="s">
        <v>74</v>
      </c>
      <c r="E222" t="str">
        <f>"FES1162726392"</f>
        <v>FES1162726392</v>
      </c>
      <c r="F222" s="3">
        <v>43802</v>
      </c>
      <c r="G222">
        <v>202006</v>
      </c>
      <c r="H222" t="s">
        <v>75</v>
      </c>
      <c r="I222" t="s">
        <v>76</v>
      </c>
      <c r="J222" t="s">
        <v>77</v>
      </c>
      <c r="K222" t="s">
        <v>78</v>
      </c>
      <c r="L222" t="s">
        <v>75</v>
      </c>
      <c r="M222" t="s">
        <v>76</v>
      </c>
      <c r="N222" t="s">
        <v>595</v>
      </c>
      <c r="O222" t="s">
        <v>82</v>
      </c>
      <c r="P222" t="str">
        <f>"2170718690                    "</f>
        <v xml:space="preserve">2170718690                    </v>
      </c>
      <c r="Q222">
        <v>0</v>
      </c>
      <c r="R222">
        <v>0</v>
      </c>
      <c r="S222">
        <v>0</v>
      </c>
      <c r="T222">
        <v>0</v>
      </c>
      <c r="U222">
        <v>0</v>
      </c>
      <c r="V222">
        <v>0</v>
      </c>
      <c r="W222">
        <v>0</v>
      </c>
      <c r="X222">
        <v>0</v>
      </c>
      <c r="Y222">
        <v>0</v>
      </c>
      <c r="Z222">
        <v>0</v>
      </c>
      <c r="AA222">
        <v>0</v>
      </c>
      <c r="AB222">
        <v>0</v>
      </c>
      <c r="AC222">
        <v>0</v>
      </c>
      <c r="AD222">
        <v>0</v>
      </c>
      <c r="AE222">
        <v>0</v>
      </c>
      <c r="AF222">
        <v>0</v>
      </c>
      <c r="AG222">
        <v>0</v>
      </c>
      <c r="AH222">
        <v>0</v>
      </c>
      <c r="AI222">
        <v>0</v>
      </c>
      <c r="AJ222">
        <v>0</v>
      </c>
      <c r="AK222">
        <v>0</v>
      </c>
      <c r="AL222">
        <v>0</v>
      </c>
      <c r="AM222">
        <v>10.72</v>
      </c>
      <c r="AN222">
        <v>0</v>
      </c>
      <c r="AO222">
        <v>0</v>
      </c>
      <c r="AP222">
        <v>0</v>
      </c>
      <c r="AQ222">
        <v>0</v>
      </c>
      <c r="AR222">
        <v>0</v>
      </c>
      <c r="AS222">
        <v>0</v>
      </c>
      <c r="AT222">
        <v>0</v>
      </c>
      <c r="AU222">
        <v>0</v>
      </c>
      <c r="AV222">
        <v>0</v>
      </c>
      <c r="AW222">
        <v>0</v>
      </c>
      <c r="AX222">
        <v>0</v>
      </c>
      <c r="AY222">
        <v>0</v>
      </c>
      <c r="AZ222">
        <v>0</v>
      </c>
      <c r="BA222">
        <v>0</v>
      </c>
      <c r="BB222">
        <v>0</v>
      </c>
      <c r="BC222">
        <v>0</v>
      </c>
      <c r="BD222">
        <v>0</v>
      </c>
      <c r="BE222">
        <v>0</v>
      </c>
      <c r="BF222">
        <v>0</v>
      </c>
      <c r="BG222">
        <v>0</v>
      </c>
      <c r="BH222">
        <v>1</v>
      </c>
      <c r="BI222">
        <v>2.2999999999999998</v>
      </c>
      <c r="BJ222">
        <v>4.2</v>
      </c>
      <c r="BK222">
        <v>4.5</v>
      </c>
      <c r="BL222" s="4">
        <v>63.03</v>
      </c>
      <c r="BM222" s="4">
        <v>9.4499999999999993</v>
      </c>
      <c r="BN222" s="4">
        <v>72.48</v>
      </c>
      <c r="BO222" s="4">
        <v>72.48</v>
      </c>
      <c r="BQ222" t="s">
        <v>596</v>
      </c>
      <c r="BR222" t="s">
        <v>84</v>
      </c>
      <c r="BS222" s="3">
        <v>43803</v>
      </c>
      <c r="BT222" s="5">
        <v>0.4375</v>
      </c>
      <c r="BU222" t="s">
        <v>597</v>
      </c>
      <c r="BV222" t="s">
        <v>86</v>
      </c>
      <c r="BY222">
        <v>21121.56</v>
      </c>
      <c r="CA222" t="s">
        <v>344</v>
      </c>
      <c r="CC222" t="s">
        <v>76</v>
      </c>
      <c r="CD222">
        <v>1609</v>
      </c>
      <c r="CE222" t="s">
        <v>96</v>
      </c>
      <c r="CF222" s="3">
        <v>43804</v>
      </c>
      <c r="CI222">
        <v>1</v>
      </c>
      <c r="CJ222">
        <v>1</v>
      </c>
      <c r="CK222">
        <v>22</v>
      </c>
      <c r="CL222" t="s">
        <v>89</v>
      </c>
    </row>
    <row r="223" spans="1:90">
      <c r="A223" t="s">
        <v>72</v>
      </c>
      <c r="B223" t="s">
        <v>73</v>
      </c>
      <c r="C223" t="s">
        <v>74</v>
      </c>
      <c r="E223" t="str">
        <f>"FES1162729147"</f>
        <v>FES1162729147</v>
      </c>
      <c r="F223" s="3">
        <v>43818</v>
      </c>
      <c r="G223">
        <v>202006</v>
      </c>
      <c r="H223" t="s">
        <v>75</v>
      </c>
      <c r="I223" t="s">
        <v>76</v>
      </c>
      <c r="J223" t="s">
        <v>77</v>
      </c>
      <c r="K223" t="s">
        <v>78</v>
      </c>
      <c r="L223" t="s">
        <v>213</v>
      </c>
      <c r="M223" t="s">
        <v>214</v>
      </c>
      <c r="N223" t="s">
        <v>598</v>
      </c>
      <c r="O223" t="s">
        <v>82</v>
      </c>
      <c r="P223" t="str">
        <f>"2170721741                    "</f>
        <v xml:space="preserve">2170721741                    </v>
      </c>
      <c r="Q223">
        <v>0</v>
      </c>
      <c r="R223">
        <v>0</v>
      </c>
      <c r="S223">
        <v>0</v>
      </c>
      <c r="T223">
        <v>0</v>
      </c>
      <c r="U223">
        <v>0</v>
      </c>
      <c r="V223">
        <v>0</v>
      </c>
      <c r="W223">
        <v>0</v>
      </c>
      <c r="X223">
        <v>0</v>
      </c>
      <c r="Y223">
        <v>0</v>
      </c>
      <c r="Z223">
        <v>0</v>
      </c>
      <c r="AA223">
        <v>0</v>
      </c>
      <c r="AB223">
        <v>0</v>
      </c>
      <c r="AC223">
        <v>0</v>
      </c>
      <c r="AD223">
        <v>0</v>
      </c>
      <c r="AE223">
        <v>0</v>
      </c>
      <c r="AF223">
        <v>0</v>
      </c>
      <c r="AG223">
        <v>0</v>
      </c>
      <c r="AH223">
        <v>0</v>
      </c>
      <c r="AI223">
        <v>0</v>
      </c>
      <c r="AJ223">
        <v>0</v>
      </c>
      <c r="AK223">
        <v>0</v>
      </c>
      <c r="AL223">
        <v>0</v>
      </c>
      <c r="AM223">
        <v>8.58</v>
      </c>
      <c r="AN223">
        <v>0</v>
      </c>
      <c r="AO223">
        <v>0</v>
      </c>
      <c r="AP223">
        <v>0</v>
      </c>
      <c r="AQ223">
        <v>0</v>
      </c>
      <c r="AR223">
        <v>0</v>
      </c>
      <c r="AS223">
        <v>0</v>
      </c>
      <c r="AT223">
        <v>0</v>
      </c>
      <c r="AU223">
        <v>0</v>
      </c>
      <c r="AV223">
        <v>0</v>
      </c>
      <c r="AW223">
        <v>0</v>
      </c>
      <c r="AX223">
        <v>0</v>
      </c>
      <c r="AY223">
        <v>0</v>
      </c>
      <c r="AZ223">
        <v>0</v>
      </c>
      <c r="BA223">
        <v>0</v>
      </c>
      <c r="BB223">
        <v>0</v>
      </c>
      <c r="BC223">
        <v>0</v>
      </c>
      <c r="BD223">
        <v>0</v>
      </c>
      <c r="BE223">
        <v>0</v>
      </c>
      <c r="BF223">
        <v>0</v>
      </c>
      <c r="BG223">
        <v>0</v>
      </c>
      <c r="BH223">
        <v>1</v>
      </c>
      <c r="BI223">
        <v>1</v>
      </c>
      <c r="BJ223">
        <v>0.2</v>
      </c>
      <c r="BK223">
        <v>1</v>
      </c>
      <c r="BL223" s="4">
        <v>50.45</v>
      </c>
      <c r="BM223" s="4">
        <v>7.57</v>
      </c>
      <c r="BN223" s="4">
        <v>58.02</v>
      </c>
      <c r="BO223" s="4">
        <v>58.02</v>
      </c>
      <c r="BQ223" t="s">
        <v>147</v>
      </c>
      <c r="BR223" t="s">
        <v>84</v>
      </c>
      <c r="BS223" s="3">
        <v>43819</v>
      </c>
      <c r="BT223" s="5">
        <v>0.34583333333333338</v>
      </c>
      <c r="BU223" t="s">
        <v>599</v>
      </c>
      <c r="BV223" t="s">
        <v>86</v>
      </c>
      <c r="BY223">
        <v>1200</v>
      </c>
      <c r="CA223" t="s">
        <v>99</v>
      </c>
      <c r="CC223" t="s">
        <v>214</v>
      </c>
      <c r="CD223">
        <v>6229</v>
      </c>
      <c r="CE223" t="s">
        <v>88</v>
      </c>
      <c r="CF223" s="3">
        <v>43822</v>
      </c>
      <c r="CI223">
        <v>1</v>
      </c>
      <c r="CJ223">
        <v>1</v>
      </c>
      <c r="CK223">
        <v>21</v>
      </c>
      <c r="CL223" t="s">
        <v>89</v>
      </c>
    </row>
    <row r="224" spans="1:90">
      <c r="A224" t="s">
        <v>72</v>
      </c>
      <c r="B224" t="s">
        <v>73</v>
      </c>
      <c r="C224" t="s">
        <v>74</v>
      </c>
      <c r="E224" t="str">
        <f>"FES1162725513"</f>
        <v>FES1162725513</v>
      </c>
      <c r="F224" s="3">
        <v>43801</v>
      </c>
      <c r="G224">
        <v>202006</v>
      </c>
      <c r="H224" t="s">
        <v>75</v>
      </c>
      <c r="I224" t="s">
        <v>76</v>
      </c>
      <c r="J224" t="s">
        <v>77</v>
      </c>
      <c r="K224" t="s">
        <v>78</v>
      </c>
      <c r="L224" t="s">
        <v>79</v>
      </c>
      <c r="M224" t="s">
        <v>80</v>
      </c>
      <c r="N224" t="s">
        <v>97</v>
      </c>
      <c r="O224" t="s">
        <v>82</v>
      </c>
      <c r="P224" t="str">
        <f>"217071573                     "</f>
        <v xml:space="preserve">217071573                     </v>
      </c>
      <c r="Q224">
        <v>0</v>
      </c>
      <c r="R224">
        <v>0</v>
      </c>
      <c r="S224">
        <v>0</v>
      </c>
      <c r="T224">
        <v>0</v>
      </c>
      <c r="U224">
        <v>0</v>
      </c>
      <c r="V224">
        <v>0</v>
      </c>
      <c r="W224">
        <v>0</v>
      </c>
      <c r="X224">
        <v>0</v>
      </c>
      <c r="Y224">
        <v>0</v>
      </c>
      <c r="Z224">
        <v>0</v>
      </c>
      <c r="AA224">
        <v>0</v>
      </c>
      <c r="AB224">
        <v>0</v>
      </c>
      <c r="AC224">
        <v>0</v>
      </c>
      <c r="AD224">
        <v>0</v>
      </c>
      <c r="AE224">
        <v>0</v>
      </c>
      <c r="AF224">
        <v>0</v>
      </c>
      <c r="AG224">
        <v>0</v>
      </c>
      <c r="AH224">
        <v>0</v>
      </c>
      <c r="AI224">
        <v>0</v>
      </c>
      <c r="AJ224">
        <v>0</v>
      </c>
      <c r="AK224">
        <v>0</v>
      </c>
      <c r="AL224">
        <v>0</v>
      </c>
      <c r="AM224">
        <v>27.88</v>
      </c>
      <c r="AN224">
        <v>0</v>
      </c>
      <c r="AO224">
        <v>0</v>
      </c>
      <c r="AP224">
        <v>0</v>
      </c>
      <c r="AQ224">
        <v>0</v>
      </c>
      <c r="AR224">
        <v>0</v>
      </c>
      <c r="AS224">
        <v>0</v>
      </c>
      <c r="AT224">
        <v>0</v>
      </c>
      <c r="AU224">
        <v>0</v>
      </c>
      <c r="AV224">
        <v>0</v>
      </c>
      <c r="AW224">
        <v>0</v>
      </c>
      <c r="AX224">
        <v>0</v>
      </c>
      <c r="AY224">
        <v>0</v>
      </c>
      <c r="AZ224">
        <v>0</v>
      </c>
      <c r="BA224">
        <v>0</v>
      </c>
      <c r="BB224">
        <v>0</v>
      </c>
      <c r="BC224">
        <v>0</v>
      </c>
      <c r="BD224">
        <v>0</v>
      </c>
      <c r="BE224">
        <v>0</v>
      </c>
      <c r="BF224">
        <v>0</v>
      </c>
      <c r="BG224">
        <v>0</v>
      </c>
      <c r="BH224">
        <v>1</v>
      </c>
      <c r="BI224">
        <v>6.5</v>
      </c>
      <c r="BJ224">
        <v>4.3</v>
      </c>
      <c r="BK224">
        <v>6.5</v>
      </c>
      <c r="BL224" s="4">
        <v>163.89</v>
      </c>
      <c r="BM224" s="4">
        <v>24.58</v>
      </c>
      <c r="BN224" s="4">
        <v>188.47</v>
      </c>
      <c r="BO224" s="4">
        <v>188.47</v>
      </c>
      <c r="BQ224" t="s">
        <v>93</v>
      </c>
      <c r="BR224" t="s">
        <v>84</v>
      </c>
      <c r="BS224" s="3">
        <v>43802</v>
      </c>
      <c r="BT224" s="5">
        <v>0.31944444444444448</v>
      </c>
      <c r="BU224" t="s">
        <v>600</v>
      </c>
      <c r="BV224" t="s">
        <v>86</v>
      </c>
      <c r="BY224">
        <v>21451.59</v>
      </c>
      <c r="CA224" t="s">
        <v>302</v>
      </c>
      <c r="CC224" t="s">
        <v>80</v>
      </c>
      <c r="CD224">
        <v>6001</v>
      </c>
      <c r="CE224" t="s">
        <v>96</v>
      </c>
      <c r="CF224" s="3">
        <v>43804</v>
      </c>
      <c r="CI224">
        <v>1</v>
      </c>
      <c r="CJ224">
        <v>1</v>
      </c>
      <c r="CK224">
        <v>21</v>
      </c>
      <c r="CL224" t="s">
        <v>89</v>
      </c>
    </row>
    <row r="225" spans="1:90">
      <c r="A225" t="s">
        <v>72</v>
      </c>
      <c r="B225" t="s">
        <v>73</v>
      </c>
      <c r="C225" t="s">
        <v>74</v>
      </c>
      <c r="E225" t="str">
        <f>"FES1162726469"</f>
        <v>FES1162726469</v>
      </c>
      <c r="F225" s="3">
        <v>43802</v>
      </c>
      <c r="G225">
        <v>202006</v>
      </c>
      <c r="H225" t="s">
        <v>75</v>
      </c>
      <c r="I225" t="s">
        <v>76</v>
      </c>
      <c r="J225" t="s">
        <v>77</v>
      </c>
      <c r="K225" t="s">
        <v>78</v>
      </c>
      <c r="L225" t="s">
        <v>169</v>
      </c>
      <c r="M225" t="s">
        <v>170</v>
      </c>
      <c r="N225" t="s">
        <v>171</v>
      </c>
      <c r="O225" t="s">
        <v>82</v>
      </c>
      <c r="P225" t="str">
        <f>"2170719904                    "</f>
        <v xml:space="preserve">2170719904                    </v>
      </c>
      <c r="Q225">
        <v>0</v>
      </c>
      <c r="R225">
        <v>0</v>
      </c>
      <c r="S225">
        <v>0</v>
      </c>
      <c r="T225">
        <v>0</v>
      </c>
      <c r="U225">
        <v>0</v>
      </c>
      <c r="V225">
        <v>0</v>
      </c>
      <c r="W225">
        <v>0</v>
      </c>
      <c r="X225">
        <v>0</v>
      </c>
      <c r="Y225">
        <v>0</v>
      </c>
      <c r="Z225">
        <v>0</v>
      </c>
      <c r="AA225">
        <v>0</v>
      </c>
      <c r="AB225">
        <v>0</v>
      </c>
      <c r="AC225">
        <v>0</v>
      </c>
      <c r="AD225">
        <v>0</v>
      </c>
      <c r="AE225">
        <v>0</v>
      </c>
      <c r="AF225">
        <v>0</v>
      </c>
      <c r="AG225">
        <v>0</v>
      </c>
      <c r="AH225">
        <v>0</v>
      </c>
      <c r="AI225">
        <v>0</v>
      </c>
      <c r="AJ225">
        <v>0</v>
      </c>
      <c r="AK225">
        <v>0</v>
      </c>
      <c r="AL225">
        <v>0</v>
      </c>
      <c r="AM225">
        <v>13.94</v>
      </c>
      <c r="AN225">
        <v>0</v>
      </c>
      <c r="AO225">
        <v>0</v>
      </c>
      <c r="AP225">
        <v>0</v>
      </c>
      <c r="AQ225">
        <v>0</v>
      </c>
      <c r="AR225">
        <v>0</v>
      </c>
      <c r="AS225">
        <v>0</v>
      </c>
      <c r="AT225">
        <v>0</v>
      </c>
      <c r="AU225">
        <v>0</v>
      </c>
      <c r="AV225">
        <v>0</v>
      </c>
      <c r="AW225">
        <v>0</v>
      </c>
      <c r="AX225">
        <v>0</v>
      </c>
      <c r="AY225">
        <v>0</v>
      </c>
      <c r="AZ225">
        <v>0</v>
      </c>
      <c r="BA225">
        <v>0</v>
      </c>
      <c r="BB225">
        <v>0</v>
      </c>
      <c r="BC225">
        <v>0</v>
      </c>
      <c r="BD225">
        <v>0</v>
      </c>
      <c r="BE225">
        <v>0</v>
      </c>
      <c r="BF225">
        <v>0</v>
      </c>
      <c r="BG225">
        <v>0</v>
      </c>
      <c r="BH225">
        <v>1</v>
      </c>
      <c r="BI225">
        <v>4.5999999999999996</v>
      </c>
      <c r="BJ225">
        <v>6.1</v>
      </c>
      <c r="BK225">
        <v>6.5</v>
      </c>
      <c r="BL225" s="4">
        <v>81.93</v>
      </c>
      <c r="BM225" s="4">
        <v>12.29</v>
      </c>
      <c r="BN225" s="4">
        <v>94.22</v>
      </c>
      <c r="BO225" s="4">
        <v>94.22</v>
      </c>
      <c r="BQ225" t="s">
        <v>172</v>
      </c>
      <c r="BR225" t="s">
        <v>84</v>
      </c>
      <c r="BS225" s="3">
        <v>43803</v>
      </c>
      <c r="BT225" s="5">
        <v>0.29236111111111113</v>
      </c>
      <c r="BU225" t="s">
        <v>173</v>
      </c>
      <c r="BV225" t="s">
        <v>86</v>
      </c>
      <c r="BY225">
        <v>30708</v>
      </c>
      <c r="CA225" t="s">
        <v>174</v>
      </c>
      <c r="CC225" t="s">
        <v>170</v>
      </c>
      <c r="CD225">
        <v>1459</v>
      </c>
      <c r="CE225" t="s">
        <v>116</v>
      </c>
      <c r="CF225" s="3">
        <v>43804</v>
      </c>
      <c r="CI225">
        <v>1</v>
      </c>
      <c r="CJ225">
        <v>1</v>
      </c>
      <c r="CK225">
        <v>22</v>
      </c>
      <c r="CL225" t="s">
        <v>89</v>
      </c>
    </row>
    <row r="226" spans="1:90">
      <c r="A226" t="s">
        <v>72</v>
      </c>
      <c r="B226" t="s">
        <v>73</v>
      </c>
      <c r="C226" t="s">
        <v>74</v>
      </c>
      <c r="E226" t="str">
        <f>"FES11627256093"</f>
        <v>FES11627256093</v>
      </c>
      <c r="F226" s="3">
        <v>43801</v>
      </c>
      <c r="G226">
        <v>202006</v>
      </c>
      <c r="H226" t="s">
        <v>75</v>
      </c>
      <c r="I226" t="s">
        <v>76</v>
      </c>
      <c r="J226" t="s">
        <v>77</v>
      </c>
      <c r="K226" t="s">
        <v>78</v>
      </c>
      <c r="L226" t="s">
        <v>198</v>
      </c>
      <c r="M226" t="s">
        <v>199</v>
      </c>
      <c r="N226" t="s">
        <v>200</v>
      </c>
      <c r="O226" t="s">
        <v>82</v>
      </c>
      <c r="P226" t="str">
        <f>"2170719581                    "</f>
        <v xml:space="preserve">2170719581                    </v>
      </c>
      <c r="Q226">
        <v>0</v>
      </c>
      <c r="R226">
        <v>0</v>
      </c>
      <c r="S226">
        <v>0</v>
      </c>
      <c r="T226">
        <v>0</v>
      </c>
      <c r="U226">
        <v>0</v>
      </c>
      <c r="V226">
        <v>0</v>
      </c>
      <c r="W226">
        <v>0</v>
      </c>
      <c r="X226">
        <v>0</v>
      </c>
      <c r="Y226">
        <v>0</v>
      </c>
      <c r="Z226">
        <v>0</v>
      </c>
      <c r="AA226">
        <v>0</v>
      </c>
      <c r="AB226">
        <v>0</v>
      </c>
      <c r="AC226">
        <v>0</v>
      </c>
      <c r="AD226">
        <v>0</v>
      </c>
      <c r="AE226">
        <v>0</v>
      </c>
      <c r="AF226">
        <v>0</v>
      </c>
      <c r="AG226">
        <v>0</v>
      </c>
      <c r="AH226">
        <v>0</v>
      </c>
      <c r="AI226">
        <v>0</v>
      </c>
      <c r="AJ226">
        <v>0</v>
      </c>
      <c r="AK226">
        <v>0</v>
      </c>
      <c r="AL226">
        <v>0</v>
      </c>
      <c r="AM226">
        <v>8.58</v>
      </c>
      <c r="AN226">
        <v>0</v>
      </c>
      <c r="AO226">
        <v>0</v>
      </c>
      <c r="AP226">
        <v>0</v>
      </c>
      <c r="AQ226">
        <v>0</v>
      </c>
      <c r="AR226">
        <v>0</v>
      </c>
      <c r="AS226">
        <v>0</v>
      </c>
      <c r="AT226">
        <v>0</v>
      </c>
      <c r="AU226">
        <v>0</v>
      </c>
      <c r="AV226">
        <v>0</v>
      </c>
      <c r="AW226">
        <v>0</v>
      </c>
      <c r="AX226">
        <v>0</v>
      </c>
      <c r="AY226">
        <v>0</v>
      </c>
      <c r="AZ226">
        <v>0</v>
      </c>
      <c r="BA226">
        <v>0</v>
      </c>
      <c r="BB226">
        <v>0</v>
      </c>
      <c r="BC226">
        <v>0</v>
      </c>
      <c r="BD226">
        <v>0</v>
      </c>
      <c r="BE226">
        <v>0</v>
      </c>
      <c r="BF226">
        <v>0</v>
      </c>
      <c r="BG226">
        <v>0</v>
      </c>
      <c r="BH226">
        <v>1</v>
      </c>
      <c r="BI226">
        <v>2</v>
      </c>
      <c r="BJ226">
        <v>0.9</v>
      </c>
      <c r="BK226">
        <v>2</v>
      </c>
      <c r="BL226" s="4">
        <v>50.45</v>
      </c>
      <c r="BM226" s="4">
        <v>7.57</v>
      </c>
      <c r="BN226" s="4">
        <v>58.02</v>
      </c>
      <c r="BO226" s="4">
        <v>58.02</v>
      </c>
      <c r="BQ226" t="s">
        <v>93</v>
      </c>
      <c r="BR226" t="s">
        <v>84</v>
      </c>
      <c r="BS226" s="3">
        <v>43802</v>
      </c>
      <c r="BT226" s="5">
        <v>0.47430555555555554</v>
      </c>
      <c r="BU226" t="s">
        <v>601</v>
      </c>
      <c r="BV226" t="s">
        <v>89</v>
      </c>
      <c r="BW226" t="s">
        <v>506</v>
      </c>
      <c r="BX226" t="s">
        <v>507</v>
      </c>
      <c r="BY226">
        <v>4653.28</v>
      </c>
      <c r="BZ226" t="s">
        <v>27</v>
      </c>
      <c r="CA226" t="s">
        <v>602</v>
      </c>
      <c r="CC226" t="s">
        <v>199</v>
      </c>
      <c r="CD226">
        <v>4051</v>
      </c>
      <c r="CE226" t="s">
        <v>88</v>
      </c>
      <c r="CI226">
        <v>1</v>
      </c>
      <c r="CJ226">
        <v>1</v>
      </c>
      <c r="CK226">
        <v>21</v>
      </c>
      <c r="CL226" t="s">
        <v>89</v>
      </c>
    </row>
    <row r="227" spans="1:90">
      <c r="A227" t="s">
        <v>72</v>
      </c>
      <c r="B227" t="s">
        <v>73</v>
      </c>
      <c r="C227" t="s">
        <v>74</v>
      </c>
      <c r="E227" t="str">
        <f>"FES1162726461"</f>
        <v>FES1162726461</v>
      </c>
      <c r="F227" s="3">
        <v>43802</v>
      </c>
      <c r="G227">
        <v>202006</v>
      </c>
      <c r="H227" t="s">
        <v>75</v>
      </c>
      <c r="I227" t="s">
        <v>76</v>
      </c>
      <c r="J227" t="s">
        <v>77</v>
      </c>
      <c r="K227" t="s">
        <v>78</v>
      </c>
      <c r="L227" t="s">
        <v>198</v>
      </c>
      <c r="M227" t="s">
        <v>199</v>
      </c>
      <c r="N227" t="s">
        <v>603</v>
      </c>
      <c r="O227" t="s">
        <v>82</v>
      </c>
      <c r="P227" t="str">
        <f>"2170719893                    "</f>
        <v xml:space="preserve">2170719893                    </v>
      </c>
      <c r="Q227">
        <v>0</v>
      </c>
      <c r="R227">
        <v>0</v>
      </c>
      <c r="S227">
        <v>0</v>
      </c>
      <c r="T227">
        <v>0</v>
      </c>
      <c r="U227">
        <v>0</v>
      </c>
      <c r="V227">
        <v>0</v>
      </c>
      <c r="W227">
        <v>0</v>
      </c>
      <c r="X227">
        <v>0</v>
      </c>
      <c r="Y227">
        <v>0</v>
      </c>
      <c r="Z227">
        <v>0</v>
      </c>
      <c r="AA227">
        <v>0</v>
      </c>
      <c r="AB227">
        <v>0</v>
      </c>
      <c r="AC227">
        <v>0</v>
      </c>
      <c r="AD227">
        <v>0</v>
      </c>
      <c r="AE227">
        <v>0</v>
      </c>
      <c r="AF227">
        <v>0</v>
      </c>
      <c r="AG227">
        <v>0</v>
      </c>
      <c r="AH227">
        <v>0</v>
      </c>
      <c r="AI227">
        <v>0</v>
      </c>
      <c r="AJ227">
        <v>0</v>
      </c>
      <c r="AK227">
        <v>0</v>
      </c>
      <c r="AL227">
        <v>0</v>
      </c>
      <c r="AM227">
        <v>8.58</v>
      </c>
      <c r="AN227">
        <v>0</v>
      </c>
      <c r="AO227">
        <v>0</v>
      </c>
      <c r="AP227">
        <v>0</v>
      </c>
      <c r="AQ227">
        <v>0</v>
      </c>
      <c r="AR227">
        <v>0</v>
      </c>
      <c r="AS227">
        <v>0</v>
      </c>
      <c r="AT227">
        <v>0</v>
      </c>
      <c r="AU227">
        <v>0</v>
      </c>
      <c r="AV227">
        <v>0</v>
      </c>
      <c r="AW227">
        <v>0</v>
      </c>
      <c r="AX227">
        <v>0</v>
      </c>
      <c r="AY227">
        <v>0</v>
      </c>
      <c r="AZ227">
        <v>0</v>
      </c>
      <c r="BA227">
        <v>0</v>
      </c>
      <c r="BB227">
        <v>0</v>
      </c>
      <c r="BC227">
        <v>0</v>
      </c>
      <c r="BD227">
        <v>0</v>
      </c>
      <c r="BE227">
        <v>0</v>
      </c>
      <c r="BF227">
        <v>0</v>
      </c>
      <c r="BG227">
        <v>0</v>
      </c>
      <c r="BH227">
        <v>1</v>
      </c>
      <c r="BI227">
        <v>1.3</v>
      </c>
      <c r="BJ227">
        <v>0.9</v>
      </c>
      <c r="BK227">
        <v>1.5</v>
      </c>
      <c r="BL227" s="4">
        <v>50.45</v>
      </c>
      <c r="BM227" s="4">
        <v>7.57</v>
      </c>
      <c r="BN227" s="4">
        <v>58.02</v>
      </c>
      <c r="BO227" s="4">
        <v>58.02</v>
      </c>
      <c r="BQ227" t="s">
        <v>93</v>
      </c>
      <c r="BR227" t="s">
        <v>84</v>
      </c>
      <c r="BS227" s="3">
        <v>43803</v>
      </c>
      <c r="BT227" s="5">
        <v>0.3659722222222222</v>
      </c>
      <c r="BU227" t="s">
        <v>604</v>
      </c>
      <c r="BV227" t="s">
        <v>86</v>
      </c>
      <c r="BY227">
        <v>4384.21</v>
      </c>
      <c r="CA227" t="s">
        <v>244</v>
      </c>
      <c r="CC227" t="s">
        <v>199</v>
      </c>
      <c r="CD227">
        <v>4001</v>
      </c>
      <c r="CE227" t="s">
        <v>96</v>
      </c>
      <c r="CF227" s="3">
        <v>43804</v>
      </c>
      <c r="CI227">
        <v>1</v>
      </c>
      <c r="CJ227">
        <v>1</v>
      </c>
      <c r="CK227">
        <v>21</v>
      </c>
      <c r="CL227" t="s">
        <v>89</v>
      </c>
    </row>
    <row r="228" spans="1:90">
      <c r="A228" t="s">
        <v>72</v>
      </c>
      <c r="B228" t="s">
        <v>73</v>
      </c>
      <c r="C228" t="s">
        <v>74</v>
      </c>
      <c r="E228" t="str">
        <f>"FES1162725467"</f>
        <v>FES1162725467</v>
      </c>
      <c r="F228" s="3">
        <v>43801</v>
      </c>
      <c r="G228">
        <v>202006</v>
      </c>
      <c r="H228" t="s">
        <v>75</v>
      </c>
      <c r="I228" t="s">
        <v>76</v>
      </c>
      <c r="J228" t="s">
        <v>77</v>
      </c>
      <c r="K228" t="s">
        <v>78</v>
      </c>
      <c r="L228" t="s">
        <v>79</v>
      </c>
      <c r="M228" t="s">
        <v>80</v>
      </c>
      <c r="N228" t="s">
        <v>605</v>
      </c>
      <c r="O228" t="s">
        <v>82</v>
      </c>
      <c r="P228" t="str">
        <f>"21707147023                   "</f>
        <v xml:space="preserve">21707147023                   </v>
      </c>
      <c r="Q228">
        <v>0</v>
      </c>
      <c r="R228">
        <v>0</v>
      </c>
      <c r="S228">
        <v>0</v>
      </c>
      <c r="T228">
        <v>0</v>
      </c>
      <c r="U228">
        <v>0</v>
      </c>
      <c r="V228">
        <v>0</v>
      </c>
      <c r="W228">
        <v>0</v>
      </c>
      <c r="X228">
        <v>0</v>
      </c>
      <c r="Y228">
        <v>0</v>
      </c>
      <c r="Z228">
        <v>0</v>
      </c>
      <c r="AA228">
        <v>0</v>
      </c>
      <c r="AB228">
        <v>0</v>
      </c>
      <c r="AC228">
        <v>0</v>
      </c>
      <c r="AD228">
        <v>0</v>
      </c>
      <c r="AE228">
        <v>0</v>
      </c>
      <c r="AF228">
        <v>0</v>
      </c>
      <c r="AG228">
        <v>0</v>
      </c>
      <c r="AH228">
        <v>0</v>
      </c>
      <c r="AI228">
        <v>0</v>
      </c>
      <c r="AJ228">
        <v>0</v>
      </c>
      <c r="AK228">
        <v>0</v>
      </c>
      <c r="AL228">
        <v>0</v>
      </c>
      <c r="AM228">
        <v>12.87</v>
      </c>
      <c r="AN228">
        <v>0</v>
      </c>
      <c r="AO228">
        <v>0</v>
      </c>
      <c r="AP228">
        <v>0</v>
      </c>
      <c r="AQ228">
        <v>0</v>
      </c>
      <c r="AR228">
        <v>0</v>
      </c>
      <c r="AS228">
        <v>0</v>
      </c>
      <c r="AT228">
        <v>0</v>
      </c>
      <c r="AU228">
        <v>0</v>
      </c>
      <c r="AV228">
        <v>0</v>
      </c>
      <c r="AW228">
        <v>0</v>
      </c>
      <c r="AX228">
        <v>0</v>
      </c>
      <c r="AY228">
        <v>0</v>
      </c>
      <c r="AZ228">
        <v>0</v>
      </c>
      <c r="BA228">
        <v>0</v>
      </c>
      <c r="BB228">
        <v>0</v>
      </c>
      <c r="BC228">
        <v>0</v>
      </c>
      <c r="BD228">
        <v>0</v>
      </c>
      <c r="BE228">
        <v>0</v>
      </c>
      <c r="BF228">
        <v>0</v>
      </c>
      <c r="BG228">
        <v>0</v>
      </c>
      <c r="BH228">
        <v>1</v>
      </c>
      <c r="BI228">
        <v>2.6</v>
      </c>
      <c r="BJ228">
        <v>2.6</v>
      </c>
      <c r="BK228">
        <v>3</v>
      </c>
      <c r="BL228" s="4">
        <v>75.66</v>
      </c>
      <c r="BM228" s="4">
        <v>11.35</v>
      </c>
      <c r="BN228" s="4">
        <v>87.01</v>
      </c>
      <c r="BO228" s="4">
        <v>87.01</v>
      </c>
      <c r="BQ228" t="s">
        <v>287</v>
      </c>
      <c r="BR228" t="s">
        <v>84</v>
      </c>
      <c r="BS228" s="3">
        <v>43802</v>
      </c>
      <c r="BT228" s="5">
        <v>0.3444444444444445</v>
      </c>
      <c r="BU228" t="s">
        <v>606</v>
      </c>
      <c r="BV228" t="s">
        <v>86</v>
      </c>
      <c r="BY228">
        <v>13160.62</v>
      </c>
      <c r="BZ228" t="s">
        <v>27</v>
      </c>
      <c r="CA228" t="s">
        <v>419</v>
      </c>
      <c r="CC228" t="s">
        <v>80</v>
      </c>
      <c r="CD228">
        <v>6001</v>
      </c>
      <c r="CE228" t="s">
        <v>556</v>
      </c>
      <c r="CF228" s="3">
        <v>43804</v>
      </c>
      <c r="CI228">
        <v>1</v>
      </c>
      <c r="CJ228">
        <v>1</v>
      </c>
      <c r="CK228">
        <v>21</v>
      </c>
      <c r="CL228" t="s">
        <v>89</v>
      </c>
    </row>
    <row r="229" spans="1:90">
      <c r="A229" t="s">
        <v>72</v>
      </c>
      <c r="B229" t="s">
        <v>73</v>
      </c>
      <c r="C229" t="s">
        <v>74</v>
      </c>
      <c r="E229" t="str">
        <f>"FES1162726099"</f>
        <v>FES1162726099</v>
      </c>
      <c r="F229" s="3">
        <v>43801</v>
      </c>
      <c r="G229">
        <v>202006</v>
      </c>
      <c r="H229" t="s">
        <v>75</v>
      </c>
      <c r="I229" t="s">
        <v>76</v>
      </c>
      <c r="J229" t="s">
        <v>77</v>
      </c>
      <c r="K229" t="s">
        <v>78</v>
      </c>
      <c r="L229" t="s">
        <v>151</v>
      </c>
      <c r="M229" t="s">
        <v>102</v>
      </c>
      <c r="N229" t="s">
        <v>607</v>
      </c>
      <c r="O229" t="s">
        <v>82</v>
      </c>
      <c r="P229" t="str">
        <f>"2170719589                    "</f>
        <v xml:space="preserve">2170719589                    </v>
      </c>
      <c r="Q229">
        <v>0</v>
      </c>
      <c r="R229">
        <v>0</v>
      </c>
      <c r="S229">
        <v>0</v>
      </c>
      <c r="T229">
        <v>0</v>
      </c>
      <c r="U229">
        <v>0</v>
      </c>
      <c r="V229">
        <v>0</v>
      </c>
      <c r="W229">
        <v>0</v>
      </c>
      <c r="X229">
        <v>0</v>
      </c>
      <c r="Y229">
        <v>0</v>
      </c>
      <c r="Z229">
        <v>0</v>
      </c>
      <c r="AA229">
        <v>0</v>
      </c>
      <c r="AB229">
        <v>0</v>
      </c>
      <c r="AC229">
        <v>0</v>
      </c>
      <c r="AD229">
        <v>0</v>
      </c>
      <c r="AE229">
        <v>0</v>
      </c>
      <c r="AF229">
        <v>0</v>
      </c>
      <c r="AG229">
        <v>0</v>
      </c>
      <c r="AH229">
        <v>0</v>
      </c>
      <c r="AI229">
        <v>0</v>
      </c>
      <c r="AJ229">
        <v>0</v>
      </c>
      <c r="AK229">
        <v>0</v>
      </c>
      <c r="AL229">
        <v>0</v>
      </c>
      <c r="AM229">
        <v>8.58</v>
      </c>
      <c r="AN229">
        <v>0</v>
      </c>
      <c r="AO229">
        <v>0</v>
      </c>
      <c r="AP229">
        <v>0</v>
      </c>
      <c r="AQ229">
        <v>0</v>
      </c>
      <c r="AR229">
        <v>0</v>
      </c>
      <c r="AS229">
        <v>0</v>
      </c>
      <c r="AT229">
        <v>0</v>
      </c>
      <c r="AU229">
        <v>0</v>
      </c>
      <c r="AV229">
        <v>0</v>
      </c>
      <c r="AW229">
        <v>0</v>
      </c>
      <c r="AX229">
        <v>0</v>
      </c>
      <c r="AY229">
        <v>0</v>
      </c>
      <c r="AZ229">
        <v>0</v>
      </c>
      <c r="BA229">
        <v>0</v>
      </c>
      <c r="BB229">
        <v>0</v>
      </c>
      <c r="BC229">
        <v>0</v>
      </c>
      <c r="BD229">
        <v>0</v>
      </c>
      <c r="BE229">
        <v>0</v>
      </c>
      <c r="BF229">
        <v>0</v>
      </c>
      <c r="BG229">
        <v>0</v>
      </c>
      <c r="BH229">
        <v>1</v>
      </c>
      <c r="BI229">
        <v>1</v>
      </c>
      <c r="BJ229">
        <v>0.2</v>
      </c>
      <c r="BK229">
        <v>1</v>
      </c>
      <c r="BL229" s="4">
        <v>50.45</v>
      </c>
      <c r="BM229" s="4">
        <v>7.57</v>
      </c>
      <c r="BN229" s="4">
        <v>58.02</v>
      </c>
      <c r="BO229" s="4">
        <v>58.02</v>
      </c>
      <c r="BQ229" t="s">
        <v>608</v>
      </c>
      <c r="BR229" t="s">
        <v>84</v>
      </c>
      <c r="BS229" s="3">
        <v>43802</v>
      </c>
      <c r="BT229" s="5">
        <v>0.3833333333333333</v>
      </c>
      <c r="BU229" t="s">
        <v>609</v>
      </c>
      <c r="BV229" t="s">
        <v>86</v>
      </c>
      <c r="BY229">
        <v>1200</v>
      </c>
      <c r="BZ229" t="s">
        <v>27</v>
      </c>
      <c r="CA229" t="s">
        <v>137</v>
      </c>
      <c r="CC229" t="s">
        <v>102</v>
      </c>
      <c r="CD229">
        <v>172</v>
      </c>
      <c r="CE229" t="s">
        <v>88</v>
      </c>
      <c r="CF229" s="3">
        <v>43803</v>
      </c>
      <c r="CI229">
        <v>1</v>
      </c>
      <c r="CJ229">
        <v>1</v>
      </c>
      <c r="CK229">
        <v>21</v>
      </c>
      <c r="CL229" t="s">
        <v>89</v>
      </c>
    </row>
    <row r="230" spans="1:90">
      <c r="A230" t="s">
        <v>72</v>
      </c>
      <c r="B230" t="s">
        <v>73</v>
      </c>
      <c r="C230" t="s">
        <v>74</v>
      </c>
      <c r="E230" t="str">
        <f>"FES1162725849"</f>
        <v>FES1162725849</v>
      </c>
      <c r="F230" s="3">
        <v>43801</v>
      </c>
      <c r="G230">
        <v>202006</v>
      </c>
      <c r="H230" t="s">
        <v>75</v>
      </c>
      <c r="I230" t="s">
        <v>76</v>
      </c>
      <c r="J230" t="s">
        <v>77</v>
      </c>
      <c r="K230" t="s">
        <v>78</v>
      </c>
      <c r="L230" t="s">
        <v>201</v>
      </c>
      <c r="M230" t="s">
        <v>202</v>
      </c>
      <c r="N230" t="s">
        <v>315</v>
      </c>
      <c r="O230" t="s">
        <v>82</v>
      </c>
      <c r="P230" t="str">
        <f>"2170719435                    "</f>
        <v xml:space="preserve">2170719435                    </v>
      </c>
      <c r="Q230">
        <v>0</v>
      </c>
      <c r="R230">
        <v>0</v>
      </c>
      <c r="S230">
        <v>0</v>
      </c>
      <c r="T230">
        <v>0</v>
      </c>
      <c r="U230">
        <v>0</v>
      </c>
      <c r="V230">
        <v>0</v>
      </c>
      <c r="W230">
        <v>0</v>
      </c>
      <c r="X230">
        <v>0</v>
      </c>
      <c r="Y230">
        <v>0</v>
      </c>
      <c r="Z230">
        <v>0</v>
      </c>
      <c r="AA230">
        <v>0</v>
      </c>
      <c r="AB230">
        <v>0</v>
      </c>
      <c r="AC230">
        <v>0</v>
      </c>
      <c r="AD230">
        <v>0</v>
      </c>
      <c r="AE230">
        <v>0</v>
      </c>
      <c r="AF230">
        <v>0</v>
      </c>
      <c r="AG230">
        <v>0</v>
      </c>
      <c r="AH230">
        <v>0</v>
      </c>
      <c r="AI230">
        <v>0</v>
      </c>
      <c r="AJ230">
        <v>0</v>
      </c>
      <c r="AK230">
        <v>0</v>
      </c>
      <c r="AL230">
        <v>0</v>
      </c>
      <c r="AM230">
        <v>8.58</v>
      </c>
      <c r="AN230">
        <v>0</v>
      </c>
      <c r="AO230">
        <v>0</v>
      </c>
      <c r="AP230">
        <v>0</v>
      </c>
      <c r="AQ230">
        <v>0</v>
      </c>
      <c r="AR230">
        <v>0</v>
      </c>
      <c r="AS230">
        <v>0</v>
      </c>
      <c r="AT230">
        <v>0</v>
      </c>
      <c r="AU230">
        <v>0</v>
      </c>
      <c r="AV230">
        <v>0</v>
      </c>
      <c r="AW230">
        <v>0</v>
      </c>
      <c r="AX230">
        <v>0</v>
      </c>
      <c r="AY230">
        <v>0</v>
      </c>
      <c r="AZ230">
        <v>0</v>
      </c>
      <c r="BA230">
        <v>0</v>
      </c>
      <c r="BB230">
        <v>0</v>
      </c>
      <c r="BC230">
        <v>0</v>
      </c>
      <c r="BD230">
        <v>0</v>
      </c>
      <c r="BE230">
        <v>0</v>
      </c>
      <c r="BF230">
        <v>0</v>
      </c>
      <c r="BG230">
        <v>0</v>
      </c>
      <c r="BH230">
        <v>1</v>
      </c>
      <c r="BI230">
        <v>1</v>
      </c>
      <c r="BJ230">
        <v>0.2</v>
      </c>
      <c r="BK230">
        <v>1</v>
      </c>
      <c r="BL230" s="4">
        <v>50.45</v>
      </c>
      <c r="BM230" s="4">
        <v>7.57</v>
      </c>
      <c r="BN230" s="4">
        <v>58.02</v>
      </c>
      <c r="BO230" s="4">
        <v>58.02</v>
      </c>
      <c r="BQ230" t="s">
        <v>610</v>
      </c>
      <c r="BR230" t="s">
        <v>84</v>
      </c>
      <c r="BS230" s="3">
        <v>43802</v>
      </c>
      <c r="BT230" s="5">
        <v>0.40069444444444446</v>
      </c>
      <c r="BU230" t="s">
        <v>611</v>
      </c>
      <c r="BV230" t="s">
        <v>86</v>
      </c>
      <c r="BY230">
        <v>1200</v>
      </c>
      <c r="BZ230" t="s">
        <v>27</v>
      </c>
      <c r="CA230" t="s">
        <v>205</v>
      </c>
      <c r="CC230" t="s">
        <v>202</v>
      </c>
      <c r="CD230">
        <v>3610</v>
      </c>
      <c r="CE230" t="s">
        <v>88</v>
      </c>
      <c r="CI230">
        <v>1</v>
      </c>
      <c r="CJ230">
        <v>1</v>
      </c>
      <c r="CK230">
        <v>21</v>
      </c>
      <c r="CL230" t="s">
        <v>89</v>
      </c>
    </row>
    <row r="231" spans="1:90">
      <c r="A231" t="s">
        <v>72</v>
      </c>
      <c r="B231" t="s">
        <v>73</v>
      </c>
      <c r="C231" t="s">
        <v>74</v>
      </c>
      <c r="E231" t="str">
        <f>"FES1162726047"</f>
        <v>FES1162726047</v>
      </c>
      <c r="F231" s="3">
        <v>43801</v>
      </c>
      <c r="G231">
        <v>202006</v>
      </c>
      <c r="H231" t="s">
        <v>75</v>
      </c>
      <c r="I231" t="s">
        <v>76</v>
      </c>
      <c r="J231" t="s">
        <v>77</v>
      </c>
      <c r="K231" t="s">
        <v>78</v>
      </c>
      <c r="L231" t="s">
        <v>404</v>
      </c>
      <c r="M231" t="s">
        <v>405</v>
      </c>
      <c r="N231" t="s">
        <v>612</v>
      </c>
      <c r="O231" t="s">
        <v>82</v>
      </c>
      <c r="P231" t="str">
        <f>"2170719515                    "</f>
        <v xml:space="preserve">2170719515                    </v>
      </c>
      <c r="Q231">
        <v>0</v>
      </c>
      <c r="R231">
        <v>0</v>
      </c>
      <c r="S231">
        <v>0</v>
      </c>
      <c r="T231">
        <v>0</v>
      </c>
      <c r="U231">
        <v>0</v>
      </c>
      <c r="V231">
        <v>0</v>
      </c>
      <c r="W231">
        <v>0</v>
      </c>
      <c r="X231">
        <v>0</v>
      </c>
      <c r="Y231">
        <v>0</v>
      </c>
      <c r="Z231">
        <v>0</v>
      </c>
      <c r="AA231">
        <v>0</v>
      </c>
      <c r="AB231">
        <v>0</v>
      </c>
      <c r="AC231">
        <v>0</v>
      </c>
      <c r="AD231">
        <v>0</v>
      </c>
      <c r="AE231">
        <v>0</v>
      </c>
      <c r="AF231">
        <v>0</v>
      </c>
      <c r="AG231">
        <v>0</v>
      </c>
      <c r="AH231">
        <v>0</v>
      </c>
      <c r="AI231">
        <v>0</v>
      </c>
      <c r="AJ231">
        <v>0</v>
      </c>
      <c r="AK231">
        <v>0</v>
      </c>
      <c r="AL231">
        <v>0</v>
      </c>
      <c r="AM231">
        <v>8.58</v>
      </c>
      <c r="AN231">
        <v>0</v>
      </c>
      <c r="AO231">
        <v>0</v>
      </c>
      <c r="AP231">
        <v>0</v>
      </c>
      <c r="AQ231">
        <v>0</v>
      </c>
      <c r="AR231">
        <v>0</v>
      </c>
      <c r="AS231">
        <v>0</v>
      </c>
      <c r="AT231">
        <v>0</v>
      </c>
      <c r="AU231">
        <v>0</v>
      </c>
      <c r="AV231">
        <v>0</v>
      </c>
      <c r="AW231">
        <v>0</v>
      </c>
      <c r="AX231">
        <v>0</v>
      </c>
      <c r="AY231">
        <v>0</v>
      </c>
      <c r="AZ231">
        <v>0</v>
      </c>
      <c r="BA231">
        <v>0</v>
      </c>
      <c r="BB231">
        <v>0</v>
      </c>
      <c r="BC231">
        <v>0</v>
      </c>
      <c r="BD231">
        <v>0</v>
      </c>
      <c r="BE231">
        <v>0</v>
      </c>
      <c r="BF231">
        <v>0</v>
      </c>
      <c r="BG231">
        <v>0</v>
      </c>
      <c r="BH231">
        <v>1</v>
      </c>
      <c r="BI231">
        <v>1</v>
      </c>
      <c r="BJ231">
        <v>0.2</v>
      </c>
      <c r="BK231">
        <v>1</v>
      </c>
      <c r="BL231" s="4">
        <v>50.45</v>
      </c>
      <c r="BM231" s="4">
        <v>7.57</v>
      </c>
      <c r="BN231" s="4">
        <v>58.02</v>
      </c>
      <c r="BO231" s="4">
        <v>58.02</v>
      </c>
      <c r="BQ231" t="s">
        <v>93</v>
      </c>
      <c r="BR231" t="s">
        <v>84</v>
      </c>
      <c r="BS231" s="3">
        <v>43802</v>
      </c>
      <c r="BT231" s="5">
        <v>0.3444444444444445</v>
      </c>
      <c r="BU231" t="s">
        <v>613</v>
      </c>
      <c r="BV231" t="s">
        <v>86</v>
      </c>
      <c r="BY231">
        <v>1200</v>
      </c>
      <c r="BZ231" t="s">
        <v>27</v>
      </c>
      <c r="CA231" t="s">
        <v>408</v>
      </c>
      <c r="CC231" t="s">
        <v>405</v>
      </c>
      <c r="CD231">
        <v>4026</v>
      </c>
      <c r="CE231" t="s">
        <v>88</v>
      </c>
      <c r="CI231">
        <v>1</v>
      </c>
      <c r="CJ231">
        <v>1</v>
      </c>
      <c r="CK231">
        <v>21</v>
      </c>
      <c r="CL231" t="s">
        <v>89</v>
      </c>
    </row>
    <row r="232" spans="1:90">
      <c r="A232" t="s">
        <v>72</v>
      </c>
      <c r="B232" t="s">
        <v>73</v>
      </c>
      <c r="C232" t="s">
        <v>74</v>
      </c>
      <c r="E232" t="str">
        <f>"FES1162726423"</f>
        <v>FES1162726423</v>
      </c>
      <c r="F232" s="3">
        <v>43802</v>
      </c>
      <c r="G232">
        <v>202006</v>
      </c>
      <c r="H232" t="s">
        <v>75</v>
      </c>
      <c r="I232" t="s">
        <v>76</v>
      </c>
      <c r="J232" t="s">
        <v>77</v>
      </c>
      <c r="K232" t="s">
        <v>78</v>
      </c>
      <c r="L232" t="s">
        <v>75</v>
      </c>
      <c r="M232" t="s">
        <v>76</v>
      </c>
      <c r="N232" t="s">
        <v>614</v>
      </c>
      <c r="O232" t="s">
        <v>82</v>
      </c>
      <c r="P232" t="str">
        <f>"2170719578                    "</f>
        <v xml:space="preserve">2170719578                    </v>
      </c>
      <c r="Q232">
        <v>0</v>
      </c>
      <c r="R232">
        <v>0</v>
      </c>
      <c r="S232">
        <v>0</v>
      </c>
      <c r="T232">
        <v>0</v>
      </c>
      <c r="U232">
        <v>0</v>
      </c>
      <c r="V232">
        <v>0</v>
      </c>
      <c r="W232">
        <v>0</v>
      </c>
      <c r="X232">
        <v>0</v>
      </c>
      <c r="Y232">
        <v>0</v>
      </c>
      <c r="Z232">
        <v>0</v>
      </c>
      <c r="AA232">
        <v>0</v>
      </c>
      <c r="AB232">
        <v>0</v>
      </c>
      <c r="AC232">
        <v>0</v>
      </c>
      <c r="AD232">
        <v>0</v>
      </c>
      <c r="AE232">
        <v>0</v>
      </c>
      <c r="AF232">
        <v>0</v>
      </c>
      <c r="AG232">
        <v>0</v>
      </c>
      <c r="AH232">
        <v>0</v>
      </c>
      <c r="AI232">
        <v>0</v>
      </c>
      <c r="AJ232">
        <v>0</v>
      </c>
      <c r="AK232">
        <v>0</v>
      </c>
      <c r="AL232">
        <v>0</v>
      </c>
      <c r="AM232">
        <v>6.71</v>
      </c>
      <c r="AN232">
        <v>0</v>
      </c>
      <c r="AO232">
        <v>0</v>
      </c>
      <c r="AP232">
        <v>0</v>
      </c>
      <c r="AQ232">
        <v>0</v>
      </c>
      <c r="AR232">
        <v>0</v>
      </c>
      <c r="AS232">
        <v>0</v>
      </c>
      <c r="AT232">
        <v>0</v>
      </c>
      <c r="AU232">
        <v>0</v>
      </c>
      <c r="AV232">
        <v>0</v>
      </c>
      <c r="AW232">
        <v>0</v>
      </c>
      <c r="AX232">
        <v>0</v>
      </c>
      <c r="AY232">
        <v>0</v>
      </c>
      <c r="AZ232">
        <v>0</v>
      </c>
      <c r="BA232">
        <v>0</v>
      </c>
      <c r="BB232">
        <v>0</v>
      </c>
      <c r="BC232">
        <v>0</v>
      </c>
      <c r="BD232">
        <v>0</v>
      </c>
      <c r="BE232">
        <v>0</v>
      </c>
      <c r="BF232">
        <v>0</v>
      </c>
      <c r="BG232">
        <v>0</v>
      </c>
      <c r="BH232">
        <v>1</v>
      </c>
      <c r="BI232">
        <v>0.9</v>
      </c>
      <c r="BJ232">
        <v>0.9</v>
      </c>
      <c r="BK232">
        <v>1</v>
      </c>
      <c r="BL232" s="4">
        <v>39.42</v>
      </c>
      <c r="BM232" s="4">
        <v>5.91</v>
      </c>
      <c r="BN232" s="4">
        <v>45.33</v>
      </c>
      <c r="BO232" s="4">
        <v>45.33</v>
      </c>
      <c r="BQ232" t="s">
        <v>135</v>
      </c>
      <c r="BR232" t="s">
        <v>84</v>
      </c>
      <c r="BS232" s="3">
        <v>43803</v>
      </c>
      <c r="BT232" s="5">
        <v>0.39583333333333331</v>
      </c>
      <c r="BU232" t="s">
        <v>615</v>
      </c>
      <c r="BV232" t="s">
        <v>86</v>
      </c>
      <c r="BY232">
        <v>4680.58</v>
      </c>
      <c r="CC232" t="s">
        <v>76</v>
      </c>
      <c r="CD232">
        <v>1600</v>
      </c>
      <c r="CE232" t="s">
        <v>96</v>
      </c>
      <c r="CF232" s="3">
        <v>43804</v>
      </c>
      <c r="CI232">
        <v>1</v>
      </c>
      <c r="CJ232">
        <v>1</v>
      </c>
      <c r="CK232">
        <v>22</v>
      </c>
      <c r="CL232" t="s">
        <v>89</v>
      </c>
    </row>
    <row r="233" spans="1:90">
      <c r="A233" t="s">
        <v>72</v>
      </c>
      <c r="B233" t="s">
        <v>73</v>
      </c>
      <c r="C233" t="s">
        <v>74</v>
      </c>
      <c r="E233" t="str">
        <f>"FES1162726008"</f>
        <v>FES1162726008</v>
      </c>
      <c r="F233" s="3">
        <v>43801</v>
      </c>
      <c r="G233">
        <v>202006</v>
      </c>
      <c r="H233" t="s">
        <v>75</v>
      </c>
      <c r="I233" t="s">
        <v>76</v>
      </c>
      <c r="J233" t="s">
        <v>77</v>
      </c>
      <c r="K233" t="s">
        <v>78</v>
      </c>
      <c r="L233" t="s">
        <v>469</v>
      </c>
      <c r="M233" t="s">
        <v>470</v>
      </c>
      <c r="N233" t="s">
        <v>471</v>
      </c>
      <c r="O233" t="s">
        <v>82</v>
      </c>
      <c r="P233" t="str">
        <f>"2170716927                    "</f>
        <v xml:space="preserve">2170716927                    </v>
      </c>
      <c r="Q233">
        <v>0</v>
      </c>
      <c r="R233">
        <v>0</v>
      </c>
      <c r="S233">
        <v>0</v>
      </c>
      <c r="T233">
        <v>0</v>
      </c>
      <c r="U233">
        <v>0</v>
      </c>
      <c r="V233">
        <v>0</v>
      </c>
      <c r="W233">
        <v>0</v>
      </c>
      <c r="X233">
        <v>0</v>
      </c>
      <c r="Y233">
        <v>0</v>
      </c>
      <c r="Z233">
        <v>0</v>
      </c>
      <c r="AA233">
        <v>0</v>
      </c>
      <c r="AB233">
        <v>0</v>
      </c>
      <c r="AC233">
        <v>0</v>
      </c>
      <c r="AD233">
        <v>0</v>
      </c>
      <c r="AE233">
        <v>0</v>
      </c>
      <c r="AF233">
        <v>0</v>
      </c>
      <c r="AG233">
        <v>0</v>
      </c>
      <c r="AH233">
        <v>0</v>
      </c>
      <c r="AI233">
        <v>0</v>
      </c>
      <c r="AJ233">
        <v>0</v>
      </c>
      <c r="AK233">
        <v>0</v>
      </c>
      <c r="AL233">
        <v>0</v>
      </c>
      <c r="AM233">
        <v>16.63</v>
      </c>
      <c r="AN233">
        <v>0</v>
      </c>
      <c r="AO233">
        <v>0</v>
      </c>
      <c r="AP233">
        <v>0</v>
      </c>
      <c r="AQ233">
        <v>0</v>
      </c>
      <c r="AR233">
        <v>0</v>
      </c>
      <c r="AS233">
        <v>0</v>
      </c>
      <c r="AT233">
        <v>0</v>
      </c>
      <c r="AU233">
        <v>0</v>
      </c>
      <c r="AV233">
        <v>0</v>
      </c>
      <c r="AW233">
        <v>0</v>
      </c>
      <c r="AX233">
        <v>0</v>
      </c>
      <c r="AY233">
        <v>0</v>
      </c>
      <c r="AZ233">
        <v>0</v>
      </c>
      <c r="BA233">
        <v>0</v>
      </c>
      <c r="BB233">
        <v>0</v>
      </c>
      <c r="BC233">
        <v>0</v>
      </c>
      <c r="BD233">
        <v>0</v>
      </c>
      <c r="BE233">
        <v>0</v>
      </c>
      <c r="BF233">
        <v>0</v>
      </c>
      <c r="BG233">
        <v>0</v>
      </c>
      <c r="BH233">
        <v>1</v>
      </c>
      <c r="BI233">
        <v>1</v>
      </c>
      <c r="BJ233">
        <v>0.2</v>
      </c>
      <c r="BK233">
        <v>1</v>
      </c>
      <c r="BL233" s="4">
        <v>97.75</v>
      </c>
      <c r="BM233" s="4">
        <v>14.66</v>
      </c>
      <c r="BN233" s="4">
        <v>112.41</v>
      </c>
      <c r="BO233" s="4">
        <v>112.41</v>
      </c>
      <c r="BQ233" t="s">
        <v>147</v>
      </c>
      <c r="BR233" t="s">
        <v>84</v>
      </c>
      <c r="BS233" s="3">
        <v>43802</v>
      </c>
      <c r="BT233" s="5">
        <v>0.39583333333333331</v>
      </c>
      <c r="BU233" t="s">
        <v>472</v>
      </c>
      <c r="BV233" t="s">
        <v>86</v>
      </c>
      <c r="BY233">
        <v>1200</v>
      </c>
      <c r="BZ233" t="s">
        <v>27</v>
      </c>
      <c r="CC233" t="s">
        <v>470</v>
      </c>
      <c r="CD233">
        <v>9880</v>
      </c>
      <c r="CE233" t="s">
        <v>88</v>
      </c>
      <c r="CF233" s="3">
        <v>43804</v>
      </c>
      <c r="CI233">
        <v>1</v>
      </c>
      <c r="CJ233">
        <v>1</v>
      </c>
      <c r="CK233">
        <v>23</v>
      </c>
      <c r="CL233" t="s">
        <v>89</v>
      </c>
    </row>
    <row r="234" spans="1:90">
      <c r="A234" t="s">
        <v>72</v>
      </c>
      <c r="B234" t="s">
        <v>73</v>
      </c>
      <c r="C234" t="s">
        <v>74</v>
      </c>
      <c r="E234" t="str">
        <f>"FES1162726447"</f>
        <v>FES1162726447</v>
      </c>
      <c r="F234" s="3">
        <v>43802</v>
      </c>
      <c r="G234">
        <v>202006</v>
      </c>
      <c r="H234" t="s">
        <v>75</v>
      </c>
      <c r="I234" t="s">
        <v>76</v>
      </c>
      <c r="J234" t="s">
        <v>77</v>
      </c>
      <c r="K234" t="s">
        <v>78</v>
      </c>
      <c r="L234" t="s">
        <v>198</v>
      </c>
      <c r="M234" t="s">
        <v>199</v>
      </c>
      <c r="N234" t="s">
        <v>210</v>
      </c>
      <c r="O234" t="s">
        <v>82</v>
      </c>
      <c r="P234" t="str">
        <f>"2170719855                    "</f>
        <v xml:space="preserve">2170719855                    </v>
      </c>
      <c r="Q234">
        <v>0</v>
      </c>
      <c r="R234">
        <v>0</v>
      </c>
      <c r="S234">
        <v>0</v>
      </c>
      <c r="T234">
        <v>0</v>
      </c>
      <c r="U234">
        <v>0</v>
      </c>
      <c r="V234">
        <v>0</v>
      </c>
      <c r="W234">
        <v>0</v>
      </c>
      <c r="X234">
        <v>0</v>
      </c>
      <c r="Y234">
        <v>0</v>
      </c>
      <c r="Z234">
        <v>0</v>
      </c>
      <c r="AA234">
        <v>0</v>
      </c>
      <c r="AB234">
        <v>0</v>
      </c>
      <c r="AC234">
        <v>0</v>
      </c>
      <c r="AD234">
        <v>0</v>
      </c>
      <c r="AE234">
        <v>0</v>
      </c>
      <c r="AF234">
        <v>0</v>
      </c>
      <c r="AG234">
        <v>0</v>
      </c>
      <c r="AH234">
        <v>0</v>
      </c>
      <c r="AI234">
        <v>0</v>
      </c>
      <c r="AJ234">
        <v>0</v>
      </c>
      <c r="AK234">
        <v>0</v>
      </c>
      <c r="AL234">
        <v>0</v>
      </c>
      <c r="AM234">
        <v>15.02</v>
      </c>
      <c r="AN234">
        <v>0</v>
      </c>
      <c r="AO234">
        <v>0</v>
      </c>
      <c r="AP234">
        <v>0</v>
      </c>
      <c r="AQ234">
        <v>0</v>
      </c>
      <c r="AR234">
        <v>0</v>
      </c>
      <c r="AS234">
        <v>0</v>
      </c>
      <c r="AT234">
        <v>0</v>
      </c>
      <c r="AU234">
        <v>0</v>
      </c>
      <c r="AV234">
        <v>0</v>
      </c>
      <c r="AW234">
        <v>0</v>
      </c>
      <c r="AX234">
        <v>0</v>
      </c>
      <c r="AY234">
        <v>0</v>
      </c>
      <c r="AZ234">
        <v>0</v>
      </c>
      <c r="BA234">
        <v>0</v>
      </c>
      <c r="BB234">
        <v>0</v>
      </c>
      <c r="BC234">
        <v>0</v>
      </c>
      <c r="BD234">
        <v>0</v>
      </c>
      <c r="BE234">
        <v>0</v>
      </c>
      <c r="BF234">
        <v>0</v>
      </c>
      <c r="BG234">
        <v>0</v>
      </c>
      <c r="BH234">
        <v>1</v>
      </c>
      <c r="BI234">
        <v>3.3</v>
      </c>
      <c r="BJ234">
        <v>1.6</v>
      </c>
      <c r="BK234">
        <v>3.5</v>
      </c>
      <c r="BL234" s="4">
        <v>88.27</v>
      </c>
      <c r="BM234" s="4">
        <v>13.24</v>
      </c>
      <c r="BN234" s="4">
        <v>101.51</v>
      </c>
      <c r="BO234" s="4">
        <v>101.51</v>
      </c>
      <c r="BQ234" t="s">
        <v>93</v>
      </c>
      <c r="BR234" t="s">
        <v>84</v>
      </c>
      <c r="BS234" s="3">
        <v>43803</v>
      </c>
      <c r="BT234" s="5">
        <v>0.3527777777777778</v>
      </c>
      <c r="BU234" t="s">
        <v>211</v>
      </c>
      <c r="BV234" t="s">
        <v>86</v>
      </c>
      <c r="BY234">
        <v>8015.95</v>
      </c>
      <c r="CA234" t="s">
        <v>212</v>
      </c>
      <c r="CC234" t="s">
        <v>199</v>
      </c>
      <c r="CD234">
        <v>4302</v>
      </c>
      <c r="CE234" t="s">
        <v>96</v>
      </c>
      <c r="CF234" s="3">
        <v>43804</v>
      </c>
      <c r="CI234">
        <v>1</v>
      </c>
      <c r="CJ234">
        <v>1</v>
      </c>
      <c r="CK234">
        <v>21</v>
      </c>
      <c r="CL234" t="s">
        <v>89</v>
      </c>
    </row>
    <row r="235" spans="1:90">
      <c r="A235" t="s">
        <v>72</v>
      </c>
      <c r="B235" t="s">
        <v>73</v>
      </c>
      <c r="C235" t="s">
        <v>74</v>
      </c>
      <c r="E235" t="str">
        <f>"FES1162726019"</f>
        <v>FES1162726019</v>
      </c>
      <c r="F235" s="3">
        <v>43801</v>
      </c>
      <c r="G235">
        <v>202006</v>
      </c>
      <c r="H235" t="s">
        <v>75</v>
      </c>
      <c r="I235" t="s">
        <v>76</v>
      </c>
      <c r="J235" t="s">
        <v>77</v>
      </c>
      <c r="K235" t="s">
        <v>78</v>
      </c>
      <c r="L235" t="s">
        <v>221</v>
      </c>
      <c r="M235" t="s">
        <v>222</v>
      </c>
      <c r="N235" t="s">
        <v>465</v>
      </c>
      <c r="O235" t="s">
        <v>82</v>
      </c>
      <c r="P235" t="str">
        <f>"2170717758                    "</f>
        <v xml:space="preserve">2170717758                    </v>
      </c>
      <c r="Q235">
        <v>0</v>
      </c>
      <c r="R235">
        <v>0</v>
      </c>
      <c r="S235">
        <v>0</v>
      </c>
      <c r="T235">
        <v>0</v>
      </c>
      <c r="U235">
        <v>0</v>
      </c>
      <c r="V235">
        <v>0</v>
      </c>
      <c r="W235">
        <v>0</v>
      </c>
      <c r="X235">
        <v>0</v>
      </c>
      <c r="Y235">
        <v>0</v>
      </c>
      <c r="Z235">
        <v>0</v>
      </c>
      <c r="AA235">
        <v>0</v>
      </c>
      <c r="AB235">
        <v>0</v>
      </c>
      <c r="AC235">
        <v>0</v>
      </c>
      <c r="AD235">
        <v>0</v>
      </c>
      <c r="AE235">
        <v>0</v>
      </c>
      <c r="AF235">
        <v>0</v>
      </c>
      <c r="AG235">
        <v>0</v>
      </c>
      <c r="AH235">
        <v>0</v>
      </c>
      <c r="AI235">
        <v>0</v>
      </c>
      <c r="AJ235">
        <v>0</v>
      </c>
      <c r="AK235">
        <v>0</v>
      </c>
      <c r="AL235">
        <v>0</v>
      </c>
      <c r="AM235">
        <v>8.58</v>
      </c>
      <c r="AN235">
        <v>0</v>
      </c>
      <c r="AO235">
        <v>0</v>
      </c>
      <c r="AP235">
        <v>0</v>
      </c>
      <c r="AQ235">
        <v>0</v>
      </c>
      <c r="AR235">
        <v>0</v>
      </c>
      <c r="AS235">
        <v>0</v>
      </c>
      <c r="AT235">
        <v>0</v>
      </c>
      <c r="AU235">
        <v>0</v>
      </c>
      <c r="AV235">
        <v>0</v>
      </c>
      <c r="AW235">
        <v>0</v>
      </c>
      <c r="AX235">
        <v>0</v>
      </c>
      <c r="AY235">
        <v>0</v>
      </c>
      <c r="AZ235">
        <v>0</v>
      </c>
      <c r="BA235">
        <v>0</v>
      </c>
      <c r="BB235">
        <v>0</v>
      </c>
      <c r="BC235">
        <v>0</v>
      </c>
      <c r="BD235">
        <v>0</v>
      </c>
      <c r="BE235">
        <v>0</v>
      </c>
      <c r="BF235">
        <v>0</v>
      </c>
      <c r="BG235">
        <v>0</v>
      </c>
      <c r="BH235">
        <v>1</v>
      </c>
      <c r="BI235">
        <v>1</v>
      </c>
      <c r="BJ235">
        <v>0.2</v>
      </c>
      <c r="BK235">
        <v>1</v>
      </c>
      <c r="BL235" s="4">
        <v>50.45</v>
      </c>
      <c r="BM235" s="4">
        <v>7.57</v>
      </c>
      <c r="BN235" s="4">
        <v>58.02</v>
      </c>
      <c r="BO235" s="4">
        <v>58.02</v>
      </c>
      <c r="BQ235" t="s">
        <v>466</v>
      </c>
      <c r="BR235" t="s">
        <v>84</v>
      </c>
      <c r="BS235" s="3">
        <v>43802</v>
      </c>
      <c r="BT235" s="5">
        <v>0.39583333333333331</v>
      </c>
      <c r="BU235" t="s">
        <v>616</v>
      </c>
      <c r="BV235" t="s">
        <v>86</v>
      </c>
      <c r="BY235">
        <v>1200</v>
      </c>
      <c r="BZ235" t="s">
        <v>27</v>
      </c>
      <c r="CA235" t="s">
        <v>468</v>
      </c>
      <c r="CC235" t="s">
        <v>222</v>
      </c>
      <c r="CD235">
        <v>3201</v>
      </c>
      <c r="CE235" t="s">
        <v>88</v>
      </c>
      <c r="CF235" s="3">
        <v>43803</v>
      </c>
      <c r="CI235">
        <v>1</v>
      </c>
      <c r="CJ235">
        <v>1</v>
      </c>
      <c r="CK235">
        <v>21</v>
      </c>
      <c r="CL235" t="s">
        <v>89</v>
      </c>
    </row>
    <row r="236" spans="1:90">
      <c r="A236" t="s">
        <v>72</v>
      </c>
      <c r="B236" t="s">
        <v>73</v>
      </c>
      <c r="C236" t="s">
        <v>74</v>
      </c>
      <c r="E236" t="str">
        <f>"FES1162726377"</f>
        <v>FES1162726377</v>
      </c>
      <c r="F236" s="3">
        <v>43802</v>
      </c>
      <c r="G236">
        <v>202006</v>
      </c>
      <c r="H236" t="s">
        <v>75</v>
      </c>
      <c r="I236" t="s">
        <v>76</v>
      </c>
      <c r="J236" t="s">
        <v>77</v>
      </c>
      <c r="K236" t="s">
        <v>78</v>
      </c>
      <c r="L236" t="s">
        <v>515</v>
      </c>
      <c r="M236" t="s">
        <v>516</v>
      </c>
      <c r="N236" t="s">
        <v>517</v>
      </c>
      <c r="O236" t="s">
        <v>82</v>
      </c>
      <c r="P236" t="str">
        <f>"2170716777                    "</f>
        <v xml:space="preserve">2170716777                    </v>
      </c>
      <c r="Q236">
        <v>0</v>
      </c>
      <c r="R236">
        <v>0</v>
      </c>
      <c r="S236">
        <v>0</v>
      </c>
      <c r="T236">
        <v>0</v>
      </c>
      <c r="U236">
        <v>0</v>
      </c>
      <c r="V236">
        <v>0</v>
      </c>
      <c r="W236">
        <v>0</v>
      </c>
      <c r="X236">
        <v>0</v>
      </c>
      <c r="Y236">
        <v>0</v>
      </c>
      <c r="Z236">
        <v>0</v>
      </c>
      <c r="AA236">
        <v>0</v>
      </c>
      <c r="AB236">
        <v>0</v>
      </c>
      <c r="AC236">
        <v>0</v>
      </c>
      <c r="AD236">
        <v>0</v>
      </c>
      <c r="AE236">
        <v>0</v>
      </c>
      <c r="AF236">
        <v>0</v>
      </c>
      <c r="AG236">
        <v>0</v>
      </c>
      <c r="AH236">
        <v>0</v>
      </c>
      <c r="AI236">
        <v>0</v>
      </c>
      <c r="AJ236">
        <v>0</v>
      </c>
      <c r="AK236">
        <v>0</v>
      </c>
      <c r="AL236">
        <v>0</v>
      </c>
      <c r="AM236">
        <v>15.02</v>
      </c>
      <c r="AN236">
        <v>0</v>
      </c>
      <c r="AO236">
        <v>0</v>
      </c>
      <c r="AP236">
        <v>0</v>
      </c>
      <c r="AQ236">
        <v>0</v>
      </c>
      <c r="AR236">
        <v>0</v>
      </c>
      <c r="AS236">
        <v>0</v>
      </c>
      <c r="AT236">
        <v>0</v>
      </c>
      <c r="AU236">
        <v>0</v>
      </c>
      <c r="AV236">
        <v>0</v>
      </c>
      <c r="AW236">
        <v>0</v>
      </c>
      <c r="AX236">
        <v>0</v>
      </c>
      <c r="AY236">
        <v>0</v>
      </c>
      <c r="AZ236">
        <v>0</v>
      </c>
      <c r="BA236">
        <v>0</v>
      </c>
      <c r="BB236">
        <v>0</v>
      </c>
      <c r="BC236">
        <v>0</v>
      </c>
      <c r="BD236">
        <v>0</v>
      </c>
      <c r="BE236">
        <v>0</v>
      </c>
      <c r="BF236">
        <v>0</v>
      </c>
      <c r="BG236">
        <v>0</v>
      </c>
      <c r="BH236">
        <v>1</v>
      </c>
      <c r="BI236">
        <v>3.4</v>
      </c>
      <c r="BJ236">
        <v>1.3</v>
      </c>
      <c r="BK236">
        <v>3.5</v>
      </c>
      <c r="BL236" s="4">
        <v>88.27</v>
      </c>
      <c r="BM236" s="4">
        <v>13.24</v>
      </c>
      <c r="BN236" s="4">
        <v>101.51</v>
      </c>
      <c r="BO236" s="4">
        <v>101.51</v>
      </c>
      <c r="BQ236" t="s">
        <v>147</v>
      </c>
      <c r="BR236" t="s">
        <v>84</v>
      </c>
      <c r="BS236" s="3">
        <v>43804</v>
      </c>
      <c r="BT236" s="5">
        <v>0.72916666666666663</v>
      </c>
      <c r="BU236" t="s">
        <v>617</v>
      </c>
      <c r="BV236" t="s">
        <v>89</v>
      </c>
      <c r="BW236" t="s">
        <v>618</v>
      </c>
      <c r="BX236" t="s">
        <v>619</v>
      </c>
      <c r="BY236">
        <v>6338.28</v>
      </c>
      <c r="CA236" t="s">
        <v>620</v>
      </c>
      <c r="CC236" t="s">
        <v>516</v>
      </c>
      <c r="CD236">
        <v>4300</v>
      </c>
      <c r="CE236" t="s">
        <v>96</v>
      </c>
      <c r="CF236" s="3">
        <v>43808</v>
      </c>
      <c r="CI236">
        <v>1</v>
      </c>
      <c r="CJ236">
        <v>2</v>
      </c>
      <c r="CK236">
        <v>21</v>
      </c>
      <c r="CL236" t="s">
        <v>89</v>
      </c>
    </row>
    <row r="237" spans="1:90">
      <c r="A237" t="s">
        <v>72</v>
      </c>
      <c r="B237" t="s">
        <v>73</v>
      </c>
      <c r="C237" t="s">
        <v>74</v>
      </c>
      <c r="E237" t="str">
        <f>"FES1162726354"</f>
        <v>FES1162726354</v>
      </c>
      <c r="F237" s="3">
        <v>43802</v>
      </c>
      <c r="G237">
        <v>202006</v>
      </c>
      <c r="H237" t="s">
        <v>75</v>
      </c>
      <c r="I237" t="s">
        <v>76</v>
      </c>
      <c r="J237" t="s">
        <v>77</v>
      </c>
      <c r="K237" t="s">
        <v>78</v>
      </c>
      <c r="L237" t="s">
        <v>198</v>
      </c>
      <c r="M237" t="s">
        <v>199</v>
      </c>
      <c r="N237" t="s">
        <v>297</v>
      </c>
      <c r="O237" t="s">
        <v>82</v>
      </c>
      <c r="P237" t="str">
        <f>"21707198 53                   "</f>
        <v xml:space="preserve">21707198 53                   </v>
      </c>
      <c r="Q237">
        <v>0</v>
      </c>
      <c r="R237">
        <v>0</v>
      </c>
      <c r="S237">
        <v>0</v>
      </c>
      <c r="T237">
        <v>0</v>
      </c>
      <c r="U237">
        <v>0</v>
      </c>
      <c r="V237">
        <v>0</v>
      </c>
      <c r="W237">
        <v>0</v>
      </c>
      <c r="X237">
        <v>0</v>
      </c>
      <c r="Y237">
        <v>0</v>
      </c>
      <c r="Z237">
        <v>0</v>
      </c>
      <c r="AA237">
        <v>0</v>
      </c>
      <c r="AB237">
        <v>0</v>
      </c>
      <c r="AC237">
        <v>0</v>
      </c>
      <c r="AD237">
        <v>0</v>
      </c>
      <c r="AE237">
        <v>0</v>
      </c>
      <c r="AF237">
        <v>0</v>
      </c>
      <c r="AG237">
        <v>0</v>
      </c>
      <c r="AH237">
        <v>0</v>
      </c>
      <c r="AI237">
        <v>0</v>
      </c>
      <c r="AJ237">
        <v>0</v>
      </c>
      <c r="AK237">
        <v>0</v>
      </c>
      <c r="AL237">
        <v>0</v>
      </c>
      <c r="AM237">
        <v>10.73</v>
      </c>
      <c r="AN237">
        <v>0</v>
      </c>
      <c r="AO237">
        <v>0</v>
      </c>
      <c r="AP237">
        <v>0</v>
      </c>
      <c r="AQ237">
        <v>0</v>
      </c>
      <c r="AR237">
        <v>0</v>
      </c>
      <c r="AS237">
        <v>0</v>
      </c>
      <c r="AT237">
        <v>0</v>
      </c>
      <c r="AU237">
        <v>0</v>
      </c>
      <c r="AV237">
        <v>0</v>
      </c>
      <c r="AW237">
        <v>0</v>
      </c>
      <c r="AX237">
        <v>0</v>
      </c>
      <c r="AY237">
        <v>0</v>
      </c>
      <c r="AZ237">
        <v>0</v>
      </c>
      <c r="BA237">
        <v>0</v>
      </c>
      <c r="BB237">
        <v>0</v>
      </c>
      <c r="BC237">
        <v>0</v>
      </c>
      <c r="BD237">
        <v>0</v>
      </c>
      <c r="BE237">
        <v>0</v>
      </c>
      <c r="BF237">
        <v>0</v>
      </c>
      <c r="BG237">
        <v>0</v>
      </c>
      <c r="BH237">
        <v>1</v>
      </c>
      <c r="BI237">
        <v>2.2999999999999998</v>
      </c>
      <c r="BJ237">
        <v>1</v>
      </c>
      <c r="BK237">
        <v>2.5</v>
      </c>
      <c r="BL237" s="4">
        <v>63.06</v>
      </c>
      <c r="BM237" s="4">
        <v>9.4600000000000009</v>
      </c>
      <c r="BN237" s="4">
        <v>72.52</v>
      </c>
      <c r="BO237" s="4">
        <v>72.52</v>
      </c>
      <c r="BQ237" t="s">
        <v>172</v>
      </c>
      <c r="BR237" t="s">
        <v>84</v>
      </c>
      <c r="BS237" s="3">
        <v>43803</v>
      </c>
      <c r="BT237" s="5">
        <v>0.36805555555555558</v>
      </c>
      <c r="BU237" t="s">
        <v>542</v>
      </c>
      <c r="BV237" t="s">
        <v>86</v>
      </c>
      <c r="BY237">
        <v>4887.9399999999996</v>
      </c>
      <c r="CA237" t="s">
        <v>299</v>
      </c>
      <c r="CC237" t="s">
        <v>199</v>
      </c>
      <c r="CD237">
        <v>4000</v>
      </c>
      <c r="CE237" t="s">
        <v>96</v>
      </c>
      <c r="CF237" s="3">
        <v>43804</v>
      </c>
      <c r="CI237">
        <v>1</v>
      </c>
      <c r="CJ237">
        <v>1</v>
      </c>
      <c r="CK237">
        <v>21</v>
      </c>
      <c r="CL237" t="s">
        <v>89</v>
      </c>
    </row>
    <row r="238" spans="1:90">
      <c r="A238" t="s">
        <v>72</v>
      </c>
      <c r="B238" t="s">
        <v>73</v>
      </c>
      <c r="C238" t="s">
        <v>74</v>
      </c>
      <c r="E238" t="str">
        <f>"FES1162726307"</f>
        <v>FES1162726307</v>
      </c>
      <c r="F238" s="3">
        <v>43801</v>
      </c>
      <c r="G238">
        <v>202006</v>
      </c>
      <c r="H238" t="s">
        <v>75</v>
      </c>
      <c r="I238" t="s">
        <v>76</v>
      </c>
      <c r="J238" t="s">
        <v>77</v>
      </c>
      <c r="K238" t="s">
        <v>78</v>
      </c>
      <c r="L238" t="s">
        <v>79</v>
      </c>
      <c r="M238" t="s">
        <v>80</v>
      </c>
      <c r="N238" t="s">
        <v>300</v>
      </c>
      <c r="O238" t="s">
        <v>82</v>
      </c>
      <c r="P238" t="str">
        <f>"2170719817                    "</f>
        <v xml:space="preserve">2170719817                    </v>
      </c>
      <c r="Q238">
        <v>0</v>
      </c>
      <c r="R238">
        <v>0</v>
      </c>
      <c r="S238">
        <v>0</v>
      </c>
      <c r="T238">
        <v>0</v>
      </c>
      <c r="U238">
        <v>0</v>
      </c>
      <c r="V238">
        <v>0</v>
      </c>
      <c r="W238">
        <v>0</v>
      </c>
      <c r="X238">
        <v>0</v>
      </c>
      <c r="Y238">
        <v>0</v>
      </c>
      <c r="Z238">
        <v>0</v>
      </c>
      <c r="AA238">
        <v>0</v>
      </c>
      <c r="AB238">
        <v>0</v>
      </c>
      <c r="AC238">
        <v>0</v>
      </c>
      <c r="AD238">
        <v>0</v>
      </c>
      <c r="AE238">
        <v>0</v>
      </c>
      <c r="AF238">
        <v>0</v>
      </c>
      <c r="AG238">
        <v>0</v>
      </c>
      <c r="AH238">
        <v>0</v>
      </c>
      <c r="AI238">
        <v>0</v>
      </c>
      <c r="AJ238">
        <v>0</v>
      </c>
      <c r="AK238">
        <v>0</v>
      </c>
      <c r="AL238">
        <v>0</v>
      </c>
      <c r="AM238">
        <v>12.87</v>
      </c>
      <c r="AN238">
        <v>0</v>
      </c>
      <c r="AO238">
        <v>0</v>
      </c>
      <c r="AP238">
        <v>0</v>
      </c>
      <c r="AQ238">
        <v>0</v>
      </c>
      <c r="AR238">
        <v>0</v>
      </c>
      <c r="AS238">
        <v>0</v>
      </c>
      <c r="AT238">
        <v>0</v>
      </c>
      <c r="AU238">
        <v>0</v>
      </c>
      <c r="AV238">
        <v>0</v>
      </c>
      <c r="AW238">
        <v>0</v>
      </c>
      <c r="AX238">
        <v>0</v>
      </c>
      <c r="AY238">
        <v>0</v>
      </c>
      <c r="AZ238">
        <v>0</v>
      </c>
      <c r="BA238">
        <v>0</v>
      </c>
      <c r="BB238">
        <v>0</v>
      </c>
      <c r="BC238">
        <v>0</v>
      </c>
      <c r="BD238">
        <v>0</v>
      </c>
      <c r="BE238">
        <v>0</v>
      </c>
      <c r="BF238">
        <v>0</v>
      </c>
      <c r="BG238">
        <v>0</v>
      </c>
      <c r="BH238">
        <v>1</v>
      </c>
      <c r="BI238">
        <v>2.6</v>
      </c>
      <c r="BJ238">
        <v>1.8</v>
      </c>
      <c r="BK238">
        <v>3</v>
      </c>
      <c r="BL238" s="4">
        <v>75.66</v>
      </c>
      <c r="BM238" s="4">
        <v>11.35</v>
      </c>
      <c r="BN238" s="4">
        <v>87.01</v>
      </c>
      <c r="BO238" s="4">
        <v>87.01</v>
      </c>
      <c r="BQ238" t="s">
        <v>147</v>
      </c>
      <c r="BR238" t="s">
        <v>84</v>
      </c>
      <c r="BS238" s="3">
        <v>43802</v>
      </c>
      <c r="BT238" s="5">
        <v>0.375</v>
      </c>
      <c r="BU238" t="s">
        <v>301</v>
      </c>
      <c r="BV238" t="s">
        <v>86</v>
      </c>
      <c r="BY238">
        <v>8832.82</v>
      </c>
      <c r="CA238" t="s">
        <v>302</v>
      </c>
      <c r="CC238" t="s">
        <v>80</v>
      </c>
      <c r="CD238">
        <v>6001</v>
      </c>
      <c r="CE238" t="s">
        <v>96</v>
      </c>
      <c r="CF238" s="3">
        <v>43804</v>
      </c>
      <c r="CI238">
        <v>1</v>
      </c>
      <c r="CJ238">
        <v>1</v>
      </c>
      <c r="CK238">
        <v>21</v>
      </c>
      <c r="CL238" t="s">
        <v>89</v>
      </c>
    </row>
    <row r="239" spans="1:90">
      <c r="A239" t="s">
        <v>72</v>
      </c>
      <c r="B239" t="s">
        <v>73</v>
      </c>
      <c r="C239" t="s">
        <v>74</v>
      </c>
      <c r="E239" t="str">
        <f>"FES1162726442"</f>
        <v>FES1162726442</v>
      </c>
      <c r="F239" s="3">
        <v>43802</v>
      </c>
      <c r="G239">
        <v>202006</v>
      </c>
      <c r="H239" t="s">
        <v>75</v>
      </c>
      <c r="I239" t="s">
        <v>76</v>
      </c>
      <c r="J239" t="s">
        <v>77</v>
      </c>
      <c r="K239" t="s">
        <v>78</v>
      </c>
      <c r="L239" t="s">
        <v>332</v>
      </c>
      <c r="M239" t="s">
        <v>333</v>
      </c>
      <c r="N239" t="s">
        <v>621</v>
      </c>
      <c r="O239" t="s">
        <v>82</v>
      </c>
      <c r="P239" t="str">
        <f>"2170719813                    "</f>
        <v xml:space="preserve">2170719813                    </v>
      </c>
      <c r="Q239">
        <v>0</v>
      </c>
      <c r="R239">
        <v>0</v>
      </c>
      <c r="S239">
        <v>0</v>
      </c>
      <c r="T239">
        <v>0</v>
      </c>
      <c r="U239">
        <v>0</v>
      </c>
      <c r="V239">
        <v>0</v>
      </c>
      <c r="W239">
        <v>0</v>
      </c>
      <c r="X239">
        <v>0</v>
      </c>
      <c r="Y239">
        <v>0</v>
      </c>
      <c r="Z239">
        <v>0</v>
      </c>
      <c r="AA239">
        <v>0</v>
      </c>
      <c r="AB239">
        <v>0</v>
      </c>
      <c r="AC239">
        <v>0</v>
      </c>
      <c r="AD239">
        <v>0</v>
      </c>
      <c r="AE239">
        <v>0</v>
      </c>
      <c r="AF239">
        <v>0</v>
      </c>
      <c r="AG239">
        <v>0</v>
      </c>
      <c r="AH239">
        <v>0</v>
      </c>
      <c r="AI239">
        <v>0</v>
      </c>
      <c r="AJ239">
        <v>0</v>
      </c>
      <c r="AK239">
        <v>0</v>
      </c>
      <c r="AL239">
        <v>0</v>
      </c>
      <c r="AM239">
        <v>6.71</v>
      </c>
      <c r="AN239">
        <v>0</v>
      </c>
      <c r="AO239">
        <v>0</v>
      </c>
      <c r="AP239">
        <v>0</v>
      </c>
      <c r="AQ239">
        <v>0</v>
      </c>
      <c r="AR239">
        <v>0</v>
      </c>
      <c r="AS239">
        <v>0</v>
      </c>
      <c r="AT239">
        <v>0</v>
      </c>
      <c r="AU239">
        <v>0</v>
      </c>
      <c r="AV239">
        <v>0</v>
      </c>
      <c r="AW239">
        <v>0</v>
      </c>
      <c r="AX239">
        <v>0</v>
      </c>
      <c r="AY239">
        <v>0</v>
      </c>
      <c r="AZ239">
        <v>0</v>
      </c>
      <c r="BA239">
        <v>0</v>
      </c>
      <c r="BB239">
        <v>0</v>
      </c>
      <c r="BC239">
        <v>0</v>
      </c>
      <c r="BD239">
        <v>0</v>
      </c>
      <c r="BE239">
        <v>0</v>
      </c>
      <c r="BF239">
        <v>0</v>
      </c>
      <c r="BG239">
        <v>0</v>
      </c>
      <c r="BH239">
        <v>1</v>
      </c>
      <c r="BI239">
        <v>1</v>
      </c>
      <c r="BJ239">
        <v>0.2</v>
      </c>
      <c r="BK239">
        <v>1</v>
      </c>
      <c r="BL239" s="4">
        <v>39.42</v>
      </c>
      <c r="BM239" s="4">
        <v>5.91</v>
      </c>
      <c r="BN239" s="4">
        <v>45.33</v>
      </c>
      <c r="BO239" s="4">
        <v>45.33</v>
      </c>
      <c r="BQ239" t="s">
        <v>622</v>
      </c>
      <c r="BR239" t="s">
        <v>84</v>
      </c>
      <c r="BS239" s="3">
        <v>43803</v>
      </c>
      <c r="BT239" s="5">
        <v>0.33333333333333331</v>
      </c>
      <c r="BU239" t="s">
        <v>623</v>
      </c>
      <c r="BV239" t="s">
        <v>86</v>
      </c>
      <c r="BY239">
        <v>1200</v>
      </c>
      <c r="CA239" t="s">
        <v>624</v>
      </c>
      <c r="CC239" t="s">
        <v>333</v>
      </c>
      <c r="CD239">
        <v>2090</v>
      </c>
      <c r="CE239" t="s">
        <v>88</v>
      </c>
      <c r="CF239" s="3">
        <v>43804</v>
      </c>
      <c r="CI239">
        <v>1</v>
      </c>
      <c r="CJ239">
        <v>1</v>
      </c>
      <c r="CK239">
        <v>22</v>
      </c>
      <c r="CL239" t="s">
        <v>89</v>
      </c>
    </row>
    <row r="240" spans="1:90">
      <c r="A240" t="s">
        <v>72</v>
      </c>
      <c r="B240" t="s">
        <v>73</v>
      </c>
      <c r="C240" t="s">
        <v>74</v>
      </c>
      <c r="E240" t="str">
        <f>"FES1162726209"</f>
        <v>FES1162726209</v>
      </c>
      <c r="F240" s="3">
        <v>43801</v>
      </c>
      <c r="G240">
        <v>202006</v>
      </c>
      <c r="H240" t="s">
        <v>75</v>
      </c>
      <c r="I240" t="s">
        <v>76</v>
      </c>
      <c r="J240" t="s">
        <v>77</v>
      </c>
      <c r="K240" t="s">
        <v>78</v>
      </c>
      <c r="L240" t="s">
        <v>169</v>
      </c>
      <c r="M240" t="s">
        <v>170</v>
      </c>
      <c r="N240" t="s">
        <v>248</v>
      </c>
      <c r="O240" t="s">
        <v>82</v>
      </c>
      <c r="P240" t="str">
        <f>"2170715073                    "</f>
        <v xml:space="preserve">2170715073                    </v>
      </c>
      <c r="Q240">
        <v>0</v>
      </c>
      <c r="R240">
        <v>0</v>
      </c>
      <c r="S240">
        <v>0</v>
      </c>
      <c r="T240">
        <v>0</v>
      </c>
      <c r="U240">
        <v>0</v>
      </c>
      <c r="V240">
        <v>0</v>
      </c>
      <c r="W240">
        <v>0</v>
      </c>
      <c r="X240">
        <v>0</v>
      </c>
      <c r="Y240">
        <v>0</v>
      </c>
      <c r="Z240">
        <v>0</v>
      </c>
      <c r="AA240">
        <v>0</v>
      </c>
      <c r="AB240">
        <v>0</v>
      </c>
      <c r="AC240">
        <v>0</v>
      </c>
      <c r="AD240">
        <v>0</v>
      </c>
      <c r="AE240">
        <v>0</v>
      </c>
      <c r="AF240">
        <v>0</v>
      </c>
      <c r="AG240">
        <v>0</v>
      </c>
      <c r="AH240">
        <v>0</v>
      </c>
      <c r="AI240">
        <v>0</v>
      </c>
      <c r="AJ240">
        <v>0</v>
      </c>
      <c r="AK240">
        <v>0</v>
      </c>
      <c r="AL240">
        <v>0</v>
      </c>
      <c r="AM240">
        <v>6.71</v>
      </c>
      <c r="AN240">
        <v>0</v>
      </c>
      <c r="AO240">
        <v>0</v>
      </c>
      <c r="AP240">
        <v>0</v>
      </c>
      <c r="AQ240">
        <v>0</v>
      </c>
      <c r="AR240">
        <v>0</v>
      </c>
      <c r="AS240">
        <v>0</v>
      </c>
      <c r="AT240">
        <v>0</v>
      </c>
      <c r="AU240">
        <v>0</v>
      </c>
      <c r="AV240">
        <v>0</v>
      </c>
      <c r="AW240">
        <v>0</v>
      </c>
      <c r="AX240">
        <v>0</v>
      </c>
      <c r="AY240">
        <v>0</v>
      </c>
      <c r="AZ240">
        <v>0</v>
      </c>
      <c r="BA240">
        <v>0</v>
      </c>
      <c r="BB240">
        <v>0</v>
      </c>
      <c r="BC240">
        <v>0</v>
      </c>
      <c r="BD240">
        <v>0</v>
      </c>
      <c r="BE240">
        <v>0</v>
      </c>
      <c r="BF240">
        <v>0</v>
      </c>
      <c r="BG240">
        <v>0</v>
      </c>
      <c r="BH240">
        <v>1</v>
      </c>
      <c r="BI240">
        <v>2</v>
      </c>
      <c r="BJ240">
        <v>1.5</v>
      </c>
      <c r="BK240">
        <v>2</v>
      </c>
      <c r="BL240" s="4">
        <v>39.42</v>
      </c>
      <c r="BM240" s="4">
        <v>5.91</v>
      </c>
      <c r="BN240" s="4">
        <v>45.33</v>
      </c>
      <c r="BO240" s="4">
        <v>45.33</v>
      </c>
      <c r="BQ240" t="s">
        <v>147</v>
      </c>
      <c r="BR240" t="s">
        <v>84</v>
      </c>
      <c r="BS240" s="3">
        <v>43802</v>
      </c>
      <c r="BT240" s="5">
        <v>0.3611111111111111</v>
      </c>
      <c r="BU240" t="s">
        <v>625</v>
      </c>
      <c r="BV240" t="s">
        <v>86</v>
      </c>
      <c r="BY240">
        <v>7428.24</v>
      </c>
      <c r="BZ240" t="s">
        <v>27</v>
      </c>
      <c r="CA240" t="s">
        <v>250</v>
      </c>
      <c r="CC240" t="s">
        <v>170</v>
      </c>
      <c r="CD240">
        <v>1459</v>
      </c>
      <c r="CE240" t="s">
        <v>96</v>
      </c>
      <c r="CF240" s="3">
        <v>43803</v>
      </c>
      <c r="CI240">
        <v>1</v>
      </c>
      <c r="CJ240">
        <v>1</v>
      </c>
      <c r="CK240">
        <v>22</v>
      </c>
      <c r="CL240" t="s">
        <v>89</v>
      </c>
    </row>
    <row r="241" spans="1:90">
      <c r="A241" t="s">
        <v>72</v>
      </c>
      <c r="B241" t="s">
        <v>73</v>
      </c>
      <c r="C241" t="s">
        <v>74</v>
      </c>
      <c r="E241" t="str">
        <f>"FES1162726427"</f>
        <v>FES1162726427</v>
      </c>
      <c r="F241" s="3">
        <v>43802</v>
      </c>
      <c r="G241">
        <v>202006</v>
      </c>
      <c r="H241" t="s">
        <v>75</v>
      </c>
      <c r="I241" t="s">
        <v>76</v>
      </c>
      <c r="J241" t="s">
        <v>77</v>
      </c>
      <c r="K241" t="s">
        <v>78</v>
      </c>
      <c r="L241" t="s">
        <v>626</v>
      </c>
      <c r="M241" t="s">
        <v>627</v>
      </c>
      <c r="N241" t="s">
        <v>628</v>
      </c>
      <c r="O241" t="s">
        <v>82</v>
      </c>
      <c r="P241" t="str">
        <f>"2170719627                    "</f>
        <v xml:space="preserve">2170719627                    </v>
      </c>
      <c r="Q241">
        <v>0</v>
      </c>
      <c r="R241">
        <v>0</v>
      </c>
      <c r="S241">
        <v>0</v>
      </c>
      <c r="T241">
        <v>0</v>
      </c>
      <c r="U241">
        <v>0</v>
      </c>
      <c r="V241">
        <v>0</v>
      </c>
      <c r="W241">
        <v>0</v>
      </c>
      <c r="X241">
        <v>0</v>
      </c>
      <c r="Y241">
        <v>0</v>
      </c>
      <c r="Z241">
        <v>0</v>
      </c>
      <c r="AA241">
        <v>0</v>
      </c>
      <c r="AB241">
        <v>0</v>
      </c>
      <c r="AC241">
        <v>0</v>
      </c>
      <c r="AD241">
        <v>0</v>
      </c>
      <c r="AE241">
        <v>0</v>
      </c>
      <c r="AF241">
        <v>0</v>
      </c>
      <c r="AG241">
        <v>0</v>
      </c>
      <c r="AH241">
        <v>0</v>
      </c>
      <c r="AI241">
        <v>0</v>
      </c>
      <c r="AJ241">
        <v>0</v>
      </c>
      <c r="AK241">
        <v>0</v>
      </c>
      <c r="AL241">
        <v>0</v>
      </c>
      <c r="AM241">
        <v>8.58</v>
      </c>
      <c r="AN241">
        <v>0</v>
      </c>
      <c r="AO241">
        <v>0</v>
      </c>
      <c r="AP241">
        <v>0</v>
      </c>
      <c r="AQ241">
        <v>0</v>
      </c>
      <c r="AR241">
        <v>0</v>
      </c>
      <c r="AS241">
        <v>0</v>
      </c>
      <c r="AT241">
        <v>0</v>
      </c>
      <c r="AU241">
        <v>0</v>
      </c>
      <c r="AV241">
        <v>0</v>
      </c>
      <c r="AW241">
        <v>0</v>
      </c>
      <c r="AX241">
        <v>0</v>
      </c>
      <c r="AY241">
        <v>0</v>
      </c>
      <c r="AZ241">
        <v>0</v>
      </c>
      <c r="BA241">
        <v>0</v>
      </c>
      <c r="BB241">
        <v>0</v>
      </c>
      <c r="BC241">
        <v>0</v>
      </c>
      <c r="BD241">
        <v>0</v>
      </c>
      <c r="BE241">
        <v>0</v>
      </c>
      <c r="BF241">
        <v>0</v>
      </c>
      <c r="BG241">
        <v>0</v>
      </c>
      <c r="BH241">
        <v>1</v>
      </c>
      <c r="BI241">
        <v>1</v>
      </c>
      <c r="BJ241">
        <v>0.2</v>
      </c>
      <c r="BK241">
        <v>1</v>
      </c>
      <c r="BL241" s="4">
        <v>50.45</v>
      </c>
      <c r="BM241" s="4">
        <v>7.57</v>
      </c>
      <c r="BN241" s="4">
        <v>58.02</v>
      </c>
      <c r="BO241" s="4">
        <v>58.02</v>
      </c>
      <c r="BQ241" t="s">
        <v>277</v>
      </c>
      <c r="BR241" t="s">
        <v>84</v>
      </c>
      <c r="BS241" s="3">
        <v>43803</v>
      </c>
      <c r="BT241" s="5">
        <v>0.36180555555555555</v>
      </c>
      <c r="BU241" t="s">
        <v>629</v>
      </c>
      <c r="BV241" t="s">
        <v>86</v>
      </c>
      <c r="BY241">
        <v>1200</v>
      </c>
      <c r="CA241" t="s">
        <v>244</v>
      </c>
      <c r="CC241" t="s">
        <v>627</v>
      </c>
      <c r="CD241">
        <v>4120</v>
      </c>
      <c r="CE241" t="s">
        <v>88</v>
      </c>
      <c r="CF241" s="3">
        <v>43804</v>
      </c>
      <c r="CI241">
        <v>1</v>
      </c>
      <c r="CJ241">
        <v>1</v>
      </c>
      <c r="CK241">
        <v>21</v>
      </c>
      <c r="CL241" t="s">
        <v>89</v>
      </c>
    </row>
    <row r="242" spans="1:90">
      <c r="A242" t="s">
        <v>72</v>
      </c>
      <c r="B242" t="s">
        <v>73</v>
      </c>
      <c r="C242" t="s">
        <v>74</v>
      </c>
      <c r="E242" t="str">
        <f>"FES1162726287"</f>
        <v>FES1162726287</v>
      </c>
      <c r="F242" s="3">
        <v>43801</v>
      </c>
      <c r="G242">
        <v>202006</v>
      </c>
      <c r="H242" t="s">
        <v>75</v>
      </c>
      <c r="I242" t="s">
        <v>76</v>
      </c>
      <c r="J242" t="s">
        <v>77</v>
      </c>
      <c r="K242" t="s">
        <v>78</v>
      </c>
      <c r="L242" t="s">
        <v>350</v>
      </c>
      <c r="M242" t="s">
        <v>351</v>
      </c>
      <c r="N242" t="s">
        <v>630</v>
      </c>
      <c r="O242" t="s">
        <v>82</v>
      </c>
      <c r="P242" t="str">
        <f>"2170719795                    "</f>
        <v xml:space="preserve">2170719795                    </v>
      </c>
      <c r="Q242">
        <v>0</v>
      </c>
      <c r="R242">
        <v>0</v>
      </c>
      <c r="S242">
        <v>0</v>
      </c>
      <c r="T242">
        <v>0</v>
      </c>
      <c r="U242">
        <v>0</v>
      </c>
      <c r="V242">
        <v>0</v>
      </c>
      <c r="W242">
        <v>0</v>
      </c>
      <c r="X242">
        <v>0</v>
      </c>
      <c r="Y242">
        <v>0</v>
      </c>
      <c r="Z242">
        <v>0</v>
      </c>
      <c r="AA242">
        <v>0</v>
      </c>
      <c r="AB242">
        <v>0</v>
      </c>
      <c r="AC242">
        <v>0</v>
      </c>
      <c r="AD242">
        <v>0</v>
      </c>
      <c r="AE242">
        <v>0</v>
      </c>
      <c r="AF242">
        <v>0</v>
      </c>
      <c r="AG242">
        <v>0</v>
      </c>
      <c r="AH242">
        <v>0</v>
      </c>
      <c r="AI242">
        <v>0</v>
      </c>
      <c r="AJ242">
        <v>0</v>
      </c>
      <c r="AK242">
        <v>0</v>
      </c>
      <c r="AL242">
        <v>0</v>
      </c>
      <c r="AM242">
        <v>6.71</v>
      </c>
      <c r="AN242">
        <v>0</v>
      </c>
      <c r="AO242">
        <v>0</v>
      </c>
      <c r="AP242">
        <v>0</v>
      </c>
      <c r="AQ242">
        <v>0</v>
      </c>
      <c r="AR242">
        <v>0</v>
      </c>
      <c r="AS242">
        <v>0</v>
      </c>
      <c r="AT242">
        <v>0</v>
      </c>
      <c r="AU242">
        <v>0</v>
      </c>
      <c r="AV242">
        <v>0</v>
      </c>
      <c r="AW242">
        <v>0</v>
      </c>
      <c r="AX242">
        <v>0</v>
      </c>
      <c r="AY242">
        <v>0</v>
      </c>
      <c r="AZ242">
        <v>0</v>
      </c>
      <c r="BA242">
        <v>0</v>
      </c>
      <c r="BB242">
        <v>0</v>
      </c>
      <c r="BC242">
        <v>0</v>
      </c>
      <c r="BD242">
        <v>0</v>
      </c>
      <c r="BE242">
        <v>0</v>
      </c>
      <c r="BF242">
        <v>0</v>
      </c>
      <c r="BG242">
        <v>0</v>
      </c>
      <c r="BH242">
        <v>1</v>
      </c>
      <c r="BI242">
        <v>2</v>
      </c>
      <c r="BJ242">
        <v>1.5</v>
      </c>
      <c r="BK242">
        <v>2</v>
      </c>
      <c r="BL242" s="4">
        <v>39.42</v>
      </c>
      <c r="BM242" s="4">
        <v>5.91</v>
      </c>
      <c r="BN242" s="4">
        <v>45.33</v>
      </c>
      <c r="BO242" s="4">
        <v>45.33</v>
      </c>
      <c r="BR242" t="s">
        <v>84</v>
      </c>
      <c r="BS242" s="3">
        <v>43802</v>
      </c>
      <c r="BT242" s="5">
        <v>0.37777777777777777</v>
      </c>
      <c r="BU242" t="s">
        <v>631</v>
      </c>
      <c r="BV242" t="s">
        <v>86</v>
      </c>
      <c r="BY242">
        <v>7629.26</v>
      </c>
      <c r="BZ242" t="s">
        <v>27</v>
      </c>
      <c r="CA242" t="s">
        <v>344</v>
      </c>
      <c r="CC242" t="s">
        <v>351</v>
      </c>
      <c r="CD242">
        <v>1500</v>
      </c>
      <c r="CE242" t="s">
        <v>96</v>
      </c>
      <c r="CF242" s="3">
        <v>43803</v>
      </c>
      <c r="CI242">
        <v>1</v>
      </c>
      <c r="CJ242">
        <v>1</v>
      </c>
      <c r="CK242">
        <v>22</v>
      </c>
      <c r="CL242" t="s">
        <v>89</v>
      </c>
    </row>
    <row r="243" spans="1:90">
      <c r="A243" t="s">
        <v>72</v>
      </c>
      <c r="B243" t="s">
        <v>73</v>
      </c>
      <c r="C243" t="s">
        <v>74</v>
      </c>
      <c r="E243" t="str">
        <f>"FES1162726382"</f>
        <v>FES1162726382</v>
      </c>
      <c r="F243" s="3">
        <v>43802</v>
      </c>
      <c r="G243">
        <v>202006</v>
      </c>
      <c r="H243" t="s">
        <v>75</v>
      </c>
      <c r="I243" t="s">
        <v>76</v>
      </c>
      <c r="J243" t="s">
        <v>77</v>
      </c>
      <c r="K243" t="s">
        <v>78</v>
      </c>
      <c r="L243" t="s">
        <v>75</v>
      </c>
      <c r="M243" t="s">
        <v>76</v>
      </c>
      <c r="N243" t="s">
        <v>614</v>
      </c>
      <c r="O243" t="s">
        <v>82</v>
      </c>
      <c r="P243" t="str">
        <f>"2170717722                    "</f>
        <v xml:space="preserve">2170717722                    </v>
      </c>
      <c r="Q243">
        <v>0</v>
      </c>
      <c r="R243">
        <v>0</v>
      </c>
      <c r="S243">
        <v>0</v>
      </c>
      <c r="T243">
        <v>0</v>
      </c>
      <c r="U243">
        <v>0</v>
      </c>
      <c r="V243">
        <v>0</v>
      </c>
      <c r="W243">
        <v>0</v>
      </c>
      <c r="X243">
        <v>0</v>
      </c>
      <c r="Y243">
        <v>0</v>
      </c>
      <c r="Z243">
        <v>0</v>
      </c>
      <c r="AA243">
        <v>0</v>
      </c>
      <c r="AB243">
        <v>0</v>
      </c>
      <c r="AC243">
        <v>0</v>
      </c>
      <c r="AD243">
        <v>0</v>
      </c>
      <c r="AE243">
        <v>0</v>
      </c>
      <c r="AF243">
        <v>0</v>
      </c>
      <c r="AG243">
        <v>0</v>
      </c>
      <c r="AH243">
        <v>0</v>
      </c>
      <c r="AI243">
        <v>0</v>
      </c>
      <c r="AJ243">
        <v>0</v>
      </c>
      <c r="AK243">
        <v>0</v>
      </c>
      <c r="AL243">
        <v>0</v>
      </c>
      <c r="AM243">
        <v>6.71</v>
      </c>
      <c r="AN243">
        <v>0</v>
      </c>
      <c r="AO243">
        <v>0</v>
      </c>
      <c r="AP243">
        <v>0</v>
      </c>
      <c r="AQ243">
        <v>0</v>
      </c>
      <c r="AR243">
        <v>0</v>
      </c>
      <c r="AS243">
        <v>0</v>
      </c>
      <c r="AT243">
        <v>0</v>
      </c>
      <c r="AU243">
        <v>0</v>
      </c>
      <c r="AV243">
        <v>0</v>
      </c>
      <c r="AW243">
        <v>0</v>
      </c>
      <c r="AX243">
        <v>0</v>
      </c>
      <c r="AY243">
        <v>0</v>
      </c>
      <c r="AZ243">
        <v>0</v>
      </c>
      <c r="BA243">
        <v>0</v>
      </c>
      <c r="BB243">
        <v>0</v>
      </c>
      <c r="BC243">
        <v>0</v>
      </c>
      <c r="BD243">
        <v>0</v>
      </c>
      <c r="BE243">
        <v>0</v>
      </c>
      <c r="BF243">
        <v>0</v>
      </c>
      <c r="BG243">
        <v>0</v>
      </c>
      <c r="BH243">
        <v>1</v>
      </c>
      <c r="BI243">
        <v>1</v>
      </c>
      <c r="BJ243">
        <v>0.2</v>
      </c>
      <c r="BK243">
        <v>1</v>
      </c>
      <c r="BL243" s="4">
        <v>39.42</v>
      </c>
      <c r="BM243" s="4">
        <v>5.91</v>
      </c>
      <c r="BN243" s="4">
        <v>45.33</v>
      </c>
      <c r="BO243" s="4">
        <v>45.33</v>
      </c>
      <c r="BQ243" t="s">
        <v>135</v>
      </c>
      <c r="BR243" t="s">
        <v>84</v>
      </c>
      <c r="BS243" s="3">
        <v>43803</v>
      </c>
      <c r="BT243" s="5">
        <v>0.34027777777777773</v>
      </c>
      <c r="BU243" t="s">
        <v>111</v>
      </c>
      <c r="BV243" t="s">
        <v>86</v>
      </c>
      <c r="BY243">
        <v>1200</v>
      </c>
      <c r="CA243" t="s">
        <v>588</v>
      </c>
      <c r="CC243" t="s">
        <v>76</v>
      </c>
      <c r="CD243">
        <v>1600</v>
      </c>
      <c r="CE243" t="s">
        <v>88</v>
      </c>
      <c r="CF243" s="3">
        <v>43804</v>
      </c>
      <c r="CI243">
        <v>1</v>
      </c>
      <c r="CJ243">
        <v>1</v>
      </c>
      <c r="CK243">
        <v>22</v>
      </c>
      <c r="CL243" t="s">
        <v>89</v>
      </c>
    </row>
    <row r="244" spans="1:90">
      <c r="A244" t="s">
        <v>72</v>
      </c>
      <c r="B244" t="s">
        <v>73</v>
      </c>
      <c r="C244" t="s">
        <v>74</v>
      </c>
      <c r="E244" t="str">
        <f>"FES1162726213"</f>
        <v>FES1162726213</v>
      </c>
      <c r="F244" s="3">
        <v>43801</v>
      </c>
      <c r="G244">
        <v>202006</v>
      </c>
      <c r="H244" t="s">
        <v>75</v>
      </c>
      <c r="I244" t="s">
        <v>76</v>
      </c>
      <c r="J244" t="s">
        <v>77</v>
      </c>
      <c r="K244" t="s">
        <v>78</v>
      </c>
      <c r="L244" t="s">
        <v>632</v>
      </c>
      <c r="M244" t="s">
        <v>633</v>
      </c>
      <c r="N244" t="s">
        <v>634</v>
      </c>
      <c r="O244" t="s">
        <v>82</v>
      </c>
      <c r="P244" t="str">
        <f>"2170716732                    "</f>
        <v xml:space="preserve">2170716732                    </v>
      </c>
      <c r="Q244">
        <v>0</v>
      </c>
      <c r="R244">
        <v>0</v>
      </c>
      <c r="S244">
        <v>0</v>
      </c>
      <c r="T244">
        <v>0</v>
      </c>
      <c r="U244">
        <v>0</v>
      </c>
      <c r="V244">
        <v>0</v>
      </c>
      <c r="W244">
        <v>0</v>
      </c>
      <c r="X244">
        <v>0</v>
      </c>
      <c r="Y244">
        <v>0</v>
      </c>
      <c r="Z244">
        <v>0</v>
      </c>
      <c r="AA244">
        <v>0</v>
      </c>
      <c r="AB244">
        <v>0</v>
      </c>
      <c r="AC244">
        <v>0</v>
      </c>
      <c r="AD244">
        <v>0</v>
      </c>
      <c r="AE244">
        <v>0</v>
      </c>
      <c r="AF244">
        <v>0</v>
      </c>
      <c r="AG244">
        <v>0</v>
      </c>
      <c r="AH244">
        <v>0</v>
      </c>
      <c r="AI244">
        <v>0</v>
      </c>
      <c r="AJ244">
        <v>0</v>
      </c>
      <c r="AK244">
        <v>0</v>
      </c>
      <c r="AL244">
        <v>0</v>
      </c>
      <c r="AM244">
        <v>9.1199999999999992</v>
      </c>
      <c r="AN244">
        <v>0</v>
      </c>
      <c r="AO244">
        <v>0</v>
      </c>
      <c r="AP244">
        <v>0</v>
      </c>
      <c r="AQ244">
        <v>0</v>
      </c>
      <c r="AR244">
        <v>0</v>
      </c>
      <c r="AS244">
        <v>0</v>
      </c>
      <c r="AT244">
        <v>0</v>
      </c>
      <c r="AU244">
        <v>0</v>
      </c>
      <c r="AV244">
        <v>0</v>
      </c>
      <c r="AW244">
        <v>0</v>
      </c>
      <c r="AX244">
        <v>0</v>
      </c>
      <c r="AY244">
        <v>0</v>
      </c>
      <c r="AZ244">
        <v>0</v>
      </c>
      <c r="BA244">
        <v>0</v>
      </c>
      <c r="BB244">
        <v>0</v>
      </c>
      <c r="BC244">
        <v>0</v>
      </c>
      <c r="BD244">
        <v>0</v>
      </c>
      <c r="BE244">
        <v>0</v>
      </c>
      <c r="BF244">
        <v>0</v>
      </c>
      <c r="BG244">
        <v>0</v>
      </c>
      <c r="BH244">
        <v>1</v>
      </c>
      <c r="BI244">
        <v>3.4</v>
      </c>
      <c r="BJ244">
        <v>1.8</v>
      </c>
      <c r="BK244">
        <v>3.5</v>
      </c>
      <c r="BL244" s="4">
        <v>53.59</v>
      </c>
      <c r="BM244" s="4">
        <v>8.0399999999999991</v>
      </c>
      <c r="BN244" s="4">
        <v>61.63</v>
      </c>
      <c r="BO244" s="4">
        <v>61.63</v>
      </c>
      <c r="BQ244" t="s">
        <v>147</v>
      </c>
      <c r="BR244" t="s">
        <v>84</v>
      </c>
      <c r="BS244" s="3">
        <v>43802</v>
      </c>
      <c r="BT244" s="5">
        <v>0.35069444444444442</v>
      </c>
      <c r="BU244" t="s">
        <v>635</v>
      </c>
      <c r="BV244" t="s">
        <v>86</v>
      </c>
      <c r="BY244">
        <v>9090.14</v>
      </c>
      <c r="BZ244" t="s">
        <v>27</v>
      </c>
      <c r="CC244" t="s">
        <v>633</v>
      </c>
      <c r="CD244">
        <v>1451</v>
      </c>
      <c r="CE244" t="s">
        <v>96</v>
      </c>
      <c r="CF244" s="3">
        <v>43803</v>
      </c>
      <c r="CI244">
        <v>1</v>
      </c>
      <c r="CJ244">
        <v>1</v>
      </c>
      <c r="CK244">
        <v>22</v>
      </c>
      <c r="CL244" t="s">
        <v>89</v>
      </c>
    </row>
    <row r="245" spans="1:90">
      <c r="A245" t="s">
        <v>72</v>
      </c>
      <c r="B245" t="s">
        <v>73</v>
      </c>
      <c r="C245" t="s">
        <v>74</v>
      </c>
      <c r="E245" t="str">
        <f>"FES1162726376"</f>
        <v>FES1162726376</v>
      </c>
      <c r="F245" s="3">
        <v>43802</v>
      </c>
      <c r="G245">
        <v>202006</v>
      </c>
      <c r="H245" t="s">
        <v>75</v>
      </c>
      <c r="I245" t="s">
        <v>76</v>
      </c>
      <c r="J245" t="s">
        <v>77</v>
      </c>
      <c r="K245" t="s">
        <v>78</v>
      </c>
      <c r="L245" t="s">
        <v>138</v>
      </c>
      <c r="M245" t="s">
        <v>139</v>
      </c>
      <c r="N245" t="s">
        <v>636</v>
      </c>
      <c r="O245" t="s">
        <v>82</v>
      </c>
      <c r="P245" t="str">
        <f>"2170716630                    "</f>
        <v xml:space="preserve">2170716630                    </v>
      </c>
      <c r="Q245">
        <v>0</v>
      </c>
      <c r="R245">
        <v>0</v>
      </c>
      <c r="S245">
        <v>0</v>
      </c>
      <c r="T245">
        <v>0</v>
      </c>
      <c r="U245">
        <v>0</v>
      </c>
      <c r="V245">
        <v>0</v>
      </c>
      <c r="W245">
        <v>0</v>
      </c>
      <c r="X245">
        <v>0</v>
      </c>
      <c r="Y245">
        <v>0</v>
      </c>
      <c r="Z245">
        <v>0</v>
      </c>
      <c r="AA245">
        <v>0</v>
      </c>
      <c r="AB245">
        <v>0</v>
      </c>
      <c r="AC245">
        <v>0</v>
      </c>
      <c r="AD245">
        <v>0</v>
      </c>
      <c r="AE245">
        <v>0</v>
      </c>
      <c r="AF245">
        <v>0</v>
      </c>
      <c r="AG245">
        <v>0</v>
      </c>
      <c r="AH245">
        <v>0</v>
      </c>
      <c r="AI245">
        <v>0</v>
      </c>
      <c r="AJ245">
        <v>0</v>
      </c>
      <c r="AK245">
        <v>0</v>
      </c>
      <c r="AL245">
        <v>0</v>
      </c>
      <c r="AM245">
        <v>6.71</v>
      </c>
      <c r="AN245">
        <v>0</v>
      </c>
      <c r="AO245">
        <v>0</v>
      </c>
      <c r="AP245">
        <v>0</v>
      </c>
      <c r="AQ245">
        <v>0</v>
      </c>
      <c r="AR245">
        <v>0</v>
      </c>
      <c r="AS245">
        <v>0</v>
      </c>
      <c r="AT245">
        <v>0</v>
      </c>
      <c r="AU245">
        <v>0</v>
      </c>
      <c r="AV245">
        <v>0</v>
      </c>
      <c r="AW245">
        <v>0</v>
      </c>
      <c r="AX245">
        <v>0</v>
      </c>
      <c r="AY245">
        <v>0</v>
      </c>
      <c r="AZ245">
        <v>0</v>
      </c>
      <c r="BA245">
        <v>0</v>
      </c>
      <c r="BB245">
        <v>0</v>
      </c>
      <c r="BC245">
        <v>0</v>
      </c>
      <c r="BD245">
        <v>0</v>
      </c>
      <c r="BE245">
        <v>0</v>
      </c>
      <c r="BF245">
        <v>0</v>
      </c>
      <c r="BG245">
        <v>0</v>
      </c>
      <c r="BH245">
        <v>1</v>
      </c>
      <c r="BI245">
        <v>1</v>
      </c>
      <c r="BJ245">
        <v>0.2</v>
      </c>
      <c r="BK245">
        <v>1</v>
      </c>
      <c r="BL245" s="4">
        <v>39.42</v>
      </c>
      <c r="BM245" s="4">
        <v>5.91</v>
      </c>
      <c r="BN245" s="4">
        <v>45.33</v>
      </c>
      <c r="BO245" s="4">
        <v>45.33</v>
      </c>
      <c r="BQ245" t="s">
        <v>93</v>
      </c>
      <c r="BR245" t="s">
        <v>84</v>
      </c>
      <c r="BS245" s="3">
        <v>43803</v>
      </c>
      <c r="BT245" s="5">
        <v>0.39027777777777778</v>
      </c>
      <c r="BU245" t="s">
        <v>637</v>
      </c>
      <c r="BV245" t="s">
        <v>86</v>
      </c>
      <c r="BY245">
        <v>1200</v>
      </c>
      <c r="CA245" t="s">
        <v>230</v>
      </c>
      <c r="CC245" t="s">
        <v>139</v>
      </c>
      <c r="CD245">
        <v>1419</v>
      </c>
      <c r="CE245" t="s">
        <v>88</v>
      </c>
      <c r="CF245" s="3">
        <v>43804</v>
      </c>
      <c r="CI245">
        <v>1</v>
      </c>
      <c r="CJ245">
        <v>1</v>
      </c>
      <c r="CK245">
        <v>22</v>
      </c>
      <c r="CL245" t="s">
        <v>89</v>
      </c>
    </row>
    <row r="246" spans="1:90">
      <c r="A246" t="s">
        <v>72</v>
      </c>
      <c r="B246" t="s">
        <v>73</v>
      </c>
      <c r="C246" t="s">
        <v>74</v>
      </c>
      <c r="E246" t="str">
        <f>"FES1162726260"</f>
        <v>FES1162726260</v>
      </c>
      <c r="F246" s="3">
        <v>43801</v>
      </c>
      <c r="G246">
        <v>202006</v>
      </c>
      <c r="H246" t="s">
        <v>75</v>
      </c>
      <c r="I246" t="s">
        <v>76</v>
      </c>
      <c r="J246" t="s">
        <v>77</v>
      </c>
      <c r="K246" t="s">
        <v>78</v>
      </c>
      <c r="L246" t="s">
        <v>75</v>
      </c>
      <c r="M246" t="s">
        <v>76</v>
      </c>
      <c r="N246" t="s">
        <v>305</v>
      </c>
      <c r="O246" t="s">
        <v>82</v>
      </c>
      <c r="P246" t="str">
        <f>"2170717995                    "</f>
        <v xml:space="preserve">2170717995                    </v>
      </c>
      <c r="Q246">
        <v>0</v>
      </c>
      <c r="R246">
        <v>0</v>
      </c>
      <c r="S246">
        <v>0</v>
      </c>
      <c r="T246">
        <v>0</v>
      </c>
      <c r="U246">
        <v>0</v>
      </c>
      <c r="V246">
        <v>0</v>
      </c>
      <c r="W246">
        <v>0</v>
      </c>
      <c r="X246">
        <v>0</v>
      </c>
      <c r="Y246">
        <v>0</v>
      </c>
      <c r="Z246">
        <v>0</v>
      </c>
      <c r="AA246">
        <v>0</v>
      </c>
      <c r="AB246">
        <v>0</v>
      </c>
      <c r="AC246">
        <v>0</v>
      </c>
      <c r="AD246">
        <v>0</v>
      </c>
      <c r="AE246">
        <v>0</v>
      </c>
      <c r="AF246">
        <v>0</v>
      </c>
      <c r="AG246">
        <v>0</v>
      </c>
      <c r="AH246">
        <v>0</v>
      </c>
      <c r="AI246">
        <v>0</v>
      </c>
      <c r="AJ246">
        <v>0</v>
      </c>
      <c r="AK246">
        <v>0</v>
      </c>
      <c r="AL246">
        <v>0</v>
      </c>
      <c r="AM246">
        <v>6.71</v>
      </c>
      <c r="AN246">
        <v>0</v>
      </c>
      <c r="AO246">
        <v>0</v>
      </c>
      <c r="AP246">
        <v>0</v>
      </c>
      <c r="AQ246">
        <v>0</v>
      </c>
      <c r="AR246">
        <v>0</v>
      </c>
      <c r="AS246">
        <v>0</v>
      </c>
      <c r="AT246">
        <v>0</v>
      </c>
      <c r="AU246">
        <v>0</v>
      </c>
      <c r="AV246">
        <v>0</v>
      </c>
      <c r="AW246">
        <v>0</v>
      </c>
      <c r="AX246">
        <v>0</v>
      </c>
      <c r="AY246">
        <v>0</v>
      </c>
      <c r="AZ246">
        <v>0</v>
      </c>
      <c r="BA246">
        <v>0</v>
      </c>
      <c r="BB246">
        <v>0</v>
      </c>
      <c r="BC246">
        <v>0</v>
      </c>
      <c r="BD246">
        <v>0</v>
      </c>
      <c r="BE246">
        <v>0</v>
      </c>
      <c r="BF246">
        <v>0</v>
      </c>
      <c r="BG246">
        <v>0</v>
      </c>
      <c r="BH246">
        <v>1</v>
      </c>
      <c r="BI246">
        <v>2</v>
      </c>
      <c r="BJ246">
        <v>0.9</v>
      </c>
      <c r="BK246">
        <v>2</v>
      </c>
      <c r="BL246" s="4">
        <v>39.42</v>
      </c>
      <c r="BM246" s="4">
        <v>5.91</v>
      </c>
      <c r="BN246" s="4">
        <v>45.33</v>
      </c>
      <c r="BO246" s="4">
        <v>45.33</v>
      </c>
      <c r="BQ246" t="s">
        <v>147</v>
      </c>
      <c r="BR246" t="s">
        <v>84</v>
      </c>
      <c r="BS246" s="3">
        <v>43802</v>
      </c>
      <c r="BT246" s="5">
        <v>0.31319444444444444</v>
      </c>
      <c r="BU246" t="s">
        <v>306</v>
      </c>
      <c r="BV246" t="s">
        <v>86</v>
      </c>
      <c r="BY246">
        <v>4500</v>
      </c>
      <c r="BZ246" t="s">
        <v>27</v>
      </c>
      <c r="CA246" t="s">
        <v>307</v>
      </c>
      <c r="CC246" t="s">
        <v>76</v>
      </c>
      <c r="CD246">
        <v>1645</v>
      </c>
      <c r="CE246" t="s">
        <v>116</v>
      </c>
      <c r="CF246" s="3">
        <v>43803</v>
      </c>
      <c r="CI246">
        <v>1</v>
      </c>
      <c r="CJ246">
        <v>1</v>
      </c>
      <c r="CK246">
        <v>22</v>
      </c>
      <c r="CL246" t="s">
        <v>89</v>
      </c>
    </row>
    <row r="247" spans="1:90">
      <c r="A247" t="s">
        <v>72</v>
      </c>
      <c r="B247" t="s">
        <v>73</v>
      </c>
      <c r="C247" t="s">
        <v>74</v>
      </c>
      <c r="E247" t="str">
        <f>"FES1162726452"</f>
        <v>FES1162726452</v>
      </c>
      <c r="F247" s="3">
        <v>43802</v>
      </c>
      <c r="G247">
        <v>202006</v>
      </c>
      <c r="H247" t="s">
        <v>75</v>
      </c>
      <c r="I247" t="s">
        <v>76</v>
      </c>
      <c r="J247" t="s">
        <v>77</v>
      </c>
      <c r="K247" t="s">
        <v>78</v>
      </c>
      <c r="L247" t="s">
        <v>198</v>
      </c>
      <c r="M247" t="s">
        <v>199</v>
      </c>
      <c r="N247" t="s">
        <v>297</v>
      </c>
      <c r="O247" t="s">
        <v>82</v>
      </c>
      <c r="P247" t="str">
        <f>"2170719875                    "</f>
        <v xml:space="preserve">2170719875                    </v>
      </c>
      <c r="Q247">
        <v>0</v>
      </c>
      <c r="R247">
        <v>0</v>
      </c>
      <c r="S247">
        <v>0</v>
      </c>
      <c r="T247">
        <v>0</v>
      </c>
      <c r="U247">
        <v>0</v>
      </c>
      <c r="V247">
        <v>0</v>
      </c>
      <c r="W247">
        <v>0</v>
      </c>
      <c r="X247">
        <v>0</v>
      </c>
      <c r="Y247">
        <v>0</v>
      </c>
      <c r="Z247">
        <v>0</v>
      </c>
      <c r="AA247">
        <v>0</v>
      </c>
      <c r="AB247">
        <v>0</v>
      </c>
      <c r="AC247">
        <v>0</v>
      </c>
      <c r="AD247">
        <v>0</v>
      </c>
      <c r="AE247">
        <v>0</v>
      </c>
      <c r="AF247">
        <v>0</v>
      </c>
      <c r="AG247">
        <v>0</v>
      </c>
      <c r="AH247">
        <v>0</v>
      </c>
      <c r="AI247">
        <v>0</v>
      </c>
      <c r="AJ247">
        <v>0</v>
      </c>
      <c r="AK247">
        <v>0</v>
      </c>
      <c r="AL247">
        <v>0</v>
      </c>
      <c r="AM247">
        <v>8.58</v>
      </c>
      <c r="AN247">
        <v>0</v>
      </c>
      <c r="AO247">
        <v>0</v>
      </c>
      <c r="AP247">
        <v>0</v>
      </c>
      <c r="AQ247">
        <v>0</v>
      </c>
      <c r="AR247">
        <v>0</v>
      </c>
      <c r="AS247">
        <v>0</v>
      </c>
      <c r="AT247">
        <v>0</v>
      </c>
      <c r="AU247">
        <v>0</v>
      </c>
      <c r="AV247">
        <v>0</v>
      </c>
      <c r="AW247">
        <v>0</v>
      </c>
      <c r="AX247">
        <v>0</v>
      </c>
      <c r="AY247">
        <v>0</v>
      </c>
      <c r="AZ247">
        <v>0</v>
      </c>
      <c r="BA247">
        <v>0</v>
      </c>
      <c r="BB247">
        <v>0</v>
      </c>
      <c r="BC247">
        <v>0</v>
      </c>
      <c r="BD247">
        <v>0</v>
      </c>
      <c r="BE247">
        <v>0</v>
      </c>
      <c r="BF247">
        <v>0</v>
      </c>
      <c r="BG247">
        <v>0</v>
      </c>
      <c r="BH247">
        <v>1</v>
      </c>
      <c r="BI247">
        <v>1</v>
      </c>
      <c r="BJ247">
        <v>0.2</v>
      </c>
      <c r="BK247">
        <v>1</v>
      </c>
      <c r="BL247" s="4">
        <v>50.45</v>
      </c>
      <c r="BM247" s="4">
        <v>7.57</v>
      </c>
      <c r="BN247" s="4">
        <v>58.02</v>
      </c>
      <c r="BO247" s="4">
        <v>58.02</v>
      </c>
      <c r="BQ247" t="s">
        <v>172</v>
      </c>
      <c r="BR247" t="s">
        <v>84</v>
      </c>
      <c r="BS247" s="3">
        <v>43803</v>
      </c>
      <c r="BT247" s="5">
        <v>0.36805555555555558</v>
      </c>
      <c r="BU247" t="s">
        <v>542</v>
      </c>
      <c r="BV247" t="s">
        <v>86</v>
      </c>
      <c r="BY247">
        <v>1200</v>
      </c>
      <c r="CA247" t="s">
        <v>299</v>
      </c>
      <c r="CC247" t="s">
        <v>199</v>
      </c>
      <c r="CD247">
        <v>4000</v>
      </c>
      <c r="CE247" t="s">
        <v>88</v>
      </c>
      <c r="CF247" s="3">
        <v>43804</v>
      </c>
      <c r="CI247">
        <v>1</v>
      </c>
      <c r="CJ247">
        <v>1</v>
      </c>
      <c r="CK247">
        <v>21</v>
      </c>
      <c r="CL247" t="s">
        <v>89</v>
      </c>
    </row>
    <row r="248" spans="1:90">
      <c r="A248" t="s">
        <v>72</v>
      </c>
      <c r="B248" t="s">
        <v>73</v>
      </c>
      <c r="C248" t="s">
        <v>74</v>
      </c>
      <c r="E248" t="str">
        <f>"FES1162726201"</f>
        <v>FES1162726201</v>
      </c>
      <c r="F248" s="3">
        <v>43801</v>
      </c>
      <c r="G248">
        <v>202006</v>
      </c>
      <c r="H248" t="s">
        <v>75</v>
      </c>
      <c r="I248" t="s">
        <v>76</v>
      </c>
      <c r="J248" t="s">
        <v>77</v>
      </c>
      <c r="K248" t="s">
        <v>78</v>
      </c>
      <c r="L248" t="s">
        <v>79</v>
      </c>
      <c r="M248" t="s">
        <v>80</v>
      </c>
      <c r="N248" t="s">
        <v>129</v>
      </c>
      <c r="O248" t="s">
        <v>82</v>
      </c>
      <c r="P248" t="str">
        <f>"2170717910                    "</f>
        <v xml:space="preserve">2170717910                    </v>
      </c>
      <c r="Q248">
        <v>0</v>
      </c>
      <c r="R248">
        <v>0</v>
      </c>
      <c r="S248">
        <v>0</v>
      </c>
      <c r="T248">
        <v>0</v>
      </c>
      <c r="U248">
        <v>0</v>
      </c>
      <c r="V248">
        <v>0</v>
      </c>
      <c r="W248">
        <v>0</v>
      </c>
      <c r="X248">
        <v>0</v>
      </c>
      <c r="Y248">
        <v>0</v>
      </c>
      <c r="Z248">
        <v>0</v>
      </c>
      <c r="AA248">
        <v>0</v>
      </c>
      <c r="AB248">
        <v>0</v>
      </c>
      <c r="AC248">
        <v>0</v>
      </c>
      <c r="AD248">
        <v>0</v>
      </c>
      <c r="AE248">
        <v>0</v>
      </c>
      <c r="AF248">
        <v>0</v>
      </c>
      <c r="AG248">
        <v>0</v>
      </c>
      <c r="AH248">
        <v>0</v>
      </c>
      <c r="AI248">
        <v>0</v>
      </c>
      <c r="AJ248">
        <v>0</v>
      </c>
      <c r="AK248">
        <v>0</v>
      </c>
      <c r="AL248">
        <v>0</v>
      </c>
      <c r="AM248">
        <v>15.02</v>
      </c>
      <c r="AN248">
        <v>0</v>
      </c>
      <c r="AO248">
        <v>0</v>
      </c>
      <c r="AP248">
        <v>0</v>
      </c>
      <c r="AQ248">
        <v>0</v>
      </c>
      <c r="AR248">
        <v>0</v>
      </c>
      <c r="AS248">
        <v>0</v>
      </c>
      <c r="AT248">
        <v>0</v>
      </c>
      <c r="AU248">
        <v>0</v>
      </c>
      <c r="AV248">
        <v>0</v>
      </c>
      <c r="AW248">
        <v>0</v>
      </c>
      <c r="AX248">
        <v>0</v>
      </c>
      <c r="AY248">
        <v>0</v>
      </c>
      <c r="AZ248">
        <v>0</v>
      </c>
      <c r="BA248">
        <v>0</v>
      </c>
      <c r="BB248">
        <v>0</v>
      </c>
      <c r="BC248">
        <v>0</v>
      </c>
      <c r="BD248">
        <v>0</v>
      </c>
      <c r="BE248">
        <v>0</v>
      </c>
      <c r="BF248">
        <v>0</v>
      </c>
      <c r="BG248">
        <v>0</v>
      </c>
      <c r="BH248">
        <v>1</v>
      </c>
      <c r="BI248">
        <v>3.3</v>
      </c>
      <c r="BJ248">
        <v>1.5</v>
      </c>
      <c r="BK248">
        <v>3.5</v>
      </c>
      <c r="BL248" s="4">
        <v>88.27</v>
      </c>
      <c r="BM248" s="4">
        <v>13.24</v>
      </c>
      <c r="BN248" s="4">
        <v>101.51</v>
      </c>
      <c r="BO248" s="4">
        <v>101.51</v>
      </c>
      <c r="BQ248" t="s">
        <v>147</v>
      </c>
      <c r="BR248" t="s">
        <v>84</v>
      </c>
      <c r="BS248" s="3">
        <v>43802</v>
      </c>
      <c r="BT248" s="5">
        <v>0.36249999999999999</v>
      </c>
      <c r="BU248" t="s">
        <v>638</v>
      </c>
      <c r="BV248" t="s">
        <v>86</v>
      </c>
      <c r="BY248">
        <v>7457.81</v>
      </c>
      <c r="BZ248" t="s">
        <v>27</v>
      </c>
      <c r="CA248" t="s">
        <v>131</v>
      </c>
      <c r="CC248" t="s">
        <v>80</v>
      </c>
      <c r="CD248">
        <v>6001</v>
      </c>
      <c r="CE248" t="s">
        <v>96</v>
      </c>
      <c r="CF248" s="3">
        <v>43804</v>
      </c>
      <c r="CI248">
        <v>1</v>
      </c>
      <c r="CJ248">
        <v>1</v>
      </c>
      <c r="CK248">
        <v>21</v>
      </c>
      <c r="CL248" t="s">
        <v>89</v>
      </c>
    </row>
    <row r="249" spans="1:90">
      <c r="A249" t="s">
        <v>72</v>
      </c>
      <c r="B249" t="s">
        <v>73</v>
      </c>
      <c r="C249" t="s">
        <v>74</v>
      </c>
      <c r="E249" t="str">
        <f>"FES1162726422"</f>
        <v>FES1162726422</v>
      </c>
      <c r="F249" s="3">
        <v>43802</v>
      </c>
      <c r="G249">
        <v>202006</v>
      </c>
      <c r="H249" t="s">
        <v>75</v>
      </c>
      <c r="I249" t="s">
        <v>76</v>
      </c>
      <c r="J249" t="s">
        <v>77</v>
      </c>
      <c r="K249" t="s">
        <v>78</v>
      </c>
      <c r="L249" t="s">
        <v>198</v>
      </c>
      <c r="M249" t="s">
        <v>199</v>
      </c>
      <c r="N249" t="s">
        <v>639</v>
      </c>
      <c r="O249" t="s">
        <v>82</v>
      </c>
      <c r="P249" t="str">
        <f>"2170719574                    "</f>
        <v xml:space="preserve">2170719574                    </v>
      </c>
      <c r="Q249">
        <v>0</v>
      </c>
      <c r="R249">
        <v>0</v>
      </c>
      <c r="S249">
        <v>0</v>
      </c>
      <c r="T249">
        <v>0</v>
      </c>
      <c r="U249">
        <v>0</v>
      </c>
      <c r="V249">
        <v>0</v>
      </c>
      <c r="W249">
        <v>0</v>
      </c>
      <c r="X249">
        <v>0</v>
      </c>
      <c r="Y249">
        <v>0</v>
      </c>
      <c r="Z249">
        <v>0</v>
      </c>
      <c r="AA249">
        <v>0</v>
      </c>
      <c r="AB249">
        <v>0</v>
      </c>
      <c r="AC249">
        <v>0</v>
      </c>
      <c r="AD249">
        <v>0</v>
      </c>
      <c r="AE249">
        <v>0</v>
      </c>
      <c r="AF249">
        <v>0</v>
      </c>
      <c r="AG249">
        <v>0</v>
      </c>
      <c r="AH249">
        <v>0</v>
      </c>
      <c r="AI249">
        <v>0</v>
      </c>
      <c r="AJ249">
        <v>0</v>
      </c>
      <c r="AK249">
        <v>0</v>
      </c>
      <c r="AL249">
        <v>0</v>
      </c>
      <c r="AM249">
        <v>8.58</v>
      </c>
      <c r="AN249">
        <v>0</v>
      </c>
      <c r="AO249">
        <v>0</v>
      </c>
      <c r="AP249">
        <v>0</v>
      </c>
      <c r="AQ249">
        <v>0</v>
      </c>
      <c r="AR249">
        <v>0</v>
      </c>
      <c r="AS249">
        <v>0</v>
      </c>
      <c r="AT249">
        <v>0</v>
      </c>
      <c r="AU249">
        <v>0</v>
      </c>
      <c r="AV249">
        <v>0</v>
      </c>
      <c r="AW249">
        <v>0</v>
      </c>
      <c r="AX249">
        <v>0</v>
      </c>
      <c r="AY249">
        <v>0</v>
      </c>
      <c r="AZ249">
        <v>0</v>
      </c>
      <c r="BA249">
        <v>0</v>
      </c>
      <c r="BB249">
        <v>0</v>
      </c>
      <c r="BC249">
        <v>0</v>
      </c>
      <c r="BD249">
        <v>0</v>
      </c>
      <c r="BE249">
        <v>0</v>
      </c>
      <c r="BF249">
        <v>0</v>
      </c>
      <c r="BG249">
        <v>0</v>
      </c>
      <c r="BH249">
        <v>1</v>
      </c>
      <c r="BI249">
        <v>1</v>
      </c>
      <c r="BJ249">
        <v>0.2</v>
      </c>
      <c r="BK249">
        <v>1</v>
      </c>
      <c r="BL249" s="4">
        <v>50.45</v>
      </c>
      <c r="BM249" s="4">
        <v>7.57</v>
      </c>
      <c r="BN249" s="4">
        <v>58.02</v>
      </c>
      <c r="BO249" s="4">
        <v>58.02</v>
      </c>
      <c r="BQ249" t="s">
        <v>640</v>
      </c>
      <c r="BR249" t="s">
        <v>84</v>
      </c>
      <c r="BS249" s="3">
        <v>43803</v>
      </c>
      <c r="BT249" s="5">
        <v>0.32013888888888892</v>
      </c>
      <c r="BU249" t="s">
        <v>641</v>
      </c>
      <c r="BV249" t="s">
        <v>86</v>
      </c>
      <c r="BY249">
        <v>1200</v>
      </c>
      <c r="CA249" t="s">
        <v>408</v>
      </c>
      <c r="CC249" t="s">
        <v>199</v>
      </c>
      <c r="CD249">
        <v>4052</v>
      </c>
      <c r="CE249" t="s">
        <v>88</v>
      </c>
      <c r="CF249" s="3">
        <v>43804</v>
      </c>
      <c r="CI249">
        <v>1</v>
      </c>
      <c r="CJ249">
        <v>1</v>
      </c>
      <c r="CK249">
        <v>21</v>
      </c>
      <c r="CL249" t="s">
        <v>89</v>
      </c>
    </row>
    <row r="250" spans="1:90">
      <c r="A250" t="s">
        <v>72</v>
      </c>
      <c r="B250" t="s">
        <v>73</v>
      </c>
      <c r="C250" t="s">
        <v>74</v>
      </c>
      <c r="E250" t="str">
        <f>"FES1162726254"</f>
        <v>FES1162726254</v>
      </c>
      <c r="F250" s="3">
        <v>43801</v>
      </c>
      <c r="G250">
        <v>202006</v>
      </c>
      <c r="H250" t="s">
        <v>75</v>
      </c>
      <c r="I250" t="s">
        <v>76</v>
      </c>
      <c r="J250" t="s">
        <v>77</v>
      </c>
      <c r="K250" t="s">
        <v>78</v>
      </c>
      <c r="L250" t="s">
        <v>151</v>
      </c>
      <c r="M250" t="s">
        <v>102</v>
      </c>
      <c r="N250" t="s">
        <v>103</v>
      </c>
      <c r="O250" t="s">
        <v>82</v>
      </c>
      <c r="P250" t="str">
        <f>"2170719746                    "</f>
        <v xml:space="preserve">2170719746                    </v>
      </c>
      <c r="Q250">
        <v>0</v>
      </c>
      <c r="R250">
        <v>0</v>
      </c>
      <c r="S250">
        <v>0</v>
      </c>
      <c r="T250">
        <v>0</v>
      </c>
      <c r="U250">
        <v>0</v>
      </c>
      <c r="V250">
        <v>0</v>
      </c>
      <c r="W250">
        <v>0</v>
      </c>
      <c r="X250">
        <v>0</v>
      </c>
      <c r="Y250">
        <v>0</v>
      </c>
      <c r="Z250">
        <v>0</v>
      </c>
      <c r="AA250">
        <v>0</v>
      </c>
      <c r="AB250">
        <v>0</v>
      </c>
      <c r="AC250">
        <v>0</v>
      </c>
      <c r="AD250">
        <v>0</v>
      </c>
      <c r="AE250">
        <v>0</v>
      </c>
      <c r="AF250">
        <v>0</v>
      </c>
      <c r="AG250">
        <v>0</v>
      </c>
      <c r="AH250">
        <v>0</v>
      </c>
      <c r="AI250">
        <v>0</v>
      </c>
      <c r="AJ250">
        <v>0</v>
      </c>
      <c r="AK250">
        <v>0</v>
      </c>
      <c r="AL250">
        <v>0</v>
      </c>
      <c r="AM250">
        <v>8.58</v>
      </c>
      <c r="AN250">
        <v>0</v>
      </c>
      <c r="AO250">
        <v>0</v>
      </c>
      <c r="AP250">
        <v>0</v>
      </c>
      <c r="AQ250">
        <v>0</v>
      </c>
      <c r="AR250">
        <v>0</v>
      </c>
      <c r="AS250">
        <v>0</v>
      </c>
      <c r="AT250">
        <v>0</v>
      </c>
      <c r="AU250">
        <v>0</v>
      </c>
      <c r="AV250">
        <v>0</v>
      </c>
      <c r="AW250">
        <v>0</v>
      </c>
      <c r="AX250">
        <v>0</v>
      </c>
      <c r="AY250">
        <v>0</v>
      </c>
      <c r="AZ250">
        <v>0</v>
      </c>
      <c r="BA250">
        <v>0</v>
      </c>
      <c r="BB250">
        <v>0</v>
      </c>
      <c r="BC250">
        <v>0</v>
      </c>
      <c r="BD250">
        <v>0</v>
      </c>
      <c r="BE250">
        <v>0</v>
      </c>
      <c r="BF250">
        <v>0</v>
      </c>
      <c r="BG250">
        <v>0</v>
      </c>
      <c r="BH250">
        <v>1</v>
      </c>
      <c r="BI250">
        <v>1</v>
      </c>
      <c r="BJ250">
        <v>0.2</v>
      </c>
      <c r="BK250">
        <v>1</v>
      </c>
      <c r="BL250" s="4">
        <v>50.45</v>
      </c>
      <c r="BM250" s="4">
        <v>7.57</v>
      </c>
      <c r="BN250" s="4">
        <v>58.02</v>
      </c>
      <c r="BO250" s="4">
        <v>58.02</v>
      </c>
      <c r="BQ250" t="s">
        <v>93</v>
      </c>
      <c r="BR250" t="s">
        <v>84</v>
      </c>
      <c r="BS250" s="3">
        <v>43802</v>
      </c>
      <c r="BT250" s="5">
        <v>0.39166666666666666</v>
      </c>
      <c r="BU250" t="s">
        <v>642</v>
      </c>
      <c r="BV250" t="s">
        <v>86</v>
      </c>
      <c r="BY250">
        <v>1200</v>
      </c>
      <c r="BZ250" t="s">
        <v>27</v>
      </c>
      <c r="CA250" t="s">
        <v>107</v>
      </c>
      <c r="CC250" t="s">
        <v>102</v>
      </c>
      <c r="CD250">
        <v>1</v>
      </c>
      <c r="CE250" t="s">
        <v>88</v>
      </c>
      <c r="CF250" s="3">
        <v>43803</v>
      </c>
      <c r="CI250">
        <v>1</v>
      </c>
      <c r="CJ250">
        <v>1</v>
      </c>
      <c r="CK250">
        <v>21</v>
      </c>
      <c r="CL250" t="s">
        <v>89</v>
      </c>
    </row>
    <row r="251" spans="1:90">
      <c r="A251" t="s">
        <v>72</v>
      </c>
      <c r="B251" t="s">
        <v>73</v>
      </c>
      <c r="C251" t="s">
        <v>74</v>
      </c>
      <c r="E251" t="str">
        <f>"FES1162726393"</f>
        <v>FES1162726393</v>
      </c>
      <c r="F251" s="3">
        <v>43802</v>
      </c>
      <c r="G251">
        <v>202006</v>
      </c>
      <c r="H251" t="s">
        <v>75</v>
      </c>
      <c r="I251" t="s">
        <v>76</v>
      </c>
      <c r="J251" t="s">
        <v>77</v>
      </c>
      <c r="K251" t="s">
        <v>78</v>
      </c>
      <c r="L251" t="s">
        <v>455</v>
      </c>
      <c r="M251" t="s">
        <v>456</v>
      </c>
      <c r="N251" t="s">
        <v>457</v>
      </c>
      <c r="O251" t="s">
        <v>82</v>
      </c>
      <c r="P251" t="str">
        <f>"2170718732                    "</f>
        <v xml:space="preserve">2170718732                    </v>
      </c>
      <c r="Q251">
        <v>0</v>
      </c>
      <c r="R251">
        <v>0</v>
      </c>
      <c r="S251">
        <v>0</v>
      </c>
      <c r="T251">
        <v>0</v>
      </c>
      <c r="U251">
        <v>0</v>
      </c>
      <c r="V251">
        <v>0</v>
      </c>
      <c r="W251">
        <v>0</v>
      </c>
      <c r="X251">
        <v>0</v>
      </c>
      <c r="Y251">
        <v>0</v>
      </c>
      <c r="Z251">
        <v>0</v>
      </c>
      <c r="AA251">
        <v>0</v>
      </c>
      <c r="AB251">
        <v>0</v>
      </c>
      <c r="AC251">
        <v>0</v>
      </c>
      <c r="AD251">
        <v>0</v>
      </c>
      <c r="AE251">
        <v>0</v>
      </c>
      <c r="AF251">
        <v>0</v>
      </c>
      <c r="AG251">
        <v>0</v>
      </c>
      <c r="AH251">
        <v>0</v>
      </c>
      <c r="AI251">
        <v>0</v>
      </c>
      <c r="AJ251">
        <v>0</v>
      </c>
      <c r="AK251">
        <v>0</v>
      </c>
      <c r="AL251">
        <v>0</v>
      </c>
      <c r="AM251">
        <v>8.58</v>
      </c>
      <c r="AN251">
        <v>0</v>
      </c>
      <c r="AO251">
        <v>0</v>
      </c>
      <c r="AP251">
        <v>0</v>
      </c>
      <c r="AQ251">
        <v>0</v>
      </c>
      <c r="AR251">
        <v>0</v>
      </c>
      <c r="AS251">
        <v>0</v>
      </c>
      <c r="AT251">
        <v>0</v>
      </c>
      <c r="AU251">
        <v>0</v>
      </c>
      <c r="AV251">
        <v>0</v>
      </c>
      <c r="AW251">
        <v>0</v>
      </c>
      <c r="AX251">
        <v>0</v>
      </c>
      <c r="AY251">
        <v>0</v>
      </c>
      <c r="AZ251">
        <v>0</v>
      </c>
      <c r="BA251">
        <v>0</v>
      </c>
      <c r="BB251">
        <v>0</v>
      </c>
      <c r="BC251">
        <v>0</v>
      </c>
      <c r="BD251">
        <v>0</v>
      </c>
      <c r="BE251">
        <v>0</v>
      </c>
      <c r="BF251">
        <v>0</v>
      </c>
      <c r="BG251">
        <v>0</v>
      </c>
      <c r="BH251">
        <v>1</v>
      </c>
      <c r="BI251">
        <v>1</v>
      </c>
      <c r="BJ251">
        <v>0.2</v>
      </c>
      <c r="BK251">
        <v>1</v>
      </c>
      <c r="BL251" s="4">
        <v>50.45</v>
      </c>
      <c r="BM251" s="4">
        <v>7.57</v>
      </c>
      <c r="BN251" s="4">
        <v>58.02</v>
      </c>
      <c r="BO251" s="4">
        <v>58.02</v>
      </c>
      <c r="BR251" t="s">
        <v>84</v>
      </c>
      <c r="BS251" s="3">
        <v>43803</v>
      </c>
      <c r="BT251" s="5">
        <v>0.4861111111111111</v>
      </c>
      <c r="BU251" t="s">
        <v>458</v>
      </c>
      <c r="BV251" t="s">
        <v>86</v>
      </c>
      <c r="BY251">
        <v>1200</v>
      </c>
      <c r="CA251" t="s">
        <v>459</v>
      </c>
      <c r="CC251" t="s">
        <v>456</v>
      </c>
      <c r="CD251">
        <v>3699</v>
      </c>
      <c r="CE251" t="s">
        <v>88</v>
      </c>
      <c r="CF251" s="3">
        <v>43804</v>
      </c>
      <c r="CI251">
        <v>1</v>
      </c>
      <c r="CJ251">
        <v>1</v>
      </c>
      <c r="CK251">
        <v>21</v>
      </c>
      <c r="CL251" t="s">
        <v>89</v>
      </c>
    </row>
    <row r="252" spans="1:90">
      <c r="A252" t="s">
        <v>72</v>
      </c>
      <c r="B252" t="s">
        <v>73</v>
      </c>
      <c r="C252" t="s">
        <v>74</v>
      </c>
      <c r="E252" t="str">
        <f>"FES1162726258"</f>
        <v>FES1162726258</v>
      </c>
      <c r="F252" s="3">
        <v>43801</v>
      </c>
      <c r="G252">
        <v>202006</v>
      </c>
      <c r="H252" t="s">
        <v>75</v>
      </c>
      <c r="I252" t="s">
        <v>76</v>
      </c>
      <c r="J252" t="s">
        <v>77</v>
      </c>
      <c r="K252" t="s">
        <v>78</v>
      </c>
      <c r="L252" t="s">
        <v>332</v>
      </c>
      <c r="M252" t="s">
        <v>333</v>
      </c>
      <c r="N252" t="s">
        <v>643</v>
      </c>
      <c r="O252" t="s">
        <v>82</v>
      </c>
      <c r="P252" t="str">
        <f>"2170719753                    "</f>
        <v xml:space="preserve">2170719753                    </v>
      </c>
      <c r="Q252">
        <v>0</v>
      </c>
      <c r="R252">
        <v>0</v>
      </c>
      <c r="S252">
        <v>0</v>
      </c>
      <c r="T252">
        <v>0</v>
      </c>
      <c r="U252">
        <v>0</v>
      </c>
      <c r="V252">
        <v>0</v>
      </c>
      <c r="W252">
        <v>0</v>
      </c>
      <c r="X252">
        <v>0</v>
      </c>
      <c r="Y252">
        <v>0</v>
      </c>
      <c r="Z252">
        <v>0</v>
      </c>
      <c r="AA252">
        <v>0</v>
      </c>
      <c r="AB252">
        <v>0</v>
      </c>
      <c r="AC252">
        <v>0</v>
      </c>
      <c r="AD252">
        <v>0</v>
      </c>
      <c r="AE252">
        <v>0</v>
      </c>
      <c r="AF252">
        <v>0</v>
      </c>
      <c r="AG252">
        <v>0</v>
      </c>
      <c r="AH252">
        <v>0</v>
      </c>
      <c r="AI252">
        <v>0</v>
      </c>
      <c r="AJ252">
        <v>0</v>
      </c>
      <c r="AK252">
        <v>0</v>
      </c>
      <c r="AL252">
        <v>0</v>
      </c>
      <c r="AM252">
        <v>6.71</v>
      </c>
      <c r="AN252">
        <v>0</v>
      </c>
      <c r="AO252">
        <v>0</v>
      </c>
      <c r="AP252">
        <v>0</v>
      </c>
      <c r="AQ252">
        <v>0</v>
      </c>
      <c r="AR252">
        <v>0</v>
      </c>
      <c r="AS252">
        <v>0</v>
      </c>
      <c r="AT252">
        <v>0</v>
      </c>
      <c r="AU252">
        <v>0</v>
      </c>
      <c r="AV252">
        <v>0</v>
      </c>
      <c r="AW252">
        <v>0</v>
      </c>
      <c r="AX252">
        <v>0</v>
      </c>
      <c r="AY252">
        <v>0</v>
      </c>
      <c r="AZ252">
        <v>0</v>
      </c>
      <c r="BA252">
        <v>0</v>
      </c>
      <c r="BB252">
        <v>0</v>
      </c>
      <c r="BC252">
        <v>0</v>
      </c>
      <c r="BD252">
        <v>0</v>
      </c>
      <c r="BE252">
        <v>0</v>
      </c>
      <c r="BF252">
        <v>0</v>
      </c>
      <c r="BG252">
        <v>0</v>
      </c>
      <c r="BH252">
        <v>1</v>
      </c>
      <c r="BI252">
        <v>1</v>
      </c>
      <c r="BJ252">
        <v>0.2</v>
      </c>
      <c r="BK252">
        <v>1</v>
      </c>
      <c r="BL252" s="4">
        <v>39.42</v>
      </c>
      <c r="BM252" s="4">
        <v>5.91</v>
      </c>
      <c r="BN252" s="4">
        <v>45.33</v>
      </c>
      <c r="BO252" s="4">
        <v>45.33</v>
      </c>
      <c r="BR252" t="s">
        <v>84</v>
      </c>
      <c r="BS252" s="3">
        <v>43802</v>
      </c>
      <c r="BT252" s="5">
        <v>0.4375</v>
      </c>
      <c r="BU252" t="s">
        <v>644</v>
      </c>
      <c r="BV252" t="s">
        <v>86</v>
      </c>
      <c r="BY252">
        <v>1200</v>
      </c>
      <c r="BZ252" t="s">
        <v>27</v>
      </c>
      <c r="CA252" t="s">
        <v>307</v>
      </c>
      <c r="CC252" t="s">
        <v>333</v>
      </c>
      <c r="CD252">
        <v>2066</v>
      </c>
      <c r="CE252" t="s">
        <v>88</v>
      </c>
      <c r="CF252" s="3">
        <v>43803</v>
      </c>
      <c r="CI252">
        <v>1</v>
      </c>
      <c r="CJ252">
        <v>1</v>
      </c>
      <c r="CK252">
        <v>22</v>
      </c>
      <c r="CL252" t="s">
        <v>89</v>
      </c>
    </row>
    <row r="253" spans="1:90">
      <c r="A253" t="s">
        <v>72</v>
      </c>
      <c r="B253" t="s">
        <v>73</v>
      </c>
      <c r="C253" t="s">
        <v>74</v>
      </c>
      <c r="E253" t="str">
        <f>"FES1162726362"</f>
        <v>FES1162726362</v>
      </c>
      <c r="F253" s="3">
        <v>43802</v>
      </c>
      <c r="G253">
        <v>202006</v>
      </c>
      <c r="H253" t="s">
        <v>75</v>
      </c>
      <c r="I253" t="s">
        <v>76</v>
      </c>
      <c r="J253" t="s">
        <v>77</v>
      </c>
      <c r="K253" t="s">
        <v>78</v>
      </c>
      <c r="L253" t="s">
        <v>75</v>
      </c>
      <c r="M253" t="s">
        <v>76</v>
      </c>
      <c r="N253" t="s">
        <v>479</v>
      </c>
      <c r="O253" t="s">
        <v>82</v>
      </c>
      <c r="P253" t="str">
        <f>"2170719865                    "</f>
        <v xml:space="preserve">2170719865                    </v>
      </c>
      <c r="Q253">
        <v>0</v>
      </c>
      <c r="R253">
        <v>0</v>
      </c>
      <c r="S253">
        <v>0</v>
      </c>
      <c r="T253">
        <v>0</v>
      </c>
      <c r="U253">
        <v>0</v>
      </c>
      <c r="V253">
        <v>0</v>
      </c>
      <c r="W253">
        <v>0</v>
      </c>
      <c r="X253">
        <v>0</v>
      </c>
      <c r="Y253">
        <v>0</v>
      </c>
      <c r="Z253">
        <v>0</v>
      </c>
      <c r="AA253">
        <v>0</v>
      </c>
      <c r="AB253">
        <v>0</v>
      </c>
      <c r="AC253">
        <v>0</v>
      </c>
      <c r="AD253">
        <v>0</v>
      </c>
      <c r="AE253">
        <v>0</v>
      </c>
      <c r="AF253">
        <v>0</v>
      </c>
      <c r="AG253">
        <v>0</v>
      </c>
      <c r="AH253">
        <v>0</v>
      </c>
      <c r="AI253">
        <v>0</v>
      </c>
      <c r="AJ253">
        <v>0</v>
      </c>
      <c r="AK253">
        <v>0</v>
      </c>
      <c r="AL253">
        <v>0</v>
      </c>
      <c r="AM253">
        <v>6.71</v>
      </c>
      <c r="AN253">
        <v>0</v>
      </c>
      <c r="AO253">
        <v>0</v>
      </c>
      <c r="AP253">
        <v>0</v>
      </c>
      <c r="AQ253">
        <v>0</v>
      </c>
      <c r="AR253">
        <v>0</v>
      </c>
      <c r="AS253">
        <v>0</v>
      </c>
      <c r="AT253">
        <v>0</v>
      </c>
      <c r="AU253">
        <v>0</v>
      </c>
      <c r="AV253">
        <v>0</v>
      </c>
      <c r="AW253">
        <v>0</v>
      </c>
      <c r="AX253">
        <v>0</v>
      </c>
      <c r="AY253">
        <v>0</v>
      </c>
      <c r="AZ253">
        <v>0</v>
      </c>
      <c r="BA253">
        <v>0</v>
      </c>
      <c r="BB253">
        <v>0</v>
      </c>
      <c r="BC253">
        <v>0</v>
      </c>
      <c r="BD253">
        <v>0</v>
      </c>
      <c r="BE253">
        <v>0</v>
      </c>
      <c r="BF253">
        <v>0</v>
      </c>
      <c r="BG253">
        <v>0</v>
      </c>
      <c r="BH253">
        <v>1</v>
      </c>
      <c r="BI253">
        <v>1</v>
      </c>
      <c r="BJ253">
        <v>0.2</v>
      </c>
      <c r="BK253">
        <v>1</v>
      </c>
      <c r="BL253" s="4">
        <v>39.42</v>
      </c>
      <c r="BM253" s="4">
        <v>5.91</v>
      </c>
      <c r="BN253" s="4">
        <v>45.33</v>
      </c>
      <c r="BO253" s="4">
        <v>45.33</v>
      </c>
      <c r="BQ253" t="s">
        <v>147</v>
      </c>
      <c r="BR253" t="s">
        <v>84</v>
      </c>
      <c r="BS253" s="3">
        <v>43803</v>
      </c>
      <c r="BT253" s="5">
        <v>0.29375000000000001</v>
      </c>
      <c r="BU253" t="s">
        <v>645</v>
      </c>
      <c r="BV253" t="s">
        <v>86</v>
      </c>
      <c r="BY253">
        <v>1200</v>
      </c>
      <c r="CA253" t="s">
        <v>588</v>
      </c>
      <c r="CC253" t="s">
        <v>76</v>
      </c>
      <c r="CD253">
        <v>1600</v>
      </c>
      <c r="CE253" t="s">
        <v>88</v>
      </c>
      <c r="CF253" s="3">
        <v>43804</v>
      </c>
      <c r="CI253">
        <v>1</v>
      </c>
      <c r="CJ253">
        <v>1</v>
      </c>
      <c r="CK253">
        <v>22</v>
      </c>
      <c r="CL253" t="s">
        <v>89</v>
      </c>
    </row>
    <row r="254" spans="1:90">
      <c r="A254" t="s">
        <v>72</v>
      </c>
      <c r="B254" t="s">
        <v>73</v>
      </c>
      <c r="C254" t="s">
        <v>74</v>
      </c>
      <c r="E254" t="str">
        <f>"FES1162726252"</f>
        <v>FES1162726252</v>
      </c>
      <c r="F254" s="3">
        <v>43801</v>
      </c>
      <c r="G254">
        <v>202006</v>
      </c>
      <c r="H254" t="s">
        <v>75</v>
      </c>
      <c r="I254" t="s">
        <v>76</v>
      </c>
      <c r="J254" t="s">
        <v>77</v>
      </c>
      <c r="K254" t="s">
        <v>78</v>
      </c>
      <c r="L254" t="s">
        <v>646</v>
      </c>
      <c r="M254" t="s">
        <v>647</v>
      </c>
      <c r="N254" t="s">
        <v>648</v>
      </c>
      <c r="O254" t="s">
        <v>82</v>
      </c>
      <c r="P254" t="str">
        <f>"2170719744                    "</f>
        <v xml:space="preserve">2170719744                    </v>
      </c>
      <c r="Q254">
        <v>0</v>
      </c>
      <c r="R254">
        <v>0</v>
      </c>
      <c r="S254">
        <v>0</v>
      </c>
      <c r="T254">
        <v>0</v>
      </c>
      <c r="U254">
        <v>0</v>
      </c>
      <c r="V254">
        <v>0</v>
      </c>
      <c r="W254">
        <v>0</v>
      </c>
      <c r="X254">
        <v>0</v>
      </c>
      <c r="Y254">
        <v>0</v>
      </c>
      <c r="Z254">
        <v>0</v>
      </c>
      <c r="AA254">
        <v>0</v>
      </c>
      <c r="AB254">
        <v>0</v>
      </c>
      <c r="AC254">
        <v>0</v>
      </c>
      <c r="AD254">
        <v>0</v>
      </c>
      <c r="AE254">
        <v>0</v>
      </c>
      <c r="AF254">
        <v>0</v>
      </c>
      <c r="AG254">
        <v>0</v>
      </c>
      <c r="AH254">
        <v>0</v>
      </c>
      <c r="AI254">
        <v>0</v>
      </c>
      <c r="AJ254">
        <v>0</v>
      </c>
      <c r="AK254">
        <v>0</v>
      </c>
      <c r="AL254">
        <v>0</v>
      </c>
      <c r="AM254">
        <v>12.07</v>
      </c>
      <c r="AN254">
        <v>0</v>
      </c>
      <c r="AO254">
        <v>0</v>
      </c>
      <c r="AP254">
        <v>0</v>
      </c>
      <c r="AQ254">
        <v>0</v>
      </c>
      <c r="AR254">
        <v>0</v>
      </c>
      <c r="AS254">
        <v>0</v>
      </c>
      <c r="AT254">
        <v>0</v>
      </c>
      <c r="AU254">
        <v>0</v>
      </c>
      <c r="AV254">
        <v>0</v>
      </c>
      <c r="AW254">
        <v>0</v>
      </c>
      <c r="AX254">
        <v>0</v>
      </c>
      <c r="AY254">
        <v>0</v>
      </c>
      <c r="AZ254">
        <v>0</v>
      </c>
      <c r="BA254">
        <v>0</v>
      </c>
      <c r="BB254">
        <v>0</v>
      </c>
      <c r="BC254">
        <v>0</v>
      </c>
      <c r="BD254">
        <v>0</v>
      </c>
      <c r="BE254">
        <v>0</v>
      </c>
      <c r="BF254">
        <v>0</v>
      </c>
      <c r="BG254">
        <v>0</v>
      </c>
      <c r="BH254">
        <v>1</v>
      </c>
      <c r="BI254">
        <v>1</v>
      </c>
      <c r="BJ254">
        <v>0.2</v>
      </c>
      <c r="BK254">
        <v>1</v>
      </c>
      <c r="BL254" s="4">
        <v>70.95</v>
      </c>
      <c r="BM254" s="4">
        <v>10.64</v>
      </c>
      <c r="BN254" s="4">
        <v>81.59</v>
      </c>
      <c r="BO254" s="4">
        <v>81.59</v>
      </c>
      <c r="BR254" t="s">
        <v>84</v>
      </c>
      <c r="BS254" s="3">
        <v>43802</v>
      </c>
      <c r="BT254" s="5">
        <v>0.39583333333333331</v>
      </c>
      <c r="BU254" t="s">
        <v>649</v>
      </c>
      <c r="BV254" t="s">
        <v>86</v>
      </c>
      <c r="BY254">
        <v>1200</v>
      </c>
      <c r="BZ254" t="s">
        <v>27</v>
      </c>
      <c r="CA254" t="s">
        <v>650</v>
      </c>
      <c r="CC254" t="s">
        <v>647</v>
      </c>
      <c r="CD254">
        <v>299</v>
      </c>
      <c r="CE254" t="s">
        <v>88</v>
      </c>
      <c r="CF254" s="3">
        <v>43804</v>
      </c>
      <c r="CI254">
        <v>1</v>
      </c>
      <c r="CJ254">
        <v>1</v>
      </c>
      <c r="CK254">
        <v>24</v>
      </c>
      <c r="CL254" t="s">
        <v>89</v>
      </c>
    </row>
    <row r="255" spans="1:90">
      <c r="A255" t="s">
        <v>72</v>
      </c>
      <c r="B255" t="s">
        <v>73</v>
      </c>
      <c r="C255" t="s">
        <v>74</v>
      </c>
      <c r="E255" t="str">
        <f>"FES1162726448"</f>
        <v>FES1162726448</v>
      </c>
      <c r="F255" s="3">
        <v>43802</v>
      </c>
      <c r="G255">
        <v>202006</v>
      </c>
      <c r="H255" t="s">
        <v>75</v>
      </c>
      <c r="I255" t="s">
        <v>76</v>
      </c>
      <c r="J255" t="s">
        <v>77</v>
      </c>
      <c r="K255" t="s">
        <v>78</v>
      </c>
      <c r="L255" t="s">
        <v>75</v>
      </c>
      <c r="M255" t="s">
        <v>76</v>
      </c>
      <c r="N255" t="s">
        <v>651</v>
      </c>
      <c r="O255" t="s">
        <v>82</v>
      </c>
      <c r="P255" t="str">
        <f>"2170719868                    "</f>
        <v xml:space="preserve">2170719868                    </v>
      </c>
      <c r="Q255">
        <v>0</v>
      </c>
      <c r="R255">
        <v>0</v>
      </c>
      <c r="S255">
        <v>0</v>
      </c>
      <c r="T255">
        <v>0</v>
      </c>
      <c r="U255">
        <v>0</v>
      </c>
      <c r="V255">
        <v>0</v>
      </c>
      <c r="W255">
        <v>0</v>
      </c>
      <c r="X255">
        <v>0</v>
      </c>
      <c r="Y255">
        <v>0</v>
      </c>
      <c r="Z255">
        <v>0</v>
      </c>
      <c r="AA255">
        <v>0</v>
      </c>
      <c r="AB255">
        <v>0</v>
      </c>
      <c r="AC255">
        <v>0</v>
      </c>
      <c r="AD255">
        <v>0</v>
      </c>
      <c r="AE255">
        <v>0</v>
      </c>
      <c r="AF255">
        <v>0</v>
      </c>
      <c r="AG255">
        <v>0</v>
      </c>
      <c r="AH255">
        <v>0</v>
      </c>
      <c r="AI255">
        <v>0</v>
      </c>
      <c r="AJ255">
        <v>0</v>
      </c>
      <c r="AK255">
        <v>0</v>
      </c>
      <c r="AL255">
        <v>0</v>
      </c>
      <c r="AM255">
        <v>6.71</v>
      </c>
      <c r="AN255">
        <v>0</v>
      </c>
      <c r="AO255">
        <v>0</v>
      </c>
      <c r="AP255">
        <v>0</v>
      </c>
      <c r="AQ255">
        <v>0</v>
      </c>
      <c r="AR255">
        <v>0</v>
      </c>
      <c r="AS255">
        <v>0</v>
      </c>
      <c r="AT255">
        <v>0</v>
      </c>
      <c r="AU255">
        <v>0</v>
      </c>
      <c r="AV255">
        <v>0</v>
      </c>
      <c r="AW255">
        <v>0</v>
      </c>
      <c r="AX255">
        <v>0</v>
      </c>
      <c r="AY255">
        <v>0</v>
      </c>
      <c r="AZ255">
        <v>0</v>
      </c>
      <c r="BA255">
        <v>0</v>
      </c>
      <c r="BB255">
        <v>0</v>
      </c>
      <c r="BC255">
        <v>0</v>
      </c>
      <c r="BD255">
        <v>0</v>
      </c>
      <c r="BE255">
        <v>0</v>
      </c>
      <c r="BF255">
        <v>0</v>
      </c>
      <c r="BG255">
        <v>0</v>
      </c>
      <c r="BH255">
        <v>1</v>
      </c>
      <c r="BI255">
        <v>1</v>
      </c>
      <c r="BJ255">
        <v>0.2</v>
      </c>
      <c r="BK255">
        <v>1</v>
      </c>
      <c r="BL255" s="4">
        <v>39.42</v>
      </c>
      <c r="BM255" s="4">
        <v>5.91</v>
      </c>
      <c r="BN255" s="4">
        <v>45.33</v>
      </c>
      <c r="BO255" s="4">
        <v>45.33</v>
      </c>
      <c r="BQ255" t="s">
        <v>135</v>
      </c>
      <c r="BR255" t="s">
        <v>84</v>
      </c>
      <c r="BS255" s="3">
        <v>43803</v>
      </c>
      <c r="BT255" s="5">
        <v>0.38541666666666669</v>
      </c>
      <c r="BU255" t="s">
        <v>652</v>
      </c>
      <c r="BV255" t="s">
        <v>86</v>
      </c>
      <c r="BY255">
        <v>1200</v>
      </c>
      <c r="CC255" t="s">
        <v>76</v>
      </c>
      <c r="CD255">
        <v>1620</v>
      </c>
      <c r="CE255" t="s">
        <v>88</v>
      </c>
      <c r="CF255" s="3">
        <v>43804</v>
      </c>
      <c r="CI255">
        <v>1</v>
      </c>
      <c r="CJ255">
        <v>1</v>
      </c>
      <c r="CK255">
        <v>22</v>
      </c>
      <c r="CL255" t="s">
        <v>89</v>
      </c>
    </row>
    <row r="256" spans="1:90">
      <c r="A256" t="s">
        <v>72</v>
      </c>
      <c r="B256" t="s">
        <v>73</v>
      </c>
      <c r="C256" t="s">
        <v>74</v>
      </c>
      <c r="E256" t="str">
        <f>"FES1162726251"</f>
        <v>FES1162726251</v>
      </c>
      <c r="F256" s="3">
        <v>43801</v>
      </c>
      <c r="G256">
        <v>202006</v>
      </c>
      <c r="H256" t="s">
        <v>75</v>
      </c>
      <c r="I256" t="s">
        <v>76</v>
      </c>
      <c r="J256" t="s">
        <v>77</v>
      </c>
      <c r="K256" t="s">
        <v>78</v>
      </c>
      <c r="L256" t="s">
        <v>198</v>
      </c>
      <c r="M256" t="s">
        <v>199</v>
      </c>
      <c r="N256" t="s">
        <v>653</v>
      </c>
      <c r="O256" t="s">
        <v>82</v>
      </c>
      <c r="P256" t="str">
        <f>"2170719742                    "</f>
        <v xml:space="preserve">2170719742                    </v>
      </c>
      <c r="Q256">
        <v>0</v>
      </c>
      <c r="R256">
        <v>0</v>
      </c>
      <c r="S256">
        <v>0</v>
      </c>
      <c r="T256">
        <v>0</v>
      </c>
      <c r="U256">
        <v>0</v>
      </c>
      <c r="V256">
        <v>0</v>
      </c>
      <c r="W256">
        <v>0</v>
      </c>
      <c r="X256">
        <v>0</v>
      </c>
      <c r="Y256">
        <v>0</v>
      </c>
      <c r="Z256">
        <v>0</v>
      </c>
      <c r="AA256">
        <v>0</v>
      </c>
      <c r="AB256">
        <v>0</v>
      </c>
      <c r="AC256">
        <v>0</v>
      </c>
      <c r="AD256">
        <v>0</v>
      </c>
      <c r="AE256">
        <v>0</v>
      </c>
      <c r="AF256">
        <v>0</v>
      </c>
      <c r="AG256">
        <v>0</v>
      </c>
      <c r="AH256">
        <v>0</v>
      </c>
      <c r="AI256">
        <v>0</v>
      </c>
      <c r="AJ256">
        <v>0</v>
      </c>
      <c r="AK256">
        <v>0</v>
      </c>
      <c r="AL256">
        <v>0</v>
      </c>
      <c r="AM256">
        <v>38.6</v>
      </c>
      <c r="AN256">
        <v>0</v>
      </c>
      <c r="AO256">
        <v>0</v>
      </c>
      <c r="AP256">
        <v>0</v>
      </c>
      <c r="AQ256">
        <v>0</v>
      </c>
      <c r="AR256">
        <v>0</v>
      </c>
      <c r="AS256">
        <v>0</v>
      </c>
      <c r="AT256">
        <v>0</v>
      </c>
      <c r="AU256">
        <v>0</v>
      </c>
      <c r="AV256">
        <v>0</v>
      </c>
      <c r="AW256">
        <v>0</v>
      </c>
      <c r="AX256">
        <v>0</v>
      </c>
      <c r="AY256">
        <v>0</v>
      </c>
      <c r="AZ256">
        <v>0</v>
      </c>
      <c r="BA256">
        <v>0</v>
      </c>
      <c r="BB256">
        <v>0</v>
      </c>
      <c r="BC256">
        <v>0</v>
      </c>
      <c r="BD256">
        <v>0</v>
      </c>
      <c r="BE256">
        <v>0</v>
      </c>
      <c r="BF256">
        <v>0</v>
      </c>
      <c r="BG256">
        <v>0</v>
      </c>
      <c r="BH256">
        <v>1</v>
      </c>
      <c r="BI256">
        <v>7</v>
      </c>
      <c r="BJ256">
        <v>8.6999999999999993</v>
      </c>
      <c r="BK256">
        <v>9</v>
      </c>
      <c r="BL256" s="4">
        <v>226.91</v>
      </c>
      <c r="BM256" s="4">
        <v>34.04</v>
      </c>
      <c r="BN256" s="4">
        <v>260.95</v>
      </c>
      <c r="BO256" s="4">
        <v>260.95</v>
      </c>
      <c r="BQ256" t="s">
        <v>277</v>
      </c>
      <c r="BR256" t="s">
        <v>84</v>
      </c>
      <c r="BS256" s="3">
        <v>43802</v>
      </c>
      <c r="BT256" s="5">
        <v>0.37638888888888888</v>
      </c>
      <c r="BU256" t="s">
        <v>654</v>
      </c>
      <c r="BV256" t="s">
        <v>86</v>
      </c>
      <c r="BY256">
        <v>43271.97</v>
      </c>
      <c r="BZ256" t="s">
        <v>27</v>
      </c>
      <c r="CA256" t="s">
        <v>408</v>
      </c>
      <c r="CC256" t="s">
        <v>199</v>
      </c>
      <c r="CD256">
        <v>4052</v>
      </c>
      <c r="CE256" t="s">
        <v>96</v>
      </c>
      <c r="CI256">
        <v>1</v>
      </c>
      <c r="CJ256">
        <v>1</v>
      </c>
      <c r="CK256">
        <v>21</v>
      </c>
      <c r="CL256" t="s">
        <v>89</v>
      </c>
    </row>
    <row r="257" spans="1:90">
      <c r="A257" t="s">
        <v>72</v>
      </c>
      <c r="B257" t="s">
        <v>73</v>
      </c>
      <c r="C257" t="s">
        <v>74</v>
      </c>
      <c r="E257" t="str">
        <f>"FES1162726457"</f>
        <v>FES1162726457</v>
      </c>
      <c r="F257" s="3">
        <v>43802</v>
      </c>
      <c r="G257">
        <v>202006</v>
      </c>
      <c r="H257" t="s">
        <v>75</v>
      </c>
      <c r="I257" t="s">
        <v>76</v>
      </c>
      <c r="J257" t="s">
        <v>77</v>
      </c>
      <c r="K257" t="s">
        <v>78</v>
      </c>
      <c r="L257" t="s">
        <v>75</v>
      </c>
      <c r="M257" t="s">
        <v>76</v>
      </c>
      <c r="N257" t="s">
        <v>655</v>
      </c>
      <c r="O257" t="s">
        <v>82</v>
      </c>
      <c r="P257" t="str">
        <f>"2170719887                    "</f>
        <v xml:space="preserve">2170719887                    </v>
      </c>
      <c r="Q257">
        <v>0</v>
      </c>
      <c r="R257">
        <v>0</v>
      </c>
      <c r="S257">
        <v>0</v>
      </c>
      <c r="T257">
        <v>0</v>
      </c>
      <c r="U257">
        <v>0</v>
      </c>
      <c r="V257">
        <v>0</v>
      </c>
      <c r="W257">
        <v>0</v>
      </c>
      <c r="X257">
        <v>0</v>
      </c>
      <c r="Y257">
        <v>0</v>
      </c>
      <c r="Z257">
        <v>0</v>
      </c>
      <c r="AA257">
        <v>0</v>
      </c>
      <c r="AB257">
        <v>0</v>
      </c>
      <c r="AC257">
        <v>0</v>
      </c>
      <c r="AD257">
        <v>0</v>
      </c>
      <c r="AE257">
        <v>0</v>
      </c>
      <c r="AF257">
        <v>0</v>
      </c>
      <c r="AG257">
        <v>0</v>
      </c>
      <c r="AH257">
        <v>0</v>
      </c>
      <c r="AI257">
        <v>0</v>
      </c>
      <c r="AJ257">
        <v>0</v>
      </c>
      <c r="AK257">
        <v>0</v>
      </c>
      <c r="AL257">
        <v>0</v>
      </c>
      <c r="AM257">
        <v>9.1199999999999992</v>
      </c>
      <c r="AN257">
        <v>0</v>
      </c>
      <c r="AO257">
        <v>0</v>
      </c>
      <c r="AP257">
        <v>0</v>
      </c>
      <c r="AQ257">
        <v>0</v>
      </c>
      <c r="AR257">
        <v>0</v>
      </c>
      <c r="AS257">
        <v>0</v>
      </c>
      <c r="AT257">
        <v>0</v>
      </c>
      <c r="AU257">
        <v>0</v>
      </c>
      <c r="AV257">
        <v>0</v>
      </c>
      <c r="AW257">
        <v>0</v>
      </c>
      <c r="AX257">
        <v>0</v>
      </c>
      <c r="AY257">
        <v>0</v>
      </c>
      <c r="AZ257">
        <v>0</v>
      </c>
      <c r="BA257">
        <v>0</v>
      </c>
      <c r="BB257">
        <v>0</v>
      </c>
      <c r="BC257">
        <v>0</v>
      </c>
      <c r="BD257">
        <v>0</v>
      </c>
      <c r="BE257">
        <v>0</v>
      </c>
      <c r="BF257">
        <v>0</v>
      </c>
      <c r="BG257">
        <v>0</v>
      </c>
      <c r="BH257">
        <v>1</v>
      </c>
      <c r="BI257">
        <v>1.9</v>
      </c>
      <c r="BJ257">
        <v>3.3</v>
      </c>
      <c r="BK257">
        <v>3.5</v>
      </c>
      <c r="BL257" s="4">
        <v>53.59</v>
      </c>
      <c r="BM257" s="4">
        <v>8.0399999999999991</v>
      </c>
      <c r="BN257" s="4">
        <v>61.63</v>
      </c>
      <c r="BO257" s="4">
        <v>61.63</v>
      </c>
      <c r="BQ257" t="s">
        <v>147</v>
      </c>
      <c r="BR257" t="s">
        <v>84</v>
      </c>
      <c r="BS257" s="3">
        <v>43803</v>
      </c>
      <c r="BT257" s="5">
        <v>0.375</v>
      </c>
      <c r="BU257" t="s">
        <v>656</v>
      </c>
      <c r="BV257" t="s">
        <v>86</v>
      </c>
      <c r="BY257">
        <v>16439.47</v>
      </c>
      <c r="CA257" t="s">
        <v>588</v>
      </c>
      <c r="CC257" t="s">
        <v>76</v>
      </c>
      <c r="CD257">
        <v>1600</v>
      </c>
      <c r="CE257" t="s">
        <v>96</v>
      </c>
      <c r="CF257" s="3">
        <v>43804</v>
      </c>
      <c r="CI257">
        <v>1</v>
      </c>
      <c r="CJ257">
        <v>1</v>
      </c>
      <c r="CK257">
        <v>22</v>
      </c>
      <c r="CL257" t="s">
        <v>89</v>
      </c>
    </row>
    <row r="258" spans="1:90">
      <c r="A258" t="s">
        <v>72</v>
      </c>
      <c r="B258" t="s">
        <v>73</v>
      </c>
      <c r="C258" t="s">
        <v>74</v>
      </c>
      <c r="E258" t="str">
        <f>"FES1162726356"</f>
        <v>FES1162726356</v>
      </c>
      <c r="F258" s="3">
        <v>43802</v>
      </c>
      <c r="G258">
        <v>202006</v>
      </c>
      <c r="H258" t="s">
        <v>75</v>
      </c>
      <c r="I258" t="s">
        <v>76</v>
      </c>
      <c r="J258" t="s">
        <v>77</v>
      </c>
      <c r="K258" t="s">
        <v>78</v>
      </c>
      <c r="L258" t="s">
        <v>221</v>
      </c>
      <c r="M258" t="s">
        <v>222</v>
      </c>
      <c r="N258" t="s">
        <v>521</v>
      </c>
      <c r="O258" t="s">
        <v>82</v>
      </c>
      <c r="P258" t="str">
        <f>"2170719857                    "</f>
        <v xml:space="preserve">2170719857                    </v>
      </c>
      <c r="Q258">
        <v>0</v>
      </c>
      <c r="R258">
        <v>0</v>
      </c>
      <c r="S258">
        <v>0</v>
      </c>
      <c r="T258">
        <v>0</v>
      </c>
      <c r="U258">
        <v>0</v>
      </c>
      <c r="V258">
        <v>0</v>
      </c>
      <c r="W258">
        <v>0</v>
      </c>
      <c r="X258">
        <v>0</v>
      </c>
      <c r="Y258">
        <v>0</v>
      </c>
      <c r="Z258">
        <v>0</v>
      </c>
      <c r="AA258">
        <v>0</v>
      </c>
      <c r="AB258">
        <v>0</v>
      </c>
      <c r="AC258">
        <v>0</v>
      </c>
      <c r="AD258">
        <v>0</v>
      </c>
      <c r="AE258">
        <v>0</v>
      </c>
      <c r="AF258">
        <v>0</v>
      </c>
      <c r="AG258">
        <v>0</v>
      </c>
      <c r="AH258">
        <v>0</v>
      </c>
      <c r="AI258">
        <v>0</v>
      </c>
      <c r="AJ258">
        <v>0</v>
      </c>
      <c r="AK258">
        <v>0</v>
      </c>
      <c r="AL258">
        <v>0</v>
      </c>
      <c r="AM258">
        <v>27.88</v>
      </c>
      <c r="AN258">
        <v>0</v>
      </c>
      <c r="AO258">
        <v>0</v>
      </c>
      <c r="AP258">
        <v>0</v>
      </c>
      <c r="AQ258">
        <v>0</v>
      </c>
      <c r="AR258">
        <v>0</v>
      </c>
      <c r="AS258">
        <v>0</v>
      </c>
      <c r="AT258">
        <v>0</v>
      </c>
      <c r="AU258">
        <v>0</v>
      </c>
      <c r="AV258">
        <v>0</v>
      </c>
      <c r="AW258">
        <v>0</v>
      </c>
      <c r="AX258">
        <v>0</v>
      </c>
      <c r="AY258">
        <v>0</v>
      </c>
      <c r="AZ258">
        <v>0</v>
      </c>
      <c r="BA258">
        <v>0</v>
      </c>
      <c r="BB258">
        <v>0</v>
      </c>
      <c r="BC258">
        <v>0</v>
      </c>
      <c r="BD258">
        <v>0</v>
      </c>
      <c r="BE258">
        <v>0</v>
      </c>
      <c r="BF258">
        <v>0</v>
      </c>
      <c r="BG258">
        <v>0</v>
      </c>
      <c r="BH258">
        <v>1</v>
      </c>
      <c r="BI258">
        <v>6.2</v>
      </c>
      <c r="BJ258">
        <v>3.3</v>
      </c>
      <c r="BK258">
        <v>6.5</v>
      </c>
      <c r="BL258" s="4">
        <v>163.89</v>
      </c>
      <c r="BM258" s="4">
        <v>24.58</v>
      </c>
      <c r="BN258" s="4">
        <v>188.47</v>
      </c>
      <c r="BO258" s="4">
        <v>188.47</v>
      </c>
      <c r="BQ258" t="s">
        <v>522</v>
      </c>
      <c r="BR258" t="s">
        <v>84</v>
      </c>
      <c r="BS258" s="3">
        <v>43803</v>
      </c>
      <c r="BT258" s="5">
        <v>0.41597222222222219</v>
      </c>
      <c r="BU258" t="s">
        <v>657</v>
      </c>
      <c r="BV258" t="s">
        <v>86</v>
      </c>
      <c r="BY258">
        <v>16496.3</v>
      </c>
      <c r="CA258" t="s">
        <v>459</v>
      </c>
      <c r="CC258" t="s">
        <v>222</v>
      </c>
      <c r="CD258">
        <v>3201</v>
      </c>
      <c r="CE258" t="s">
        <v>96</v>
      </c>
      <c r="CF258" s="3">
        <v>43804</v>
      </c>
      <c r="CI258">
        <v>1</v>
      </c>
      <c r="CJ258">
        <v>1</v>
      </c>
      <c r="CK258">
        <v>21</v>
      </c>
      <c r="CL258" t="s">
        <v>89</v>
      </c>
    </row>
    <row r="259" spans="1:90">
      <c r="A259" t="s">
        <v>72</v>
      </c>
      <c r="B259" t="s">
        <v>73</v>
      </c>
      <c r="C259" t="s">
        <v>74</v>
      </c>
      <c r="E259" t="str">
        <f>"FES1162726241"</f>
        <v>FES1162726241</v>
      </c>
      <c r="F259" s="3">
        <v>43801</v>
      </c>
      <c r="G259">
        <v>202006</v>
      </c>
      <c r="H259" t="s">
        <v>75</v>
      </c>
      <c r="I259" t="s">
        <v>76</v>
      </c>
      <c r="J259" t="s">
        <v>77</v>
      </c>
      <c r="K259" t="s">
        <v>78</v>
      </c>
      <c r="L259" t="s">
        <v>164</v>
      </c>
      <c r="M259" t="s">
        <v>165</v>
      </c>
      <c r="N259" t="s">
        <v>658</v>
      </c>
      <c r="O259" t="s">
        <v>82</v>
      </c>
      <c r="P259" t="str">
        <f>"2170719730                    "</f>
        <v xml:space="preserve">2170719730                    </v>
      </c>
      <c r="Q259">
        <v>0</v>
      </c>
      <c r="R259">
        <v>0</v>
      </c>
      <c r="S259">
        <v>0</v>
      </c>
      <c r="T259">
        <v>0</v>
      </c>
      <c r="U259">
        <v>0</v>
      </c>
      <c r="V259">
        <v>0</v>
      </c>
      <c r="W259">
        <v>0</v>
      </c>
      <c r="X259">
        <v>0</v>
      </c>
      <c r="Y259">
        <v>0</v>
      </c>
      <c r="Z259">
        <v>0</v>
      </c>
      <c r="AA259">
        <v>0</v>
      </c>
      <c r="AB259">
        <v>0</v>
      </c>
      <c r="AC259">
        <v>0</v>
      </c>
      <c r="AD259">
        <v>0</v>
      </c>
      <c r="AE259">
        <v>0</v>
      </c>
      <c r="AF259">
        <v>0</v>
      </c>
      <c r="AG259">
        <v>0</v>
      </c>
      <c r="AH259">
        <v>0</v>
      </c>
      <c r="AI259">
        <v>0</v>
      </c>
      <c r="AJ259">
        <v>0</v>
      </c>
      <c r="AK259">
        <v>0</v>
      </c>
      <c r="AL259">
        <v>0</v>
      </c>
      <c r="AM259">
        <v>17.16</v>
      </c>
      <c r="AN259">
        <v>0</v>
      </c>
      <c r="AO259">
        <v>0</v>
      </c>
      <c r="AP259">
        <v>0</v>
      </c>
      <c r="AQ259">
        <v>0</v>
      </c>
      <c r="AR259">
        <v>0</v>
      </c>
      <c r="AS259">
        <v>0</v>
      </c>
      <c r="AT259">
        <v>0</v>
      </c>
      <c r="AU259">
        <v>0</v>
      </c>
      <c r="AV259">
        <v>0</v>
      </c>
      <c r="AW259">
        <v>0</v>
      </c>
      <c r="AX259">
        <v>0</v>
      </c>
      <c r="AY259">
        <v>0</v>
      </c>
      <c r="AZ259">
        <v>0</v>
      </c>
      <c r="BA259">
        <v>0</v>
      </c>
      <c r="BB259">
        <v>0</v>
      </c>
      <c r="BC259">
        <v>0</v>
      </c>
      <c r="BD259">
        <v>0</v>
      </c>
      <c r="BE259">
        <v>0</v>
      </c>
      <c r="BF259">
        <v>0</v>
      </c>
      <c r="BG259">
        <v>0</v>
      </c>
      <c r="BH259">
        <v>1</v>
      </c>
      <c r="BI259">
        <v>4</v>
      </c>
      <c r="BJ259">
        <v>3.4</v>
      </c>
      <c r="BK259">
        <v>4</v>
      </c>
      <c r="BL259" s="4">
        <v>100.87</v>
      </c>
      <c r="BM259" s="4">
        <v>15.13</v>
      </c>
      <c r="BN259" s="4">
        <v>116</v>
      </c>
      <c r="BO259" s="4">
        <v>116</v>
      </c>
      <c r="BR259" t="s">
        <v>84</v>
      </c>
      <c r="BS259" s="3">
        <v>43802</v>
      </c>
      <c r="BT259" s="5">
        <v>0.41666666666666669</v>
      </c>
      <c r="BU259" t="s">
        <v>380</v>
      </c>
      <c r="BV259" t="s">
        <v>86</v>
      </c>
      <c r="BY259">
        <v>16936.13</v>
      </c>
      <c r="BZ259" t="s">
        <v>27</v>
      </c>
      <c r="CA259" t="s">
        <v>381</v>
      </c>
      <c r="CC259" t="s">
        <v>165</v>
      </c>
      <c r="CD259">
        <v>5200</v>
      </c>
      <c r="CE259" t="s">
        <v>96</v>
      </c>
      <c r="CF259" s="3">
        <v>43804</v>
      </c>
      <c r="CI259">
        <v>1</v>
      </c>
      <c r="CJ259">
        <v>1</v>
      </c>
      <c r="CK259">
        <v>21</v>
      </c>
      <c r="CL259" t="s">
        <v>89</v>
      </c>
    </row>
    <row r="260" spans="1:90">
      <c r="A260" t="s">
        <v>72</v>
      </c>
      <c r="B260" t="s">
        <v>73</v>
      </c>
      <c r="C260" t="s">
        <v>74</v>
      </c>
      <c r="E260" t="str">
        <f>"FES1162726407"</f>
        <v>FES1162726407</v>
      </c>
      <c r="F260" s="3">
        <v>43802</v>
      </c>
      <c r="G260">
        <v>202006</v>
      </c>
      <c r="H260" t="s">
        <v>75</v>
      </c>
      <c r="I260" t="s">
        <v>76</v>
      </c>
      <c r="J260" t="s">
        <v>77</v>
      </c>
      <c r="K260" t="s">
        <v>78</v>
      </c>
      <c r="L260" t="s">
        <v>198</v>
      </c>
      <c r="M260" t="s">
        <v>199</v>
      </c>
      <c r="N260" t="s">
        <v>525</v>
      </c>
      <c r="O260" t="s">
        <v>82</v>
      </c>
      <c r="P260" t="str">
        <f>"2170719249                    "</f>
        <v xml:space="preserve">2170719249                    </v>
      </c>
      <c r="Q260">
        <v>0</v>
      </c>
      <c r="R260">
        <v>0</v>
      </c>
      <c r="S260">
        <v>0</v>
      </c>
      <c r="T260">
        <v>0</v>
      </c>
      <c r="U260">
        <v>0</v>
      </c>
      <c r="V260">
        <v>0</v>
      </c>
      <c r="W260">
        <v>0</v>
      </c>
      <c r="X260">
        <v>0</v>
      </c>
      <c r="Y260">
        <v>0</v>
      </c>
      <c r="Z260">
        <v>0</v>
      </c>
      <c r="AA260">
        <v>0</v>
      </c>
      <c r="AB260">
        <v>0</v>
      </c>
      <c r="AC260">
        <v>0</v>
      </c>
      <c r="AD260">
        <v>0</v>
      </c>
      <c r="AE260">
        <v>0</v>
      </c>
      <c r="AF260">
        <v>0</v>
      </c>
      <c r="AG260">
        <v>0</v>
      </c>
      <c r="AH260">
        <v>0</v>
      </c>
      <c r="AI260">
        <v>0</v>
      </c>
      <c r="AJ260">
        <v>0</v>
      </c>
      <c r="AK260">
        <v>0</v>
      </c>
      <c r="AL260">
        <v>0</v>
      </c>
      <c r="AM260">
        <v>17.16</v>
      </c>
      <c r="AN260">
        <v>0</v>
      </c>
      <c r="AO260">
        <v>0</v>
      </c>
      <c r="AP260">
        <v>0</v>
      </c>
      <c r="AQ260">
        <v>0</v>
      </c>
      <c r="AR260">
        <v>0</v>
      </c>
      <c r="AS260">
        <v>0</v>
      </c>
      <c r="AT260">
        <v>0</v>
      </c>
      <c r="AU260">
        <v>0</v>
      </c>
      <c r="AV260">
        <v>0</v>
      </c>
      <c r="AW260">
        <v>0</v>
      </c>
      <c r="AX260">
        <v>0</v>
      </c>
      <c r="AY260">
        <v>0</v>
      </c>
      <c r="AZ260">
        <v>0</v>
      </c>
      <c r="BA260">
        <v>0</v>
      </c>
      <c r="BB260">
        <v>0</v>
      </c>
      <c r="BC260">
        <v>0</v>
      </c>
      <c r="BD260">
        <v>0</v>
      </c>
      <c r="BE260">
        <v>0</v>
      </c>
      <c r="BF260">
        <v>0</v>
      </c>
      <c r="BG260">
        <v>0</v>
      </c>
      <c r="BH260">
        <v>1</v>
      </c>
      <c r="BI260">
        <v>4</v>
      </c>
      <c r="BJ260">
        <v>2</v>
      </c>
      <c r="BK260">
        <v>4</v>
      </c>
      <c r="BL260" s="4">
        <v>100.87</v>
      </c>
      <c r="BM260" s="4">
        <v>15.13</v>
      </c>
      <c r="BN260" s="4">
        <v>116</v>
      </c>
      <c r="BO260" s="4">
        <v>116</v>
      </c>
      <c r="BQ260" t="s">
        <v>147</v>
      </c>
      <c r="BR260" t="s">
        <v>84</v>
      </c>
      <c r="BS260" s="3">
        <v>43803</v>
      </c>
      <c r="BT260" s="5">
        <v>0.40208333333333335</v>
      </c>
      <c r="BU260" t="s">
        <v>526</v>
      </c>
      <c r="BV260" t="s">
        <v>86</v>
      </c>
      <c r="BY260">
        <v>9921.24</v>
      </c>
      <c r="CA260" t="s">
        <v>408</v>
      </c>
      <c r="CC260" t="s">
        <v>199</v>
      </c>
      <c r="CD260">
        <v>4001</v>
      </c>
      <c r="CE260" t="s">
        <v>116</v>
      </c>
      <c r="CF260" s="3">
        <v>43804</v>
      </c>
      <c r="CI260">
        <v>1</v>
      </c>
      <c r="CJ260">
        <v>1</v>
      </c>
      <c r="CK260">
        <v>21</v>
      </c>
      <c r="CL260" t="s">
        <v>89</v>
      </c>
    </row>
    <row r="261" spans="1:90">
      <c r="A261" t="s">
        <v>72</v>
      </c>
      <c r="B261" t="s">
        <v>73</v>
      </c>
      <c r="C261" t="s">
        <v>74</v>
      </c>
      <c r="E261" t="str">
        <f>"FES1162726264"</f>
        <v>FES1162726264</v>
      </c>
      <c r="F261" s="3">
        <v>43801</v>
      </c>
      <c r="G261">
        <v>202006</v>
      </c>
      <c r="H261" t="s">
        <v>75</v>
      </c>
      <c r="I261" t="s">
        <v>76</v>
      </c>
      <c r="J261" t="s">
        <v>77</v>
      </c>
      <c r="K261" t="s">
        <v>78</v>
      </c>
      <c r="L261" t="s">
        <v>75</v>
      </c>
      <c r="M261" t="s">
        <v>76</v>
      </c>
      <c r="N261" t="s">
        <v>659</v>
      </c>
      <c r="O261" t="s">
        <v>82</v>
      </c>
      <c r="P261" t="str">
        <f>"2170719692                    "</f>
        <v xml:space="preserve">2170719692                    </v>
      </c>
      <c r="Q261">
        <v>0</v>
      </c>
      <c r="R261">
        <v>0</v>
      </c>
      <c r="S261">
        <v>0</v>
      </c>
      <c r="T261">
        <v>0</v>
      </c>
      <c r="U261">
        <v>0</v>
      </c>
      <c r="V261">
        <v>0</v>
      </c>
      <c r="W261">
        <v>0</v>
      </c>
      <c r="X261">
        <v>0</v>
      </c>
      <c r="Y261">
        <v>0</v>
      </c>
      <c r="Z261">
        <v>0</v>
      </c>
      <c r="AA261">
        <v>0</v>
      </c>
      <c r="AB261">
        <v>0</v>
      </c>
      <c r="AC261">
        <v>0</v>
      </c>
      <c r="AD261">
        <v>0</v>
      </c>
      <c r="AE261">
        <v>0</v>
      </c>
      <c r="AF261">
        <v>0</v>
      </c>
      <c r="AG261">
        <v>0</v>
      </c>
      <c r="AH261">
        <v>0</v>
      </c>
      <c r="AI261">
        <v>0</v>
      </c>
      <c r="AJ261">
        <v>0</v>
      </c>
      <c r="AK261">
        <v>0</v>
      </c>
      <c r="AL261">
        <v>0</v>
      </c>
      <c r="AM261">
        <v>6.71</v>
      </c>
      <c r="AN261">
        <v>0</v>
      </c>
      <c r="AO261">
        <v>0</v>
      </c>
      <c r="AP261">
        <v>0</v>
      </c>
      <c r="AQ261">
        <v>0</v>
      </c>
      <c r="AR261">
        <v>0</v>
      </c>
      <c r="AS261">
        <v>0</v>
      </c>
      <c r="AT261">
        <v>0</v>
      </c>
      <c r="AU261">
        <v>0</v>
      </c>
      <c r="AV261">
        <v>0</v>
      </c>
      <c r="AW261">
        <v>0</v>
      </c>
      <c r="AX261">
        <v>0</v>
      </c>
      <c r="AY261">
        <v>0</v>
      </c>
      <c r="AZ261">
        <v>0</v>
      </c>
      <c r="BA261">
        <v>0</v>
      </c>
      <c r="BB261">
        <v>0</v>
      </c>
      <c r="BC261">
        <v>0</v>
      </c>
      <c r="BD261">
        <v>0</v>
      </c>
      <c r="BE261">
        <v>0</v>
      </c>
      <c r="BF261">
        <v>0</v>
      </c>
      <c r="BG261">
        <v>0</v>
      </c>
      <c r="BH261">
        <v>1</v>
      </c>
      <c r="BI261">
        <v>1</v>
      </c>
      <c r="BJ261">
        <v>0.2</v>
      </c>
      <c r="BK261">
        <v>1</v>
      </c>
      <c r="BL261" s="4">
        <v>39.42</v>
      </c>
      <c r="BM261" s="4">
        <v>5.91</v>
      </c>
      <c r="BN261" s="4">
        <v>45.33</v>
      </c>
      <c r="BO261" s="4">
        <v>45.33</v>
      </c>
      <c r="BR261" t="s">
        <v>84</v>
      </c>
      <c r="BS261" s="3">
        <v>43802</v>
      </c>
      <c r="BT261" s="5">
        <v>0.32013888888888892</v>
      </c>
      <c r="BU261" t="s">
        <v>660</v>
      </c>
      <c r="BV261" t="s">
        <v>86</v>
      </c>
      <c r="BY261">
        <v>1200</v>
      </c>
      <c r="BZ261" t="s">
        <v>27</v>
      </c>
      <c r="CA261" t="s">
        <v>661</v>
      </c>
      <c r="CC261" t="s">
        <v>76</v>
      </c>
      <c r="CD261">
        <v>1609</v>
      </c>
      <c r="CE261" t="s">
        <v>88</v>
      </c>
      <c r="CF261" s="3">
        <v>43803</v>
      </c>
      <c r="CI261">
        <v>1</v>
      </c>
      <c r="CJ261">
        <v>1</v>
      </c>
      <c r="CK261">
        <v>22</v>
      </c>
      <c r="CL261" t="s">
        <v>89</v>
      </c>
    </row>
    <row r="262" spans="1:90">
      <c r="A262" t="s">
        <v>72</v>
      </c>
      <c r="B262" t="s">
        <v>73</v>
      </c>
      <c r="C262" t="s">
        <v>74</v>
      </c>
      <c r="E262" t="str">
        <f>"FES1162726171"</f>
        <v>FES1162726171</v>
      </c>
      <c r="F262" s="3">
        <v>43801</v>
      </c>
      <c r="G262">
        <v>202006</v>
      </c>
      <c r="H262" t="s">
        <v>75</v>
      </c>
      <c r="I262" t="s">
        <v>76</v>
      </c>
      <c r="J262" t="s">
        <v>77</v>
      </c>
      <c r="K262" t="s">
        <v>78</v>
      </c>
      <c r="L262" t="s">
        <v>79</v>
      </c>
      <c r="M262" t="s">
        <v>80</v>
      </c>
      <c r="N262" t="s">
        <v>662</v>
      </c>
      <c r="O262" t="s">
        <v>82</v>
      </c>
      <c r="P262" t="str">
        <f>"2170719663                    "</f>
        <v xml:space="preserve">2170719663                    </v>
      </c>
      <c r="Q262">
        <v>0</v>
      </c>
      <c r="R262">
        <v>0</v>
      </c>
      <c r="S262">
        <v>0</v>
      </c>
      <c r="T262">
        <v>0</v>
      </c>
      <c r="U262">
        <v>0</v>
      </c>
      <c r="V262">
        <v>0</v>
      </c>
      <c r="W262">
        <v>0</v>
      </c>
      <c r="X262">
        <v>0</v>
      </c>
      <c r="Y262">
        <v>0</v>
      </c>
      <c r="Z262">
        <v>0</v>
      </c>
      <c r="AA262">
        <v>0</v>
      </c>
      <c r="AB262">
        <v>0</v>
      </c>
      <c r="AC262">
        <v>0</v>
      </c>
      <c r="AD262">
        <v>0</v>
      </c>
      <c r="AE262">
        <v>0</v>
      </c>
      <c r="AF262">
        <v>0</v>
      </c>
      <c r="AG262">
        <v>0</v>
      </c>
      <c r="AH262">
        <v>0</v>
      </c>
      <c r="AI262">
        <v>0</v>
      </c>
      <c r="AJ262">
        <v>0</v>
      </c>
      <c r="AK262">
        <v>0</v>
      </c>
      <c r="AL262">
        <v>0</v>
      </c>
      <c r="AM262">
        <v>12.87</v>
      </c>
      <c r="AN262">
        <v>0</v>
      </c>
      <c r="AO262">
        <v>0</v>
      </c>
      <c r="AP262">
        <v>0</v>
      </c>
      <c r="AQ262">
        <v>0</v>
      </c>
      <c r="AR262">
        <v>0</v>
      </c>
      <c r="AS262">
        <v>0</v>
      </c>
      <c r="AT262">
        <v>0</v>
      </c>
      <c r="AU262">
        <v>0</v>
      </c>
      <c r="AV262">
        <v>0</v>
      </c>
      <c r="AW262">
        <v>0</v>
      </c>
      <c r="AX262">
        <v>0</v>
      </c>
      <c r="AY262">
        <v>0</v>
      </c>
      <c r="AZ262">
        <v>0</v>
      </c>
      <c r="BA262">
        <v>0</v>
      </c>
      <c r="BB262">
        <v>0</v>
      </c>
      <c r="BC262">
        <v>0</v>
      </c>
      <c r="BD262">
        <v>0</v>
      </c>
      <c r="BE262">
        <v>0</v>
      </c>
      <c r="BF262">
        <v>0</v>
      </c>
      <c r="BG262">
        <v>0</v>
      </c>
      <c r="BH262">
        <v>1</v>
      </c>
      <c r="BI262">
        <v>1.2</v>
      </c>
      <c r="BJ262">
        <v>3</v>
      </c>
      <c r="BK262">
        <v>3</v>
      </c>
      <c r="BL262" s="4">
        <v>75.66</v>
      </c>
      <c r="BM262" s="4">
        <v>11.35</v>
      </c>
      <c r="BN262" s="4">
        <v>87.01</v>
      </c>
      <c r="BO262" s="4">
        <v>87.01</v>
      </c>
      <c r="BQ262" t="s">
        <v>663</v>
      </c>
      <c r="BR262" t="s">
        <v>84</v>
      </c>
      <c r="BS262" s="3">
        <v>43802</v>
      </c>
      <c r="BT262" s="5">
        <v>0.36041666666666666</v>
      </c>
      <c r="BU262" t="s">
        <v>664</v>
      </c>
      <c r="BV262" t="s">
        <v>86</v>
      </c>
      <c r="BY262">
        <v>14999.59</v>
      </c>
      <c r="BZ262" t="s">
        <v>27</v>
      </c>
      <c r="CA262" t="s">
        <v>419</v>
      </c>
      <c r="CC262" t="s">
        <v>80</v>
      </c>
      <c r="CD262">
        <v>6045</v>
      </c>
      <c r="CE262" t="s">
        <v>116</v>
      </c>
      <c r="CF262" s="3">
        <v>43804</v>
      </c>
      <c r="CI262">
        <v>1</v>
      </c>
      <c r="CJ262">
        <v>1</v>
      </c>
      <c r="CK262">
        <v>21</v>
      </c>
      <c r="CL262" t="s">
        <v>89</v>
      </c>
    </row>
    <row r="263" spans="1:90">
      <c r="A263" t="s">
        <v>72</v>
      </c>
      <c r="B263" t="s">
        <v>73</v>
      </c>
      <c r="C263" t="s">
        <v>74</v>
      </c>
      <c r="E263" t="str">
        <f>"FES1162726511"</f>
        <v>FES1162726511</v>
      </c>
      <c r="F263" s="3">
        <v>43802</v>
      </c>
      <c r="G263">
        <v>202006</v>
      </c>
      <c r="H263" t="s">
        <v>75</v>
      </c>
      <c r="I263" t="s">
        <v>76</v>
      </c>
      <c r="J263" t="s">
        <v>77</v>
      </c>
      <c r="K263" t="s">
        <v>78</v>
      </c>
      <c r="L263" t="s">
        <v>151</v>
      </c>
      <c r="M263" t="s">
        <v>102</v>
      </c>
      <c r="N263" t="s">
        <v>409</v>
      </c>
      <c r="O263" t="s">
        <v>82</v>
      </c>
      <c r="P263" t="str">
        <f>"2170719962                    "</f>
        <v xml:space="preserve">2170719962                    </v>
      </c>
      <c r="Q263">
        <v>0</v>
      </c>
      <c r="R263">
        <v>0</v>
      </c>
      <c r="S263">
        <v>0</v>
      </c>
      <c r="T263">
        <v>0</v>
      </c>
      <c r="U263">
        <v>0</v>
      </c>
      <c r="V263">
        <v>0</v>
      </c>
      <c r="W263">
        <v>0</v>
      </c>
      <c r="X263">
        <v>0</v>
      </c>
      <c r="Y263">
        <v>0</v>
      </c>
      <c r="Z263">
        <v>0</v>
      </c>
      <c r="AA263">
        <v>0</v>
      </c>
      <c r="AB263">
        <v>0</v>
      </c>
      <c r="AC263">
        <v>0</v>
      </c>
      <c r="AD263">
        <v>0</v>
      </c>
      <c r="AE263">
        <v>0</v>
      </c>
      <c r="AF263">
        <v>0</v>
      </c>
      <c r="AG263">
        <v>0</v>
      </c>
      <c r="AH263">
        <v>0</v>
      </c>
      <c r="AI263">
        <v>0</v>
      </c>
      <c r="AJ263">
        <v>0</v>
      </c>
      <c r="AK263">
        <v>0</v>
      </c>
      <c r="AL263">
        <v>0</v>
      </c>
      <c r="AM263">
        <v>8.58</v>
      </c>
      <c r="AN263">
        <v>0</v>
      </c>
      <c r="AO263">
        <v>0</v>
      </c>
      <c r="AP263">
        <v>0</v>
      </c>
      <c r="AQ263">
        <v>0</v>
      </c>
      <c r="AR263">
        <v>0</v>
      </c>
      <c r="AS263">
        <v>0</v>
      </c>
      <c r="AT263">
        <v>0</v>
      </c>
      <c r="AU263">
        <v>0</v>
      </c>
      <c r="AV263">
        <v>0</v>
      </c>
      <c r="AW263">
        <v>0</v>
      </c>
      <c r="AX263">
        <v>0</v>
      </c>
      <c r="AY263">
        <v>0</v>
      </c>
      <c r="AZ263">
        <v>0</v>
      </c>
      <c r="BA263">
        <v>0</v>
      </c>
      <c r="BB263">
        <v>0</v>
      </c>
      <c r="BC263">
        <v>0</v>
      </c>
      <c r="BD263">
        <v>0</v>
      </c>
      <c r="BE263">
        <v>0</v>
      </c>
      <c r="BF263">
        <v>0</v>
      </c>
      <c r="BG263">
        <v>0</v>
      </c>
      <c r="BH263">
        <v>1</v>
      </c>
      <c r="BI263">
        <v>1</v>
      </c>
      <c r="BJ263">
        <v>0.2</v>
      </c>
      <c r="BK263">
        <v>1</v>
      </c>
      <c r="BL263" s="4">
        <v>50.45</v>
      </c>
      <c r="BM263" s="4">
        <v>7.57</v>
      </c>
      <c r="BN263" s="4">
        <v>58.02</v>
      </c>
      <c r="BO263" s="4">
        <v>58.02</v>
      </c>
      <c r="BQ263" t="s">
        <v>147</v>
      </c>
      <c r="BR263" t="s">
        <v>84</v>
      </c>
      <c r="BS263" s="3">
        <v>43803</v>
      </c>
      <c r="BT263" s="5">
        <v>0.42708333333333331</v>
      </c>
      <c r="BU263" t="s">
        <v>410</v>
      </c>
      <c r="BV263" t="s">
        <v>86</v>
      </c>
      <c r="BY263">
        <v>1200</v>
      </c>
      <c r="CA263" t="s">
        <v>163</v>
      </c>
      <c r="CC263" t="s">
        <v>102</v>
      </c>
      <c r="CD263">
        <v>200</v>
      </c>
      <c r="CE263" t="s">
        <v>88</v>
      </c>
      <c r="CF263" s="3">
        <v>43804</v>
      </c>
      <c r="CI263">
        <v>1</v>
      </c>
      <c r="CJ263">
        <v>1</v>
      </c>
      <c r="CK263">
        <v>21</v>
      </c>
      <c r="CL263" t="s">
        <v>89</v>
      </c>
    </row>
    <row r="264" spans="1:90">
      <c r="A264" t="s">
        <v>72</v>
      </c>
      <c r="B264" t="s">
        <v>73</v>
      </c>
      <c r="C264" t="s">
        <v>74</v>
      </c>
      <c r="E264" t="str">
        <f>"FES1162726187"</f>
        <v>FES1162726187</v>
      </c>
      <c r="F264" s="3">
        <v>43801</v>
      </c>
      <c r="G264">
        <v>202006</v>
      </c>
      <c r="H264" t="s">
        <v>75</v>
      </c>
      <c r="I264" t="s">
        <v>76</v>
      </c>
      <c r="J264" t="s">
        <v>77</v>
      </c>
      <c r="K264" t="s">
        <v>78</v>
      </c>
      <c r="L264" t="s">
        <v>75</v>
      </c>
      <c r="M264" t="s">
        <v>76</v>
      </c>
      <c r="N264" t="s">
        <v>312</v>
      </c>
      <c r="O264" t="s">
        <v>82</v>
      </c>
      <c r="P264" t="str">
        <f>"2170719689                    "</f>
        <v xml:space="preserve">2170719689                    </v>
      </c>
      <c r="Q264">
        <v>0</v>
      </c>
      <c r="R264">
        <v>0</v>
      </c>
      <c r="S264">
        <v>0</v>
      </c>
      <c r="T264">
        <v>0</v>
      </c>
      <c r="U264">
        <v>0</v>
      </c>
      <c r="V264">
        <v>0</v>
      </c>
      <c r="W264">
        <v>0</v>
      </c>
      <c r="X264">
        <v>0</v>
      </c>
      <c r="Y264">
        <v>0</v>
      </c>
      <c r="Z264">
        <v>0</v>
      </c>
      <c r="AA264">
        <v>0</v>
      </c>
      <c r="AB264">
        <v>0</v>
      </c>
      <c r="AC264">
        <v>0</v>
      </c>
      <c r="AD264">
        <v>0</v>
      </c>
      <c r="AE264">
        <v>0</v>
      </c>
      <c r="AF264">
        <v>0</v>
      </c>
      <c r="AG264">
        <v>0</v>
      </c>
      <c r="AH264">
        <v>0</v>
      </c>
      <c r="AI264">
        <v>0</v>
      </c>
      <c r="AJ264">
        <v>0</v>
      </c>
      <c r="AK264">
        <v>0</v>
      </c>
      <c r="AL264">
        <v>0</v>
      </c>
      <c r="AM264">
        <v>6.71</v>
      </c>
      <c r="AN264">
        <v>0</v>
      </c>
      <c r="AO264">
        <v>0</v>
      </c>
      <c r="AP264">
        <v>0</v>
      </c>
      <c r="AQ264">
        <v>0</v>
      </c>
      <c r="AR264">
        <v>0</v>
      </c>
      <c r="AS264">
        <v>0</v>
      </c>
      <c r="AT264">
        <v>0</v>
      </c>
      <c r="AU264">
        <v>0</v>
      </c>
      <c r="AV264">
        <v>0</v>
      </c>
      <c r="AW264">
        <v>0</v>
      </c>
      <c r="AX264">
        <v>0</v>
      </c>
      <c r="AY264">
        <v>0</v>
      </c>
      <c r="AZ264">
        <v>0</v>
      </c>
      <c r="BA264">
        <v>0</v>
      </c>
      <c r="BB264">
        <v>0</v>
      </c>
      <c r="BC264">
        <v>0</v>
      </c>
      <c r="BD264">
        <v>0</v>
      </c>
      <c r="BE264">
        <v>0</v>
      </c>
      <c r="BF264">
        <v>0</v>
      </c>
      <c r="BG264">
        <v>0</v>
      </c>
      <c r="BH264">
        <v>1</v>
      </c>
      <c r="BI264">
        <v>1</v>
      </c>
      <c r="BJ264">
        <v>0.2</v>
      </c>
      <c r="BK264">
        <v>1</v>
      </c>
      <c r="BL264" s="4">
        <v>39.42</v>
      </c>
      <c r="BM264" s="4">
        <v>5.91</v>
      </c>
      <c r="BN264" s="4">
        <v>45.33</v>
      </c>
      <c r="BO264" s="4">
        <v>45.33</v>
      </c>
      <c r="BQ264" t="s">
        <v>147</v>
      </c>
      <c r="BR264" t="s">
        <v>84</v>
      </c>
      <c r="BS264" s="3">
        <v>43802</v>
      </c>
      <c r="BT264" s="5">
        <v>0.33333333333333331</v>
      </c>
      <c r="BU264" t="s">
        <v>313</v>
      </c>
      <c r="BV264" t="s">
        <v>86</v>
      </c>
      <c r="BY264">
        <v>1200</v>
      </c>
      <c r="BZ264" t="s">
        <v>27</v>
      </c>
      <c r="CA264" t="s">
        <v>314</v>
      </c>
      <c r="CC264" t="s">
        <v>76</v>
      </c>
      <c r="CD264">
        <v>1609</v>
      </c>
      <c r="CE264" t="s">
        <v>88</v>
      </c>
      <c r="CF264" s="3">
        <v>43803</v>
      </c>
      <c r="CI264">
        <v>1</v>
      </c>
      <c r="CJ264">
        <v>1</v>
      </c>
      <c r="CK264">
        <v>22</v>
      </c>
      <c r="CL264" t="s">
        <v>89</v>
      </c>
    </row>
    <row r="265" spans="1:90">
      <c r="A265" t="s">
        <v>72</v>
      </c>
      <c r="B265" t="s">
        <v>73</v>
      </c>
      <c r="C265" t="s">
        <v>74</v>
      </c>
      <c r="E265" t="str">
        <f>"FES1162726403"</f>
        <v>FES1162726403</v>
      </c>
      <c r="F265" s="3">
        <v>43802</v>
      </c>
      <c r="G265">
        <v>202006</v>
      </c>
      <c r="H265" t="s">
        <v>75</v>
      </c>
      <c r="I265" t="s">
        <v>76</v>
      </c>
      <c r="J265" t="s">
        <v>77</v>
      </c>
      <c r="K265" t="s">
        <v>78</v>
      </c>
      <c r="L265" t="s">
        <v>151</v>
      </c>
      <c r="M265" t="s">
        <v>102</v>
      </c>
      <c r="N265" t="s">
        <v>665</v>
      </c>
      <c r="O265" t="s">
        <v>82</v>
      </c>
      <c r="P265" t="str">
        <f>"2170719177                    "</f>
        <v xml:space="preserve">2170719177                    </v>
      </c>
      <c r="Q265">
        <v>0</v>
      </c>
      <c r="R265">
        <v>0</v>
      </c>
      <c r="S265">
        <v>0</v>
      </c>
      <c r="T265">
        <v>0</v>
      </c>
      <c r="U265">
        <v>0</v>
      </c>
      <c r="V265">
        <v>0</v>
      </c>
      <c r="W265">
        <v>0</v>
      </c>
      <c r="X265">
        <v>0</v>
      </c>
      <c r="Y265">
        <v>0</v>
      </c>
      <c r="Z265">
        <v>0</v>
      </c>
      <c r="AA265">
        <v>0</v>
      </c>
      <c r="AB265">
        <v>0</v>
      </c>
      <c r="AC265">
        <v>0</v>
      </c>
      <c r="AD265">
        <v>0</v>
      </c>
      <c r="AE265">
        <v>0</v>
      </c>
      <c r="AF265">
        <v>0</v>
      </c>
      <c r="AG265">
        <v>0</v>
      </c>
      <c r="AH265">
        <v>0</v>
      </c>
      <c r="AI265">
        <v>0</v>
      </c>
      <c r="AJ265">
        <v>0</v>
      </c>
      <c r="AK265">
        <v>0</v>
      </c>
      <c r="AL265">
        <v>0</v>
      </c>
      <c r="AM265">
        <v>8.58</v>
      </c>
      <c r="AN265">
        <v>0</v>
      </c>
      <c r="AO265">
        <v>0</v>
      </c>
      <c r="AP265">
        <v>0</v>
      </c>
      <c r="AQ265">
        <v>0</v>
      </c>
      <c r="AR265">
        <v>0</v>
      </c>
      <c r="AS265">
        <v>0</v>
      </c>
      <c r="AT265">
        <v>0</v>
      </c>
      <c r="AU265">
        <v>0</v>
      </c>
      <c r="AV265">
        <v>0</v>
      </c>
      <c r="AW265">
        <v>0</v>
      </c>
      <c r="AX265">
        <v>0</v>
      </c>
      <c r="AY265">
        <v>0</v>
      </c>
      <c r="AZ265">
        <v>0</v>
      </c>
      <c r="BA265">
        <v>0</v>
      </c>
      <c r="BB265">
        <v>0</v>
      </c>
      <c r="BC265">
        <v>0</v>
      </c>
      <c r="BD265">
        <v>0</v>
      </c>
      <c r="BE265">
        <v>0</v>
      </c>
      <c r="BF265">
        <v>0</v>
      </c>
      <c r="BG265">
        <v>0</v>
      </c>
      <c r="BH265">
        <v>1</v>
      </c>
      <c r="BI265">
        <v>1</v>
      </c>
      <c r="BJ265">
        <v>0.2</v>
      </c>
      <c r="BK265">
        <v>1</v>
      </c>
      <c r="BL265" s="4">
        <v>50.45</v>
      </c>
      <c r="BM265" s="4">
        <v>7.57</v>
      </c>
      <c r="BN265" s="4">
        <v>58.02</v>
      </c>
      <c r="BO265" s="4">
        <v>58.02</v>
      </c>
      <c r="BQ265" t="s">
        <v>666</v>
      </c>
      <c r="BR265" t="s">
        <v>84</v>
      </c>
      <c r="BS265" s="3">
        <v>43803</v>
      </c>
      <c r="BT265" s="5">
        <v>0.41666666666666669</v>
      </c>
      <c r="BU265" t="s">
        <v>142</v>
      </c>
      <c r="BV265" t="s">
        <v>86</v>
      </c>
      <c r="BY265">
        <v>1200</v>
      </c>
      <c r="CC265" t="s">
        <v>102</v>
      </c>
      <c r="CD265">
        <v>183</v>
      </c>
      <c r="CE265" t="s">
        <v>88</v>
      </c>
      <c r="CF265" s="3">
        <v>43805</v>
      </c>
      <c r="CI265">
        <v>1</v>
      </c>
      <c r="CJ265">
        <v>1</v>
      </c>
      <c r="CK265">
        <v>21</v>
      </c>
      <c r="CL265" t="s">
        <v>89</v>
      </c>
    </row>
    <row r="266" spans="1:90">
      <c r="A266" t="s">
        <v>72</v>
      </c>
      <c r="B266" t="s">
        <v>73</v>
      </c>
      <c r="C266" t="s">
        <v>74</v>
      </c>
      <c r="E266" t="str">
        <f>"FES1162726224"</f>
        <v>FES1162726224</v>
      </c>
      <c r="F266" s="3">
        <v>43801</v>
      </c>
      <c r="G266">
        <v>202006</v>
      </c>
      <c r="H266" t="s">
        <v>75</v>
      </c>
      <c r="I266" t="s">
        <v>76</v>
      </c>
      <c r="J266" t="s">
        <v>77</v>
      </c>
      <c r="K266" t="s">
        <v>78</v>
      </c>
      <c r="L266" t="s">
        <v>667</v>
      </c>
      <c r="M266" t="s">
        <v>668</v>
      </c>
      <c r="N266" t="s">
        <v>669</v>
      </c>
      <c r="O266" t="s">
        <v>82</v>
      </c>
      <c r="P266" t="str">
        <f>"21707191719                   "</f>
        <v xml:space="preserve">21707191719                   </v>
      </c>
      <c r="Q266">
        <v>0</v>
      </c>
      <c r="R266">
        <v>0</v>
      </c>
      <c r="S266">
        <v>0</v>
      </c>
      <c r="T266">
        <v>0</v>
      </c>
      <c r="U266">
        <v>0</v>
      </c>
      <c r="V266">
        <v>0</v>
      </c>
      <c r="W266">
        <v>0</v>
      </c>
      <c r="X266">
        <v>0</v>
      </c>
      <c r="Y266">
        <v>0</v>
      </c>
      <c r="Z266">
        <v>0</v>
      </c>
      <c r="AA266">
        <v>0</v>
      </c>
      <c r="AB266">
        <v>0</v>
      </c>
      <c r="AC266">
        <v>0</v>
      </c>
      <c r="AD266">
        <v>0</v>
      </c>
      <c r="AE266">
        <v>0</v>
      </c>
      <c r="AF266">
        <v>0</v>
      </c>
      <c r="AG266">
        <v>0</v>
      </c>
      <c r="AH266">
        <v>0</v>
      </c>
      <c r="AI266">
        <v>0</v>
      </c>
      <c r="AJ266">
        <v>0</v>
      </c>
      <c r="AK266">
        <v>0</v>
      </c>
      <c r="AL266">
        <v>0</v>
      </c>
      <c r="AM266">
        <v>12.07</v>
      </c>
      <c r="AN266">
        <v>0</v>
      </c>
      <c r="AO266">
        <v>0</v>
      </c>
      <c r="AP266">
        <v>0</v>
      </c>
      <c r="AQ266">
        <v>0</v>
      </c>
      <c r="AR266">
        <v>0</v>
      </c>
      <c r="AS266">
        <v>0</v>
      </c>
      <c r="AT266">
        <v>0</v>
      </c>
      <c r="AU266">
        <v>0</v>
      </c>
      <c r="AV266">
        <v>0</v>
      </c>
      <c r="AW266">
        <v>0</v>
      </c>
      <c r="AX266">
        <v>0</v>
      </c>
      <c r="AY266">
        <v>0</v>
      </c>
      <c r="AZ266">
        <v>0</v>
      </c>
      <c r="BA266">
        <v>0</v>
      </c>
      <c r="BB266">
        <v>0</v>
      </c>
      <c r="BC266">
        <v>0</v>
      </c>
      <c r="BD266">
        <v>0</v>
      </c>
      <c r="BE266">
        <v>0</v>
      </c>
      <c r="BF266">
        <v>0</v>
      </c>
      <c r="BG266">
        <v>0</v>
      </c>
      <c r="BH266">
        <v>1</v>
      </c>
      <c r="BI266">
        <v>2</v>
      </c>
      <c r="BJ266">
        <v>1.2</v>
      </c>
      <c r="BK266">
        <v>2</v>
      </c>
      <c r="BL266" s="4">
        <v>70.95</v>
      </c>
      <c r="BM266" s="4">
        <v>10.64</v>
      </c>
      <c r="BN266" s="4">
        <v>81.59</v>
      </c>
      <c r="BO266" s="4">
        <v>81.59</v>
      </c>
      <c r="BQ266" t="s">
        <v>93</v>
      </c>
      <c r="BR266" t="s">
        <v>84</v>
      </c>
      <c r="BS266" s="3">
        <v>43802</v>
      </c>
      <c r="BT266" s="5">
        <v>0.55555555555555558</v>
      </c>
      <c r="BU266" t="s">
        <v>670</v>
      </c>
      <c r="BV266" t="s">
        <v>86</v>
      </c>
      <c r="BY266">
        <v>6091.24</v>
      </c>
      <c r="BZ266" t="s">
        <v>27</v>
      </c>
      <c r="CC266" t="s">
        <v>668</v>
      </c>
      <c r="CD266">
        <v>1759</v>
      </c>
      <c r="CE266" t="s">
        <v>96</v>
      </c>
      <c r="CF266" s="3">
        <v>43803</v>
      </c>
      <c r="CI266">
        <v>1</v>
      </c>
      <c r="CJ266">
        <v>1</v>
      </c>
      <c r="CK266">
        <v>24</v>
      </c>
      <c r="CL266" t="s">
        <v>89</v>
      </c>
    </row>
    <row r="267" spans="1:90">
      <c r="A267" t="s">
        <v>72</v>
      </c>
      <c r="B267" t="s">
        <v>73</v>
      </c>
      <c r="C267" t="s">
        <v>74</v>
      </c>
      <c r="E267" t="str">
        <f>"FES1162726475"</f>
        <v>FES1162726475</v>
      </c>
      <c r="F267" s="3">
        <v>43802</v>
      </c>
      <c r="G267">
        <v>202006</v>
      </c>
      <c r="H267" t="s">
        <v>75</v>
      </c>
      <c r="I267" t="s">
        <v>76</v>
      </c>
      <c r="J267" t="s">
        <v>77</v>
      </c>
      <c r="K267" t="s">
        <v>78</v>
      </c>
      <c r="L267" t="s">
        <v>671</v>
      </c>
      <c r="M267" t="s">
        <v>672</v>
      </c>
      <c r="N267" t="s">
        <v>673</v>
      </c>
      <c r="O267" t="s">
        <v>82</v>
      </c>
      <c r="P267" t="str">
        <f>"2170719910                    "</f>
        <v xml:space="preserve">2170719910                    </v>
      </c>
      <c r="Q267">
        <v>0</v>
      </c>
      <c r="R267">
        <v>0</v>
      </c>
      <c r="S267">
        <v>0</v>
      </c>
      <c r="T267">
        <v>0</v>
      </c>
      <c r="U267">
        <v>0</v>
      </c>
      <c r="V267">
        <v>0</v>
      </c>
      <c r="W267">
        <v>0</v>
      </c>
      <c r="X267">
        <v>0</v>
      </c>
      <c r="Y267">
        <v>0</v>
      </c>
      <c r="Z267">
        <v>0</v>
      </c>
      <c r="AA267">
        <v>0</v>
      </c>
      <c r="AB267">
        <v>0</v>
      </c>
      <c r="AC267">
        <v>0</v>
      </c>
      <c r="AD267">
        <v>0</v>
      </c>
      <c r="AE267">
        <v>0</v>
      </c>
      <c r="AF267">
        <v>0</v>
      </c>
      <c r="AG267">
        <v>0</v>
      </c>
      <c r="AH267">
        <v>0</v>
      </c>
      <c r="AI267">
        <v>0</v>
      </c>
      <c r="AJ267">
        <v>0</v>
      </c>
      <c r="AK267">
        <v>0</v>
      </c>
      <c r="AL267">
        <v>0</v>
      </c>
      <c r="AM267">
        <v>16.63</v>
      </c>
      <c r="AN267">
        <v>0</v>
      </c>
      <c r="AO267">
        <v>0</v>
      </c>
      <c r="AP267">
        <v>0</v>
      </c>
      <c r="AQ267">
        <v>0</v>
      </c>
      <c r="AR267">
        <v>0</v>
      </c>
      <c r="AS267">
        <v>0</v>
      </c>
      <c r="AT267">
        <v>0</v>
      </c>
      <c r="AU267">
        <v>0</v>
      </c>
      <c r="AV267">
        <v>0</v>
      </c>
      <c r="AW267">
        <v>0</v>
      </c>
      <c r="AX267">
        <v>0</v>
      </c>
      <c r="AY267">
        <v>0</v>
      </c>
      <c r="AZ267">
        <v>0</v>
      </c>
      <c r="BA267">
        <v>0</v>
      </c>
      <c r="BB267">
        <v>0</v>
      </c>
      <c r="BC267">
        <v>0</v>
      </c>
      <c r="BD267">
        <v>0</v>
      </c>
      <c r="BE267">
        <v>0</v>
      </c>
      <c r="BF267">
        <v>0</v>
      </c>
      <c r="BG267">
        <v>0</v>
      </c>
      <c r="BH267">
        <v>1</v>
      </c>
      <c r="BI267">
        <v>0.9</v>
      </c>
      <c r="BJ267">
        <v>1.3</v>
      </c>
      <c r="BK267">
        <v>1.5</v>
      </c>
      <c r="BL267" s="4">
        <v>97.75</v>
      </c>
      <c r="BM267" s="4">
        <v>14.66</v>
      </c>
      <c r="BN267" s="4">
        <v>112.41</v>
      </c>
      <c r="BO267" s="4">
        <v>112.41</v>
      </c>
      <c r="BQ267" t="s">
        <v>674</v>
      </c>
      <c r="BR267" t="s">
        <v>84</v>
      </c>
      <c r="BS267" s="3">
        <v>43805</v>
      </c>
      <c r="BT267" s="5">
        <v>0.62916666666666665</v>
      </c>
      <c r="BU267" t="s">
        <v>675</v>
      </c>
      <c r="BV267" t="s">
        <v>89</v>
      </c>
      <c r="BW267" t="s">
        <v>618</v>
      </c>
      <c r="BX267" t="s">
        <v>619</v>
      </c>
      <c r="BY267">
        <v>6628.86</v>
      </c>
      <c r="CA267" t="s">
        <v>620</v>
      </c>
      <c r="CC267" t="s">
        <v>672</v>
      </c>
      <c r="CD267">
        <v>1911</v>
      </c>
      <c r="CE267" t="s">
        <v>96</v>
      </c>
      <c r="CF267" s="3">
        <v>43816</v>
      </c>
      <c r="CI267">
        <v>1</v>
      </c>
      <c r="CJ267">
        <v>3</v>
      </c>
      <c r="CK267">
        <v>23</v>
      </c>
      <c r="CL267" t="s">
        <v>89</v>
      </c>
    </row>
    <row r="268" spans="1:90">
      <c r="A268" t="s">
        <v>72</v>
      </c>
      <c r="B268" t="s">
        <v>73</v>
      </c>
      <c r="C268" t="s">
        <v>74</v>
      </c>
      <c r="E268" t="str">
        <f>"FES1162726151"</f>
        <v>FES1162726151</v>
      </c>
      <c r="F268" s="3">
        <v>43801</v>
      </c>
      <c r="G268">
        <v>202006</v>
      </c>
      <c r="H268" t="s">
        <v>75</v>
      </c>
      <c r="I268" t="s">
        <v>76</v>
      </c>
      <c r="J268" t="s">
        <v>77</v>
      </c>
      <c r="K268" t="s">
        <v>78</v>
      </c>
      <c r="L268" t="s">
        <v>79</v>
      </c>
      <c r="M268" t="s">
        <v>80</v>
      </c>
      <c r="N268" t="s">
        <v>481</v>
      </c>
      <c r="O268" t="s">
        <v>82</v>
      </c>
      <c r="P268" t="str">
        <f>"2170719636                    "</f>
        <v xml:space="preserve">2170719636                    </v>
      </c>
      <c r="Q268">
        <v>0</v>
      </c>
      <c r="R268">
        <v>0</v>
      </c>
      <c r="S268">
        <v>0</v>
      </c>
      <c r="T268">
        <v>0</v>
      </c>
      <c r="U268">
        <v>0</v>
      </c>
      <c r="V268">
        <v>0</v>
      </c>
      <c r="W268">
        <v>0</v>
      </c>
      <c r="X268">
        <v>0</v>
      </c>
      <c r="Y268">
        <v>0</v>
      </c>
      <c r="Z268">
        <v>0</v>
      </c>
      <c r="AA268">
        <v>0</v>
      </c>
      <c r="AB268">
        <v>0</v>
      </c>
      <c r="AC268">
        <v>0</v>
      </c>
      <c r="AD268">
        <v>0</v>
      </c>
      <c r="AE268">
        <v>0</v>
      </c>
      <c r="AF268">
        <v>0</v>
      </c>
      <c r="AG268">
        <v>0</v>
      </c>
      <c r="AH268">
        <v>0</v>
      </c>
      <c r="AI268">
        <v>0</v>
      </c>
      <c r="AJ268">
        <v>0</v>
      </c>
      <c r="AK268">
        <v>0</v>
      </c>
      <c r="AL268">
        <v>0</v>
      </c>
      <c r="AM268">
        <v>8.58</v>
      </c>
      <c r="AN268">
        <v>0</v>
      </c>
      <c r="AO268">
        <v>0</v>
      </c>
      <c r="AP268">
        <v>0</v>
      </c>
      <c r="AQ268">
        <v>0</v>
      </c>
      <c r="AR268">
        <v>0</v>
      </c>
      <c r="AS268">
        <v>0</v>
      </c>
      <c r="AT268">
        <v>0</v>
      </c>
      <c r="AU268">
        <v>0</v>
      </c>
      <c r="AV268">
        <v>0</v>
      </c>
      <c r="AW268">
        <v>0</v>
      </c>
      <c r="AX268">
        <v>0</v>
      </c>
      <c r="AY268">
        <v>0</v>
      </c>
      <c r="AZ268">
        <v>0</v>
      </c>
      <c r="BA268">
        <v>0</v>
      </c>
      <c r="BB268">
        <v>0</v>
      </c>
      <c r="BC268">
        <v>0</v>
      </c>
      <c r="BD268">
        <v>0</v>
      </c>
      <c r="BE268">
        <v>0</v>
      </c>
      <c r="BF268">
        <v>0</v>
      </c>
      <c r="BG268">
        <v>0</v>
      </c>
      <c r="BH268">
        <v>1</v>
      </c>
      <c r="BI268">
        <v>1</v>
      </c>
      <c r="BJ268">
        <v>0.2</v>
      </c>
      <c r="BK268">
        <v>1</v>
      </c>
      <c r="BL268" s="4">
        <v>50.45</v>
      </c>
      <c r="BM268" s="4">
        <v>7.57</v>
      </c>
      <c r="BN268" s="4">
        <v>58.02</v>
      </c>
      <c r="BO268" s="4">
        <v>58.02</v>
      </c>
      <c r="BR268" t="s">
        <v>84</v>
      </c>
      <c r="BS268" s="3">
        <v>43802</v>
      </c>
      <c r="BT268" s="5">
        <v>0.33333333333333331</v>
      </c>
      <c r="BU268" t="s">
        <v>676</v>
      </c>
      <c r="BV268" t="s">
        <v>86</v>
      </c>
      <c r="BY268">
        <v>1200</v>
      </c>
      <c r="BZ268" t="s">
        <v>27</v>
      </c>
      <c r="CA268" t="s">
        <v>131</v>
      </c>
      <c r="CC268" t="s">
        <v>80</v>
      </c>
      <c r="CD268">
        <v>6001</v>
      </c>
      <c r="CE268" t="s">
        <v>88</v>
      </c>
      <c r="CF268" s="3">
        <v>43804</v>
      </c>
      <c r="CI268">
        <v>1</v>
      </c>
      <c r="CJ268">
        <v>1</v>
      </c>
      <c r="CK268">
        <v>21</v>
      </c>
      <c r="CL268" t="s">
        <v>89</v>
      </c>
    </row>
    <row r="269" spans="1:90">
      <c r="A269" t="s">
        <v>72</v>
      </c>
      <c r="B269" t="s">
        <v>73</v>
      </c>
      <c r="C269" t="s">
        <v>74</v>
      </c>
      <c r="E269" t="str">
        <f>"FES1162726144"</f>
        <v>FES1162726144</v>
      </c>
      <c r="F269" s="3">
        <v>43801</v>
      </c>
      <c r="G269">
        <v>202006</v>
      </c>
      <c r="H269" t="s">
        <v>75</v>
      </c>
      <c r="I269" t="s">
        <v>76</v>
      </c>
      <c r="J269" t="s">
        <v>77</v>
      </c>
      <c r="K269" t="s">
        <v>78</v>
      </c>
      <c r="L269" t="s">
        <v>90</v>
      </c>
      <c r="M269" t="s">
        <v>91</v>
      </c>
      <c r="N269" t="s">
        <v>677</v>
      </c>
      <c r="O269" t="s">
        <v>82</v>
      </c>
      <c r="P269" t="str">
        <f>"21707196503                   "</f>
        <v xml:space="preserve">21707196503                   </v>
      </c>
      <c r="Q269">
        <v>0</v>
      </c>
      <c r="R269">
        <v>0</v>
      </c>
      <c r="S269">
        <v>0</v>
      </c>
      <c r="T269">
        <v>0</v>
      </c>
      <c r="U269">
        <v>0</v>
      </c>
      <c r="V269">
        <v>0</v>
      </c>
      <c r="W269">
        <v>0</v>
      </c>
      <c r="X269">
        <v>0</v>
      </c>
      <c r="Y269">
        <v>0</v>
      </c>
      <c r="Z269">
        <v>0</v>
      </c>
      <c r="AA269">
        <v>0</v>
      </c>
      <c r="AB269">
        <v>0</v>
      </c>
      <c r="AC269">
        <v>0</v>
      </c>
      <c r="AD269">
        <v>0</v>
      </c>
      <c r="AE269">
        <v>0</v>
      </c>
      <c r="AF269">
        <v>0</v>
      </c>
      <c r="AG269">
        <v>0</v>
      </c>
      <c r="AH269">
        <v>0</v>
      </c>
      <c r="AI269">
        <v>0</v>
      </c>
      <c r="AJ269">
        <v>0</v>
      </c>
      <c r="AK269">
        <v>0</v>
      </c>
      <c r="AL269">
        <v>0</v>
      </c>
      <c r="AM269">
        <v>27.88</v>
      </c>
      <c r="AN269">
        <v>0</v>
      </c>
      <c r="AO269">
        <v>0</v>
      </c>
      <c r="AP269">
        <v>0</v>
      </c>
      <c r="AQ269">
        <v>0</v>
      </c>
      <c r="AR269">
        <v>0</v>
      </c>
      <c r="AS269">
        <v>0</v>
      </c>
      <c r="AT269">
        <v>0</v>
      </c>
      <c r="AU269">
        <v>0</v>
      </c>
      <c r="AV269">
        <v>0</v>
      </c>
      <c r="AW269">
        <v>0</v>
      </c>
      <c r="AX269">
        <v>0</v>
      </c>
      <c r="AY269">
        <v>0</v>
      </c>
      <c r="AZ269">
        <v>0</v>
      </c>
      <c r="BA269">
        <v>0</v>
      </c>
      <c r="BB269">
        <v>0</v>
      </c>
      <c r="BC269">
        <v>0</v>
      </c>
      <c r="BD269">
        <v>0</v>
      </c>
      <c r="BE269">
        <v>0</v>
      </c>
      <c r="BF269">
        <v>0</v>
      </c>
      <c r="BG269">
        <v>0</v>
      </c>
      <c r="BH269">
        <v>1</v>
      </c>
      <c r="BI269">
        <v>6.2</v>
      </c>
      <c r="BJ269">
        <v>3.4</v>
      </c>
      <c r="BK269">
        <v>6.5</v>
      </c>
      <c r="BL269" s="4">
        <v>163.89</v>
      </c>
      <c r="BM269" s="4">
        <v>24.58</v>
      </c>
      <c r="BN269" s="4">
        <v>188.47</v>
      </c>
      <c r="BO269" s="4">
        <v>188.47</v>
      </c>
      <c r="BR269" t="s">
        <v>84</v>
      </c>
      <c r="BS269" s="3">
        <v>43802</v>
      </c>
      <c r="BT269" s="5">
        <v>0.43402777777777773</v>
      </c>
      <c r="BU269" t="s">
        <v>678</v>
      </c>
      <c r="BV269" t="s">
        <v>86</v>
      </c>
      <c r="BY269">
        <v>17060.25</v>
      </c>
      <c r="BZ269" t="s">
        <v>27</v>
      </c>
      <c r="CA269" t="s">
        <v>539</v>
      </c>
      <c r="CC269" t="s">
        <v>91</v>
      </c>
      <c r="CD269">
        <v>7580</v>
      </c>
      <c r="CE269" t="s">
        <v>96</v>
      </c>
      <c r="CF269" s="3">
        <v>43803</v>
      </c>
      <c r="CI269">
        <v>1</v>
      </c>
      <c r="CJ269">
        <v>1</v>
      </c>
      <c r="CK269">
        <v>21</v>
      </c>
      <c r="CL269" t="s">
        <v>89</v>
      </c>
    </row>
    <row r="270" spans="1:90">
      <c r="A270" t="s">
        <v>72</v>
      </c>
      <c r="B270" t="s">
        <v>73</v>
      </c>
      <c r="C270" t="s">
        <v>74</v>
      </c>
      <c r="E270" t="str">
        <f>"FES1162726200"</f>
        <v>FES1162726200</v>
      </c>
      <c r="F270" s="3">
        <v>43801</v>
      </c>
      <c r="G270">
        <v>202006</v>
      </c>
      <c r="H270" t="s">
        <v>75</v>
      </c>
      <c r="I270" t="s">
        <v>76</v>
      </c>
      <c r="J270" t="s">
        <v>77</v>
      </c>
      <c r="K270" t="s">
        <v>78</v>
      </c>
      <c r="L270" t="s">
        <v>164</v>
      </c>
      <c r="M270" t="s">
        <v>165</v>
      </c>
      <c r="N270" t="s">
        <v>379</v>
      </c>
      <c r="O270" t="s">
        <v>82</v>
      </c>
      <c r="P270" t="str">
        <f>"2170719709                    "</f>
        <v xml:space="preserve">2170719709                    </v>
      </c>
      <c r="Q270">
        <v>0</v>
      </c>
      <c r="R270">
        <v>0</v>
      </c>
      <c r="S270">
        <v>0</v>
      </c>
      <c r="T270">
        <v>0</v>
      </c>
      <c r="U270">
        <v>0</v>
      </c>
      <c r="V270">
        <v>0</v>
      </c>
      <c r="W270">
        <v>0</v>
      </c>
      <c r="X270">
        <v>0</v>
      </c>
      <c r="Y270">
        <v>0</v>
      </c>
      <c r="Z270">
        <v>0</v>
      </c>
      <c r="AA270">
        <v>0</v>
      </c>
      <c r="AB270">
        <v>0</v>
      </c>
      <c r="AC270">
        <v>0</v>
      </c>
      <c r="AD270">
        <v>0</v>
      </c>
      <c r="AE270">
        <v>0</v>
      </c>
      <c r="AF270">
        <v>0</v>
      </c>
      <c r="AG270">
        <v>0</v>
      </c>
      <c r="AH270">
        <v>0</v>
      </c>
      <c r="AI270">
        <v>0</v>
      </c>
      <c r="AJ270">
        <v>0</v>
      </c>
      <c r="AK270">
        <v>0</v>
      </c>
      <c r="AL270">
        <v>0</v>
      </c>
      <c r="AM270">
        <v>8.58</v>
      </c>
      <c r="AN270">
        <v>0</v>
      </c>
      <c r="AO270">
        <v>0</v>
      </c>
      <c r="AP270">
        <v>0</v>
      </c>
      <c r="AQ270">
        <v>0</v>
      </c>
      <c r="AR270">
        <v>0</v>
      </c>
      <c r="AS270">
        <v>0</v>
      </c>
      <c r="AT270">
        <v>0</v>
      </c>
      <c r="AU270">
        <v>0</v>
      </c>
      <c r="AV270">
        <v>0</v>
      </c>
      <c r="AW270">
        <v>0</v>
      </c>
      <c r="AX270">
        <v>0</v>
      </c>
      <c r="AY270">
        <v>0</v>
      </c>
      <c r="AZ270">
        <v>0</v>
      </c>
      <c r="BA270">
        <v>0</v>
      </c>
      <c r="BB270">
        <v>0</v>
      </c>
      <c r="BC270">
        <v>0</v>
      </c>
      <c r="BD270">
        <v>0</v>
      </c>
      <c r="BE270">
        <v>0</v>
      </c>
      <c r="BF270">
        <v>0</v>
      </c>
      <c r="BG270">
        <v>0</v>
      </c>
      <c r="BH270">
        <v>1</v>
      </c>
      <c r="BI270">
        <v>1</v>
      </c>
      <c r="BJ270">
        <v>0.2</v>
      </c>
      <c r="BK270">
        <v>1</v>
      </c>
      <c r="BL270" s="4">
        <v>50.45</v>
      </c>
      <c r="BM270" s="4">
        <v>7.57</v>
      </c>
      <c r="BN270" s="4">
        <v>58.02</v>
      </c>
      <c r="BO270" s="4">
        <v>58.02</v>
      </c>
      <c r="BQ270" t="s">
        <v>147</v>
      </c>
      <c r="BR270" t="s">
        <v>84</v>
      </c>
      <c r="BS270" s="3">
        <v>43802</v>
      </c>
      <c r="BT270" s="5">
        <v>0.41180555555555554</v>
      </c>
      <c r="BU270" t="s">
        <v>382</v>
      </c>
      <c r="BV270" t="s">
        <v>86</v>
      </c>
      <c r="BY270">
        <v>1200</v>
      </c>
      <c r="BZ270" t="s">
        <v>27</v>
      </c>
      <c r="CA270" t="s">
        <v>381</v>
      </c>
      <c r="CC270" t="s">
        <v>165</v>
      </c>
      <c r="CD270">
        <v>5201</v>
      </c>
      <c r="CE270" t="s">
        <v>88</v>
      </c>
      <c r="CF270" s="3">
        <v>43804</v>
      </c>
      <c r="CI270">
        <v>1</v>
      </c>
      <c r="CJ270">
        <v>1</v>
      </c>
      <c r="CK270">
        <v>21</v>
      </c>
      <c r="CL270" t="s">
        <v>89</v>
      </c>
    </row>
    <row r="271" spans="1:90">
      <c r="A271" t="s">
        <v>72</v>
      </c>
      <c r="B271" t="s">
        <v>73</v>
      </c>
      <c r="C271" t="s">
        <v>74</v>
      </c>
      <c r="E271" t="str">
        <f>"FES1162726238"</f>
        <v>FES1162726238</v>
      </c>
      <c r="F271" s="3">
        <v>43801</v>
      </c>
      <c r="G271">
        <v>202006</v>
      </c>
      <c r="H271" t="s">
        <v>75</v>
      </c>
      <c r="I271" t="s">
        <v>76</v>
      </c>
      <c r="J271" t="s">
        <v>77</v>
      </c>
      <c r="K271" t="s">
        <v>78</v>
      </c>
      <c r="L271" t="s">
        <v>90</v>
      </c>
      <c r="M271" t="s">
        <v>91</v>
      </c>
      <c r="N271" t="s">
        <v>561</v>
      </c>
      <c r="O271" t="s">
        <v>82</v>
      </c>
      <c r="P271" t="str">
        <f>"2170719715                    "</f>
        <v xml:space="preserve">2170719715                    </v>
      </c>
      <c r="Q271">
        <v>0</v>
      </c>
      <c r="R271">
        <v>0</v>
      </c>
      <c r="S271">
        <v>0</v>
      </c>
      <c r="T271">
        <v>0</v>
      </c>
      <c r="U271">
        <v>0</v>
      </c>
      <c r="V271">
        <v>0</v>
      </c>
      <c r="W271">
        <v>0</v>
      </c>
      <c r="X271">
        <v>0</v>
      </c>
      <c r="Y271">
        <v>0</v>
      </c>
      <c r="Z271">
        <v>0</v>
      </c>
      <c r="AA271">
        <v>0</v>
      </c>
      <c r="AB271">
        <v>0</v>
      </c>
      <c r="AC271">
        <v>0</v>
      </c>
      <c r="AD271">
        <v>0</v>
      </c>
      <c r="AE271">
        <v>0</v>
      </c>
      <c r="AF271">
        <v>0</v>
      </c>
      <c r="AG271">
        <v>0</v>
      </c>
      <c r="AH271">
        <v>0</v>
      </c>
      <c r="AI271">
        <v>0</v>
      </c>
      <c r="AJ271">
        <v>0</v>
      </c>
      <c r="AK271">
        <v>0</v>
      </c>
      <c r="AL271">
        <v>0</v>
      </c>
      <c r="AM271">
        <v>8.58</v>
      </c>
      <c r="AN271">
        <v>0</v>
      </c>
      <c r="AO271">
        <v>0</v>
      </c>
      <c r="AP271">
        <v>0</v>
      </c>
      <c r="AQ271">
        <v>0</v>
      </c>
      <c r="AR271">
        <v>0</v>
      </c>
      <c r="AS271">
        <v>0</v>
      </c>
      <c r="AT271">
        <v>0</v>
      </c>
      <c r="AU271">
        <v>0</v>
      </c>
      <c r="AV271">
        <v>0</v>
      </c>
      <c r="AW271">
        <v>0</v>
      </c>
      <c r="AX271">
        <v>0</v>
      </c>
      <c r="AY271">
        <v>0</v>
      </c>
      <c r="AZ271">
        <v>0</v>
      </c>
      <c r="BA271">
        <v>0</v>
      </c>
      <c r="BB271">
        <v>0</v>
      </c>
      <c r="BC271">
        <v>0</v>
      </c>
      <c r="BD271">
        <v>0</v>
      </c>
      <c r="BE271">
        <v>0</v>
      </c>
      <c r="BF271">
        <v>0</v>
      </c>
      <c r="BG271">
        <v>0</v>
      </c>
      <c r="BH271">
        <v>1</v>
      </c>
      <c r="BI271">
        <v>1</v>
      </c>
      <c r="BJ271">
        <v>0.2</v>
      </c>
      <c r="BK271">
        <v>1</v>
      </c>
      <c r="BL271" s="4">
        <v>50.45</v>
      </c>
      <c r="BM271" s="4">
        <v>7.57</v>
      </c>
      <c r="BN271" s="4">
        <v>58.02</v>
      </c>
      <c r="BO271" s="4">
        <v>58.02</v>
      </c>
      <c r="BQ271" t="s">
        <v>172</v>
      </c>
      <c r="BR271" t="s">
        <v>84</v>
      </c>
      <c r="BS271" s="3">
        <v>43802</v>
      </c>
      <c r="BT271" s="5">
        <v>0.36180555555555555</v>
      </c>
      <c r="BU271" t="s">
        <v>679</v>
      </c>
      <c r="BV271" t="s">
        <v>86</v>
      </c>
      <c r="BY271">
        <v>1200</v>
      </c>
      <c r="BZ271" t="s">
        <v>27</v>
      </c>
      <c r="CA271" t="s">
        <v>563</v>
      </c>
      <c r="CC271" t="s">
        <v>91</v>
      </c>
      <c r="CD271">
        <v>7460</v>
      </c>
      <c r="CE271" t="s">
        <v>88</v>
      </c>
      <c r="CF271" s="3">
        <v>43803</v>
      </c>
      <c r="CI271">
        <v>1</v>
      </c>
      <c r="CJ271">
        <v>1</v>
      </c>
      <c r="CK271">
        <v>21</v>
      </c>
      <c r="CL271" t="s">
        <v>89</v>
      </c>
    </row>
    <row r="272" spans="1:90">
      <c r="A272" t="s">
        <v>72</v>
      </c>
      <c r="B272" t="s">
        <v>73</v>
      </c>
      <c r="C272" t="s">
        <v>74</v>
      </c>
      <c r="E272" t="str">
        <f>"FES1162726162"</f>
        <v>FES1162726162</v>
      </c>
      <c r="F272" s="3">
        <v>43801</v>
      </c>
      <c r="G272">
        <v>202006</v>
      </c>
      <c r="H272" t="s">
        <v>75</v>
      </c>
      <c r="I272" t="s">
        <v>76</v>
      </c>
      <c r="J272" t="s">
        <v>77</v>
      </c>
      <c r="K272" t="s">
        <v>78</v>
      </c>
      <c r="L272" t="s">
        <v>361</v>
      </c>
      <c r="M272" t="s">
        <v>362</v>
      </c>
      <c r="N272" t="s">
        <v>634</v>
      </c>
      <c r="O272" t="s">
        <v>82</v>
      </c>
      <c r="P272" t="str">
        <f>"2170718688                    "</f>
        <v xml:space="preserve">2170718688                    </v>
      </c>
      <c r="Q272">
        <v>0</v>
      </c>
      <c r="R272">
        <v>0</v>
      </c>
      <c r="S272">
        <v>0</v>
      </c>
      <c r="T272">
        <v>0</v>
      </c>
      <c r="U272">
        <v>0</v>
      </c>
      <c r="V272">
        <v>0</v>
      </c>
      <c r="W272">
        <v>0</v>
      </c>
      <c r="X272">
        <v>0</v>
      </c>
      <c r="Y272">
        <v>0</v>
      </c>
      <c r="Z272">
        <v>0</v>
      </c>
      <c r="AA272">
        <v>0</v>
      </c>
      <c r="AB272">
        <v>0</v>
      </c>
      <c r="AC272">
        <v>0</v>
      </c>
      <c r="AD272">
        <v>0</v>
      </c>
      <c r="AE272">
        <v>0</v>
      </c>
      <c r="AF272">
        <v>0</v>
      </c>
      <c r="AG272">
        <v>0</v>
      </c>
      <c r="AH272">
        <v>0</v>
      </c>
      <c r="AI272">
        <v>0</v>
      </c>
      <c r="AJ272">
        <v>0</v>
      </c>
      <c r="AK272">
        <v>0</v>
      </c>
      <c r="AL272">
        <v>0</v>
      </c>
      <c r="AM272">
        <v>8.58</v>
      </c>
      <c r="AN272">
        <v>0</v>
      </c>
      <c r="AO272">
        <v>0</v>
      </c>
      <c r="AP272">
        <v>0</v>
      </c>
      <c r="AQ272">
        <v>0</v>
      </c>
      <c r="AR272">
        <v>0</v>
      </c>
      <c r="AS272">
        <v>0</v>
      </c>
      <c r="AT272">
        <v>0</v>
      </c>
      <c r="AU272">
        <v>0</v>
      </c>
      <c r="AV272">
        <v>0</v>
      </c>
      <c r="AW272">
        <v>0</v>
      </c>
      <c r="AX272">
        <v>0</v>
      </c>
      <c r="AY272">
        <v>0</v>
      </c>
      <c r="AZ272">
        <v>0</v>
      </c>
      <c r="BA272">
        <v>0</v>
      </c>
      <c r="BB272">
        <v>0</v>
      </c>
      <c r="BC272">
        <v>0</v>
      </c>
      <c r="BD272">
        <v>0</v>
      </c>
      <c r="BE272">
        <v>0</v>
      </c>
      <c r="BF272">
        <v>0</v>
      </c>
      <c r="BG272">
        <v>0</v>
      </c>
      <c r="BH272">
        <v>1</v>
      </c>
      <c r="BI272">
        <v>1</v>
      </c>
      <c r="BJ272">
        <v>0.2</v>
      </c>
      <c r="BK272">
        <v>1</v>
      </c>
      <c r="BL272" s="4">
        <v>50.45</v>
      </c>
      <c r="BM272" s="4">
        <v>7.57</v>
      </c>
      <c r="BN272" s="4">
        <v>58.02</v>
      </c>
      <c r="BO272" s="4">
        <v>58.02</v>
      </c>
      <c r="BQ272" t="s">
        <v>147</v>
      </c>
      <c r="BR272" t="s">
        <v>84</v>
      </c>
      <c r="BS272" s="3">
        <v>43802</v>
      </c>
      <c r="BT272" s="5">
        <v>0.42777777777777781</v>
      </c>
      <c r="BU272" t="s">
        <v>680</v>
      </c>
      <c r="BV272" t="s">
        <v>86</v>
      </c>
      <c r="BY272">
        <v>1200</v>
      </c>
      <c r="BZ272" t="s">
        <v>27</v>
      </c>
      <c r="CA272" t="s">
        <v>185</v>
      </c>
      <c r="CC272" t="s">
        <v>362</v>
      </c>
      <c r="CD272">
        <v>6220</v>
      </c>
      <c r="CE272" t="s">
        <v>88</v>
      </c>
      <c r="CF272" s="3">
        <v>43804</v>
      </c>
      <c r="CI272">
        <v>1</v>
      </c>
      <c r="CJ272">
        <v>1</v>
      </c>
      <c r="CK272">
        <v>21</v>
      </c>
      <c r="CL272" t="s">
        <v>89</v>
      </c>
    </row>
    <row r="273" spans="1:90">
      <c r="A273" t="s">
        <v>72</v>
      </c>
      <c r="B273" t="s">
        <v>73</v>
      </c>
      <c r="C273" t="s">
        <v>74</v>
      </c>
      <c r="E273" t="str">
        <f>"FES1162726466"</f>
        <v>FES1162726466</v>
      </c>
      <c r="F273" s="3">
        <v>43802</v>
      </c>
      <c r="G273">
        <v>202006</v>
      </c>
      <c r="H273" t="s">
        <v>75</v>
      </c>
      <c r="I273" t="s">
        <v>76</v>
      </c>
      <c r="J273" t="s">
        <v>77</v>
      </c>
      <c r="K273" t="s">
        <v>78</v>
      </c>
      <c r="L273" t="s">
        <v>151</v>
      </c>
      <c r="M273" t="s">
        <v>102</v>
      </c>
      <c r="N273" t="s">
        <v>681</v>
      </c>
      <c r="O273" t="s">
        <v>82</v>
      </c>
      <c r="P273" t="str">
        <f>"2170719901                    "</f>
        <v xml:space="preserve">2170719901                    </v>
      </c>
      <c r="Q273">
        <v>0</v>
      </c>
      <c r="R273">
        <v>0</v>
      </c>
      <c r="S273">
        <v>0</v>
      </c>
      <c r="T273">
        <v>0</v>
      </c>
      <c r="U273">
        <v>0</v>
      </c>
      <c r="V273">
        <v>0</v>
      </c>
      <c r="W273">
        <v>0</v>
      </c>
      <c r="X273">
        <v>0</v>
      </c>
      <c r="Y273">
        <v>0</v>
      </c>
      <c r="Z273">
        <v>0</v>
      </c>
      <c r="AA273">
        <v>0</v>
      </c>
      <c r="AB273">
        <v>0</v>
      </c>
      <c r="AC273">
        <v>0</v>
      </c>
      <c r="AD273">
        <v>0</v>
      </c>
      <c r="AE273">
        <v>0</v>
      </c>
      <c r="AF273">
        <v>0</v>
      </c>
      <c r="AG273">
        <v>0</v>
      </c>
      <c r="AH273">
        <v>0</v>
      </c>
      <c r="AI273">
        <v>0</v>
      </c>
      <c r="AJ273">
        <v>0</v>
      </c>
      <c r="AK273">
        <v>0</v>
      </c>
      <c r="AL273">
        <v>0</v>
      </c>
      <c r="AM273">
        <v>8.58</v>
      </c>
      <c r="AN273">
        <v>0</v>
      </c>
      <c r="AO273">
        <v>0</v>
      </c>
      <c r="AP273">
        <v>0</v>
      </c>
      <c r="AQ273">
        <v>0</v>
      </c>
      <c r="AR273">
        <v>0</v>
      </c>
      <c r="AS273">
        <v>0</v>
      </c>
      <c r="AT273">
        <v>0</v>
      </c>
      <c r="AU273">
        <v>0</v>
      </c>
      <c r="AV273">
        <v>0</v>
      </c>
      <c r="AW273">
        <v>0</v>
      </c>
      <c r="AX273">
        <v>0</v>
      </c>
      <c r="AY273">
        <v>0</v>
      </c>
      <c r="AZ273">
        <v>0</v>
      </c>
      <c r="BA273">
        <v>0</v>
      </c>
      <c r="BB273">
        <v>0</v>
      </c>
      <c r="BC273">
        <v>0</v>
      </c>
      <c r="BD273">
        <v>0</v>
      </c>
      <c r="BE273">
        <v>0</v>
      </c>
      <c r="BF273">
        <v>0</v>
      </c>
      <c r="BG273">
        <v>0</v>
      </c>
      <c r="BH273">
        <v>1</v>
      </c>
      <c r="BI273">
        <v>1</v>
      </c>
      <c r="BJ273">
        <v>0.2</v>
      </c>
      <c r="BK273">
        <v>1</v>
      </c>
      <c r="BL273" s="4">
        <v>50.45</v>
      </c>
      <c r="BM273" s="4">
        <v>7.57</v>
      </c>
      <c r="BN273" s="4">
        <v>58.02</v>
      </c>
      <c r="BO273" s="4">
        <v>58.02</v>
      </c>
      <c r="BR273" t="s">
        <v>84</v>
      </c>
      <c r="BS273" s="3">
        <v>43803</v>
      </c>
      <c r="BT273" s="5">
        <v>0.40486111111111112</v>
      </c>
      <c r="BU273" t="s">
        <v>682</v>
      </c>
      <c r="BV273" t="s">
        <v>86</v>
      </c>
      <c r="BY273">
        <v>1200</v>
      </c>
      <c r="CA273" t="s">
        <v>137</v>
      </c>
      <c r="CC273" t="s">
        <v>102</v>
      </c>
      <c r="CD273">
        <v>1</v>
      </c>
      <c r="CE273" t="s">
        <v>88</v>
      </c>
      <c r="CF273" s="3">
        <v>43804</v>
      </c>
      <c r="CI273">
        <v>1</v>
      </c>
      <c r="CJ273">
        <v>1</v>
      </c>
      <c r="CK273">
        <v>21</v>
      </c>
      <c r="CL273" t="s">
        <v>89</v>
      </c>
    </row>
    <row r="274" spans="1:90">
      <c r="A274" t="s">
        <v>72</v>
      </c>
      <c r="B274" t="s">
        <v>73</v>
      </c>
      <c r="C274" t="s">
        <v>74</v>
      </c>
      <c r="E274" t="str">
        <f>"FES1162726263"</f>
        <v>FES1162726263</v>
      </c>
      <c r="F274" s="3">
        <v>43801</v>
      </c>
      <c r="G274">
        <v>202006</v>
      </c>
      <c r="H274" t="s">
        <v>75</v>
      </c>
      <c r="I274" t="s">
        <v>76</v>
      </c>
      <c r="J274" t="s">
        <v>77</v>
      </c>
      <c r="K274" t="s">
        <v>78</v>
      </c>
      <c r="L274" t="s">
        <v>151</v>
      </c>
      <c r="M274" t="s">
        <v>102</v>
      </c>
      <c r="N274" t="s">
        <v>683</v>
      </c>
      <c r="O274" t="s">
        <v>82</v>
      </c>
      <c r="P274" t="str">
        <f>"2170719763                    "</f>
        <v xml:space="preserve">2170719763                    </v>
      </c>
      <c r="Q274">
        <v>0</v>
      </c>
      <c r="R274">
        <v>0</v>
      </c>
      <c r="S274">
        <v>0</v>
      </c>
      <c r="T274">
        <v>0</v>
      </c>
      <c r="U274">
        <v>0</v>
      </c>
      <c r="V274">
        <v>0</v>
      </c>
      <c r="W274">
        <v>0</v>
      </c>
      <c r="X274">
        <v>0</v>
      </c>
      <c r="Y274">
        <v>0</v>
      </c>
      <c r="Z274">
        <v>0</v>
      </c>
      <c r="AA274">
        <v>0</v>
      </c>
      <c r="AB274">
        <v>0</v>
      </c>
      <c r="AC274">
        <v>0</v>
      </c>
      <c r="AD274">
        <v>0</v>
      </c>
      <c r="AE274">
        <v>0</v>
      </c>
      <c r="AF274">
        <v>0</v>
      </c>
      <c r="AG274">
        <v>0</v>
      </c>
      <c r="AH274">
        <v>0</v>
      </c>
      <c r="AI274">
        <v>0</v>
      </c>
      <c r="AJ274">
        <v>0</v>
      </c>
      <c r="AK274">
        <v>0</v>
      </c>
      <c r="AL274">
        <v>0</v>
      </c>
      <c r="AM274">
        <v>8.58</v>
      </c>
      <c r="AN274">
        <v>0</v>
      </c>
      <c r="AO274">
        <v>0</v>
      </c>
      <c r="AP274">
        <v>0</v>
      </c>
      <c r="AQ274">
        <v>0</v>
      </c>
      <c r="AR274">
        <v>0</v>
      </c>
      <c r="AS274">
        <v>0</v>
      </c>
      <c r="AT274">
        <v>0</v>
      </c>
      <c r="AU274">
        <v>0</v>
      </c>
      <c r="AV274">
        <v>0</v>
      </c>
      <c r="AW274">
        <v>0</v>
      </c>
      <c r="AX274">
        <v>0</v>
      </c>
      <c r="AY274">
        <v>0</v>
      </c>
      <c r="AZ274">
        <v>0</v>
      </c>
      <c r="BA274">
        <v>0</v>
      </c>
      <c r="BB274">
        <v>0</v>
      </c>
      <c r="BC274">
        <v>0</v>
      </c>
      <c r="BD274">
        <v>0</v>
      </c>
      <c r="BE274">
        <v>0</v>
      </c>
      <c r="BF274">
        <v>0</v>
      </c>
      <c r="BG274">
        <v>0</v>
      </c>
      <c r="BH274">
        <v>1</v>
      </c>
      <c r="BI274">
        <v>1</v>
      </c>
      <c r="BJ274">
        <v>0.2</v>
      </c>
      <c r="BK274">
        <v>1</v>
      </c>
      <c r="BL274" s="4">
        <v>50.45</v>
      </c>
      <c r="BM274" s="4">
        <v>7.57</v>
      </c>
      <c r="BN274" s="4">
        <v>58.02</v>
      </c>
      <c r="BO274" s="4">
        <v>58.02</v>
      </c>
      <c r="BQ274" t="s">
        <v>684</v>
      </c>
      <c r="BR274" t="s">
        <v>84</v>
      </c>
      <c r="BS274" s="3">
        <v>43802</v>
      </c>
      <c r="BT274" s="5">
        <v>0.38541666666666669</v>
      </c>
      <c r="BU274" t="s">
        <v>685</v>
      </c>
      <c r="BV274" t="s">
        <v>86</v>
      </c>
      <c r="BY274">
        <v>1200</v>
      </c>
      <c r="BZ274" t="s">
        <v>27</v>
      </c>
      <c r="CC274" t="s">
        <v>102</v>
      </c>
      <c r="CD274">
        <v>200</v>
      </c>
      <c r="CE274" t="s">
        <v>88</v>
      </c>
      <c r="CF274" s="3">
        <v>43803</v>
      </c>
      <c r="CI274">
        <v>1</v>
      </c>
      <c r="CJ274">
        <v>1</v>
      </c>
      <c r="CK274">
        <v>21</v>
      </c>
      <c r="CL274" t="s">
        <v>89</v>
      </c>
    </row>
    <row r="275" spans="1:90">
      <c r="A275" t="s">
        <v>72</v>
      </c>
      <c r="B275" t="s">
        <v>73</v>
      </c>
      <c r="C275" t="s">
        <v>74</v>
      </c>
      <c r="E275" t="str">
        <f>"FES1162726041"</f>
        <v>FES1162726041</v>
      </c>
      <c r="F275" s="3">
        <v>43801</v>
      </c>
      <c r="G275">
        <v>202006</v>
      </c>
      <c r="H275" t="s">
        <v>75</v>
      </c>
      <c r="I275" t="s">
        <v>76</v>
      </c>
      <c r="J275" t="s">
        <v>77</v>
      </c>
      <c r="K275" t="s">
        <v>78</v>
      </c>
      <c r="L275" t="s">
        <v>198</v>
      </c>
      <c r="M275" t="s">
        <v>199</v>
      </c>
      <c r="N275" t="s">
        <v>686</v>
      </c>
      <c r="O275" t="s">
        <v>82</v>
      </c>
      <c r="P275" t="str">
        <f>"2170719504                    "</f>
        <v xml:space="preserve">2170719504                    </v>
      </c>
      <c r="Q275">
        <v>0</v>
      </c>
      <c r="R275">
        <v>0</v>
      </c>
      <c r="S275">
        <v>0</v>
      </c>
      <c r="T275">
        <v>0</v>
      </c>
      <c r="U275">
        <v>0</v>
      </c>
      <c r="V275">
        <v>0</v>
      </c>
      <c r="W275">
        <v>0</v>
      </c>
      <c r="X275">
        <v>0</v>
      </c>
      <c r="Y275">
        <v>0</v>
      </c>
      <c r="Z275">
        <v>0</v>
      </c>
      <c r="AA275">
        <v>0</v>
      </c>
      <c r="AB275">
        <v>0</v>
      </c>
      <c r="AC275">
        <v>0</v>
      </c>
      <c r="AD275">
        <v>0</v>
      </c>
      <c r="AE275">
        <v>0</v>
      </c>
      <c r="AF275">
        <v>0</v>
      </c>
      <c r="AG275">
        <v>0</v>
      </c>
      <c r="AH275">
        <v>0</v>
      </c>
      <c r="AI275">
        <v>0</v>
      </c>
      <c r="AJ275">
        <v>0</v>
      </c>
      <c r="AK275">
        <v>0</v>
      </c>
      <c r="AL275">
        <v>0</v>
      </c>
      <c r="AM275">
        <v>15.02</v>
      </c>
      <c r="AN275">
        <v>0</v>
      </c>
      <c r="AO275">
        <v>0</v>
      </c>
      <c r="AP275">
        <v>0</v>
      </c>
      <c r="AQ275">
        <v>0</v>
      </c>
      <c r="AR275">
        <v>0</v>
      </c>
      <c r="AS275">
        <v>0</v>
      </c>
      <c r="AT275">
        <v>0</v>
      </c>
      <c r="AU275">
        <v>0</v>
      </c>
      <c r="AV275">
        <v>0</v>
      </c>
      <c r="AW275">
        <v>0</v>
      </c>
      <c r="AX275">
        <v>0</v>
      </c>
      <c r="AY275">
        <v>0</v>
      </c>
      <c r="AZ275">
        <v>0</v>
      </c>
      <c r="BA275">
        <v>0</v>
      </c>
      <c r="BB275">
        <v>0</v>
      </c>
      <c r="BC275">
        <v>0</v>
      </c>
      <c r="BD275">
        <v>0</v>
      </c>
      <c r="BE275">
        <v>0</v>
      </c>
      <c r="BF275">
        <v>0</v>
      </c>
      <c r="BG275">
        <v>0</v>
      </c>
      <c r="BH275">
        <v>1</v>
      </c>
      <c r="BI275">
        <v>2</v>
      </c>
      <c r="BJ275">
        <v>3.2</v>
      </c>
      <c r="BK275">
        <v>3.5</v>
      </c>
      <c r="BL275" s="4">
        <v>88.27</v>
      </c>
      <c r="BM275" s="4">
        <v>13.24</v>
      </c>
      <c r="BN275" s="4">
        <v>101.51</v>
      </c>
      <c r="BO275" s="4">
        <v>101.51</v>
      </c>
      <c r="BR275" t="s">
        <v>84</v>
      </c>
      <c r="BS275" s="3">
        <v>43802</v>
      </c>
      <c r="BT275" s="5">
        <v>0.4284722222222222</v>
      </c>
      <c r="BU275" t="s">
        <v>687</v>
      </c>
      <c r="BV275" t="s">
        <v>86</v>
      </c>
      <c r="BY275">
        <v>16086.06</v>
      </c>
      <c r="BZ275" t="s">
        <v>27</v>
      </c>
      <c r="CA275" t="s">
        <v>408</v>
      </c>
      <c r="CC275" t="s">
        <v>199</v>
      </c>
      <c r="CD275">
        <v>4052</v>
      </c>
      <c r="CE275" t="s">
        <v>96</v>
      </c>
      <c r="CI275">
        <v>1</v>
      </c>
      <c r="CJ275">
        <v>1</v>
      </c>
      <c r="CK275">
        <v>21</v>
      </c>
      <c r="CL275" t="s">
        <v>89</v>
      </c>
    </row>
    <row r="276" spans="1:90">
      <c r="A276" t="s">
        <v>72</v>
      </c>
      <c r="B276" t="s">
        <v>73</v>
      </c>
      <c r="C276" t="s">
        <v>74</v>
      </c>
      <c r="E276" t="str">
        <f>"FES1162726161"</f>
        <v>FES1162726161</v>
      </c>
      <c r="F276" s="3">
        <v>43801</v>
      </c>
      <c r="G276">
        <v>202006</v>
      </c>
      <c r="H276" t="s">
        <v>75</v>
      </c>
      <c r="I276" t="s">
        <v>76</v>
      </c>
      <c r="J276" t="s">
        <v>77</v>
      </c>
      <c r="K276" t="s">
        <v>78</v>
      </c>
      <c r="L276" t="s">
        <v>213</v>
      </c>
      <c r="M276" t="s">
        <v>214</v>
      </c>
      <c r="N276" t="s">
        <v>598</v>
      </c>
      <c r="O276" t="s">
        <v>82</v>
      </c>
      <c r="P276" t="str">
        <f>"2170719651                    "</f>
        <v xml:space="preserve">2170719651                    </v>
      </c>
      <c r="Q276">
        <v>0</v>
      </c>
      <c r="R276">
        <v>0</v>
      </c>
      <c r="S276">
        <v>0</v>
      </c>
      <c r="T276">
        <v>0</v>
      </c>
      <c r="U276">
        <v>0</v>
      </c>
      <c r="V276">
        <v>0</v>
      </c>
      <c r="W276">
        <v>0</v>
      </c>
      <c r="X276">
        <v>0</v>
      </c>
      <c r="Y276">
        <v>0</v>
      </c>
      <c r="Z276">
        <v>0</v>
      </c>
      <c r="AA276">
        <v>0</v>
      </c>
      <c r="AB276">
        <v>0</v>
      </c>
      <c r="AC276">
        <v>0</v>
      </c>
      <c r="AD276">
        <v>0</v>
      </c>
      <c r="AE276">
        <v>0</v>
      </c>
      <c r="AF276">
        <v>0</v>
      </c>
      <c r="AG276">
        <v>0</v>
      </c>
      <c r="AH276">
        <v>0</v>
      </c>
      <c r="AI276">
        <v>0</v>
      </c>
      <c r="AJ276">
        <v>0</v>
      </c>
      <c r="AK276">
        <v>0</v>
      </c>
      <c r="AL276">
        <v>0</v>
      </c>
      <c r="AM276">
        <v>25.74</v>
      </c>
      <c r="AN276">
        <v>0</v>
      </c>
      <c r="AO276">
        <v>0</v>
      </c>
      <c r="AP276">
        <v>0</v>
      </c>
      <c r="AQ276">
        <v>0</v>
      </c>
      <c r="AR276">
        <v>0</v>
      </c>
      <c r="AS276">
        <v>0</v>
      </c>
      <c r="AT276">
        <v>0</v>
      </c>
      <c r="AU276">
        <v>0</v>
      </c>
      <c r="AV276">
        <v>0</v>
      </c>
      <c r="AW276">
        <v>0</v>
      </c>
      <c r="AX276">
        <v>0</v>
      </c>
      <c r="AY276">
        <v>0</v>
      </c>
      <c r="AZ276">
        <v>0</v>
      </c>
      <c r="BA276">
        <v>0</v>
      </c>
      <c r="BB276">
        <v>0</v>
      </c>
      <c r="BC276">
        <v>0</v>
      </c>
      <c r="BD276">
        <v>0</v>
      </c>
      <c r="BE276">
        <v>0</v>
      </c>
      <c r="BF276">
        <v>0</v>
      </c>
      <c r="BG276">
        <v>0</v>
      </c>
      <c r="BH276">
        <v>1</v>
      </c>
      <c r="BI276">
        <v>6</v>
      </c>
      <c r="BJ276">
        <v>3.5</v>
      </c>
      <c r="BK276">
        <v>6</v>
      </c>
      <c r="BL276" s="4">
        <v>151.29</v>
      </c>
      <c r="BM276" s="4">
        <v>22.69</v>
      </c>
      <c r="BN276" s="4">
        <v>173.98</v>
      </c>
      <c r="BO276" s="4">
        <v>173.98</v>
      </c>
      <c r="BQ276" t="s">
        <v>147</v>
      </c>
      <c r="BR276" t="s">
        <v>84</v>
      </c>
      <c r="BS276" s="3">
        <v>43802</v>
      </c>
      <c r="BT276" s="5">
        <v>0.34027777777777773</v>
      </c>
      <c r="BU276" t="s">
        <v>688</v>
      </c>
      <c r="BV276" t="s">
        <v>86</v>
      </c>
      <c r="BY276">
        <v>17626.86</v>
      </c>
      <c r="BZ276" t="s">
        <v>27</v>
      </c>
      <c r="CA276" t="s">
        <v>99</v>
      </c>
      <c r="CC276" t="s">
        <v>214</v>
      </c>
      <c r="CD276">
        <v>6229</v>
      </c>
      <c r="CE276" t="s">
        <v>96</v>
      </c>
      <c r="CF276" s="3">
        <v>43804</v>
      </c>
      <c r="CI276">
        <v>1</v>
      </c>
      <c r="CJ276">
        <v>1</v>
      </c>
      <c r="CK276">
        <v>21</v>
      </c>
      <c r="CL276" t="s">
        <v>89</v>
      </c>
    </row>
    <row r="277" spans="1:90">
      <c r="A277" t="s">
        <v>72</v>
      </c>
      <c r="B277" t="s">
        <v>73</v>
      </c>
      <c r="C277" t="s">
        <v>74</v>
      </c>
      <c r="E277" t="str">
        <f>"FES1162726409"</f>
        <v>FES1162726409</v>
      </c>
      <c r="F277" s="3">
        <v>43802</v>
      </c>
      <c r="G277">
        <v>202006</v>
      </c>
      <c r="H277" t="s">
        <v>75</v>
      </c>
      <c r="I277" t="s">
        <v>76</v>
      </c>
      <c r="J277" t="s">
        <v>77</v>
      </c>
      <c r="K277" t="s">
        <v>78</v>
      </c>
      <c r="L277" t="s">
        <v>258</v>
      </c>
      <c r="M277" t="s">
        <v>259</v>
      </c>
      <c r="N277" t="s">
        <v>689</v>
      </c>
      <c r="O277" t="s">
        <v>82</v>
      </c>
      <c r="P277" t="str">
        <f>"2170719269                    "</f>
        <v xml:space="preserve">2170719269                    </v>
      </c>
      <c r="Q277">
        <v>0</v>
      </c>
      <c r="R277">
        <v>0</v>
      </c>
      <c r="S277">
        <v>0</v>
      </c>
      <c r="T277">
        <v>0</v>
      </c>
      <c r="U277">
        <v>0</v>
      </c>
      <c r="V277">
        <v>0</v>
      </c>
      <c r="W277">
        <v>0</v>
      </c>
      <c r="X277">
        <v>0</v>
      </c>
      <c r="Y277">
        <v>0</v>
      </c>
      <c r="Z277">
        <v>0</v>
      </c>
      <c r="AA277">
        <v>0</v>
      </c>
      <c r="AB277">
        <v>0</v>
      </c>
      <c r="AC277">
        <v>0</v>
      </c>
      <c r="AD277">
        <v>0</v>
      </c>
      <c r="AE277">
        <v>0</v>
      </c>
      <c r="AF277">
        <v>0</v>
      </c>
      <c r="AG277">
        <v>0</v>
      </c>
      <c r="AH277">
        <v>0</v>
      </c>
      <c r="AI277">
        <v>0</v>
      </c>
      <c r="AJ277">
        <v>0</v>
      </c>
      <c r="AK277">
        <v>0</v>
      </c>
      <c r="AL277">
        <v>0</v>
      </c>
      <c r="AM277">
        <v>8.58</v>
      </c>
      <c r="AN277">
        <v>0</v>
      </c>
      <c r="AO277">
        <v>0</v>
      </c>
      <c r="AP277">
        <v>0</v>
      </c>
      <c r="AQ277">
        <v>0</v>
      </c>
      <c r="AR277">
        <v>0</v>
      </c>
      <c r="AS277">
        <v>0</v>
      </c>
      <c r="AT277">
        <v>0</v>
      </c>
      <c r="AU277">
        <v>0</v>
      </c>
      <c r="AV277">
        <v>0</v>
      </c>
      <c r="AW277">
        <v>0</v>
      </c>
      <c r="AX277">
        <v>0</v>
      </c>
      <c r="AY277">
        <v>0</v>
      </c>
      <c r="AZ277">
        <v>0</v>
      </c>
      <c r="BA277">
        <v>0</v>
      </c>
      <c r="BB277">
        <v>0</v>
      </c>
      <c r="BC277">
        <v>0</v>
      </c>
      <c r="BD277">
        <v>0</v>
      </c>
      <c r="BE277">
        <v>0</v>
      </c>
      <c r="BF277">
        <v>0</v>
      </c>
      <c r="BG277">
        <v>0</v>
      </c>
      <c r="BH277">
        <v>1</v>
      </c>
      <c r="BI277">
        <v>1</v>
      </c>
      <c r="BJ277">
        <v>0.2</v>
      </c>
      <c r="BK277">
        <v>1</v>
      </c>
      <c r="BL277" s="4">
        <v>50.45</v>
      </c>
      <c r="BM277" s="4">
        <v>7.57</v>
      </c>
      <c r="BN277" s="4">
        <v>58.02</v>
      </c>
      <c r="BO277" s="4">
        <v>58.02</v>
      </c>
      <c r="BQ277" t="s">
        <v>690</v>
      </c>
      <c r="BR277" t="s">
        <v>84</v>
      </c>
      <c r="BS277" s="3">
        <v>43804</v>
      </c>
      <c r="BT277" s="5">
        <v>0.47847222222222219</v>
      </c>
      <c r="BU277" t="s">
        <v>691</v>
      </c>
      <c r="BV277" t="s">
        <v>89</v>
      </c>
      <c r="BW277" t="s">
        <v>593</v>
      </c>
      <c r="BX277" t="s">
        <v>692</v>
      </c>
      <c r="BY277">
        <v>1200</v>
      </c>
      <c r="CA277" t="s">
        <v>693</v>
      </c>
      <c r="CC277" t="s">
        <v>259</v>
      </c>
      <c r="CD277">
        <v>7599</v>
      </c>
      <c r="CE277" t="s">
        <v>88</v>
      </c>
      <c r="CF277" s="3">
        <v>43805</v>
      </c>
      <c r="CI277">
        <v>1</v>
      </c>
      <c r="CJ277">
        <v>2</v>
      </c>
      <c r="CK277">
        <v>21</v>
      </c>
      <c r="CL277" t="s">
        <v>89</v>
      </c>
    </row>
    <row r="278" spans="1:90">
      <c r="A278" t="s">
        <v>72</v>
      </c>
      <c r="B278" t="s">
        <v>73</v>
      </c>
      <c r="C278" t="s">
        <v>74</v>
      </c>
      <c r="E278" t="str">
        <f>"FES1162726291"</f>
        <v>FES1162726291</v>
      </c>
      <c r="F278" s="3">
        <v>43802</v>
      </c>
      <c r="G278">
        <v>202006</v>
      </c>
      <c r="H278" t="s">
        <v>75</v>
      </c>
      <c r="I278" t="s">
        <v>76</v>
      </c>
      <c r="J278" t="s">
        <v>77</v>
      </c>
      <c r="K278" t="s">
        <v>78</v>
      </c>
      <c r="L278" t="s">
        <v>90</v>
      </c>
      <c r="M278" t="s">
        <v>91</v>
      </c>
      <c r="N278" t="s">
        <v>207</v>
      </c>
      <c r="O278" t="s">
        <v>82</v>
      </c>
      <c r="P278" t="str">
        <f>"2170719798                    "</f>
        <v xml:space="preserve">2170719798                    </v>
      </c>
      <c r="Q278">
        <v>0</v>
      </c>
      <c r="R278">
        <v>0</v>
      </c>
      <c r="S278">
        <v>0</v>
      </c>
      <c r="T278">
        <v>0</v>
      </c>
      <c r="U278">
        <v>0</v>
      </c>
      <c r="V278">
        <v>0</v>
      </c>
      <c r="W278">
        <v>0</v>
      </c>
      <c r="X278">
        <v>0</v>
      </c>
      <c r="Y278">
        <v>0</v>
      </c>
      <c r="Z278">
        <v>0</v>
      </c>
      <c r="AA278">
        <v>0</v>
      </c>
      <c r="AB278">
        <v>0</v>
      </c>
      <c r="AC278">
        <v>0</v>
      </c>
      <c r="AD278">
        <v>0</v>
      </c>
      <c r="AE278">
        <v>0</v>
      </c>
      <c r="AF278">
        <v>0</v>
      </c>
      <c r="AG278">
        <v>0</v>
      </c>
      <c r="AH278">
        <v>0</v>
      </c>
      <c r="AI278">
        <v>0</v>
      </c>
      <c r="AJ278">
        <v>0</v>
      </c>
      <c r="AK278">
        <v>0</v>
      </c>
      <c r="AL278">
        <v>0</v>
      </c>
      <c r="AM278">
        <v>8.58</v>
      </c>
      <c r="AN278">
        <v>0</v>
      </c>
      <c r="AO278">
        <v>0</v>
      </c>
      <c r="AP278">
        <v>0</v>
      </c>
      <c r="AQ278">
        <v>0</v>
      </c>
      <c r="AR278">
        <v>0</v>
      </c>
      <c r="AS278">
        <v>0</v>
      </c>
      <c r="AT278">
        <v>0</v>
      </c>
      <c r="AU278">
        <v>0</v>
      </c>
      <c r="AV278">
        <v>0</v>
      </c>
      <c r="AW278">
        <v>0</v>
      </c>
      <c r="AX278">
        <v>0</v>
      </c>
      <c r="AY278">
        <v>0</v>
      </c>
      <c r="AZ278">
        <v>0</v>
      </c>
      <c r="BA278">
        <v>0</v>
      </c>
      <c r="BB278">
        <v>0</v>
      </c>
      <c r="BC278">
        <v>0</v>
      </c>
      <c r="BD278">
        <v>0</v>
      </c>
      <c r="BE278">
        <v>0</v>
      </c>
      <c r="BF278">
        <v>0</v>
      </c>
      <c r="BG278">
        <v>0</v>
      </c>
      <c r="BH278">
        <v>1</v>
      </c>
      <c r="BI278">
        <v>1</v>
      </c>
      <c r="BJ278">
        <v>0.2</v>
      </c>
      <c r="BK278">
        <v>1</v>
      </c>
      <c r="BL278" s="4">
        <v>50.45</v>
      </c>
      <c r="BM278" s="4">
        <v>7.57</v>
      </c>
      <c r="BN278" s="4">
        <v>58.02</v>
      </c>
      <c r="BO278" s="4">
        <v>58.02</v>
      </c>
      <c r="BQ278" t="s">
        <v>147</v>
      </c>
      <c r="BR278" t="s">
        <v>84</v>
      </c>
      <c r="BS278" s="3">
        <v>43803</v>
      </c>
      <c r="BT278" s="5">
        <v>0.3576388888888889</v>
      </c>
      <c r="BU278" t="s">
        <v>208</v>
      </c>
      <c r="BV278" t="s">
        <v>86</v>
      </c>
      <c r="BY278">
        <v>1200</v>
      </c>
      <c r="CA278" t="s">
        <v>209</v>
      </c>
      <c r="CC278" t="s">
        <v>91</v>
      </c>
      <c r="CD278">
        <v>7441</v>
      </c>
      <c r="CE278" t="s">
        <v>88</v>
      </c>
      <c r="CF278" s="3">
        <v>43804</v>
      </c>
      <c r="CI278">
        <v>1</v>
      </c>
      <c r="CJ278">
        <v>1</v>
      </c>
      <c r="CK278">
        <v>21</v>
      </c>
      <c r="CL278" t="s">
        <v>89</v>
      </c>
    </row>
    <row r="279" spans="1:90">
      <c r="A279" t="s">
        <v>72</v>
      </c>
      <c r="B279" t="s">
        <v>73</v>
      </c>
      <c r="C279" t="s">
        <v>74</v>
      </c>
      <c r="E279" t="str">
        <f>"FES1162726256"</f>
        <v>FES1162726256</v>
      </c>
      <c r="F279" s="3">
        <v>43801</v>
      </c>
      <c r="G279">
        <v>202006</v>
      </c>
      <c r="H279" t="s">
        <v>75</v>
      </c>
      <c r="I279" t="s">
        <v>76</v>
      </c>
      <c r="J279" t="s">
        <v>77</v>
      </c>
      <c r="K279" t="s">
        <v>78</v>
      </c>
      <c r="L279" t="s">
        <v>75</v>
      </c>
      <c r="M279" t="s">
        <v>76</v>
      </c>
      <c r="N279" t="s">
        <v>305</v>
      </c>
      <c r="O279" t="s">
        <v>82</v>
      </c>
      <c r="P279" t="str">
        <f>"2170719750                    "</f>
        <v xml:space="preserve">2170719750                    </v>
      </c>
      <c r="Q279">
        <v>0</v>
      </c>
      <c r="R279">
        <v>0</v>
      </c>
      <c r="S279">
        <v>0</v>
      </c>
      <c r="T279">
        <v>0</v>
      </c>
      <c r="U279">
        <v>0</v>
      </c>
      <c r="V279">
        <v>0</v>
      </c>
      <c r="W279">
        <v>0</v>
      </c>
      <c r="X279">
        <v>0</v>
      </c>
      <c r="Y279">
        <v>0</v>
      </c>
      <c r="Z279">
        <v>0</v>
      </c>
      <c r="AA279">
        <v>0</v>
      </c>
      <c r="AB279">
        <v>0</v>
      </c>
      <c r="AC279">
        <v>0</v>
      </c>
      <c r="AD279">
        <v>0</v>
      </c>
      <c r="AE279">
        <v>0</v>
      </c>
      <c r="AF279">
        <v>0</v>
      </c>
      <c r="AG279">
        <v>0</v>
      </c>
      <c r="AH279">
        <v>0</v>
      </c>
      <c r="AI279">
        <v>0</v>
      </c>
      <c r="AJ279">
        <v>0</v>
      </c>
      <c r="AK279">
        <v>0</v>
      </c>
      <c r="AL279">
        <v>0</v>
      </c>
      <c r="AM279">
        <v>6.71</v>
      </c>
      <c r="AN279">
        <v>0</v>
      </c>
      <c r="AO279">
        <v>0</v>
      </c>
      <c r="AP279">
        <v>0</v>
      </c>
      <c r="AQ279">
        <v>0</v>
      </c>
      <c r="AR279">
        <v>0</v>
      </c>
      <c r="AS279">
        <v>0</v>
      </c>
      <c r="AT279">
        <v>0</v>
      </c>
      <c r="AU279">
        <v>0</v>
      </c>
      <c r="AV279">
        <v>0</v>
      </c>
      <c r="AW279">
        <v>0</v>
      </c>
      <c r="AX279">
        <v>0</v>
      </c>
      <c r="AY279">
        <v>0</v>
      </c>
      <c r="AZ279">
        <v>0</v>
      </c>
      <c r="BA279">
        <v>0</v>
      </c>
      <c r="BB279">
        <v>0</v>
      </c>
      <c r="BC279">
        <v>0</v>
      </c>
      <c r="BD279">
        <v>0</v>
      </c>
      <c r="BE279">
        <v>0</v>
      </c>
      <c r="BF279">
        <v>0</v>
      </c>
      <c r="BG279">
        <v>0</v>
      </c>
      <c r="BH279">
        <v>1</v>
      </c>
      <c r="BI279">
        <v>1</v>
      </c>
      <c r="BJ279">
        <v>0.2</v>
      </c>
      <c r="BK279">
        <v>1</v>
      </c>
      <c r="BL279" s="4">
        <v>39.42</v>
      </c>
      <c r="BM279" s="4">
        <v>5.91</v>
      </c>
      <c r="BN279" s="4">
        <v>45.33</v>
      </c>
      <c r="BO279" s="4">
        <v>45.33</v>
      </c>
      <c r="BQ279" t="s">
        <v>147</v>
      </c>
      <c r="BR279" t="s">
        <v>84</v>
      </c>
      <c r="BS279" s="3">
        <v>43802</v>
      </c>
      <c r="BT279" s="5">
        <v>0.3125</v>
      </c>
      <c r="BU279" t="s">
        <v>306</v>
      </c>
      <c r="BV279" t="s">
        <v>86</v>
      </c>
      <c r="BY279">
        <v>1200</v>
      </c>
      <c r="BZ279" t="s">
        <v>27</v>
      </c>
      <c r="CA279" t="s">
        <v>307</v>
      </c>
      <c r="CC279" t="s">
        <v>76</v>
      </c>
      <c r="CD279">
        <v>1645</v>
      </c>
      <c r="CE279" t="s">
        <v>88</v>
      </c>
      <c r="CF279" s="3">
        <v>43803</v>
      </c>
      <c r="CI279">
        <v>1</v>
      </c>
      <c r="CJ279">
        <v>1</v>
      </c>
      <c r="CK279">
        <v>22</v>
      </c>
      <c r="CL279" t="s">
        <v>89</v>
      </c>
    </row>
    <row r="280" spans="1:90">
      <c r="A280" t="s">
        <v>72</v>
      </c>
      <c r="B280" t="s">
        <v>73</v>
      </c>
      <c r="C280" t="s">
        <v>74</v>
      </c>
      <c r="E280" t="str">
        <f>"FES1162726487"</f>
        <v>FES1162726487</v>
      </c>
      <c r="F280" s="3">
        <v>43802</v>
      </c>
      <c r="G280">
        <v>202006</v>
      </c>
      <c r="H280" t="s">
        <v>75</v>
      </c>
      <c r="I280" t="s">
        <v>76</v>
      </c>
      <c r="J280" t="s">
        <v>77</v>
      </c>
      <c r="K280" t="s">
        <v>78</v>
      </c>
      <c r="L280" t="s">
        <v>132</v>
      </c>
      <c r="M280" t="s">
        <v>133</v>
      </c>
      <c r="N280" t="s">
        <v>694</v>
      </c>
      <c r="O280" t="s">
        <v>82</v>
      </c>
      <c r="P280" t="str">
        <f>"2170719920                    "</f>
        <v xml:space="preserve">2170719920                    </v>
      </c>
      <c r="Q280">
        <v>0</v>
      </c>
      <c r="R280">
        <v>0</v>
      </c>
      <c r="S280">
        <v>0</v>
      </c>
      <c r="T280">
        <v>0</v>
      </c>
      <c r="U280">
        <v>0</v>
      </c>
      <c r="V280">
        <v>0</v>
      </c>
      <c r="W280">
        <v>0</v>
      </c>
      <c r="X280">
        <v>0</v>
      </c>
      <c r="Y280">
        <v>0</v>
      </c>
      <c r="Z280">
        <v>0</v>
      </c>
      <c r="AA280">
        <v>0</v>
      </c>
      <c r="AB280">
        <v>0</v>
      </c>
      <c r="AC280">
        <v>0</v>
      </c>
      <c r="AD280">
        <v>0</v>
      </c>
      <c r="AE280">
        <v>0</v>
      </c>
      <c r="AF280">
        <v>0</v>
      </c>
      <c r="AG280">
        <v>0</v>
      </c>
      <c r="AH280">
        <v>0</v>
      </c>
      <c r="AI280">
        <v>0</v>
      </c>
      <c r="AJ280">
        <v>0</v>
      </c>
      <c r="AK280">
        <v>0</v>
      </c>
      <c r="AL280">
        <v>0</v>
      </c>
      <c r="AM280">
        <v>8.58</v>
      </c>
      <c r="AN280">
        <v>0</v>
      </c>
      <c r="AO280">
        <v>0</v>
      </c>
      <c r="AP280">
        <v>0</v>
      </c>
      <c r="AQ280">
        <v>0</v>
      </c>
      <c r="AR280">
        <v>0</v>
      </c>
      <c r="AS280">
        <v>0</v>
      </c>
      <c r="AT280">
        <v>0</v>
      </c>
      <c r="AU280">
        <v>0</v>
      </c>
      <c r="AV280">
        <v>0</v>
      </c>
      <c r="AW280">
        <v>0</v>
      </c>
      <c r="AX280">
        <v>0</v>
      </c>
      <c r="AY280">
        <v>0</v>
      </c>
      <c r="AZ280">
        <v>0</v>
      </c>
      <c r="BA280">
        <v>0</v>
      </c>
      <c r="BB280">
        <v>0</v>
      </c>
      <c r="BC280">
        <v>0</v>
      </c>
      <c r="BD280">
        <v>0</v>
      </c>
      <c r="BE280">
        <v>0</v>
      </c>
      <c r="BF280">
        <v>0</v>
      </c>
      <c r="BG280">
        <v>0</v>
      </c>
      <c r="BH280">
        <v>1</v>
      </c>
      <c r="BI280">
        <v>1</v>
      </c>
      <c r="BJ280">
        <v>0.2</v>
      </c>
      <c r="BK280">
        <v>1</v>
      </c>
      <c r="BL280" s="4">
        <v>50.45</v>
      </c>
      <c r="BM280" s="4">
        <v>7.57</v>
      </c>
      <c r="BN280" s="4">
        <v>58.02</v>
      </c>
      <c r="BO280" s="4">
        <v>58.02</v>
      </c>
      <c r="BQ280" t="s">
        <v>695</v>
      </c>
      <c r="BR280" t="s">
        <v>84</v>
      </c>
      <c r="BS280" s="3">
        <v>43803</v>
      </c>
      <c r="BT280" s="5">
        <v>0.36458333333333331</v>
      </c>
      <c r="BU280" t="s">
        <v>696</v>
      </c>
      <c r="BV280" t="s">
        <v>86</v>
      </c>
      <c r="BY280">
        <v>1200</v>
      </c>
      <c r="CA280" t="s">
        <v>137</v>
      </c>
      <c r="CC280" t="s">
        <v>133</v>
      </c>
      <c r="CD280">
        <v>157</v>
      </c>
      <c r="CE280" t="s">
        <v>88</v>
      </c>
      <c r="CF280" s="3">
        <v>43804</v>
      </c>
      <c r="CI280">
        <v>1</v>
      </c>
      <c r="CJ280">
        <v>1</v>
      </c>
      <c r="CK280">
        <v>21</v>
      </c>
      <c r="CL280" t="s">
        <v>89</v>
      </c>
    </row>
    <row r="281" spans="1:90">
      <c r="A281" t="s">
        <v>72</v>
      </c>
      <c r="B281" t="s">
        <v>73</v>
      </c>
      <c r="C281" t="s">
        <v>74</v>
      </c>
      <c r="E281" t="str">
        <f>"FES1162726223"</f>
        <v>FES1162726223</v>
      </c>
      <c r="F281" s="3">
        <v>43801</v>
      </c>
      <c r="G281">
        <v>202006</v>
      </c>
      <c r="H281" t="s">
        <v>75</v>
      </c>
      <c r="I281" t="s">
        <v>76</v>
      </c>
      <c r="J281" t="s">
        <v>77</v>
      </c>
      <c r="K281" t="s">
        <v>78</v>
      </c>
      <c r="L281" t="s">
        <v>332</v>
      </c>
      <c r="M281" t="s">
        <v>333</v>
      </c>
      <c r="N281" t="s">
        <v>697</v>
      </c>
      <c r="O281" t="s">
        <v>82</v>
      </c>
      <c r="P281" t="str">
        <f>"2170719718                    "</f>
        <v xml:space="preserve">2170719718                    </v>
      </c>
      <c r="Q281">
        <v>0</v>
      </c>
      <c r="R281">
        <v>0</v>
      </c>
      <c r="S281">
        <v>0</v>
      </c>
      <c r="T281">
        <v>0</v>
      </c>
      <c r="U281">
        <v>0</v>
      </c>
      <c r="V281">
        <v>0</v>
      </c>
      <c r="W281">
        <v>0</v>
      </c>
      <c r="X281">
        <v>0</v>
      </c>
      <c r="Y281">
        <v>0</v>
      </c>
      <c r="Z281">
        <v>0</v>
      </c>
      <c r="AA281">
        <v>0</v>
      </c>
      <c r="AB281">
        <v>0</v>
      </c>
      <c r="AC281">
        <v>0</v>
      </c>
      <c r="AD281">
        <v>0</v>
      </c>
      <c r="AE281">
        <v>0</v>
      </c>
      <c r="AF281">
        <v>0</v>
      </c>
      <c r="AG281">
        <v>0</v>
      </c>
      <c r="AH281">
        <v>0</v>
      </c>
      <c r="AI281">
        <v>0</v>
      </c>
      <c r="AJ281">
        <v>0</v>
      </c>
      <c r="AK281">
        <v>0</v>
      </c>
      <c r="AL281">
        <v>0</v>
      </c>
      <c r="AM281">
        <v>6.71</v>
      </c>
      <c r="AN281">
        <v>0</v>
      </c>
      <c r="AO281">
        <v>0</v>
      </c>
      <c r="AP281">
        <v>0</v>
      </c>
      <c r="AQ281">
        <v>0</v>
      </c>
      <c r="AR281">
        <v>0</v>
      </c>
      <c r="AS281">
        <v>0</v>
      </c>
      <c r="AT281">
        <v>0</v>
      </c>
      <c r="AU281">
        <v>0</v>
      </c>
      <c r="AV281">
        <v>0</v>
      </c>
      <c r="AW281">
        <v>0</v>
      </c>
      <c r="AX281">
        <v>0</v>
      </c>
      <c r="AY281">
        <v>0</v>
      </c>
      <c r="AZ281">
        <v>0</v>
      </c>
      <c r="BA281">
        <v>0</v>
      </c>
      <c r="BB281">
        <v>0</v>
      </c>
      <c r="BC281">
        <v>0</v>
      </c>
      <c r="BD281">
        <v>0</v>
      </c>
      <c r="BE281">
        <v>0</v>
      </c>
      <c r="BF281">
        <v>0</v>
      </c>
      <c r="BG281">
        <v>0</v>
      </c>
      <c r="BH281">
        <v>1</v>
      </c>
      <c r="BI281">
        <v>1</v>
      </c>
      <c r="BJ281">
        <v>0.2</v>
      </c>
      <c r="BK281">
        <v>1</v>
      </c>
      <c r="BL281" s="4">
        <v>39.42</v>
      </c>
      <c r="BM281" s="4">
        <v>5.91</v>
      </c>
      <c r="BN281" s="4">
        <v>45.33</v>
      </c>
      <c r="BO281" s="4">
        <v>45.33</v>
      </c>
      <c r="BQ281" t="s">
        <v>698</v>
      </c>
      <c r="BR281" t="s">
        <v>84</v>
      </c>
      <c r="BS281" s="3">
        <v>43802</v>
      </c>
      <c r="BT281" s="5">
        <v>0.32361111111111113</v>
      </c>
      <c r="BU281" t="s">
        <v>699</v>
      </c>
      <c r="BV281" t="s">
        <v>86</v>
      </c>
      <c r="BY281">
        <v>1200</v>
      </c>
      <c r="BZ281" t="s">
        <v>27</v>
      </c>
      <c r="CA281" t="s">
        <v>700</v>
      </c>
      <c r="CC281" t="s">
        <v>333</v>
      </c>
      <c r="CD281">
        <v>2094</v>
      </c>
      <c r="CE281" t="s">
        <v>88</v>
      </c>
      <c r="CF281" s="3">
        <v>43803</v>
      </c>
      <c r="CI281">
        <v>1</v>
      </c>
      <c r="CJ281">
        <v>1</v>
      </c>
      <c r="CK281">
        <v>22</v>
      </c>
      <c r="CL281" t="s">
        <v>89</v>
      </c>
    </row>
    <row r="282" spans="1:90">
      <c r="A282" t="s">
        <v>72</v>
      </c>
      <c r="B282" t="s">
        <v>73</v>
      </c>
      <c r="C282" t="s">
        <v>74</v>
      </c>
      <c r="E282" t="str">
        <f>"FES1162726197"</f>
        <v>FES1162726197</v>
      </c>
      <c r="F282" s="3">
        <v>43801</v>
      </c>
      <c r="G282">
        <v>202006</v>
      </c>
      <c r="H282" t="s">
        <v>75</v>
      </c>
      <c r="I282" t="s">
        <v>76</v>
      </c>
      <c r="J282" t="s">
        <v>77</v>
      </c>
      <c r="K282" t="s">
        <v>78</v>
      </c>
      <c r="L282" t="s">
        <v>332</v>
      </c>
      <c r="M282" t="s">
        <v>333</v>
      </c>
      <c r="N282" t="s">
        <v>701</v>
      </c>
      <c r="O282" t="s">
        <v>82</v>
      </c>
      <c r="P282" t="str">
        <f>"2170719706                    "</f>
        <v xml:space="preserve">2170719706                    </v>
      </c>
      <c r="Q282">
        <v>0</v>
      </c>
      <c r="R282">
        <v>0</v>
      </c>
      <c r="S282">
        <v>0</v>
      </c>
      <c r="T282">
        <v>0</v>
      </c>
      <c r="U282">
        <v>0</v>
      </c>
      <c r="V282">
        <v>0</v>
      </c>
      <c r="W282">
        <v>0</v>
      </c>
      <c r="X282">
        <v>0</v>
      </c>
      <c r="Y282">
        <v>0</v>
      </c>
      <c r="Z282">
        <v>0</v>
      </c>
      <c r="AA282">
        <v>0</v>
      </c>
      <c r="AB282">
        <v>0</v>
      </c>
      <c r="AC282">
        <v>0</v>
      </c>
      <c r="AD282">
        <v>0</v>
      </c>
      <c r="AE282">
        <v>0</v>
      </c>
      <c r="AF282">
        <v>0</v>
      </c>
      <c r="AG282">
        <v>0</v>
      </c>
      <c r="AH282">
        <v>0</v>
      </c>
      <c r="AI282">
        <v>0</v>
      </c>
      <c r="AJ282">
        <v>0</v>
      </c>
      <c r="AK282">
        <v>0</v>
      </c>
      <c r="AL282">
        <v>0</v>
      </c>
      <c r="AM282">
        <v>6.71</v>
      </c>
      <c r="AN282">
        <v>0</v>
      </c>
      <c r="AO282">
        <v>0</v>
      </c>
      <c r="AP282">
        <v>0</v>
      </c>
      <c r="AQ282">
        <v>0</v>
      </c>
      <c r="AR282">
        <v>0</v>
      </c>
      <c r="AS282">
        <v>0</v>
      </c>
      <c r="AT282">
        <v>0</v>
      </c>
      <c r="AU282">
        <v>0</v>
      </c>
      <c r="AV282">
        <v>0</v>
      </c>
      <c r="AW282">
        <v>0</v>
      </c>
      <c r="AX282">
        <v>0</v>
      </c>
      <c r="AY282">
        <v>0</v>
      </c>
      <c r="AZ282">
        <v>0</v>
      </c>
      <c r="BA282">
        <v>0</v>
      </c>
      <c r="BB282">
        <v>0</v>
      </c>
      <c r="BC282">
        <v>0</v>
      </c>
      <c r="BD282">
        <v>0</v>
      </c>
      <c r="BE282">
        <v>0</v>
      </c>
      <c r="BF282">
        <v>0</v>
      </c>
      <c r="BG282">
        <v>0</v>
      </c>
      <c r="BH282">
        <v>1</v>
      </c>
      <c r="BI282">
        <v>1</v>
      </c>
      <c r="BJ282">
        <v>0.2</v>
      </c>
      <c r="BK282">
        <v>1</v>
      </c>
      <c r="BL282" s="4">
        <v>39.42</v>
      </c>
      <c r="BM282" s="4">
        <v>5.91</v>
      </c>
      <c r="BN282" s="4">
        <v>45.33</v>
      </c>
      <c r="BO282" s="4">
        <v>45.33</v>
      </c>
      <c r="BQ282" t="s">
        <v>93</v>
      </c>
      <c r="BR282" t="s">
        <v>84</v>
      </c>
      <c r="BS282" s="3">
        <v>43802</v>
      </c>
      <c r="BT282" s="5">
        <v>0.38194444444444442</v>
      </c>
      <c r="BU282" t="s">
        <v>702</v>
      </c>
      <c r="BV282" t="s">
        <v>86</v>
      </c>
      <c r="BY282">
        <v>1200</v>
      </c>
      <c r="BZ282" t="s">
        <v>27</v>
      </c>
      <c r="CA282" t="s">
        <v>700</v>
      </c>
      <c r="CC282" t="s">
        <v>333</v>
      </c>
      <c r="CD282">
        <v>2094</v>
      </c>
      <c r="CE282" t="s">
        <v>88</v>
      </c>
      <c r="CF282" s="3">
        <v>43803</v>
      </c>
      <c r="CI282">
        <v>1</v>
      </c>
      <c r="CJ282">
        <v>1</v>
      </c>
      <c r="CK282">
        <v>22</v>
      </c>
      <c r="CL282" t="s">
        <v>89</v>
      </c>
    </row>
    <row r="283" spans="1:90">
      <c r="A283" t="s">
        <v>72</v>
      </c>
      <c r="B283" t="s">
        <v>73</v>
      </c>
      <c r="C283" t="s">
        <v>74</v>
      </c>
      <c r="E283" t="str">
        <f>"FES1162726214"</f>
        <v>FES1162726214</v>
      </c>
      <c r="F283" s="3">
        <v>43801</v>
      </c>
      <c r="G283">
        <v>202006</v>
      </c>
      <c r="H283" t="s">
        <v>75</v>
      </c>
      <c r="I283" t="s">
        <v>76</v>
      </c>
      <c r="J283" t="s">
        <v>77</v>
      </c>
      <c r="K283" t="s">
        <v>78</v>
      </c>
      <c r="L283" t="s">
        <v>138</v>
      </c>
      <c r="M283" t="s">
        <v>139</v>
      </c>
      <c r="N283" t="s">
        <v>703</v>
      </c>
      <c r="O283" t="s">
        <v>82</v>
      </c>
      <c r="P283" t="str">
        <f>"2170716994                    "</f>
        <v xml:space="preserve">2170716994                    </v>
      </c>
      <c r="Q283">
        <v>0</v>
      </c>
      <c r="R283">
        <v>0</v>
      </c>
      <c r="S283">
        <v>0</v>
      </c>
      <c r="T283">
        <v>0</v>
      </c>
      <c r="U283">
        <v>0</v>
      </c>
      <c r="V283">
        <v>0</v>
      </c>
      <c r="W283">
        <v>0</v>
      </c>
      <c r="X283">
        <v>0</v>
      </c>
      <c r="Y283">
        <v>0</v>
      </c>
      <c r="Z283">
        <v>0</v>
      </c>
      <c r="AA283">
        <v>0</v>
      </c>
      <c r="AB283">
        <v>0</v>
      </c>
      <c r="AC283">
        <v>0</v>
      </c>
      <c r="AD283">
        <v>0</v>
      </c>
      <c r="AE283">
        <v>0</v>
      </c>
      <c r="AF283">
        <v>0</v>
      </c>
      <c r="AG283">
        <v>0</v>
      </c>
      <c r="AH283">
        <v>0</v>
      </c>
      <c r="AI283">
        <v>0</v>
      </c>
      <c r="AJ283">
        <v>0</v>
      </c>
      <c r="AK283">
        <v>0</v>
      </c>
      <c r="AL283">
        <v>0</v>
      </c>
      <c r="AM283">
        <v>21.17</v>
      </c>
      <c r="AN283">
        <v>0</v>
      </c>
      <c r="AO283">
        <v>0</v>
      </c>
      <c r="AP283">
        <v>0</v>
      </c>
      <c r="AQ283">
        <v>0</v>
      </c>
      <c r="AR283">
        <v>0</v>
      </c>
      <c r="AS283">
        <v>0</v>
      </c>
      <c r="AT283">
        <v>0</v>
      </c>
      <c r="AU283">
        <v>0</v>
      </c>
      <c r="AV283">
        <v>0</v>
      </c>
      <c r="AW283">
        <v>0</v>
      </c>
      <c r="AX283">
        <v>0</v>
      </c>
      <c r="AY283">
        <v>0</v>
      </c>
      <c r="AZ283">
        <v>0</v>
      </c>
      <c r="BA283">
        <v>0</v>
      </c>
      <c r="BB283">
        <v>0</v>
      </c>
      <c r="BC283">
        <v>0</v>
      </c>
      <c r="BD283">
        <v>0</v>
      </c>
      <c r="BE283">
        <v>0</v>
      </c>
      <c r="BF283">
        <v>0</v>
      </c>
      <c r="BG283">
        <v>0</v>
      </c>
      <c r="BH283">
        <v>1</v>
      </c>
      <c r="BI283">
        <v>11</v>
      </c>
      <c r="BJ283">
        <v>7.6</v>
      </c>
      <c r="BK283">
        <v>11</v>
      </c>
      <c r="BL283" s="4">
        <v>124.44</v>
      </c>
      <c r="BM283" s="4">
        <v>18.670000000000002</v>
      </c>
      <c r="BN283" s="4">
        <v>143.11000000000001</v>
      </c>
      <c r="BO283" s="4">
        <v>143.11000000000001</v>
      </c>
      <c r="BQ283" t="s">
        <v>704</v>
      </c>
      <c r="BR283" t="s">
        <v>84</v>
      </c>
      <c r="BS283" s="3">
        <v>43802</v>
      </c>
      <c r="BT283" s="5">
        <v>0.42708333333333331</v>
      </c>
      <c r="BU283" t="s">
        <v>705</v>
      </c>
      <c r="BV283" t="s">
        <v>86</v>
      </c>
      <c r="BY283">
        <v>38082.800000000003</v>
      </c>
      <c r="BZ283" t="s">
        <v>27</v>
      </c>
      <c r="CC283" t="s">
        <v>139</v>
      </c>
      <c r="CD283">
        <v>1422</v>
      </c>
      <c r="CE283" t="s">
        <v>556</v>
      </c>
      <c r="CF283" s="3">
        <v>43803</v>
      </c>
      <c r="CI283">
        <v>1</v>
      </c>
      <c r="CJ283">
        <v>1</v>
      </c>
      <c r="CK283">
        <v>22</v>
      </c>
      <c r="CL283" t="s">
        <v>89</v>
      </c>
    </row>
    <row r="284" spans="1:90">
      <c r="A284" t="s">
        <v>72</v>
      </c>
      <c r="B284" t="s">
        <v>73</v>
      </c>
      <c r="C284" t="s">
        <v>74</v>
      </c>
      <c r="E284" t="str">
        <f>"FES1162726229"</f>
        <v>FES1162726229</v>
      </c>
      <c r="F284" s="3">
        <v>43801</v>
      </c>
      <c r="G284">
        <v>202006</v>
      </c>
      <c r="H284" t="s">
        <v>75</v>
      </c>
      <c r="I284" t="s">
        <v>76</v>
      </c>
      <c r="J284" t="s">
        <v>77</v>
      </c>
      <c r="K284" t="s">
        <v>78</v>
      </c>
      <c r="L284" t="s">
        <v>79</v>
      </c>
      <c r="M284" t="s">
        <v>80</v>
      </c>
      <c r="N284" t="s">
        <v>129</v>
      </c>
      <c r="O284" t="s">
        <v>82</v>
      </c>
      <c r="P284" t="str">
        <f>"2170719724                    "</f>
        <v xml:space="preserve">2170719724                    </v>
      </c>
      <c r="Q284">
        <v>0</v>
      </c>
      <c r="R284">
        <v>0</v>
      </c>
      <c r="S284">
        <v>0</v>
      </c>
      <c r="T284">
        <v>0</v>
      </c>
      <c r="U284">
        <v>0</v>
      </c>
      <c r="V284">
        <v>0</v>
      </c>
      <c r="W284">
        <v>0</v>
      </c>
      <c r="X284">
        <v>0</v>
      </c>
      <c r="Y284">
        <v>0</v>
      </c>
      <c r="Z284">
        <v>0</v>
      </c>
      <c r="AA284">
        <v>0</v>
      </c>
      <c r="AB284">
        <v>0</v>
      </c>
      <c r="AC284">
        <v>0</v>
      </c>
      <c r="AD284">
        <v>0</v>
      </c>
      <c r="AE284">
        <v>0</v>
      </c>
      <c r="AF284">
        <v>0</v>
      </c>
      <c r="AG284">
        <v>0</v>
      </c>
      <c r="AH284">
        <v>0</v>
      </c>
      <c r="AI284">
        <v>0</v>
      </c>
      <c r="AJ284">
        <v>0</v>
      </c>
      <c r="AK284">
        <v>0</v>
      </c>
      <c r="AL284">
        <v>0</v>
      </c>
      <c r="AM284">
        <v>72.91</v>
      </c>
      <c r="AN284">
        <v>0</v>
      </c>
      <c r="AO284">
        <v>0</v>
      </c>
      <c r="AP284">
        <v>0</v>
      </c>
      <c r="AQ284">
        <v>0</v>
      </c>
      <c r="AR284">
        <v>0</v>
      </c>
      <c r="AS284">
        <v>0</v>
      </c>
      <c r="AT284">
        <v>0</v>
      </c>
      <c r="AU284">
        <v>0</v>
      </c>
      <c r="AV284">
        <v>0</v>
      </c>
      <c r="AW284">
        <v>0</v>
      </c>
      <c r="AX284">
        <v>0</v>
      </c>
      <c r="AY284">
        <v>0</v>
      </c>
      <c r="AZ284">
        <v>0</v>
      </c>
      <c r="BA284">
        <v>0</v>
      </c>
      <c r="BB284">
        <v>0</v>
      </c>
      <c r="BC284">
        <v>0</v>
      </c>
      <c r="BD284">
        <v>0</v>
      </c>
      <c r="BE284">
        <v>0</v>
      </c>
      <c r="BF284">
        <v>0</v>
      </c>
      <c r="BG284">
        <v>0</v>
      </c>
      <c r="BH284">
        <v>1</v>
      </c>
      <c r="BI284">
        <v>11.1</v>
      </c>
      <c r="BJ284">
        <v>16.600000000000001</v>
      </c>
      <c r="BK284">
        <v>17</v>
      </c>
      <c r="BL284" s="4">
        <v>428.58</v>
      </c>
      <c r="BM284" s="4">
        <v>64.290000000000006</v>
      </c>
      <c r="BN284" s="4">
        <v>492.87</v>
      </c>
      <c r="BO284" s="4">
        <v>492.87</v>
      </c>
      <c r="BQ284" t="s">
        <v>147</v>
      </c>
      <c r="BR284" t="s">
        <v>84</v>
      </c>
      <c r="BS284" s="3">
        <v>43802</v>
      </c>
      <c r="BT284" s="5">
        <v>0.36249999999999999</v>
      </c>
      <c r="BU284" t="s">
        <v>638</v>
      </c>
      <c r="BV284" t="s">
        <v>86</v>
      </c>
      <c r="BY284">
        <v>82882.070000000007</v>
      </c>
      <c r="BZ284" t="s">
        <v>27</v>
      </c>
      <c r="CA284" t="s">
        <v>131</v>
      </c>
      <c r="CC284" t="s">
        <v>80</v>
      </c>
      <c r="CD284">
        <v>6001</v>
      </c>
      <c r="CE284" t="s">
        <v>96</v>
      </c>
      <c r="CF284" s="3">
        <v>43804</v>
      </c>
      <c r="CI284">
        <v>1</v>
      </c>
      <c r="CJ284">
        <v>1</v>
      </c>
      <c r="CK284">
        <v>21</v>
      </c>
      <c r="CL284" t="s">
        <v>89</v>
      </c>
    </row>
    <row r="285" spans="1:90">
      <c r="A285" t="s">
        <v>72</v>
      </c>
      <c r="B285" t="s">
        <v>73</v>
      </c>
      <c r="C285" t="s">
        <v>74</v>
      </c>
      <c r="E285" t="str">
        <f>"FES1162726246"</f>
        <v>FES1162726246</v>
      </c>
      <c r="F285" s="3">
        <v>43801</v>
      </c>
      <c r="G285">
        <v>202006</v>
      </c>
      <c r="H285" t="s">
        <v>75</v>
      </c>
      <c r="I285" t="s">
        <v>76</v>
      </c>
      <c r="J285" t="s">
        <v>77</v>
      </c>
      <c r="K285" t="s">
        <v>78</v>
      </c>
      <c r="L285" t="s">
        <v>151</v>
      </c>
      <c r="M285" t="s">
        <v>102</v>
      </c>
      <c r="N285" t="s">
        <v>706</v>
      </c>
      <c r="O285" t="s">
        <v>82</v>
      </c>
      <c r="P285" t="str">
        <f>"2170719731                    "</f>
        <v xml:space="preserve">2170719731                    </v>
      </c>
      <c r="Q285">
        <v>0</v>
      </c>
      <c r="R285">
        <v>0</v>
      </c>
      <c r="S285">
        <v>0</v>
      </c>
      <c r="T285">
        <v>0</v>
      </c>
      <c r="U285">
        <v>0</v>
      </c>
      <c r="V285">
        <v>0</v>
      </c>
      <c r="W285">
        <v>0</v>
      </c>
      <c r="X285">
        <v>0</v>
      </c>
      <c r="Y285">
        <v>0</v>
      </c>
      <c r="Z285">
        <v>0</v>
      </c>
      <c r="AA285">
        <v>0</v>
      </c>
      <c r="AB285">
        <v>0</v>
      </c>
      <c r="AC285">
        <v>0</v>
      </c>
      <c r="AD285">
        <v>0</v>
      </c>
      <c r="AE285">
        <v>0</v>
      </c>
      <c r="AF285">
        <v>0</v>
      </c>
      <c r="AG285">
        <v>0</v>
      </c>
      <c r="AH285">
        <v>0</v>
      </c>
      <c r="AI285">
        <v>0</v>
      </c>
      <c r="AJ285">
        <v>0</v>
      </c>
      <c r="AK285">
        <v>0</v>
      </c>
      <c r="AL285">
        <v>0</v>
      </c>
      <c r="AM285">
        <v>8.58</v>
      </c>
      <c r="AN285">
        <v>0</v>
      </c>
      <c r="AO285">
        <v>0</v>
      </c>
      <c r="AP285">
        <v>0</v>
      </c>
      <c r="AQ285">
        <v>0</v>
      </c>
      <c r="AR285">
        <v>0</v>
      </c>
      <c r="AS285">
        <v>0</v>
      </c>
      <c r="AT285">
        <v>0</v>
      </c>
      <c r="AU285">
        <v>0</v>
      </c>
      <c r="AV285">
        <v>0</v>
      </c>
      <c r="AW285">
        <v>0</v>
      </c>
      <c r="AX285">
        <v>0</v>
      </c>
      <c r="AY285">
        <v>0</v>
      </c>
      <c r="AZ285">
        <v>0</v>
      </c>
      <c r="BA285">
        <v>0</v>
      </c>
      <c r="BB285">
        <v>0</v>
      </c>
      <c r="BC285">
        <v>0</v>
      </c>
      <c r="BD285">
        <v>0</v>
      </c>
      <c r="BE285">
        <v>0</v>
      </c>
      <c r="BF285">
        <v>0</v>
      </c>
      <c r="BG285">
        <v>0</v>
      </c>
      <c r="BH285">
        <v>1</v>
      </c>
      <c r="BI285">
        <v>1</v>
      </c>
      <c r="BJ285">
        <v>0.2</v>
      </c>
      <c r="BK285">
        <v>1</v>
      </c>
      <c r="BL285" s="4">
        <v>50.45</v>
      </c>
      <c r="BM285" s="4">
        <v>7.57</v>
      </c>
      <c r="BN285" s="4">
        <v>58.02</v>
      </c>
      <c r="BO285" s="4">
        <v>58.02</v>
      </c>
      <c r="BQ285" t="s">
        <v>147</v>
      </c>
      <c r="BR285" t="s">
        <v>84</v>
      </c>
      <c r="BS285" s="3">
        <v>43802</v>
      </c>
      <c r="BT285" s="5">
        <v>0.41111111111111115</v>
      </c>
      <c r="BU285" t="s">
        <v>142</v>
      </c>
      <c r="BV285" t="s">
        <v>86</v>
      </c>
      <c r="BY285">
        <v>1200</v>
      </c>
      <c r="BZ285" t="s">
        <v>27</v>
      </c>
      <c r="CC285" t="s">
        <v>102</v>
      </c>
      <c r="CD285">
        <v>1</v>
      </c>
      <c r="CE285" t="s">
        <v>88</v>
      </c>
      <c r="CF285" s="3">
        <v>43803</v>
      </c>
      <c r="CI285">
        <v>1</v>
      </c>
      <c r="CJ285">
        <v>1</v>
      </c>
      <c r="CK285">
        <v>21</v>
      </c>
      <c r="CL285" t="s">
        <v>89</v>
      </c>
    </row>
    <row r="286" spans="1:90">
      <c r="A286" t="s">
        <v>72</v>
      </c>
      <c r="B286" t="s">
        <v>73</v>
      </c>
      <c r="C286" t="s">
        <v>74</v>
      </c>
      <c r="E286" t="str">
        <f>"FES1162726286"</f>
        <v>FES1162726286</v>
      </c>
      <c r="F286" s="3">
        <v>43801</v>
      </c>
      <c r="G286">
        <v>202006</v>
      </c>
      <c r="H286" t="s">
        <v>75</v>
      </c>
      <c r="I286" t="s">
        <v>76</v>
      </c>
      <c r="J286" t="s">
        <v>77</v>
      </c>
      <c r="K286" t="s">
        <v>78</v>
      </c>
      <c r="L286" t="s">
        <v>75</v>
      </c>
      <c r="M286" t="s">
        <v>76</v>
      </c>
      <c r="N286" t="s">
        <v>317</v>
      </c>
      <c r="O286" t="s">
        <v>82</v>
      </c>
      <c r="P286" t="str">
        <f>"2170719698                    "</f>
        <v xml:space="preserve">2170719698                    </v>
      </c>
      <c r="Q286">
        <v>0</v>
      </c>
      <c r="R286">
        <v>0</v>
      </c>
      <c r="S286">
        <v>0</v>
      </c>
      <c r="T286">
        <v>0</v>
      </c>
      <c r="U286">
        <v>0</v>
      </c>
      <c r="V286">
        <v>0</v>
      </c>
      <c r="W286">
        <v>0</v>
      </c>
      <c r="X286">
        <v>0</v>
      </c>
      <c r="Y286">
        <v>0</v>
      </c>
      <c r="Z286">
        <v>0</v>
      </c>
      <c r="AA286">
        <v>0</v>
      </c>
      <c r="AB286">
        <v>0</v>
      </c>
      <c r="AC286">
        <v>0</v>
      </c>
      <c r="AD286">
        <v>0</v>
      </c>
      <c r="AE286">
        <v>0</v>
      </c>
      <c r="AF286">
        <v>0</v>
      </c>
      <c r="AG286">
        <v>0</v>
      </c>
      <c r="AH286">
        <v>0</v>
      </c>
      <c r="AI286">
        <v>0</v>
      </c>
      <c r="AJ286">
        <v>0</v>
      </c>
      <c r="AK286">
        <v>0</v>
      </c>
      <c r="AL286">
        <v>0</v>
      </c>
      <c r="AM286">
        <v>6.71</v>
      </c>
      <c r="AN286">
        <v>0</v>
      </c>
      <c r="AO286">
        <v>0</v>
      </c>
      <c r="AP286">
        <v>0</v>
      </c>
      <c r="AQ286">
        <v>0</v>
      </c>
      <c r="AR286">
        <v>0</v>
      </c>
      <c r="AS286">
        <v>0</v>
      </c>
      <c r="AT286">
        <v>0</v>
      </c>
      <c r="AU286">
        <v>0</v>
      </c>
      <c r="AV286">
        <v>0</v>
      </c>
      <c r="AW286">
        <v>0</v>
      </c>
      <c r="AX286">
        <v>0</v>
      </c>
      <c r="AY286">
        <v>0</v>
      </c>
      <c r="AZ286">
        <v>0</v>
      </c>
      <c r="BA286">
        <v>0</v>
      </c>
      <c r="BB286">
        <v>0</v>
      </c>
      <c r="BC286">
        <v>0</v>
      </c>
      <c r="BD286">
        <v>0</v>
      </c>
      <c r="BE286">
        <v>0</v>
      </c>
      <c r="BF286">
        <v>0</v>
      </c>
      <c r="BG286">
        <v>0</v>
      </c>
      <c r="BH286">
        <v>1</v>
      </c>
      <c r="BI286">
        <v>1</v>
      </c>
      <c r="BJ286">
        <v>0.2</v>
      </c>
      <c r="BK286">
        <v>1</v>
      </c>
      <c r="BL286" s="4">
        <v>39.42</v>
      </c>
      <c r="BM286" s="4">
        <v>5.91</v>
      </c>
      <c r="BN286" s="4">
        <v>45.33</v>
      </c>
      <c r="BO286" s="4">
        <v>45.33</v>
      </c>
      <c r="BQ286" t="s">
        <v>318</v>
      </c>
      <c r="BR286" t="s">
        <v>84</v>
      </c>
      <c r="BS286" s="3">
        <v>43802</v>
      </c>
      <c r="BT286" s="5">
        <v>0.34027777777777773</v>
      </c>
      <c r="BU286" t="s">
        <v>319</v>
      </c>
      <c r="BV286" t="s">
        <v>86</v>
      </c>
      <c r="BY286">
        <v>1200</v>
      </c>
      <c r="BZ286" t="s">
        <v>27</v>
      </c>
      <c r="CA286" t="s">
        <v>320</v>
      </c>
      <c r="CC286" t="s">
        <v>76</v>
      </c>
      <c r="CD286">
        <v>1666</v>
      </c>
      <c r="CE286" t="s">
        <v>88</v>
      </c>
      <c r="CF286" s="3">
        <v>43803</v>
      </c>
      <c r="CI286">
        <v>1</v>
      </c>
      <c r="CJ286">
        <v>1</v>
      </c>
      <c r="CK286">
        <v>22</v>
      </c>
      <c r="CL286" t="s">
        <v>89</v>
      </c>
    </row>
    <row r="287" spans="1:90">
      <c r="A287" t="s">
        <v>72</v>
      </c>
      <c r="B287" t="s">
        <v>73</v>
      </c>
      <c r="C287" t="s">
        <v>74</v>
      </c>
      <c r="E287" t="str">
        <f>"FES1162726276"</f>
        <v>FES1162726276</v>
      </c>
      <c r="F287" s="3">
        <v>43801</v>
      </c>
      <c r="G287">
        <v>202006</v>
      </c>
      <c r="H287" t="s">
        <v>75</v>
      </c>
      <c r="I287" t="s">
        <v>76</v>
      </c>
      <c r="J287" t="s">
        <v>77</v>
      </c>
      <c r="K287" t="s">
        <v>78</v>
      </c>
      <c r="L287" t="s">
        <v>151</v>
      </c>
      <c r="M287" t="s">
        <v>102</v>
      </c>
      <c r="N287" t="s">
        <v>103</v>
      </c>
      <c r="O287" t="s">
        <v>82</v>
      </c>
      <c r="P287" t="str">
        <f>"2170719780                    "</f>
        <v xml:space="preserve">2170719780                    </v>
      </c>
      <c r="Q287">
        <v>0</v>
      </c>
      <c r="R287">
        <v>0</v>
      </c>
      <c r="S287">
        <v>0</v>
      </c>
      <c r="T287">
        <v>0</v>
      </c>
      <c r="U287">
        <v>0</v>
      </c>
      <c r="V287">
        <v>0</v>
      </c>
      <c r="W287">
        <v>0</v>
      </c>
      <c r="X287">
        <v>0</v>
      </c>
      <c r="Y287">
        <v>0</v>
      </c>
      <c r="Z287">
        <v>0</v>
      </c>
      <c r="AA287">
        <v>0</v>
      </c>
      <c r="AB287">
        <v>0</v>
      </c>
      <c r="AC287">
        <v>0</v>
      </c>
      <c r="AD287">
        <v>0</v>
      </c>
      <c r="AE287">
        <v>0</v>
      </c>
      <c r="AF287">
        <v>0</v>
      </c>
      <c r="AG287">
        <v>0</v>
      </c>
      <c r="AH287">
        <v>0</v>
      </c>
      <c r="AI287">
        <v>0</v>
      </c>
      <c r="AJ287">
        <v>0</v>
      </c>
      <c r="AK287">
        <v>0</v>
      </c>
      <c r="AL287">
        <v>0</v>
      </c>
      <c r="AM287">
        <v>8.58</v>
      </c>
      <c r="AN287">
        <v>0</v>
      </c>
      <c r="AO287">
        <v>0</v>
      </c>
      <c r="AP287">
        <v>0</v>
      </c>
      <c r="AQ287">
        <v>0</v>
      </c>
      <c r="AR287">
        <v>0</v>
      </c>
      <c r="AS287">
        <v>0</v>
      </c>
      <c r="AT287">
        <v>0</v>
      </c>
      <c r="AU287">
        <v>0</v>
      </c>
      <c r="AV287">
        <v>0</v>
      </c>
      <c r="AW287">
        <v>0</v>
      </c>
      <c r="AX287">
        <v>0</v>
      </c>
      <c r="AY287">
        <v>0</v>
      </c>
      <c r="AZ287">
        <v>0</v>
      </c>
      <c r="BA287">
        <v>0</v>
      </c>
      <c r="BB287">
        <v>0</v>
      </c>
      <c r="BC287">
        <v>0</v>
      </c>
      <c r="BD287">
        <v>0</v>
      </c>
      <c r="BE287">
        <v>0</v>
      </c>
      <c r="BF287">
        <v>0</v>
      </c>
      <c r="BG287">
        <v>0</v>
      </c>
      <c r="BH287">
        <v>1</v>
      </c>
      <c r="BI287">
        <v>1</v>
      </c>
      <c r="BJ287">
        <v>0.2</v>
      </c>
      <c r="BK287">
        <v>1</v>
      </c>
      <c r="BL287" s="4">
        <v>50.45</v>
      </c>
      <c r="BM287" s="4">
        <v>7.57</v>
      </c>
      <c r="BN287" s="4">
        <v>58.02</v>
      </c>
      <c r="BO287" s="4">
        <v>58.02</v>
      </c>
      <c r="BQ287" t="s">
        <v>93</v>
      </c>
      <c r="BR287" t="s">
        <v>84</v>
      </c>
      <c r="BS287" s="3">
        <v>43802</v>
      </c>
      <c r="BT287" s="5">
        <v>0.39166666666666666</v>
      </c>
      <c r="BU287" t="s">
        <v>642</v>
      </c>
      <c r="BV287" t="s">
        <v>86</v>
      </c>
      <c r="BY287">
        <v>1200</v>
      </c>
      <c r="BZ287" t="s">
        <v>27</v>
      </c>
      <c r="CA287" t="s">
        <v>107</v>
      </c>
      <c r="CC287" t="s">
        <v>102</v>
      </c>
      <c r="CD287">
        <v>1</v>
      </c>
      <c r="CE287" t="s">
        <v>88</v>
      </c>
      <c r="CF287" s="3">
        <v>43803</v>
      </c>
      <c r="CI287">
        <v>1</v>
      </c>
      <c r="CJ287">
        <v>1</v>
      </c>
      <c r="CK287">
        <v>21</v>
      </c>
      <c r="CL287" t="s">
        <v>89</v>
      </c>
    </row>
    <row r="288" spans="1:90">
      <c r="A288" t="s">
        <v>72</v>
      </c>
      <c r="B288" t="s">
        <v>73</v>
      </c>
      <c r="C288" t="s">
        <v>74</v>
      </c>
      <c r="E288" t="str">
        <f>"FES1162726259"</f>
        <v>FES1162726259</v>
      </c>
      <c r="F288" s="3">
        <v>43801</v>
      </c>
      <c r="G288">
        <v>202006</v>
      </c>
      <c r="H288" t="s">
        <v>75</v>
      </c>
      <c r="I288" t="s">
        <v>76</v>
      </c>
      <c r="J288" t="s">
        <v>77</v>
      </c>
      <c r="K288" t="s">
        <v>78</v>
      </c>
      <c r="L288" t="s">
        <v>75</v>
      </c>
      <c r="M288" t="s">
        <v>76</v>
      </c>
      <c r="N288" t="s">
        <v>305</v>
      </c>
      <c r="O288" t="s">
        <v>82</v>
      </c>
      <c r="P288" t="str">
        <f>"2170719754                    "</f>
        <v xml:space="preserve">2170719754                    </v>
      </c>
      <c r="Q288">
        <v>0</v>
      </c>
      <c r="R288">
        <v>0</v>
      </c>
      <c r="S288">
        <v>0</v>
      </c>
      <c r="T288">
        <v>0</v>
      </c>
      <c r="U288">
        <v>0</v>
      </c>
      <c r="V288">
        <v>0</v>
      </c>
      <c r="W288">
        <v>0</v>
      </c>
      <c r="X288">
        <v>0</v>
      </c>
      <c r="Y288">
        <v>0</v>
      </c>
      <c r="Z288">
        <v>0</v>
      </c>
      <c r="AA288">
        <v>0</v>
      </c>
      <c r="AB288">
        <v>0</v>
      </c>
      <c r="AC288">
        <v>0</v>
      </c>
      <c r="AD288">
        <v>0</v>
      </c>
      <c r="AE288">
        <v>0</v>
      </c>
      <c r="AF288">
        <v>0</v>
      </c>
      <c r="AG288">
        <v>0</v>
      </c>
      <c r="AH288">
        <v>0</v>
      </c>
      <c r="AI288">
        <v>0</v>
      </c>
      <c r="AJ288">
        <v>0</v>
      </c>
      <c r="AK288">
        <v>0</v>
      </c>
      <c r="AL288">
        <v>0</v>
      </c>
      <c r="AM288">
        <v>6.71</v>
      </c>
      <c r="AN288">
        <v>0</v>
      </c>
      <c r="AO288">
        <v>0</v>
      </c>
      <c r="AP288">
        <v>0</v>
      </c>
      <c r="AQ288">
        <v>0</v>
      </c>
      <c r="AR288">
        <v>0</v>
      </c>
      <c r="AS288">
        <v>0</v>
      </c>
      <c r="AT288">
        <v>0</v>
      </c>
      <c r="AU288">
        <v>0</v>
      </c>
      <c r="AV288">
        <v>0</v>
      </c>
      <c r="AW288">
        <v>0</v>
      </c>
      <c r="AX288">
        <v>0</v>
      </c>
      <c r="AY288">
        <v>0</v>
      </c>
      <c r="AZ288">
        <v>0</v>
      </c>
      <c r="BA288">
        <v>0</v>
      </c>
      <c r="BB288">
        <v>0</v>
      </c>
      <c r="BC288">
        <v>0</v>
      </c>
      <c r="BD288">
        <v>0</v>
      </c>
      <c r="BE288">
        <v>0</v>
      </c>
      <c r="BF288">
        <v>0</v>
      </c>
      <c r="BG288">
        <v>0</v>
      </c>
      <c r="BH288">
        <v>1</v>
      </c>
      <c r="BI288">
        <v>1</v>
      </c>
      <c r="BJ288">
        <v>0.2</v>
      </c>
      <c r="BK288">
        <v>1</v>
      </c>
      <c r="BL288" s="4">
        <v>39.42</v>
      </c>
      <c r="BM288" s="4">
        <v>5.91</v>
      </c>
      <c r="BN288" s="4">
        <v>45.33</v>
      </c>
      <c r="BO288" s="4">
        <v>45.33</v>
      </c>
      <c r="BQ288" t="s">
        <v>147</v>
      </c>
      <c r="BR288" t="s">
        <v>84</v>
      </c>
      <c r="BS288" s="3">
        <v>43802</v>
      </c>
      <c r="BT288" s="5">
        <v>0.31319444444444444</v>
      </c>
      <c r="BU288" t="s">
        <v>306</v>
      </c>
      <c r="BV288" t="s">
        <v>86</v>
      </c>
      <c r="BY288">
        <v>1200</v>
      </c>
      <c r="BZ288" t="s">
        <v>27</v>
      </c>
      <c r="CA288" t="s">
        <v>307</v>
      </c>
      <c r="CC288" t="s">
        <v>76</v>
      </c>
      <c r="CD288">
        <v>1645</v>
      </c>
      <c r="CE288" t="s">
        <v>88</v>
      </c>
      <c r="CF288" s="3">
        <v>43803</v>
      </c>
      <c r="CI288">
        <v>1</v>
      </c>
      <c r="CJ288">
        <v>1</v>
      </c>
      <c r="CK288">
        <v>22</v>
      </c>
      <c r="CL288" t="s">
        <v>89</v>
      </c>
    </row>
    <row r="289" spans="1:90">
      <c r="A289" t="s">
        <v>72</v>
      </c>
      <c r="B289" t="s">
        <v>73</v>
      </c>
      <c r="C289" t="s">
        <v>74</v>
      </c>
      <c r="E289" t="str">
        <f>"FES1162726181"</f>
        <v>FES1162726181</v>
      </c>
      <c r="F289" s="3">
        <v>43801</v>
      </c>
      <c r="G289">
        <v>202006</v>
      </c>
      <c r="H289" t="s">
        <v>75</v>
      </c>
      <c r="I289" t="s">
        <v>76</v>
      </c>
      <c r="J289" t="s">
        <v>77</v>
      </c>
      <c r="K289" t="s">
        <v>78</v>
      </c>
      <c r="L289" t="s">
        <v>430</v>
      </c>
      <c r="M289" t="s">
        <v>431</v>
      </c>
      <c r="N289" t="s">
        <v>432</v>
      </c>
      <c r="O289" t="s">
        <v>82</v>
      </c>
      <c r="P289" t="str">
        <f>"2170719675                    "</f>
        <v xml:space="preserve">2170719675                    </v>
      </c>
      <c r="Q289">
        <v>0</v>
      </c>
      <c r="R289">
        <v>0</v>
      </c>
      <c r="S289">
        <v>0</v>
      </c>
      <c r="T289">
        <v>0</v>
      </c>
      <c r="U289">
        <v>0</v>
      </c>
      <c r="V289">
        <v>0</v>
      </c>
      <c r="W289">
        <v>0</v>
      </c>
      <c r="X289">
        <v>0</v>
      </c>
      <c r="Y289">
        <v>0</v>
      </c>
      <c r="Z289">
        <v>0</v>
      </c>
      <c r="AA289">
        <v>0</v>
      </c>
      <c r="AB289">
        <v>0</v>
      </c>
      <c r="AC289">
        <v>0</v>
      </c>
      <c r="AD289">
        <v>0</v>
      </c>
      <c r="AE289">
        <v>0</v>
      </c>
      <c r="AF289">
        <v>0</v>
      </c>
      <c r="AG289">
        <v>0</v>
      </c>
      <c r="AH289">
        <v>0</v>
      </c>
      <c r="AI289">
        <v>0</v>
      </c>
      <c r="AJ289">
        <v>0</v>
      </c>
      <c r="AK289">
        <v>0</v>
      </c>
      <c r="AL289">
        <v>0</v>
      </c>
      <c r="AM289">
        <v>12.07</v>
      </c>
      <c r="AN289">
        <v>0</v>
      </c>
      <c r="AO289">
        <v>0</v>
      </c>
      <c r="AP289">
        <v>0</v>
      </c>
      <c r="AQ289">
        <v>0</v>
      </c>
      <c r="AR289">
        <v>0</v>
      </c>
      <c r="AS289">
        <v>0</v>
      </c>
      <c r="AT289">
        <v>0</v>
      </c>
      <c r="AU289">
        <v>0</v>
      </c>
      <c r="AV289">
        <v>0</v>
      </c>
      <c r="AW289">
        <v>0</v>
      </c>
      <c r="AX289">
        <v>0</v>
      </c>
      <c r="AY289">
        <v>0</v>
      </c>
      <c r="AZ289">
        <v>0</v>
      </c>
      <c r="BA289">
        <v>0</v>
      </c>
      <c r="BB289">
        <v>0</v>
      </c>
      <c r="BC289">
        <v>0</v>
      </c>
      <c r="BD289">
        <v>0</v>
      </c>
      <c r="BE289">
        <v>0</v>
      </c>
      <c r="BF289">
        <v>0</v>
      </c>
      <c r="BG289">
        <v>0</v>
      </c>
      <c r="BH289">
        <v>1</v>
      </c>
      <c r="BI289">
        <v>1</v>
      </c>
      <c r="BJ289">
        <v>0.2</v>
      </c>
      <c r="BK289">
        <v>1</v>
      </c>
      <c r="BL289" s="4">
        <v>70.95</v>
      </c>
      <c r="BM289" s="4">
        <v>10.64</v>
      </c>
      <c r="BN289" s="4">
        <v>81.59</v>
      </c>
      <c r="BO289" s="4">
        <v>81.59</v>
      </c>
      <c r="BQ289" t="s">
        <v>147</v>
      </c>
      <c r="BR289" t="s">
        <v>84</v>
      </c>
      <c r="BS289" s="3">
        <v>43802</v>
      </c>
      <c r="BT289" s="5">
        <v>0.3756944444444445</v>
      </c>
      <c r="BU289" t="s">
        <v>433</v>
      </c>
      <c r="BV289" t="s">
        <v>86</v>
      </c>
      <c r="BY289">
        <v>1200</v>
      </c>
      <c r="BZ289" t="s">
        <v>27</v>
      </c>
      <c r="CA289" t="s">
        <v>707</v>
      </c>
      <c r="CC289" t="s">
        <v>431</v>
      </c>
      <c r="CD289">
        <v>250</v>
      </c>
      <c r="CE289" t="s">
        <v>88</v>
      </c>
      <c r="CF289" s="3">
        <v>43804</v>
      </c>
      <c r="CI289">
        <v>1</v>
      </c>
      <c r="CJ289">
        <v>1</v>
      </c>
      <c r="CK289">
        <v>24</v>
      </c>
      <c r="CL289" t="s">
        <v>89</v>
      </c>
    </row>
    <row r="290" spans="1:90">
      <c r="A290" t="s">
        <v>72</v>
      </c>
      <c r="B290" t="s">
        <v>73</v>
      </c>
      <c r="C290" t="s">
        <v>74</v>
      </c>
      <c r="E290" t="str">
        <f>"FES1162726239"</f>
        <v>FES1162726239</v>
      </c>
      <c r="F290" s="3">
        <v>43801</v>
      </c>
      <c r="G290">
        <v>202006</v>
      </c>
      <c r="H290" t="s">
        <v>75</v>
      </c>
      <c r="I290" t="s">
        <v>76</v>
      </c>
      <c r="J290" t="s">
        <v>77</v>
      </c>
      <c r="K290" t="s">
        <v>78</v>
      </c>
      <c r="L290" t="s">
        <v>75</v>
      </c>
      <c r="M290" t="s">
        <v>76</v>
      </c>
      <c r="N290" t="s">
        <v>305</v>
      </c>
      <c r="O290" t="s">
        <v>82</v>
      </c>
      <c r="P290" t="str">
        <f>"2170719727                    "</f>
        <v xml:space="preserve">2170719727                    </v>
      </c>
      <c r="Q290">
        <v>0</v>
      </c>
      <c r="R290">
        <v>0</v>
      </c>
      <c r="S290">
        <v>0</v>
      </c>
      <c r="T290">
        <v>0</v>
      </c>
      <c r="U290">
        <v>0</v>
      </c>
      <c r="V290">
        <v>0</v>
      </c>
      <c r="W290">
        <v>0</v>
      </c>
      <c r="X290">
        <v>0</v>
      </c>
      <c r="Y290">
        <v>0</v>
      </c>
      <c r="Z290">
        <v>0</v>
      </c>
      <c r="AA290">
        <v>0</v>
      </c>
      <c r="AB290">
        <v>0</v>
      </c>
      <c r="AC290">
        <v>0</v>
      </c>
      <c r="AD290">
        <v>0</v>
      </c>
      <c r="AE290">
        <v>0</v>
      </c>
      <c r="AF290">
        <v>0</v>
      </c>
      <c r="AG290">
        <v>0</v>
      </c>
      <c r="AH290">
        <v>0</v>
      </c>
      <c r="AI290">
        <v>0</v>
      </c>
      <c r="AJ290">
        <v>0</v>
      </c>
      <c r="AK290">
        <v>0</v>
      </c>
      <c r="AL290">
        <v>0</v>
      </c>
      <c r="AM290">
        <v>6.71</v>
      </c>
      <c r="AN290">
        <v>0</v>
      </c>
      <c r="AO290">
        <v>0</v>
      </c>
      <c r="AP290">
        <v>0</v>
      </c>
      <c r="AQ290">
        <v>0</v>
      </c>
      <c r="AR290">
        <v>0</v>
      </c>
      <c r="AS290">
        <v>0</v>
      </c>
      <c r="AT290">
        <v>0</v>
      </c>
      <c r="AU290">
        <v>0</v>
      </c>
      <c r="AV290">
        <v>0</v>
      </c>
      <c r="AW290">
        <v>0</v>
      </c>
      <c r="AX290">
        <v>0</v>
      </c>
      <c r="AY290">
        <v>0</v>
      </c>
      <c r="AZ290">
        <v>0</v>
      </c>
      <c r="BA290">
        <v>0</v>
      </c>
      <c r="BB290">
        <v>0</v>
      </c>
      <c r="BC290">
        <v>0</v>
      </c>
      <c r="BD290">
        <v>0</v>
      </c>
      <c r="BE290">
        <v>0</v>
      </c>
      <c r="BF290">
        <v>0</v>
      </c>
      <c r="BG290">
        <v>0</v>
      </c>
      <c r="BH290">
        <v>1</v>
      </c>
      <c r="BI290">
        <v>1</v>
      </c>
      <c r="BJ290">
        <v>0.2</v>
      </c>
      <c r="BK290">
        <v>1</v>
      </c>
      <c r="BL290" s="4">
        <v>39.42</v>
      </c>
      <c r="BM290" s="4">
        <v>5.91</v>
      </c>
      <c r="BN290" s="4">
        <v>45.33</v>
      </c>
      <c r="BO290" s="4">
        <v>45.33</v>
      </c>
      <c r="BQ290" t="s">
        <v>147</v>
      </c>
      <c r="BR290" t="s">
        <v>84</v>
      </c>
      <c r="BS290" s="3">
        <v>43802</v>
      </c>
      <c r="BT290" s="5">
        <v>0.31319444444444444</v>
      </c>
      <c r="BU290" t="s">
        <v>306</v>
      </c>
      <c r="BV290" t="s">
        <v>86</v>
      </c>
      <c r="BY290">
        <v>1200</v>
      </c>
      <c r="BZ290" t="s">
        <v>27</v>
      </c>
      <c r="CA290" t="s">
        <v>307</v>
      </c>
      <c r="CC290" t="s">
        <v>76</v>
      </c>
      <c r="CD290">
        <v>1645</v>
      </c>
      <c r="CE290" t="s">
        <v>88</v>
      </c>
      <c r="CF290" s="3">
        <v>43803</v>
      </c>
      <c r="CI290">
        <v>1</v>
      </c>
      <c r="CJ290">
        <v>1</v>
      </c>
      <c r="CK290">
        <v>22</v>
      </c>
      <c r="CL290" t="s">
        <v>89</v>
      </c>
    </row>
    <row r="291" spans="1:90">
      <c r="A291" t="s">
        <v>72</v>
      </c>
      <c r="B291" t="s">
        <v>73</v>
      </c>
      <c r="C291" t="s">
        <v>74</v>
      </c>
      <c r="E291" t="str">
        <f>"FES1162726313"</f>
        <v>FES1162726313</v>
      </c>
      <c r="F291" s="3">
        <v>43801</v>
      </c>
      <c r="G291">
        <v>202006</v>
      </c>
      <c r="H291" t="s">
        <v>75</v>
      </c>
      <c r="I291" t="s">
        <v>76</v>
      </c>
      <c r="J291" t="s">
        <v>77</v>
      </c>
      <c r="K291" t="s">
        <v>78</v>
      </c>
      <c r="L291" t="s">
        <v>332</v>
      </c>
      <c r="M291" t="s">
        <v>333</v>
      </c>
      <c r="N291" t="s">
        <v>701</v>
      </c>
      <c r="O291" t="s">
        <v>82</v>
      </c>
      <c r="P291" t="str">
        <f>"2170719441                    "</f>
        <v xml:space="preserve">2170719441                    </v>
      </c>
      <c r="Q291">
        <v>0</v>
      </c>
      <c r="R291">
        <v>0</v>
      </c>
      <c r="S291">
        <v>0</v>
      </c>
      <c r="T291">
        <v>0</v>
      </c>
      <c r="U291">
        <v>0</v>
      </c>
      <c r="V291">
        <v>0</v>
      </c>
      <c r="W291">
        <v>0</v>
      </c>
      <c r="X291">
        <v>0</v>
      </c>
      <c r="Y291">
        <v>0</v>
      </c>
      <c r="Z291">
        <v>0</v>
      </c>
      <c r="AA291">
        <v>0</v>
      </c>
      <c r="AB291">
        <v>0</v>
      </c>
      <c r="AC291">
        <v>0</v>
      </c>
      <c r="AD291">
        <v>0</v>
      </c>
      <c r="AE291">
        <v>0</v>
      </c>
      <c r="AF291">
        <v>0</v>
      </c>
      <c r="AG291">
        <v>0</v>
      </c>
      <c r="AH291">
        <v>0</v>
      </c>
      <c r="AI291">
        <v>0</v>
      </c>
      <c r="AJ291">
        <v>0</v>
      </c>
      <c r="AK291">
        <v>0</v>
      </c>
      <c r="AL291">
        <v>0</v>
      </c>
      <c r="AM291">
        <v>6.71</v>
      </c>
      <c r="AN291">
        <v>0</v>
      </c>
      <c r="AO291">
        <v>0</v>
      </c>
      <c r="AP291">
        <v>0</v>
      </c>
      <c r="AQ291">
        <v>0</v>
      </c>
      <c r="AR291">
        <v>0</v>
      </c>
      <c r="AS291">
        <v>0</v>
      </c>
      <c r="AT291">
        <v>0</v>
      </c>
      <c r="AU291">
        <v>0</v>
      </c>
      <c r="AV291">
        <v>0</v>
      </c>
      <c r="AW291">
        <v>0</v>
      </c>
      <c r="AX291">
        <v>0</v>
      </c>
      <c r="AY291">
        <v>0</v>
      </c>
      <c r="AZ291">
        <v>0</v>
      </c>
      <c r="BA291">
        <v>0</v>
      </c>
      <c r="BB291">
        <v>0</v>
      </c>
      <c r="BC291">
        <v>0</v>
      </c>
      <c r="BD291">
        <v>0</v>
      </c>
      <c r="BE291">
        <v>0</v>
      </c>
      <c r="BF291">
        <v>0</v>
      </c>
      <c r="BG291">
        <v>0</v>
      </c>
      <c r="BH291">
        <v>1</v>
      </c>
      <c r="BI291">
        <v>1</v>
      </c>
      <c r="BJ291">
        <v>0.2</v>
      </c>
      <c r="BK291">
        <v>1</v>
      </c>
      <c r="BL291" s="4">
        <v>39.42</v>
      </c>
      <c r="BM291" s="4">
        <v>5.91</v>
      </c>
      <c r="BN291" s="4">
        <v>45.33</v>
      </c>
      <c r="BO291" s="4">
        <v>45.33</v>
      </c>
      <c r="BQ291" t="s">
        <v>93</v>
      </c>
      <c r="BR291" t="s">
        <v>84</v>
      </c>
      <c r="BS291" s="3">
        <v>43802</v>
      </c>
      <c r="BT291" s="5">
        <v>0.38055555555555554</v>
      </c>
      <c r="BU291" t="s">
        <v>708</v>
      </c>
      <c r="BV291" t="s">
        <v>86</v>
      </c>
      <c r="BY291">
        <v>1200</v>
      </c>
      <c r="BZ291" t="s">
        <v>27</v>
      </c>
      <c r="CA291" t="s">
        <v>700</v>
      </c>
      <c r="CC291" t="s">
        <v>333</v>
      </c>
      <c r="CD291">
        <v>2094</v>
      </c>
      <c r="CE291" t="s">
        <v>88</v>
      </c>
      <c r="CF291" s="3">
        <v>43803</v>
      </c>
      <c r="CI291">
        <v>1</v>
      </c>
      <c r="CJ291">
        <v>1</v>
      </c>
      <c r="CK291">
        <v>22</v>
      </c>
      <c r="CL291" t="s">
        <v>89</v>
      </c>
    </row>
    <row r="292" spans="1:90">
      <c r="A292" t="s">
        <v>72</v>
      </c>
      <c r="B292" t="s">
        <v>73</v>
      </c>
      <c r="C292" t="s">
        <v>74</v>
      </c>
      <c r="E292" t="str">
        <f>"FES1162726315"</f>
        <v>FES1162726315</v>
      </c>
      <c r="F292" s="3">
        <v>43801</v>
      </c>
      <c r="G292">
        <v>202006</v>
      </c>
      <c r="H292" t="s">
        <v>75</v>
      </c>
      <c r="I292" t="s">
        <v>76</v>
      </c>
      <c r="J292" t="s">
        <v>77</v>
      </c>
      <c r="K292" t="s">
        <v>78</v>
      </c>
      <c r="L292" t="s">
        <v>332</v>
      </c>
      <c r="M292" t="s">
        <v>333</v>
      </c>
      <c r="N292" t="s">
        <v>701</v>
      </c>
      <c r="O292" t="s">
        <v>82</v>
      </c>
      <c r="P292" t="str">
        <f>"2170719516                    "</f>
        <v xml:space="preserve">2170719516                    </v>
      </c>
      <c r="Q292">
        <v>0</v>
      </c>
      <c r="R292">
        <v>0</v>
      </c>
      <c r="S292">
        <v>0</v>
      </c>
      <c r="T292">
        <v>0</v>
      </c>
      <c r="U292">
        <v>0</v>
      </c>
      <c r="V292">
        <v>0</v>
      </c>
      <c r="W292">
        <v>0</v>
      </c>
      <c r="X292">
        <v>0</v>
      </c>
      <c r="Y292">
        <v>0</v>
      </c>
      <c r="Z292">
        <v>0</v>
      </c>
      <c r="AA292">
        <v>0</v>
      </c>
      <c r="AB292">
        <v>0</v>
      </c>
      <c r="AC292">
        <v>0</v>
      </c>
      <c r="AD292">
        <v>0</v>
      </c>
      <c r="AE292">
        <v>0</v>
      </c>
      <c r="AF292">
        <v>0</v>
      </c>
      <c r="AG292">
        <v>0</v>
      </c>
      <c r="AH292">
        <v>0</v>
      </c>
      <c r="AI292">
        <v>0</v>
      </c>
      <c r="AJ292">
        <v>0</v>
      </c>
      <c r="AK292">
        <v>0</v>
      </c>
      <c r="AL292">
        <v>0</v>
      </c>
      <c r="AM292">
        <v>14.74</v>
      </c>
      <c r="AN292">
        <v>0</v>
      </c>
      <c r="AO292">
        <v>0</v>
      </c>
      <c r="AP292">
        <v>0</v>
      </c>
      <c r="AQ292">
        <v>0</v>
      </c>
      <c r="AR292">
        <v>0</v>
      </c>
      <c r="AS292">
        <v>0</v>
      </c>
      <c r="AT292">
        <v>0</v>
      </c>
      <c r="AU292">
        <v>0</v>
      </c>
      <c r="AV292">
        <v>0</v>
      </c>
      <c r="AW292">
        <v>0</v>
      </c>
      <c r="AX292">
        <v>0</v>
      </c>
      <c r="AY292">
        <v>0</v>
      </c>
      <c r="AZ292">
        <v>0</v>
      </c>
      <c r="BA292">
        <v>0</v>
      </c>
      <c r="BB292">
        <v>0</v>
      </c>
      <c r="BC292">
        <v>0</v>
      </c>
      <c r="BD292">
        <v>0</v>
      </c>
      <c r="BE292">
        <v>0</v>
      </c>
      <c r="BF292">
        <v>0</v>
      </c>
      <c r="BG292">
        <v>0</v>
      </c>
      <c r="BH292">
        <v>1</v>
      </c>
      <c r="BI292">
        <v>7</v>
      </c>
      <c r="BJ292">
        <v>2.8</v>
      </c>
      <c r="BK292">
        <v>7</v>
      </c>
      <c r="BL292" s="4">
        <v>86.65</v>
      </c>
      <c r="BM292" s="4">
        <v>13</v>
      </c>
      <c r="BN292" s="4">
        <v>99.65</v>
      </c>
      <c r="BO292" s="4">
        <v>99.65</v>
      </c>
      <c r="BQ292" t="s">
        <v>93</v>
      </c>
      <c r="BR292" t="s">
        <v>84</v>
      </c>
      <c r="BS292" s="3">
        <v>43802</v>
      </c>
      <c r="BT292" s="5">
        <v>0.38125000000000003</v>
      </c>
      <c r="BU292" t="s">
        <v>708</v>
      </c>
      <c r="BV292" t="s">
        <v>86</v>
      </c>
      <c r="BY292">
        <v>13888.32</v>
      </c>
      <c r="BZ292" t="s">
        <v>27</v>
      </c>
      <c r="CA292" t="s">
        <v>700</v>
      </c>
      <c r="CC292" t="s">
        <v>333</v>
      </c>
      <c r="CD292">
        <v>2094</v>
      </c>
      <c r="CE292" t="s">
        <v>116</v>
      </c>
      <c r="CF292" s="3">
        <v>43803</v>
      </c>
      <c r="CI292">
        <v>1</v>
      </c>
      <c r="CJ292">
        <v>1</v>
      </c>
      <c r="CK292">
        <v>22</v>
      </c>
      <c r="CL292" t="s">
        <v>89</v>
      </c>
    </row>
    <row r="293" spans="1:90">
      <c r="A293" t="s">
        <v>72</v>
      </c>
      <c r="B293" t="s">
        <v>73</v>
      </c>
      <c r="C293" t="s">
        <v>74</v>
      </c>
      <c r="E293" t="str">
        <f>"FES1162726301"</f>
        <v>FES1162726301</v>
      </c>
      <c r="F293" s="3">
        <v>43801</v>
      </c>
      <c r="G293">
        <v>202006</v>
      </c>
      <c r="H293" t="s">
        <v>75</v>
      </c>
      <c r="I293" t="s">
        <v>76</v>
      </c>
      <c r="J293" t="s">
        <v>77</v>
      </c>
      <c r="K293" t="s">
        <v>78</v>
      </c>
      <c r="L293" t="s">
        <v>79</v>
      </c>
      <c r="M293" t="s">
        <v>80</v>
      </c>
      <c r="N293" t="s">
        <v>300</v>
      </c>
      <c r="O293" t="s">
        <v>82</v>
      </c>
      <c r="P293" t="str">
        <f>"217071809                     "</f>
        <v xml:space="preserve">217071809                     </v>
      </c>
      <c r="Q293">
        <v>0</v>
      </c>
      <c r="R293">
        <v>0</v>
      </c>
      <c r="S293">
        <v>0</v>
      </c>
      <c r="T293">
        <v>0</v>
      </c>
      <c r="U293">
        <v>0</v>
      </c>
      <c r="V293">
        <v>0</v>
      </c>
      <c r="W293">
        <v>0</v>
      </c>
      <c r="X293">
        <v>0</v>
      </c>
      <c r="Y293">
        <v>0</v>
      </c>
      <c r="Z293">
        <v>0</v>
      </c>
      <c r="AA293">
        <v>0</v>
      </c>
      <c r="AB293">
        <v>0</v>
      </c>
      <c r="AC293">
        <v>0</v>
      </c>
      <c r="AD293">
        <v>0</v>
      </c>
      <c r="AE293">
        <v>0</v>
      </c>
      <c r="AF293">
        <v>0</v>
      </c>
      <c r="AG293">
        <v>0</v>
      </c>
      <c r="AH293">
        <v>0</v>
      </c>
      <c r="AI293">
        <v>0</v>
      </c>
      <c r="AJ293">
        <v>0</v>
      </c>
      <c r="AK293">
        <v>0</v>
      </c>
      <c r="AL293">
        <v>0</v>
      </c>
      <c r="AM293">
        <v>15.02</v>
      </c>
      <c r="AN293">
        <v>0</v>
      </c>
      <c r="AO293">
        <v>0</v>
      </c>
      <c r="AP293">
        <v>0</v>
      </c>
      <c r="AQ293">
        <v>0</v>
      </c>
      <c r="AR293">
        <v>0</v>
      </c>
      <c r="AS293">
        <v>0</v>
      </c>
      <c r="AT293">
        <v>0</v>
      </c>
      <c r="AU293">
        <v>0</v>
      </c>
      <c r="AV293">
        <v>0</v>
      </c>
      <c r="AW293">
        <v>0</v>
      </c>
      <c r="AX293">
        <v>0</v>
      </c>
      <c r="AY293">
        <v>0</v>
      </c>
      <c r="AZ293">
        <v>0</v>
      </c>
      <c r="BA293">
        <v>0</v>
      </c>
      <c r="BB293">
        <v>0</v>
      </c>
      <c r="BC293">
        <v>0</v>
      </c>
      <c r="BD293">
        <v>0</v>
      </c>
      <c r="BE293">
        <v>0</v>
      </c>
      <c r="BF293">
        <v>0</v>
      </c>
      <c r="BG293">
        <v>0</v>
      </c>
      <c r="BH293">
        <v>1</v>
      </c>
      <c r="BI293">
        <v>3.1</v>
      </c>
      <c r="BJ293">
        <v>1.6</v>
      </c>
      <c r="BK293">
        <v>3.5</v>
      </c>
      <c r="BL293" s="4">
        <v>88.27</v>
      </c>
      <c r="BM293" s="4">
        <v>13.24</v>
      </c>
      <c r="BN293" s="4">
        <v>101.51</v>
      </c>
      <c r="BO293" s="4">
        <v>101.51</v>
      </c>
      <c r="BQ293" t="s">
        <v>147</v>
      </c>
      <c r="BR293" t="s">
        <v>84</v>
      </c>
      <c r="BS293" s="3">
        <v>43802</v>
      </c>
      <c r="BT293" s="5">
        <v>0.375</v>
      </c>
      <c r="BU293" t="s">
        <v>301</v>
      </c>
      <c r="BV293" t="s">
        <v>86</v>
      </c>
      <c r="BY293">
        <v>7892.08</v>
      </c>
      <c r="CA293" t="s">
        <v>302</v>
      </c>
      <c r="CC293" t="s">
        <v>80</v>
      </c>
      <c r="CD293">
        <v>6001</v>
      </c>
      <c r="CE293" t="s">
        <v>96</v>
      </c>
      <c r="CF293" s="3">
        <v>43804</v>
      </c>
      <c r="CI293">
        <v>1</v>
      </c>
      <c r="CJ293">
        <v>1</v>
      </c>
      <c r="CK293">
        <v>21</v>
      </c>
      <c r="CL293" t="s">
        <v>89</v>
      </c>
    </row>
    <row r="294" spans="1:90">
      <c r="A294" t="s">
        <v>72</v>
      </c>
      <c r="B294" t="s">
        <v>73</v>
      </c>
      <c r="C294" t="s">
        <v>74</v>
      </c>
      <c r="E294" t="str">
        <f>"FES1162726290"</f>
        <v>FES1162726290</v>
      </c>
      <c r="F294" s="3">
        <v>43801</v>
      </c>
      <c r="G294">
        <v>202006</v>
      </c>
      <c r="H294" t="s">
        <v>75</v>
      </c>
      <c r="I294" t="s">
        <v>76</v>
      </c>
      <c r="J294" t="s">
        <v>77</v>
      </c>
      <c r="K294" t="s">
        <v>78</v>
      </c>
      <c r="L294" t="s">
        <v>332</v>
      </c>
      <c r="M294" t="s">
        <v>333</v>
      </c>
      <c r="N294" t="s">
        <v>701</v>
      </c>
      <c r="O294" t="s">
        <v>82</v>
      </c>
      <c r="P294" t="str">
        <f>"2170719797                    "</f>
        <v xml:space="preserve">2170719797                    </v>
      </c>
      <c r="Q294">
        <v>0</v>
      </c>
      <c r="R294">
        <v>0</v>
      </c>
      <c r="S294">
        <v>0</v>
      </c>
      <c r="T294">
        <v>0</v>
      </c>
      <c r="U294">
        <v>0</v>
      </c>
      <c r="V294">
        <v>0</v>
      </c>
      <c r="W294">
        <v>0</v>
      </c>
      <c r="X294">
        <v>0</v>
      </c>
      <c r="Y294">
        <v>0</v>
      </c>
      <c r="Z294">
        <v>0</v>
      </c>
      <c r="AA294">
        <v>0</v>
      </c>
      <c r="AB294">
        <v>0</v>
      </c>
      <c r="AC294">
        <v>0</v>
      </c>
      <c r="AD294">
        <v>0</v>
      </c>
      <c r="AE294">
        <v>0</v>
      </c>
      <c r="AF294">
        <v>0</v>
      </c>
      <c r="AG294">
        <v>0</v>
      </c>
      <c r="AH294">
        <v>0</v>
      </c>
      <c r="AI294">
        <v>0</v>
      </c>
      <c r="AJ294">
        <v>0</v>
      </c>
      <c r="AK294">
        <v>0</v>
      </c>
      <c r="AL294">
        <v>0</v>
      </c>
      <c r="AM294">
        <v>6.71</v>
      </c>
      <c r="AN294">
        <v>0</v>
      </c>
      <c r="AO294">
        <v>0</v>
      </c>
      <c r="AP294">
        <v>0</v>
      </c>
      <c r="AQ294">
        <v>0</v>
      </c>
      <c r="AR294">
        <v>0</v>
      </c>
      <c r="AS294">
        <v>0</v>
      </c>
      <c r="AT294">
        <v>0</v>
      </c>
      <c r="AU294">
        <v>0</v>
      </c>
      <c r="AV294">
        <v>0</v>
      </c>
      <c r="AW294">
        <v>0</v>
      </c>
      <c r="AX294">
        <v>0</v>
      </c>
      <c r="AY294">
        <v>0</v>
      </c>
      <c r="AZ294">
        <v>0</v>
      </c>
      <c r="BA294">
        <v>0</v>
      </c>
      <c r="BB294">
        <v>0</v>
      </c>
      <c r="BC294">
        <v>0</v>
      </c>
      <c r="BD294">
        <v>0</v>
      </c>
      <c r="BE294">
        <v>0</v>
      </c>
      <c r="BF294">
        <v>0</v>
      </c>
      <c r="BG294">
        <v>0</v>
      </c>
      <c r="BH294">
        <v>1</v>
      </c>
      <c r="BI294">
        <v>1</v>
      </c>
      <c r="BJ294">
        <v>0.2</v>
      </c>
      <c r="BK294">
        <v>1</v>
      </c>
      <c r="BL294" s="4">
        <v>39.42</v>
      </c>
      <c r="BM294" s="4">
        <v>5.91</v>
      </c>
      <c r="BN294" s="4">
        <v>45.33</v>
      </c>
      <c r="BO294" s="4">
        <v>45.33</v>
      </c>
      <c r="BQ294" t="s">
        <v>93</v>
      </c>
      <c r="BR294" t="s">
        <v>84</v>
      </c>
      <c r="BS294" s="3">
        <v>43802</v>
      </c>
      <c r="BT294" s="5">
        <v>0.38125000000000003</v>
      </c>
      <c r="BU294" t="s">
        <v>702</v>
      </c>
      <c r="BV294" t="s">
        <v>86</v>
      </c>
      <c r="BY294">
        <v>1200</v>
      </c>
      <c r="BZ294" t="s">
        <v>27</v>
      </c>
      <c r="CA294" t="s">
        <v>700</v>
      </c>
      <c r="CC294" t="s">
        <v>333</v>
      </c>
      <c r="CD294">
        <v>2094</v>
      </c>
      <c r="CE294" t="s">
        <v>88</v>
      </c>
      <c r="CI294">
        <v>1</v>
      </c>
      <c r="CJ294">
        <v>1</v>
      </c>
      <c r="CK294">
        <v>22</v>
      </c>
      <c r="CL294" t="s">
        <v>89</v>
      </c>
    </row>
    <row r="295" spans="1:90">
      <c r="A295" t="s">
        <v>72</v>
      </c>
      <c r="B295" t="s">
        <v>73</v>
      </c>
      <c r="C295" t="s">
        <v>74</v>
      </c>
      <c r="E295" t="str">
        <f>"FES1162726311"</f>
        <v>FES1162726311</v>
      </c>
      <c r="F295" s="3">
        <v>43801</v>
      </c>
      <c r="G295">
        <v>202006</v>
      </c>
      <c r="H295" t="s">
        <v>75</v>
      </c>
      <c r="I295" t="s">
        <v>76</v>
      </c>
      <c r="J295" t="s">
        <v>77</v>
      </c>
      <c r="K295" t="s">
        <v>78</v>
      </c>
      <c r="L295" t="s">
        <v>709</v>
      </c>
      <c r="M295" t="s">
        <v>710</v>
      </c>
      <c r="N295" t="s">
        <v>711</v>
      </c>
      <c r="O295" t="s">
        <v>82</v>
      </c>
      <c r="P295" t="str">
        <f>"2170718846                    "</f>
        <v xml:space="preserve">2170718846                    </v>
      </c>
      <c r="Q295">
        <v>0</v>
      </c>
      <c r="R295">
        <v>0</v>
      </c>
      <c r="S295">
        <v>0</v>
      </c>
      <c r="T295">
        <v>0</v>
      </c>
      <c r="U295">
        <v>0</v>
      </c>
      <c r="V295">
        <v>0</v>
      </c>
      <c r="W295">
        <v>0</v>
      </c>
      <c r="X295">
        <v>0</v>
      </c>
      <c r="Y295">
        <v>0</v>
      </c>
      <c r="Z295">
        <v>0</v>
      </c>
      <c r="AA295">
        <v>0</v>
      </c>
      <c r="AB295">
        <v>0</v>
      </c>
      <c r="AC295">
        <v>0</v>
      </c>
      <c r="AD295">
        <v>0</v>
      </c>
      <c r="AE295">
        <v>0</v>
      </c>
      <c r="AF295">
        <v>0</v>
      </c>
      <c r="AG295">
        <v>0</v>
      </c>
      <c r="AH295">
        <v>0</v>
      </c>
      <c r="AI295">
        <v>0</v>
      </c>
      <c r="AJ295">
        <v>0</v>
      </c>
      <c r="AK295">
        <v>0</v>
      </c>
      <c r="AL295">
        <v>0</v>
      </c>
      <c r="AM295">
        <v>12.07</v>
      </c>
      <c r="AN295">
        <v>0</v>
      </c>
      <c r="AO295">
        <v>0</v>
      </c>
      <c r="AP295">
        <v>0</v>
      </c>
      <c r="AQ295">
        <v>0</v>
      </c>
      <c r="AR295">
        <v>0</v>
      </c>
      <c r="AS295">
        <v>0</v>
      </c>
      <c r="AT295">
        <v>0</v>
      </c>
      <c r="AU295">
        <v>0</v>
      </c>
      <c r="AV295">
        <v>0</v>
      </c>
      <c r="AW295">
        <v>0</v>
      </c>
      <c r="AX295">
        <v>0</v>
      </c>
      <c r="AY295">
        <v>0</v>
      </c>
      <c r="AZ295">
        <v>0</v>
      </c>
      <c r="BA295">
        <v>0</v>
      </c>
      <c r="BB295">
        <v>0</v>
      </c>
      <c r="BC295">
        <v>0</v>
      </c>
      <c r="BD295">
        <v>0</v>
      </c>
      <c r="BE295">
        <v>0</v>
      </c>
      <c r="BF295">
        <v>0</v>
      </c>
      <c r="BG295">
        <v>0</v>
      </c>
      <c r="BH295">
        <v>1</v>
      </c>
      <c r="BI295">
        <v>1</v>
      </c>
      <c r="BJ295">
        <v>0.2</v>
      </c>
      <c r="BK295">
        <v>1</v>
      </c>
      <c r="BL295" s="4">
        <v>70.95</v>
      </c>
      <c r="BM295" s="4">
        <v>10.64</v>
      </c>
      <c r="BN295" s="4">
        <v>81.59</v>
      </c>
      <c r="BO295" s="4">
        <v>81.59</v>
      </c>
      <c r="BQ295" t="s">
        <v>93</v>
      </c>
      <c r="BR295" t="s">
        <v>84</v>
      </c>
      <c r="BS295" s="3">
        <v>43802</v>
      </c>
      <c r="BT295" s="5">
        <v>0.41666666666666669</v>
      </c>
      <c r="BU295" t="s">
        <v>712</v>
      </c>
      <c r="BV295" t="s">
        <v>86</v>
      </c>
      <c r="BY295">
        <v>1200</v>
      </c>
      <c r="BZ295" t="s">
        <v>27</v>
      </c>
      <c r="CA295" t="s">
        <v>713</v>
      </c>
      <c r="CC295" t="s">
        <v>710</v>
      </c>
      <c r="CD295">
        <v>1873</v>
      </c>
      <c r="CE295" t="s">
        <v>88</v>
      </c>
      <c r="CF295" s="3">
        <v>43803</v>
      </c>
      <c r="CI295">
        <v>1</v>
      </c>
      <c r="CJ295">
        <v>1</v>
      </c>
      <c r="CK295">
        <v>24</v>
      </c>
      <c r="CL295" t="s">
        <v>89</v>
      </c>
    </row>
    <row r="296" spans="1:90">
      <c r="A296" t="s">
        <v>72</v>
      </c>
      <c r="B296" t="s">
        <v>73</v>
      </c>
      <c r="C296" t="s">
        <v>74</v>
      </c>
      <c r="E296" t="str">
        <f>"RFES116272716325"</f>
        <v>RFES116272716325</v>
      </c>
      <c r="F296" s="3">
        <v>43801</v>
      </c>
      <c r="G296">
        <v>202006</v>
      </c>
      <c r="H296" t="s">
        <v>714</v>
      </c>
      <c r="I296" t="s">
        <v>715</v>
      </c>
      <c r="J296" t="s">
        <v>716</v>
      </c>
      <c r="K296" t="s">
        <v>78</v>
      </c>
      <c r="L296" t="s">
        <v>75</v>
      </c>
      <c r="M296" t="s">
        <v>76</v>
      </c>
      <c r="N296" t="s">
        <v>77</v>
      </c>
      <c r="O296" t="s">
        <v>82</v>
      </c>
      <c r="P296" t="str">
        <f>"2170716325                    "</f>
        <v xml:space="preserve">2170716325                    </v>
      </c>
      <c r="Q296">
        <v>0</v>
      </c>
      <c r="R296">
        <v>0</v>
      </c>
      <c r="S296">
        <v>0</v>
      </c>
      <c r="T296">
        <v>0</v>
      </c>
      <c r="U296">
        <v>0</v>
      </c>
      <c r="V296">
        <v>0</v>
      </c>
      <c r="W296">
        <v>0</v>
      </c>
      <c r="X296">
        <v>0</v>
      </c>
      <c r="Y296">
        <v>0</v>
      </c>
      <c r="Z296">
        <v>0</v>
      </c>
      <c r="AA296">
        <v>0</v>
      </c>
      <c r="AB296">
        <v>0</v>
      </c>
      <c r="AC296">
        <v>0</v>
      </c>
      <c r="AD296">
        <v>0</v>
      </c>
      <c r="AE296">
        <v>0</v>
      </c>
      <c r="AF296">
        <v>0</v>
      </c>
      <c r="AG296">
        <v>0</v>
      </c>
      <c r="AH296">
        <v>0</v>
      </c>
      <c r="AI296">
        <v>0</v>
      </c>
      <c r="AJ296">
        <v>0</v>
      </c>
      <c r="AK296">
        <v>0</v>
      </c>
      <c r="AL296">
        <v>0</v>
      </c>
      <c r="AM296">
        <v>13.13</v>
      </c>
      <c r="AN296">
        <v>0</v>
      </c>
      <c r="AO296">
        <v>0</v>
      </c>
      <c r="AP296">
        <v>0</v>
      </c>
      <c r="AQ296">
        <v>0</v>
      </c>
      <c r="AR296">
        <v>0</v>
      </c>
      <c r="AS296">
        <v>0</v>
      </c>
      <c r="AT296">
        <v>0</v>
      </c>
      <c r="AU296">
        <v>0</v>
      </c>
      <c r="AV296">
        <v>0</v>
      </c>
      <c r="AW296">
        <v>0</v>
      </c>
      <c r="AX296">
        <v>0</v>
      </c>
      <c r="AY296">
        <v>0</v>
      </c>
      <c r="AZ296">
        <v>0</v>
      </c>
      <c r="BA296">
        <v>0</v>
      </c>
      <c r="BB296">
        <v>0</v>
      </c>
      <c r="BC296">
        <v>0</v>
      </c>
      <c r="BD296">
        <v>0</v>
      </c>
      <c r="BE296">
        <v>0</v>
      </c>
      <c r="BF296">
        <v>0</v>
      </c>
      <c r="BG296">
        <v>0</v>
      </c>
      <c r="BH296">
        <v>1</v>
      </c>
      <c r="BI296">
        <v>6</v>
      </c>
      <c r="BJ296">
        <v>1.1000000000000001</v>
      </c>
      <c r="BK296">
        <v>6</v>
      </c>
      <c r="BL296" s="4">
        <v>77.2</v>
      </c>
      <c r="BM296" s="4">
        <v>11.58</v>
      </c>
      <c r="BN296" s="4">
        <v>88.78</v>
      </c>
      <c r="BO296" s="4">
        <v>88.78</v>
      </c>
      <c r="BQ296" t="s">
        <v>84</v>
      </c>
      <c r="BR296" t="s">
        <v>135</v>
      </c>
      <c r="BS296" t="s">
        <v>717</v>
      </c>
      <c r="BY296">
        <v>5625</v>
      </c>
      <c r="CC296" t="s">
        <v>76</v>
      </c>
      <c r="CD296">
        <v>1601</v>
      </c>
      <c r="CE296" t="s">
        <v>96</v>
      </c>
      <c r="CI296">
        <v>1</v>
      </c>
      <c r="CJ296" t="s">
        <v>717</v>
      </c>
      <c r="CK296">
        <v>22</v>
      </c>
      <c r="CL296" t="s">
        <v>89</v>
      </c>
    </row>
    <row r="297" spans="1:90">
      <c r="A297" t="s">
        <v>72</v>
      </c>
      <c r="B297" t="s">
        <v>73</v>
      </c>
      <c r="C297" t="s">
        <v>74</v>
      </c>
      <c r="E297" t="str">
        <f>"019911311446"</f>
        <v>019911311446</v>
      </c>
      <c r="F297" s="3">
        <v>43804</v>
      </c>
      <c r="G297">
        <v>202006</v>
      </c>
      <c r="H297" t="s">
        <v>90</v>
      </c>
      <c r="I297" t="s">
        <v>91</v>
      </c>
      <c r="J297" t="s">
        <v>100</v>
      </c>
      <c r="K297" t="s">
        <v>78</v>
      </c>
      <c r="L297" t="s">
        <v>75</v>
      </c>
      <c r="M297" t="s">
        <v>76</v>
      </c>
      <c r="N297" t="s">
        <v>125</v>
      </c>
      <c r="O297" t="s">
        <v>104</v>
      </c>
      <c r="P297" t="str">
        <f>"1703                          "</f>
        <v xml:space="preserve">1703                          </v>
      </c>
      <c r="Q297">
        <v>0</v>
      </c>
      <c r="R297">
        <v>0</v>
      </c>
      <c r="S297">
        <v>0</v>
      </c>
      <c r="T297">
        <v>0</v>
      </c>
      <c r="U297">
        <v>0</v>
      </c>
      <c r="V297">
        <v>0</v>
      </c>
      <c r="W297">
        <v>0</v>
      </c>
      <c r="X297">
        <v>0</v>
      </c>
      <c r="Y297">
        <v>0</v>
      </c>
      <c r="Z297">
        <v>0</v>
      </c>
      <c r="AA297">
        <v>0</v>
      </c>
      <c r="AB297">
        <v>0</v>
      </c>
      <c r="AC297">
        <v>0</v>
      </c>
      <c r="AD297">
        <v>0</v>
      </c>
      <c r="AE297">
        <v>0</v>
      </c>
      <c r="AF297">
        <v>0</v>
      </c>
      <c r="AG297">
        <v>0</v>
      </c>
      <c r="AH297">
        <v>0</v>
      </c>
      <c r="AI297">
        <v>0</v>
      </c>
      <c r="AJ297">
        <v>0</v>
      </c>
      <c r="AK297">
        <v>0</v>
      </c>
      <c r="AL297">
        <v>0</v>
      </c>
      <c r="AM297">
        <v>17.57</v>
      </c>
      <c r="AN297">
        <v>0</v>
      </c>
      <c r="AO297">
        <v>0</v>
      </c>
      <c r="AP297">
        <v>0</v>
      </c>
      <c r="AQ297">
        <v>0</v>
      </c>
      <c r="AR297">
        <v>0</v>
      </c>
      <c r="AS297">
        <v>0</v>
      </c>
      <c r="AT297">
        <v>0</v>
      </c>
      <c r="AU297">
        <v>0</v>
      </c>
      <c r="AV297">
        <v>0</v>
      </c>
      <c r="AW297">
        <v>0</v>
      </c>
      <c r="AX297">
        <v>0</v>
      </c>
      <c r="AY297">
        <v>0</v>
      </c>
      <c r="AZ297">
        <v>0</v>
      </c>
      <c r="BA297">
        <v>0</v>
      </c>
      <c r="BB297">
        <v>0</v>
      </c>
      <c r="BC297">
        <v>0</v>
      </c>
      <c r="BD297">
        <v>0</v>
      </c>
      <c r="BE297">
        <v>0</v>
      </c>
      <c r="BF297">
        <v>0</v>
      </c>
      <c r="BG297">
        <v>0</v>
      </c>
      <c r="BH297">
        <v>1</v>
      </c>
      <c r="BI297">
        <v>9.6</v>
      </c>
      <c r="BJ297">
        <v>7.6</v>
      </c>
      <c r="BK297">
        <v>10</v>
      </c>
      <c r="BL297" s="4">
        <v>108.28</v>
      </c>
      <c r="BM297" s="4">
        <v>16.239999999999998</v>
      </c>
      <c r="BN297" s="4">
        <v>124.52</v>
      </c>
      <c r="BO297" s="4">
        <v>124.52</v>
      </c>
      <c r="BP297" t="s">
        <v>718</v>
      </c>
      <c r="BQ297" t="s">
        <v>126</v>
      </c>
      <c r="BR297" t="s">
        <v>127</v>
      </c>
      <c r="BS297" s="3">
        <v>43808</v>
      </c>
      <c r="BT297" s="5">
        <v>0.37152777777777773</v>
      </c>
      <c r="BU297" t="s">
        <v>154</v>
      </c>
      <c r="BV297" t="s">
        <v>86</v>
      </c>
      <c r="BY297">
        <v>38102.400000000001</v>
      </c>
      <c r="CA297" t="s">
        <v>155</v>
      </c>
      <c r="CC297" t="s">
        <v>76</v>
      </c>
      <c r="CD297">
        <v>1600</v>
      </c>
      <c r="CE297" t="s">
        <v>116</v>
      </c>
      <c r="CF297" s="3">
        <v>43809</v>
      </c>
      <c r="CI297">
        <v>2</v>
      </c>
      <c r="CJ297">
        <v>2</v>
      </c>
      <c r="CK297" t="s">
        <v>113</v>
      </c>
      <c r="CL297" t="s">
        <v>89</v>
      </c>
    </row>
    <row r="298" spans="1:90">
      <c r="A298" t="s">
        <v>72</v>
      </c>
      <c r="B298" t="s">
        <v>73</v>
      </c>
      <c r="C298" t="s">
        <v>74</v>
      </c>
      <c r="E298" t="str">
        <f>"019911311457"</f>
        <v>019911311457</v>
      </c>
      <c r="F298" s="3">
        <v>43804</v>
      </c>
      <c r="G298">
        <v>202006</v>
      </c>
      <c r="H298" t="s">
        <v>90</v>
      </c>
      <c r="I298" t="s">
        <v>91</v>
      </c>
      <c r="J298" t="s">
        <v>100</v>
      </c>
      <c r="K298" t="s">
        <v>78</v>
      </c>
      <c r="L298" t="s">
        <v>75</v>
      </c>
      <c r="M298" t="s">
        <v>76</v>
      </c>
      <c r="N298" t="s">
        <v>125</v>
      </c>
      <c r="O298" t="s">
        <v>104</v>
      </c>
      <c r="P298" t="str">
        <f>"1703                          "</f>
        <v xml:space="preserve">1703                          </v>
      </c>
      <c r="Q298">
        <v>0</v>
      </c>
      <c r="R298">
        <v>0</v>
      </c>
      <c r="S298">
        <v>0</v>
      </c>
      <c r="T298">
        <v>0</v>
      </c>
      <c r="U298">
        <v>0</v>
      </c>
      <c r="V298">
        <v>0</v>
      </c>
      <c r="W298">
        <v>0</v>
      </c>
      <c r="X298">
        <v>0</v>
      </c>
      <c r="Y298">
        <v>0</v>
      </c>
      <c r="Z298">
        <v>0</v>
      </c>
      <c r="AA298">
        <v>0</v>
      </c>
      <c r="AB298">
        <v>0</v>
      </c>
      <c r="AC298">
        <v>0</v>
      </c>
      <c r="AD298">
        <v>0</v>
      </c>
      <c r="AE298">
        <v>0</v>
      </c>
      <c r="AF298">
        <v>0</v>
      </c>
      <c r="AG298">
        <v>0</v>
      </c>
      <c r="AH298">
        <v>0</v>
      </c>
      <c r="AI298">
        <v>0</v>
      </c>
      <c r="AJ298">
        <v>0</v>
      </c>
      <c r="AK298">
        <v>0</v>
      </c>
      <c r="AL298">
        <v>0</v>
      </c>
      <c r="AM298">
        <v>17.57</v>
      </c>
      <c r="AN298">
        <v>0</v>
      </c>
      <c r="AO298">
        <v>0</v>
      </c>
      <c r="AP298">
        <v>0</v>
      </c>
      <c r="AQ298">
        <v>0</v>
      </c>
      <c r="AR298">
        <v>0</v>
      </c>
      <c r="AS298">
        <v>0</v>
      </c>
      <c r="AT298">
        <v>0</v>
      </c>
      <c r="AU298">
        <v>0</v>
      </c>
      <c r="AV298">
        <v>0</v>
      </c>
      <c r="AW298">
        <v>0</v>
      </c>
      <c r="AX298">
        <v>0</v>
      </c>
      <c r="AY298">
        <v>0</v>
      </c>
      <c r="AZ298">
        <v>0</v>
      </c>
      <c r="BA298">
        <v>0</v>
      </c>
      <c r="BB298">
        <v>0</v>
      </c>
      <c r="BC298">
        <v>0</v>
      </c>
      <c r="BD298">
        <v>0</v>
      </c>
      <c r="BE298">
        <v>0</v>
      </c>
      <c r="BF298">
        <v>0</v>
      </c>
      <c r="BG298">
        <v>0</v>
      </c>
      <c r="BH298">
        <v>1</v>
      </c>
      <c r="BI298">
        <v>7</v>
      </c>
      <c r="BJ298">
        <v>4.5999999999999996</v>
      </c>
      <c r="BK298">
        <v>7</v>
      </c>
      <c r="BL298" s="4">
        <v>108.28</v>
      </c>
      <c r="BM298" s="4">
        <v>16.239999999999998</v>
      </c>
      <c r="BN298" s="4">
        <v>124.52</v>
      </c>
      <c r="BO298" s="4">
        <v>124.52</v>
      </c>
      <c r="BQ298" t="s">
        <v>126</v>
      </c>
      <c r="BR298" t="s">
        <v>127</v>
      </c>
      <c r="BS298" s="3">
        <v>43808</v>
      </c>
      <c r="BT298" s="5">
        <v>0.37152777777777773</v>
      </c>
      <c r="BU298" t="s">
        <v>154</v>
      </c>
      <c r="BV298" t="s">
        <v>86</v>
      </c>
      <c r="BY298">
        <v>23142</v>
      </c>
      <c r="CA298" t="s">
        <v>155</v>
      </c>
      <c r="CC298" t="s">
        <v>76</v>
      </c>
      <c r="CD298">
        <v>1600</v>
      </c>
      <c r="CE298" t="s">
        <v>116</v>
      </c>
      <c r="CF298" s="3">
        <v>43809</v>
      </c>
      <c r="CI298">
        <v>2</v>
      </c>
      <c r="CJ298">
        <v>2</v>
      </c>
      <c r="CK298" t="s">
        <v>113</v>
      </c>
      <c r="CL298" t="s">
        <v>89</v>
      </c>
    </row>
    <row r="299" spans="1:90">
      <c r="A299" t="s">
        <v>72</v>
      </c>
      <c r="B299" t="s">
        <v>73</v>
      </c>
      <c r="C299" t="s">
        <v>74</v>
      </c>
      <c r="E299" t="str">
        <f>"019911311458"</f>
        <v>019911311458</v>
      </c>
      <c r="F299" s="3">
        <v>43804</v>
      </c>
      <c r="G299">
        <v>202006</v>
      </c>
      <c r="H299" t="s">
        <v>90</v>
      </c>
      <c r="I299" t="s">
        <v>91</v>
      </c>
      <c r="J299" t="s">
        <v>100</v>
      </c>
      <c r="K299" t="s">
        <v>78</v>
      </c>
      <c r="L299" t="s">
        <v>75</v>
      </c>
      <c r="M299" t="s">
        <v>76</v>
      </c>
      <c r="N299" t="s">
        <v>125</v>
      </c>
      <c r="O299" t="s">
        <v>104</v>
      </c>
      <c r="P299" t="str">
        <f>"1703                          "</f>
        <v xml:space="preserve">1703                          </v>
      </c>
      <c r="Q299">
        <v>0</v>
      </c>
      <c r="R299">
        <v>0</v>
      </c>
      <c r="S299">
        <v>0</v>
      </c>
      <c r="T299">
        <v>0</v>
      </c>
      <c r="U299">
        <v>0</v>
      </c>
      <c r="V299">
        <v>0</v>
      </c>
      <c r="W299">
        <v>0</v>
      </c>
      <c r="X299">
        <v>0</v>
      </c>
      <c r="Y299">
        <v>0</v>
      </c>
      <c r="Z299">
        <v>0</v>
      </c>
      <c r="AA299">
        <v>0</v>
      </c>
      <c r="AB299">
        <v>0</v>
      </c>
      <c r="AC299">
        <v>0</v>
      </c>
      <c r="AD299">
        <v>0</v>
      </c>
      <c r="AE299">
        <v>0</v>
      </c>
      <c r="AF299">
        <v>0</v>
      </c>
      <c r="AG299">
        <v>0</v>
      </c>
      <c r="AH299">
        <v>0</v>
      </c>
      <c r="AI299">
        <v>0</v>
      </c>
      <c r="AJ299">
        <v>0</v>
      </c>
      <c r="AK299">
        <v>0</v>
      </c>
      <c r="AL299">
        <v>0</v>
      </c>
      <c r="AM299">
        <v>17.57</v>
      </c>
      <c r="AN299">
        <v>0</v>
      </c>
      <c r="AO299">
        <v>0</v>
      </c>
      <c r="AP299">
        <v>0</v>
      </c>
      <c r="AQ299">
        <v>0</v>
      </c>
      <c r="AR299">
        <v>0</v>
      </c>
      <c r="AS299">
        <v>0</v>
      </c>
      <c r="AT299">
        <v>0</v>
      </c>
      <c r="AU299">
        <v>0</v>
      </c>
      <c r="AV299">
        <v>0</v>
      </c>
      <c r="AW299">
        <v>0</v>
      </c>
      <c r="AX299">
        <v>0</v>
      </c>
      <c r="AY299">
        <v>0</v>
      </c>
      <c r="AZ299">
        <v>0</v>
      </c>
      <c r="BA299">
        <v>0</v>
      </c>
      <c r="BB299">
        <v>0</v>
      </c>
      <c r="BC299">
        <v>0</v>
      </c>
      <c r="BD299">
        <v>0</v>
      </c>
      <c r="BE299">
        <v>0</v>
      </c>
      <c r="BF299">
        <v>0</v>
      </c>
      <c r="BG299">
        <v>0</v>
      </c>
      <c r="BH299">
        <v>1</v>
      </c>
      <c r="BI299">
        <v>4.5999999999999996</v>
      </c>
      <c r="BJ299">
        <v>8</v>
      </c>
      <c r="BK299">
        <v>8</v>
      </c>
      <c r="BL299" s="4">
        <v>108.28</v>
      </c>
      <c r="BM299" s="4">
        <v>16.239999999999998</v>
      </c>
      <c r="BN299" s="4">
        <v>124.52</v>
      </c>
      <c r="BO299" s="4">
        <v>124.52</v>
      </c>
      <c r="BQ299" t="s">
        <v>126</v>
      </c>
      <c r="BR299" t="s">
        <v>127</v>
      </c>
      <c r="BS299" s="3">
        <v>43808</v>
      </c>
      <c r="BT299" s="5">
        <v>0.37152777777777773</v>
      </c>
      <c r="BU299" t="s">
        <v>154</v>
      </c>
      <c r="BV299" t="s">
        <v>86</v>
      </c>
      <c r="BY299">
        <v>39803.599999999999</v>
      </c>
      <c r="CA299" t="s">
        <v>155</v>
      </c>
      <c r="CC299" t="s">
        <v>76</v>
      </c>
      <c r="CD299">
        <v>1600</v>
      </c>
      <c r="CE299" t="s">
        <v>116</v>
      </c>
      <c r="CF299" s="3">
        <v>43809</v>
      </c>
      <c r="CI299">
        <v>2</v>
      </c>
      <c r="CJ299">
        <v>2</v>
      </c>
      <c r="CK299" t="s">
        <v>113</v>
      </c>
      <c r="CL299" t="s">
        <v>89</v>
      </c>
    </row>
    <row r="300" spans="1:90">
      <c r="A300" t="s">
        <v>72</v>
      </c>
      <c r="B300" t="s">
        <v>73</v>
      </c>
      <c r="C300" t="s">
        <v>74</v>
      </c>
      <c r="E300" t="str">
        <f>"019911311456"</f>
        <v>019911311456</v>
      </c>
      <c r="F300" s="3">
        <v>43804</v>
      </c>
      <c r="G300">
        <v>202006</v>
      </c>
      <c r="H300" t="s">
        <v>90</v>
      </c>
      <c r="I300" t="s">
        <v>91</v>
      </c>
      <c r="J300" t="s">
        <v>100</v>
      </c>
      <c r="K300" t="s">
        <v>78</v>
      </c>
      <c r="L300" t="s">
        <v>75</v>
      </c>
      <c r="M300" t="s">
        <v>76</v>
      </c>
      <c r="N300" t="s">
        <v>125</v>
      </c>
      <c r="O300" t="s">
        <v>104</v>
      </c>
      <c r="P300" t="str">
        <f>"1703                          "</f>
        <v xml:space="preserve">1703                          </v>
      </c>
      <c r="Q300">
        <v>0</v>
      </c>
      <c r="R300">
        <v>0</v>
      </c>
      <c r="S300">
        <v>0</v>
      </c>
      <c r="T300">
        <v>0</v>
      </c>
      <c r="U300">
        <v>0</v>
      </c>
      <c r="V300">
        <v>0</v>
      </c>
      <c r="W300">
        <v>0</v>
      </c>
      <c r="X300">
        <v>0</v>
      </c>
      <c r="Y300">
        <v>0</v>
      </c>
      <c r="Z300">
        <v>0</v>
      </c>
      <c r="AA300">
        <v>0</v>
      </c>
      <c r="AB300">
        <v>0</v>
      </c>
      <c r="AC300">
        <v>0</v>
      </c>
      <c r="AD300">
        <v>0</v>
      </c>
      <c r="AE300">
        <v>0</v>
      </c>
      <c r="AF300">
        <v>0</v>
      </c>
      <c r="AG300">
        <v>0</v>
      </c>
      <c r="AH300">
        <v>0</v>
      </c>
      <c r="AI300">
        <v>0</v>
      </c>
      <c r="AJ300">
        <v>0</v>
      </c>
      <c r="AK300">
        <v>0</v>
      </c>
      <c r="AL300">
        <v>0</v>
      </c>
      <c r="AM300">
        <v>17.57</v>
      </c>
      <c r="AN300">
        <v>0</v>
      </c>
      <c r="AO300">
        <v>0</v>
      </c>
      <c r="AP300">
        <v>0</v>
      </c>
      <c r="AQ300">
        <v>0</v>
      </c>
      <c r="AR300">
        <v>0</v>
      </c>
      <c r="AS300">
        <v>0</v>
      </c>
      <c r="AT300">
        <v>0</v>
      </c>
      <c r="AU300">
        <v>0</v>
      </c>
      <c r="AV300">
        <v>0</v>
      </c>
      <c r="AW300">
        <v>0</v>
      </c>
      <c r="AX300">
        <v>0</v>
      </c>
      <c r="AY300">
        <v>0</v>
      </c>
      <c r="AZ300">
        <v>0</v>
      </c>
      <c r="BA300">
        <v>0</v>
      </c>
      <c r="BB300">
        <v>0</v>
      </c>
      <c r="BC300">
        <v>0</v>
      </c>
      <c r="BD300">
        <v>0</v>
      </c>
      <c r="BE300">
        <v>0</v>
      </c>
      <c r="BF300">
        <v>0</v>
      </c>
      <c r="BG300">
        <v>0</v>
      </c>
      <c r="BH300">
        <v>1</v>
      </c>
      <c r="BI300">
        <v>0.3</v>
      </c>
      <c r="BJ300">
        <v>1</v>
      </c>
      <c r="BK300">
        <v>1</v>
      </c>
      <c r="BL300" s="4">
        <v>108.28</v>
      </c>
      <c r="BM300" s="4">
        <v>16.239999999999998</v>
      </c>
      <c r="BN300" s="4">
        <v>124.52</v>
      </c>
      <c r="BO300" s="4">
        <v>124.52</v>
      </c>
      <c r="BQ300" t="s">
        <v>126</v>
      </c>
      <c r="BR300" t="s">
        <v>127</v>
      </c>
      <c r="BS300" s="3">
        <v>43808</v>
      </c>
      <c r="BT300" s="5">
        <v>0.37152777777777773</v>
      </c>
      <c r="BU300" t="s">
        <v>154</v>
      </c>
      <c r="BV300" t="s">
        <v>86</v>
      </c>
      <c r="BY300">
        <v>4781.88</v>
      </c>
      <c r="CA300" t="s">
        <v>155</v>
      </c>
      <c r="CC300" t="s">
        <v>76</v>
      </c>
      <c r="CD300">
        <v>1600</v>
      </c>
      <c r="CE300" t="s">
        <v>719</v>
      </c>
      <c r="CF300" s="3">
        <v>43809</v>
      </c>
      <c r="CI300">
        <v>2</v>
      </c>
      <c r="CJ300">
        <v>2</v>
      </c>
      <c r="CK300" t="s">
        <v>113</v>
      </c>
      <c r="CL300" t="s">
        <v>89</v>
      </c>
    </row>
    <row r="301" spans="1:90">
      <c r="A301" t="s">
        <v>72</v>
      </c>
      <c r="B301" t="s">
        <v>73</v>
      </c>
      <c r="C301" t="s">
        <v>74</v>
      </c>
      <c r="E301" t="str">
        <f>"009939387761"</f>
        <v>009939387761</v>
      </c>
      <c r="F301" s="3">
        <v>43804</v>
      </c>
      <c r="G301">
        <v>202006</v>
      </c>
      <c r="H301" t="s">
        <v>201</v>
      </c>
      <c r="I301" t="s">
        <v>202</v>
      </c>
      <c r="J301" t="s">
        <v>720</v>
      </c>
      <c r="K301" t="s">
        <v>78</v>
      </c>
      <c r="L301" t="s">
        <v>75</v>
      </c>
      <c r="M301" t="s">
        <v>76</v>
      </c>
      <c r="N301" t="s">
        <v>100</v>
      </c>
      <c r="O301" t="s">
        <v>104</v>
      </c>
      <c r="P301" t="str">
        <f>"                              "</f>
        <v xml:space="preserve">                              </v>
      </c>
      <c r="Q301">
        <v>0</v>
      </c>
      <c r="R301">
        <v>0</v>
      </c>
      <c r="S301">
        <v>0</v>
      </c>
      <c r="T301">
        <v>0</v>
      </c>
      <c r="U301">
        <v>0</v>
      </c>
      <c r="V301">
        <v>0</v>
      </c>
      <c r="W301">
        <v>0</v>
      </c>
      <c r="X301">
        <v>0</v>
      </c>
      <c r="Y301">
        <v>0</v>
      </c>
      <c r="Z301">
        <v>0</v>
      </c>
      <c r="AA301">
        <v>0</v>
      </c>
      <c r="AB301">
        <v>0</v>
      </c>
      <c r="AC301">
        <v>0</v>
      </c>
      <c r="AD301">
        <v>0</v>
      </c>
      <c r="AE301">
        <v>0</v>
      </c>
      <c r="AF301">
        <v>0</v>
      </c>
      <c r="AG301">
        <v>0</v>
      </c>
      <c r="AH301">
        <v>0</v>
      </c>
      <c r="AI301">
        <v>0</v>
      </c>
      <c r="AJ301">
        <v>0</v>
      </c>
      <c r="AK301">
        <v>0</v>
      </c>
      <c r="AL301">
        <v>0</v>
      </c>
      <c r="AM301">
        <v>16.09</v>
      </c>
      <c r="AN301">
        <v>0</v>
      </c>
      <c r="AO301">
        <v>0</v>
      </c>
      <c r="AP301">
        <v>0</v>
      </c>
      <c r="AQ301">
        <v>0</v>
      </c>
      <c r="AR301">
        <v>0</v>
      </c>
      <c r="AS301">
        <v>0</v>
      </c>
      <c r="AT301">
        <v>0</v>
      </c>
      <c r="AU301">
        <v>0</v>
      </c>
      <c r="AV301">
        <v>0</v>
      </c>
      <c r="AW301">
        <v>0</v>
      </c>
      <c r="AX301">
        <v>0</v>
      </c>
      <c r="AY301">
        <v>0</v>
      </c>
      <c r="AZ301">
        <v>0</v>
      </c>
      <c r="BA301">
        <v>0</v>
      </c>
      <c r="BB301">
        <v>0</v>
      </c>
      <c r="BC301">
        <v>0</v>
      </c>
      <c r="BD301">
        <v>0</v>
      </c>
      <c r="BE301">
        <v>0</v>
      </c>
      <c r="BF301">
        <v>0</v>
      </c>
      <c r="BG301">
        <v>0</v>
      </c>
      <c r="BH301">
        <v>1</v>
      </c>
      <c r="BI301">
        <v>1</v>
      </c>
      <c r="BJ301">
        <v>1</v>
      </c>
      <c r="BK301">
        <v>1</v>
      </c>
      <c r="BL301" s="4">
        <v>99.59</v>
      </c>
      <c r="BM301" s="4">
        <v>14.94</v>
      </c>
      <c r="BN301" s="4">
        <v>114.53</v>
      </c>
      <c r="BO301" s="4">
        <v>114.53</v>
      </c>
      <c r="BQ301" t="s">
        <v>159</v>
      </c>
      <c r="BR301" t="s">
        <v>721</v>
      </c>
      <c r="BS301" s="3">
        <v>43805</v>
      </c>
      <c r="BT301" s="5">
        <v>0.42569444444444443</v>
      </c>
      <c r="BU301" t="s">
        <v>154</v>
      </c>
      <c r="BV301" t="s">
        <v>86</v>
      </c>
      <c r="BY301">
        <v>4818.1400000000003</v>
      </c>
      <c r="CA301" t="s">
        <v>155</v>
      </c>
      <c r="CC301" t="s">
        <v>76</v>
      </c>
      <c r="CD301">
        <v>1600</v>
      </c>
      <c r="CE301" t="s">
        <v>96</v>
      </c>
      <c r="CF301" s="3">
        <v>43808</v>
      </c>
      <c r="CI301">
        <v>1</v>
      </c>
      <c r="CJ301">
        <v>1</v>
      </c>
      <c r="CK301" t="s">
        <v>722</v>
      </c>
      <c r="CL301" t="s">
        <v>89</v>
      </c>
    </row>
    <row r="302" spans="1:90">
      <c r="A302" t="s">
        <v>72</v>
      </c>
      <c r="B302" t="s">
        <v>73</v>
      </c>
      <c r="C302" t="s">
        <v>74</v>
      </c>
      <c r="E302" t="str">
        <f>"009938988223"</f>
        <v>009938988223</v>
      </c>
      <c r="F302" s="3">
        <v>43805</v>
      </c>
      <c r="G302">
        <v>202006</v>
      </c>
      <c r="H302" t="s">
        <v>151</v>
      </c>
      <c r="I302" t="s">
        <v>102</v>
      </c>
      <c r="J302" t="s">
        <v>723</v>
      </c>
      <c r="K302" t="s">
        <v>78</v>
      </c>
      <c r="L302" t="s">
        <v>75</v>
      </c>
      <c r="M302" t="s">
        <v>76</v>
      </c>
      <c r="N302" t="s">
        <v>100</v>
      </c>
      <c r="O302" t="s">
        <v>104</v>
      </c>
      <c r="P302" t="str">
        <f>"NO REF                        "</f>
        <v xml:space="preserve">NO REF                        </v>
      </c>
      <c r="Q302">
        <v>0</v>
      </c>
      <c r="R302">
        <v>0</v>
      </c>
      <c r="S302">
        <v>0</v>
      </c>
      <c r="T302">
        <v>0</v>
      </c>
      <c r="U302">
        <v>0</v>
      </c>
      <c r="V302">
        <v>0</v>
      </c>
      <c r="W302">
        <v>0</v>
      </c>
      <c r="X302">
        <v>0</v>
      </c>
      <c r="Y302">
        <v>0</v>
      </c>
      <c r="Z302">
        <v>0</v>
      </c>
      <c r="AA302">
        <v>0</v>
      </c>
      <c r="AB302">
        <v>0</v>
      </c>
      <c r="AC302">
        <v>0</v>
      </c>
      <c r="AD302">
        <v>0</v>
      </c>
      <c r="AE302">
        <v>0</v>
      </c>
      <c r="AF302">
        <v>0</v>
      </c>
      <c r="AG302">
        <v>0</v>
      </c>
      <c r="AH302">
        <v>0</v>
      </c>
      <c r="AI302">
        <v>0</v>
      </c>
      <c r="AJ302">
        <v>0</v>
      </c>
      <c r="AK302">
        <v>0</v>
      </c>
      <c r="AL302">
        <v>0</v>
      </c>
      <c r="AM302">
        <v>12.07</v>
      </c>
      <c r="AN302">
        <v>0</v>
      </c>
      <c r="AO302">
        <v>0</v>
      </c>
      <c r="AP302">
        <v>0</v>
      </c>
      <c r="AQ302">
        <v>0</v>
      </c>
      <c r="AR302">
        <v>0</v>
      </c>
      <c r="AS302">
        <v>0</v>
      </c>
      <c r="AT302">
        <v>0</v>
      </c>
      <c r="AU302">
        <v>0</v>
      </c>
      <c r="AV302">
        <v>0</v>
      </c>
      <c r="AW302">
        <v>0</v>
      </c>
      <c r="AX302">
        <v>0</v>
      </c>
      <c r="AY302">
        <v>0</v>
      </c>
      <c r="AZ302">
        <v>0</v>
      </c>
      <c r="BA302">
        <v>0</v>
      </c>
      <c r="BB302">
        <v>0</v>
      </c>
      <c r="BC302">
        <v>0</v>
      </c>
      <c r="BD302">
        <v>0</v>
      </c>
      <c r="BE302">
        <v>0</v>
      </c>
      <c r="BF302">
        <v>0</v>
      </c>
      <c r="BG302">
        <v>0</v>
      </c>
      <c r="BH302">
        <v>1</v>
      </c>
      <c r="BI302">
        <v>1</v>
      </c>
      <c r="BJ302">
        <v>0.5</v>
      </c>
      <c r="BK302">
        <v>1</v>
      </c>
      <c r="BL302" s="4">
        <v>75.95</v>
      </c>
      <c r="BM302" s="4">
        <v>11.39</v>
      </c>
      <c r="BN302" s="4">
        <v>87.34</v>
      </c>
      <c r="BO302" s="4">
        <v>87.34</v>
      </c>
      <c r="BQ302" t="s">
        <v>127</v>
      </c>
      <c r="BR302" t="s">
        <v>724</v>
      </c>
      <c r="BS302" s="3">
        <v>43808</v>
      </c>
      <c r="BT302" s="5">
        <v>0.37152777777777773</v>
      </c>
      <c r="BU302" t="s">
        <v>154</v>
      </c>
      <c r="BV302" t="s">
        <v>86</v>
      </c>
      <c r="BY302">
        <v>2400</v>
      </c>
      <c r="CA302" t="s">
        <v>155</v>
      </c>
      <c r="CC302" t="s">
        <v>76</v>
      </c>
      <c r="CD302">
        <v>1600</v>
      </c>
      <c r="CE302" t="s">
        <v>127</v>
      </c>
      <c r="CF302" s="3">
        <v>43809</v>
      </c>
      <c r="CI302">
        <v>0</v>
      </c>
      <c r="CJ302">
        <v>0</v>
      </c>
      <c r="CK302" t="s">
        <v>157</v>
      </c>
      <c r="CL302" t="s">
        <v>89</v>
      </c>
    </row>
    <row r="303" spans="1:90">
      <c r="A303" t="s">
        <v>72</v>
      </c>
      <c r="B303" t="s">
        <v>73</v>
      </c>
      <c r="C303" t="s">
        <v>74</v>
      </c>
      <c r="E303" t="str">
        <f>"009939298632"</f>
        <v>009939298632</v>
      </c>
      <c r="F303" s="3">
        <v>43804</v>
      </c>
      <c r="G303">
        <v>202006</v>
      </c>
      <c r="H303" t="s">
        <v>164</v>
      </c>
      <c r="I303" t="s">
        <v>165</v>
      </c>
      <c r="J303" t="s">
        <v>725</v>
      </c>
      <c r="K303" t="s">
        <v>78</v>
      </c>
      <c r="L303" t="s">
        <v>75</v>
      </c>
      <c r="M303" t="s">
        <v>76</v>
      </c>
      <c r="N303" t="s">
        <v>100</v>
      </c>
      <c r="O303" t="s">
        <v>82</v>
      </c>
      <c r="P303" t="str">
        <f>"                              "</f>
        <v xml:space="preserve">                              </v>
      </c>
      <c r="Q303">
        <v>0</v>
      </c>
      <c r="R303">
        <v>0</v>
      </c>
      <c r="S303">
        <v>0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0</v>
      </c>
      <c r="AA303">
        <v>0</v>
      </c>
      <c r="AB303">
        <v>0</v>
      </c>
      <c r="AC303">
        <v>0</v>
      </c>
      <c r="AD303">
        <v>0</v>
      </c>
      <c r="AE303">
        <v>0</v>
      </c>
      <c r="AF303">
        <v>0</v>
      </c>
      <c r="AG303">
        <v>0</v>
      </c>
      <c r="AH303">
        <v>0</v>
      </c>
      <c r="AI303">
        <v>0</v>
      </c>
      <c r="AJ303">
        <v>0</v>
      </c>
      <c r="AK303">
        <v>0</v>
      </c>
      <c r="AL303">
        <v>0</v>
      </c>
      <c r="AM303">
        <v>40.75</v>
      </c>
      <c r="AN303">
        <v>0</v>
      </c>
      <c r="AO303">
        <v>0</v>
      </c>
      <c r="AP303">
        <v>0</v>
      </c>
      <c r="AQ303">
        <v>0</v>
      </c>
      <c r="AR303">
        <v>0</v>
      </c>
      <c r="AS303">
        <v>0</v>
      </c>
      <c r="AT303">
        <v>0</v>
      </c>
      <c r="AU303">
        <v>0</v>
      </c>
      <c r="AV303">
        <v>0</v>
      </c>
      <c r="AW303">
        <v>0</v>
      </c>
      <c r="AX303">
        <v>0</v>
      </c>
      <c r="AY303">
        <v>0</v>
      </c>
      <c r="AZ303">
        <v>0</v>
      </c>
      <c r="BA303">
        <v>0</v>
      </c>
      <c r="BB303">
        <v>0</v>
      </c>
      <c r="BC303">
        <v>0</v>
      </c>
      <c r="BD303">
        <v>0</v>
      </c>
      <c r="BE303">
        <v>0</v>
      </c>
      <c r="BF303">
        <v>0</v>
      </c>
      <c r="BG303">
        <v>0</v>
      </c>
      <c r="BH303">
        <v>2</v>
      </c>
      <c r="BI303">
        <v>5</v>
      </c>
      <c r="BJ303">
        <v>9.5</v>
      </c>
      <c r="BK303">
        <v>9.5</v>
      </c>
      <c r="BL303" s="4">
        <v>239.52</v>
      </c>
      <c r="BM303" s="4">
        <v>35.93</v>
      </c>
      <c r="BN303" s="4">
        <v>275.45</v>
      </c>
      <c r="BO303" s="4">
        <v>275.45</v>
      </c>
      <c r="BR303" t="s">
        <v>726</v>
      </c>
      <c r="BS303" s="3">
        <v>43805</v>
      </c>
      <c r="BT303" s="5">
        <v>0.42569444444444443</v>
      </c>
      <c r="BU303" t="s">
        <v>154</v>
      </c>
      <c r="BV303" t="s">
        <v>86</v>
      </c>
      <c r="BY303">
        <v>23716</v>
      </c>
      <c r="BZ303" t="s">
        <v>27</v>
      </c>
      <c r="CA303" t="s">
        <v>155</v>
      </c>
      <c r="CC303" t="s">
        <v>76</v>
      </c>
      <c r="CD303">
        <v>1600</v>
      </c>
      <c r="CE303" t="s">
        <v>96</v>
      </c>
      <c r="CF303" s="3">
        <v>43808</v>
      </c>
      <c r="CI303">
        <v>1</v>
      </c>
      <c r="CJ303">
        <v>1</v>
      </c>
      <c r="CK303">
        <v>21</v>
      </c>
      <c r="CL303" t="s">
        <v>89</v>
      </c>
    </row>
    <row r="304" spans="1:90">
      <c r="A304" t="s">
        <v>72</v>
      </c>
      <c r="B304" t="s">
        <v>73</v>
      </c>
      <c r="C304" t="s">
        <v>74</v>
      </c>
      <c r="E304" t="str">
        <f>"FES1162726983"</f>
        <v>FES1162726983</v>
      </c>
      <c r="F304" s="3">
        <v>43804</v>
      </c>
      <c r="G304">
        <v>202006</v>
      </c>
      <c r="H304" t="s">
        <v>75</v>
      </c>
      <c r="I304" t="s">
        <v>76</v>
      </c>
      <c r="J304" t="s">
        <v>77</v>
      </c>
      <c r="K304" t="s">
        <v>78</v>
      </c>
      <c r="L304" t="s">
        <v>350</v>
      </c>
      <c r="M304" t="s">
        <v>351</v>
      </c>
      <c r="N304" t="s">
        <v>727</v>
      </c>
      <c r="O304" t="s">
        <v>82</v>
      </c>
      <c r="P304" t="str">
        <f>"2170720427                    "</f>
        <v xml:space="preserve">2170720427                    </v>
      </c>
      <c r="Q304">
        <v>0</v>
      </c>
      <c r="R304">
        <v>0</v>
      </c>
      <c r="S304">
        <v>0</v>
      </c>
      <c r="T304">
        <v>0</v>
      </c>
      <c r="U304">
        <v>0</v>
      </c>
      <c r="V304">
        <v>0</v>
      </c>
      <c r="W304">
        <v>0</v>
      </c>
      <c r="X304">
        <v>0</v>
      </c>
      <c r="Y304">
        <v>0</v>
      </c>
      <c r="Z304">
        <v>0</v>
      </c>
      <c r="AA304">
        <v>0</v>
      </c>
      <c r="AB304">
        <v>0</v>
      </c>
      <c r="AC304">
        <v>0</v>
      </c>
      <c r="AD304">
        <v>0</v>
      </c>
      <c r="AE304">
        <v>0</v>
      </c>
      <c r="AF304">
        <v>0</v>
      </c>
      <c r="AG304">
        <v>0</v>
      </c>
      <c r="AH304">
        <v>0</v>
      </c>
      <c r="AI304">
        <v>0</v>
      </c>
      <c r="AJ304">
        <v>0</v>
      </c>
      <c r="AK304">
        <v>0</v>
      </c>
      <c r="AL304">
        <v>0</v>
      </c>
      <c r="AM304">
        <v>6.71</v>
      </c>
      <c r="AN304">
        <v>0</v>
      </c>
      <c r="AO304">
        <v>0</v>
      </c>
      <c r="AP304">
        <v>0</v>
      </c>
      <c r="AQ304">
        <v>0</v>
      </c>
      <c r="AR304">
        <v>0</v>
      </c>
      <c r="AS304">
        <v>0</v>
      </c>
      <c r="AT304">
        <v>0</v>
      </c>
      <c r="AU304">
        <v>0</v>
      </c>
      <c r="AV304">
        <v>0</v>
      </c>
      <c r="AW304">
        <v>0</v>
      </c>
      <c r="AX304">
        <v>0</v>
      </c>
      <c r="AY304">
        <v>0</v>
      </c>
      <c r="AZ304">
        <v>0</v>
      </c>
      <c r="BA304">
        <v>0</v>
      </c>
      <c r="BB304">
        <v>0</v>
      </c>
      <c r="BC304">
        <v>0</v>
      </c>
      <c r="BD304">
        <v>0</v>
      </c>
      <c r="BE304">
        <v>0</v>
      </c>
      <c r="BF304">
        <v>0</v>
      </c>
      <c r="BG304">
        <v>0</v>
      </c>
      <c r="BH304">
        <v>1</v>
      </c>
      <c r="BI304">
        <v>1</v>
      </c>
      <c r="BJ304">
        <v>0.2</v>
      </c>
      <c r="BK304">
        <v>1</v>
      </c>
      <c r="BL304" s="4">
        <v>39.42</v>
      </c>
      <c r="BM304" s="4">
        <v>5.91</v>
      </c>
      <c r="BN304" s="4">
        <v>45.33</v>
      </c>
      <c r="BO304" s="4">
        <v>45.33</v>
      </c>
      <c r="BQ304" t="s">
        <v>147</v>
      </c>
      <c r="BR304" t="s">
        <v>84</v>
      </c>
      <c r="BS304" s="3">
        <v>43805</v>
      </c>
      <c r="BT304" s="5">
        <v>0.33333333333333331</v>
      </c>
      <c r="BU304" t="s">
        <v>728</v>
      </c>
      <c r="BV304" t="s">
        <v>86</v>
      </c>
      <c r="BY304">
        <v>1200</v>
      </c>
      <c r="CA304" t="s">
        <v>729</v>
      </c>
      <c r="CC304" t="s">
        <v>351</v>
      </c>
      <c r="CD304">
        <v>1501</v>
      </c>
      <c r="CE304" t="s">
        <v>88</v>
      </c>
      <c r="CF304" s="3">
        <v>43808</v>
      </c>
      <c r="CI304">
        <v>1</v>
      </c>
      <c r="CJ304">
        <v>1</v>
      </c>
      <c r="CK304">
        <v>22</v>
      </c>
      <c r="CL304" t="s">
        <v>89</v>
      </c>
    </row>
    <row r="305" spans="1:90">
      <c r="A305" t="s">
        <v>72</v>
      </c>
      <c r="B305" t="s">
        <v>73</v>
      </c>
      <c r="C305" t="s">
        <v>74</v>
      </c>
      <c r="E305" t="str">
        <f>"FES1162726815"</f>
        <v>FES1162726815</v>
      </c>
      <c r="F305" s="3">
        <v>43804</v>
      </c>
      <c r="G305">
        <v>202006</v>
      </c>
      <c r="H305" t="s">
        <v>75</v>
      </c>
      <c r="I305" t="s">
        <v>76</v>
      </c>
      <c r="J305" t="s">
        <v>77</v>
      </c>
      <c r="K305" t="s">
        <v>78</v>
      </c>
      <c r="L305" t="s">
        <v>90</v>
      </c>
      <c r="M305" t="s">
        <v>91</v>
      </c>
      <c r="N305" t="s">
        <v>110</v>
      </c>
      <c r="O305" t="s">
        <v>82</v>
      </c>
      <c r="P305" t="str">
        <f>"2170720261                    "</f>
        <v xml:space="preserve">2170720261                    </v>
      </c>
      <c r="Q305">
        <v>0</v>
      </c>
      <c r="R305">
        <v>0</v>
      </c>
      <c r="S305">
        <v>0</v>
      </c>
      <c r="T305">
        <v>0</v>
      </c>
      <c r="U305">
        <v>0</v>
      </c>
      <c r="V305">
        <v>0</v>
      </c>
      <c r="W305">
        <v>0</v>
      </c>
      <c r="X305">
        <v>0</v>
      </c>
      <c r="Y305">
        <v>0</v>
      </c>
      <c r="Z305">
        <v>0</v>
      </c>
      <c r="AA305">
        <v>0</v>
      </c>
      <c r="AB305">
        <v>0</v>
      </c>
      <c r="AC305">
        <v>0</v>
      </c>
      <c r="AD305">
        <v>0</v>
      </c>
      <c r="AE305">
        <v>0</v>
      </c>
      <c r="AF305">
        <v>0</v>
      </c>
      <c r="AG305">
        <v>0</v>
      </c>
      <c r="AH305">
        <v>0</v>
      </c>
      <c r="AI305">
        <v>0</v>
      </c>
      <c r="AJ305">
        <v>0</v>
      </c>
      <c r="AK305">
        <v>0</v>
      </c>
      <c r="AL305">
        <v>0</v>
      </c>
      <c r="AM305">
        <v>8.58</v>
      </c>
      <c r="AN305">
        <v>0</v>
      </c>
      <c r="AO305">
        <v>0</v>
      </c>
      <c r="AP305">
        <v>0</v>
      </c>
      <c r="AQ305">
        <v>0</v>
      </c>
      <c r="AR305">
        <v>0</v>
      </c>
      <c r="AS305">
        <v>0</v>
      </c>
      <c r="AT305">
        <v>0</v>
      </c>
      <c r="AU305">
        <v>0</v>
      </c>
      <c r="AV305">
        <v>0</v>
      </c>
      <c r="AW305">
        <v>0</v>
      </c>
      <c r="AX305">
        <v>0</v>
      </c>
      <c r="AY305">
        <v>0</v>
      </c>
      <c r="AZ305">
        <v>0</v>
      </c>
      <c r="BA305">
        <v>0</v>
      </c>
      <c r="BB305">
        <v>0</v>
      </c>
      <c r="BC305">
        <v>0</v>
      </c>
      <c r="BD305">
        <v>0</v>
      </c>
      <c r="BE305">
        <v>0</v>
      </c>
      <c r="BF305">
        <v>0</v>
      </c>
      <c r="BG305">
        <v>0</v>
      </c>
      <c r="BH305">
        <v>1</v>
      </c>
      <c r="BI305">
        <v>1</v>
      </c>
      <c r="BJ305">
        <v>0.2</v>
      </c>
      <c r="BK305">
        <v>1</v>
      </c>
      <c r="BL305" s="4">
        <v>50.45</v>
      </c>
      <c r="BM305" s="4">
        <v>7.57</v>
      </c>
      <c r="BN305" s="4">
        <v>58.02</v>
      </c>
      <c r="BO305" s="4">
        <v>58.02</v>
      </c>
      <c r="BQ305" t="s">
        <v>147</v>
      </c>
      <c r="BR305" t="s">
        <v>84</v>
      </c>
      <c r="BS305" s="3">
        <v>43805</v>
      </c>
      <c r="BT305" s="5">
        <v>0.33888888888888885</v>
      </c>
      <c r="BU305" t="s">
        <v>730</v>
      </c>
      <c r="BV305" t="s">
        <v>86</v>
      </c>
      <c r="BY305">
        <v>1200</v>
      </c>
      <c r="CA305" t="s">
        <v>112</v>
      </c>
      <c r="CC305" t="s">
        <v>91</v>
      </c>
      <c r="CD305">
        <v>7405</v>
      </c>
      <c r="CE305" t="s">
        <v>88</v>
      </c>
      <c r="CF305" s="3">
        <v>43808</v>
      </c>
      <c r="CI305">
        <v>1</v>
      </c>
      <c r="CJ305">
        <v>1</v>
      </c>
      <c r="CK305">
        <v>21</v>
      </c>
      <c r="CL305" t="s">
        <v>89</v>
      </c>
    </row>
    <row r="306" spans="1:90">
      <c r="A306" t="s">
        <v>72</v>
      </c>
      <c r="B306" t="s">
        <v>73</v>
      </c>
      <c r="C306" t="s">
        <v>74</v>
      </c>
      <c r="E306" t="str">
        <f>"FES1162727513"</f>
        <v>FES1162727513</v>
      </c>
      <c r="F306" s="3">
        <v>43809</v>
      </c>
      <c r="G306">
        <v>202006</v>
      </c>
      <c r="H306" t="s">
        <v>75</v>
      </c>
      <c r="I306" t="s">
        <v>76</v>
      </c>
      <c r="J306" t="s">
        <v>77</v>
      </c>
      <c r="K306" t="s">
        <v>78</v>
      </c>
      <c r="L306" t="s">
        <v>177</v>
      </c>
      <c r="M306" t="s">
        <v>178</v>
      </c>
      <c r="N306" t="s">
        <v>179</v>
      </c>
      <c r="O306" t="s">
        <v>82</v>
      </c>
      <c r="P306" t="str">
        <f>"2170710374                    "</f>
        <v xml:space="preserve">2170710374                    </v>
      </c>
      <c r="Q306">
        <v>0</v>
      </c>
      <c r="R306">
        <v>0</v>
      </c>
      <c r="S306">
        <v>0</v>
      </c>
      <c r="T306">
        <v>0</v>
      </c>
      <c r="U306">
        <v>0</v>
      </c>
      <c r="V306">
        <v>0</v>
      </c>
      <c r="W306">
        <v>0</v>
      </c>
      <c r="X306">
        <v>0</v>
      </c>
      <c r="Y306">
        <v>0</v>
      </c>
      <c r="Z306">
        <v>0</v>
      </c>
      <c r="AA306">
        <v>0</v>
      </c>
      <c r="AB306">
        <v>0</v>
      </c>
      <c r="AC306">
        <v>0</v>
      </c>
      <c r="AD306">
        <v>0</v>
      </c>
      <c r="AE306">
        <v>0</v>
      </c>
      <c r="AF306">
        <v>0</v>
      </c>
      <c r="AG306">
        <v>0</v>
      </c>
      <c r="AH306">
        <v>0</v>
      </c>
      <c r="AI306">
        <v>0</v>
      </c>
      <c r="AJ306">
        <v>0</v>
      </c>
      <c r="AK306">
        <v>0</v>
      </c>
      <c r="AL306">
        <v>0</v>
      </c>
      <c r="AM306">
        <v>12.07</v>
      </c>
      <c r="AN306">
        <v>0</v>
      </c>
      <c r="AO306">
        <v>0</v>
      </c>
      <c r="AP306">
        <v>0</v>
      </c>
      <c r="AQ306">
        <v>0</v>
      </c>
      <c r="AR306">
        <v>0</v>
      </c>
      <c r="AS306">
        <v>0</v>
      </c>
      <c r="AT306">
        <v>0</v>
      </c>
      <c r="AU306">
        <v>0</v>
      </c>
      <c r="AV306">
        <v>0</v>
      </c>
      <c r="AW306">
        <v>0</v>
      </c>
      <c r="AX306">
        <v>0</v>
      </c>
      <c r="AY306">
        <v>0</v>
      </c>
      <c r="AZ306">
        <v>0</v>
      </c>
      <c r="BA306">
        <v>0</v>
      </c>
      <c r="BB306">
        <v>0</v>
      </c>
      <c r="BC306">
        <v>0</v>
      </c>
      <c r="BD306">
        <v>0</v>
      </c>
      <c r="BE306">
        <v>0</v>
      </c>
      <c r="BF306">
        <v>0</v>
      </c>
      <c r="BG306">
        <v>0</v>
      </c>
      <c r="BH306">
        <v>1</v>
      </c>
      <c r="BI306">
        <v>1</v>
      </c>
      <c r="BJ306">
        <v>0.2</v>
      </c>
      <c r="BK306">
        <v>1</v>
      </c>
      <c r="BL306" s="4">
        <v>70.95</v>
      </c>
      <c r="BM306" s="4">
        <v>10.64</v>
      </c>
      <c r="BN306" s="4">
        <v>81.59</v>
      </c>
      <c r="BO306" s="4">
        <v>81.59</v>
      </c>
      <c r="BQ306" t="s">
        <v>147</v>
      </c>
      <c r="BR306" t="s">
        <v>84</v>
      </c>
      <c r="BS306" s="3">
        <v>43811</v>
      </c>
      <c r="BT306" s="5">
        <v>0.63194444444444442</v>
      </c>
      <c r="BU306" t="s">
        <v>731</v>
      </c>
      <c r="BV306" t="s">
        <v>89</v>
      </c>
      <c r="BW306" t="s">
        <v>732</v>
      </c>
      <c r="BX306" t="s">
        <v>619</v>
      </c>
      <c r="BY306">
        <v>1200</v>
      </c>
      <c r="CA306" t="s">
        <v>182</v>
      </c>
      <c r="CC306" t="s">
        <v>178</v>
      </c>
      <c r="CD306">
        <v>1028</v>
      </c>
      <c r="CE306" t="s">
        <v>88</v>
      </c>
      <c r="CF306" s="3">
        <v>43812</v>
      </c>
      <c r="CI306">
        <v>1</v>
      </c>
      <c r="CJ306">
        <v>2</v>
      </c>
      <c r="CK306">
        <v>24</v>
      </c>
      <c r="CL306" t="s">
        <v>89</v>
      </c>
    </row>
    <row r="307" spans="1:90">
      <c r="A307" t="s">
        <v>72</v>
      </c>
      <c r="B307" t="s">
        <v>73</v>
      </c>
      <c r="C307" t="s">
        <v>74</v>
      </c>
      <c r="E307" t="str">
        <f>"FES1162727518"</f>
        <v>FES1162727518</v>
      </c>
      <c r="F307" s="3">
        <v>43809</v>
      </c>
      <c r="G307">
        <v>202006</v>
      </c>
      <c r="H307" t="s">
        <v>75</v>
      </c>
      <c r="I307" t="s">
        <v>76</v>
      </c>
      <c r="J307" t="s">
        <v>77</v>
      </c>
      <c r="K307" t="s">
        <v>78</v>
      </c>
      <c r="L307" t="s">
        <v>164</v>
      </c>
      <c r="M307" t="s">
        <v>165</v>
      </c>
      <c r="N307" t="s">
        <v>238</v>
      </c>
      <c r="O307" t="s">
        <v>82</v>
      </c>
      <c r="P307" t="str">
        <f>"21707140847                   "</f>
        <v xml:space="preserve">21707140847                   </v>
      </c>
      <c r="Q307">
        <v>0</v>
      </c>
      <c r="R307">
        <v>0</v>
      </c>
      <c r="S307">
        <v>0</v>
      </c>
      <c r="T307">
        <v>0</v>
      </c>
      <c r="U307">
        <v>0</v>
      </c>
      <c r="V307">
        <v>0</v>
      </c>
      <c r="W307">
        <v>0</v>
      </c>
      <c r="X307">
        <v>0</v>
      </c>
      <c r="Y307">
        <v>0</v>
      </c>
      <c r="Z307">
        <v>0</v>
      </c>
      <c r="AA307">
        <v>0</v>
      </c>
      <c r="AB307">
        <v>0</v>
      </c>
      <c r="AC307">
        <v>0</v>
      </c>
      <c r="AD307">
        <v>0</v>
      </c>
      <c r="AE307">
        <v>0</v>
      </c>
      <c r="AF307">
        <v>0</v>
      </c>
      <c r="AG307">
        <v>0</v>
      </c>
      <c r="AH307">
        <v>0</v>
      </c>
      <c r="AI307">
        <v>0</v>
      </c>
      <c r="AJ307">
        <v>0</v>
      </c>
      <c r="AK307">
        <v>0</v>
      </c>
      <c r="AL307">
        <v>0</v>
      </c>
      <c r="AM307">
        <v>8.58</v>
      </c>
      <c r="AN307">
        <v>0</v>
      </c>
      <c r="AO307">
        <v>0</v>
      </c>
      <c r="AP307">
        <v>0</v>
      </c>
      <c r="AQ307">
        <v>0</v>
      </c>
      <c r="AR307">
        <v>0</v>
      </c>
      <c r="AS307">
        <v>0</v>
      </c>
      <c r="AT307">
        <v>0</v>
      </c>
      <c r="AU307">
        <v>0</v>
      </c>
      <c r="AV307">
        <v>0</v>
      </c>
      <c r="AW307">
        <v>0</v>
      </c>
      <c r="AX307">
        <v>0</v>
      </c>
      <c r="AY307">
        <v>0</v>
      </c>
      <c r="AZ307">
        <v>0</v>
      </c>
      <c r="BA307">
        <v>0</v>
      </c>
      <c r="BB307">
        <v>0</v>
      </c>
      <c r="BC307">
        <v>0</v>
      </c>
      <c r="BD307">
        <v>0</v>
      </c>
      <c r="BE307">
        <v>0</v>
      </c>
      <c r="BF307">
        <v>0</v>
      </c>
      <c r="BG307">
        <v>0</v>
      </c>
      <c r="BH307">
        <v>1</v>
      </c>
      <c r="BI307">
        <v>1</v>
      </c>
      <c r="BJ307">
        <v>0.2</v>
      </c>
      <c r="BK307">
        <v>1</v>
      </c>
      <c r="BL307" s="4">
        <v>50.45</v>
      </c>
      <c r="BM307" s="4">
        <v>7.57</v>
      </c>
      <c r="BN307" s="4">
        <v>58.02</v>
      </c>
      <c r="BO307" s="4">
        <v>58.02</v>
      </c>
      <c r="BQ307" t="s">
        <v>147</v>
      </c>
      <c r="BR307" t="s">
        <v>84</v>
      </c>
      <c r="BS307" s="3">
        <v>43810</v>
      </c>
      <c r="BT307" s="5">
        <v>0.39027777777777778</v>
      </c>
      <c r="BU307" t="s">
        <v>239</v>
      </c>
      <c r="BV307" t="s">
        <v>86</v>
      </c>
      <c r="BY307">
        <v>1200</v>
      </c>
      <c r="CA307" t="s">
        <v>168</v>
      </c>
      <c r="CC307" t="s">
        <v>165</v>
      </c>
      <c r="CD307">
        <v>5201</v>
      </c>
      <c r="CE307" t="s">
        <v>88</v>
      </c>
      <c r="CF307" s="3">
        <v>43812</v>
      </c>
      <c r="CI307">
        <v>1</v>
      </c>
      <c r="CJ307">
        <v>1</v>
      </c>
      <c r="CK307">
        <v>21</v>
      </c>
      <c r="CL307" t="s">
        <v>89</v>
      </c>
    </row>
    <row r="308" spans="1:90">
      <c r="A308" t="s">
        <v>72</v>
      </c>
      <c r="B308" t="s">
        <v>73</v>
      </c>
      <c r="C308" t="s">
        <v>74</v>
      </c>
      <c r="E308" t="str">
        <f>"FES1162723712"</f>
        <v>FES1162723712</v>
      </c>
      <c r="F308" s="3">
        <v>43787</v>
      </c>
      <c r="G308">
        <v>202006</v>
      </c>
      <c r="H308" t="s">
        <v>75</v>
      </c>
      <c r="I308" t="s">
        <v>76</v>
      </c>
      <c r="J308" t="s">
        <v>100</v>
      </c>
      <c r="K308" t="s">
        <v>78</v>
      </c>
      <c r="L308" t="s">
        <v>667</v>
      </c>
      <c r="M308" t="s">
        <v>668</v>
      </c>
      <c r="N308" t="s">
        <v>733</v>
      </c>
      <c r="O308" t="s">
        <v>104</v>
      </c>
      <c r="P308" t="str">
        <f>"2170717489                    "</f>
        <v xml:space="preserve">2170717489                    </v>
      </c>
      <c r="Q308">
        <v>0</v>
      </c>
      <c r="R308">
        <v>0</v>
      </c>
      <c r="S308">
        <v>0</v>
      </c>
      <c r="T308">
        <v>0</v>
      </c>
      <c r="U308">
        <v>0</v>
      </c>
      <c r="V308">
        <v>0</v>
      </c>
      <c r="W308">
        <v>0</v>
      </c>
      <c r="X308">
        <v>0</v>
      </c>
      <c r="Y308">
        <v>0</v>
      </c>
      <c r="Z308">
        <v>0</v>
      </c>
      <c r="AA308">
        <v>0</v>
      </c>
      <c r="AB308">
        <v>0</v>
      </c>
      <c r="AC308">
        <v>0</v>
      </c>
      <c r="AD308">
        <v>0</v>
      </c>
      <c r="AE308">
        <v>0</v>
      </c>
      <c r="AF308">
        <v>0</v>
      </c>
      <c r="AG308">
        <v>0</v>
      </c>
      <c r="AH308">
        <v>0</v>
      </c>
      <c r="AI308">
        <v>0</v>
      </c>
      <c r="AJ308">
        <v>0</v>
      </c>
      <c r="AK308">
        <v>0</v>
      </c>
      <c r="AL308">
        <v>0</v>
      </c>
      <c r="AM308">
        <v>20.96</v>
      </c>
      <c r="AN308">
        <v>0</v>
      </c>
      <c r="AO308">
        <v>0</v>
      </c>
      <c r="AP308">
        <v>0</v>
      </c>
      <c r="AQ308">
        <v>0</v>
      </c>
      <c r="AR308">
        <v>0</v>
      </c>
      <c r="AS308">
        <v>0</v>
      </c>
      <c r="AT308">
        <v>0</v>
      </c>
      <c r="AU308">
        <v>0</v>
      </c>
      <c r="AV308">
        <v>0</v>
      </c>
      <c r="AW308">
        <v>0</v>
      </c>
      <c r="AX308">
        <v>0</v>
      </c>
      <c r="AY308">
        <v>0</v>
      </c>
      <c r="AZ308">
        <v>0</v>
      </c>
      <c r="BA308">
        <v>0</v>
      </c>
      <c r="BB308">
        <v>0</v>
      </c>
      <c r="BC308">
        <v>0</v>
      </c>
      <c r="BD308">
        <v>0</v>
      </c>
      <c r="BE308">
        <v>0</v>
      </c>
      <c r="BF308">
        <v>0</v>
      </c>
      <c r="BG308">
        <v>0</v>
      </c>
      <c r="BH308">
        <v>1</v>
      </c>
      <c r="BI308">
        <v>18.5</v>
      </c>
      <c r="BJ308">
        <v>36.700000000000003</v>
      </c>
      <c r="BK308">
        <v>37</v>
      </c>
      <c r="BL308" s="4">
        <v>128.18</v>
      </c>
      <c r="BM308" s="4">
        <v>19.23</v>
      </c>
      <c r="BN308" s="4">
        <v>147.41</v>
      </c>
      <c r="BO308" s="4">
        <v>147.41</v>
      </c>
      <c r="BQ308" t="s">
        <v>93</v>
      </c>
      <c r="BR308" t="s">
        <v>105</v>
      </c>
      <c r="BS308" s="3">
        <v>43788</v>
      </c>
      <c r="BT308" s="5">
        <v>0.375</v>
      </c>
      <c r="BU308" t="s">
        <v>142</v>
      </c>
      <c r="BV308" t="s">
        <v>86</v>
      </c>
      <c r="BY308">
        <v>183705.12</v>
      </c>
      <c r="CC308" t="s">
        <v>668</v>
      </c>
      <c r="CD308">
        <v>1759</v>
      </c>
      <c r="CE308" t="s">
        <v>96</v>
      </c>
      <c r="CF308" s="3">
        <v>43804</v>
      </c>
      <c r="CI308">
        <v>1</v>
      </c>
      <c r="CJ308">
        <v>1</v>
      </c>
      <c r="CK308" t="s">
        <v>123</v>
      </c>
      <c r="CL308" t="s">
        <v>89</v>
      </c>
    </row>
    <row r="309" spans="1:90">
      <c r="A309" t="s">
        <v>72</v>
      </c>
      <c r="B309" t="s">
        <v>73</v>
      </c>
      <c r="C309" t="s">
        <v>74</v>
      </c>
      <c r="E309" t="str">
        <f>"FES1162723678"</f>
        <v>FES1162723678</v>
      </c>
      <c r="F309" s="3">
        <v>43788</v>
      </c>
      <c r="G309">
        <v>202006</v>
      </c>
      <c r="H309" t="s">
        <v>75</v>
      </c>
      <c r="I309" t="s">
        <v>76</v>
      </c>
      <c r="J309" t="s">
        <v>100</v>
      </c>
      <c r="K309" t="s">
        <v>78</v>
      </c>
      <c r="L309" t="s">
        <v>101</v>
      </c>
      <c r="M309" t="s">
        <v>102</v>
      </c>
      <c r="N309" t="s">
        <v>706</v>
      </c>
      <c r="O309" t="s">
        <v>104</v>
      </c>
      <c r="P309" t="str">
        <f>"2170715772                    "</f>
        <v xml:space="preserve">2170715772                    </v>
      </c>
      <c r="Q309">
        <v>0</v>
      </c>
      <c r="R309">
        <v>0</v>
      </c>
      <c r="S309">
        <v>0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0</v>
      </c>
      <c r="Z309">
        <v>0</v>
      </c>
      <c r="AA309">
        <v>0</v>
      </c>
      <c r="AB309">
        <v>0</v>
      </c>
      <c r="AC309">
        <v>0</v>
      </c>
      <c r="AD309">
        <v>0</v>
      </c>
      <c r="AE309">
        <v>0</v>
      </c>
      <c r="AF309">
        <v>0</v>
      </c>
      <c r="AG309">
        <v>0</v>
      </c>
      <c r="AH309">
        <v>0</v>
      </c>
      <c r="AI309">
        <v>0</v>
      </c>
      <c r="AJ309">
        <v>0</v>
      </c>
      <c r="AK309">
        <v>0</v>
      </c>
      <c r="AL309">
        <v>0</v>
      </c>
      <c r="AM309">
        <v>14.75</v>
      </c>
      <c r="AN309">
        <v>0</v>
      </c>
      <c r="AO309">
        <v>0</v>
      </c>
      <c r="AP309">
        <v>0</v>
      </c>
      <c r="AQ309">
        <v>0</v>
      </c>
      <c r="AR309">
        <v>0</v>
      </c>
      <c r="AS309">
        <v>0</v>
      </c>
      <c r="AT309">
        <v>0</v>
      </c>
      <c r="AU309">
        <v>0</v>
      </c>
      <c r="AV309">
        <v>0</v>
      </c>
      <c r="AW309">
        <v>0</v>
      </c>
      <c r="AX309">
        <v>0</v>
      </c>
      <c r="AY309">
        <v>0</v>
      </c>
      <c r="AZ309">
        <v>0</v>
      </c>
      <c r="BA309">
        <v>0</v>
      </c>
      <c r="BB309">
        <v>0</v>
      </c>
      <c r="BC309">
        <v>0</v>
      </c>
      <c r="BD309">
        <v>0</v>
      </c>
      <c r="BE309">
        <v>0</v>
      </c>
      <c r="BF309">
        <v>0</v>
      </c>
      <c r="BG309">
        <v>0</v>
      </c>
      <c r="BH309">
        <v>1</v>
      </c>
      <c r="BI309">
        <v>6.5</v>
      </c>
      <c r="BJ309">
        <v>8.1</v>
      </c>
      <c r="BK309">
        <v>8</v>
      </c>
      <c r="BL309" s="4">
        <v>91.71</v>
      </c>
      <c r="BM309" s="4">
        <v>13.76</v>
      </c>
      <c r="BN309" s="4">
        <v>105.47</v>
      </c>
      <c r="BO309" s="4">
        <v>105.47</v>
      </c>
      <c r="BQ309" t="s">
        <v>93</v>
      </c>
      <c r="BR309" t="s">
        <v>105</v>
      </c>
      <c r="BS309" s="3">
        <v>43789</v>
      </c>
      <c r="BT309" s="5">
        <v>0.37361111111111112</v>
      </c>
      <c r="BU309" t="s">
        <v>734</v>
      </c>
      <c r="BV309" t="s">
        <v>86</v>
      </c>
      <c r="BY309">
        <v>40380.58</v>
      </c>
      <c r="CA309" t="s">
        <v>735</v>
      </c>
      <c r="CC309" t="s">
        <v>102</v>
      </c>
      <c r="CD309">
        <v>1</v>
      </c>
      <c r="CE309" t="s">
        <v>96</v>
      </c>
      <c r="CF309" s="3">
        <v>43804</v>
      </c>
      <c r="CI309">
        <v>0</v>
      </c>
      <c r="CJ309">
        <v>0</v>
      </c>
      <c r="CK309" t="s">
        <v>108</v>
      </c>
      <c r="CL309" t="s">
        <v>89</v>
      </c>
    </row>
    <row r="310" spans="1:90">
      <c r="A310" t="s">
        <v>72</v>
      </c>
      <c r="B310" t="s">
        <v>73</v>
      </c>
      <c r="C310" t="s">
        <v>74</v>
      </c>
      <c r="E310" t="str">
        <f>"FES1162723677"</f>
        <v>FES1162723677</v>
      </c>
      <c r="F310" s="3">
        <v>43788</v>
      </c>
      <c r="G310">
        <v>202006</v>
      </c>
      <c r="H310" t="s">
        <v>75</v>
      </c>
      <c r="I310" t="s">
        <v>76</v>
      </c>
      <c r="J310" t="s">
        <v>100</v>
      </c>
      <c r="K310" t="s">
        <v>78</v>
      </c>
      <c r="L310" t="s">
        <v>101</v>
      </c>
      <c r="M310" t="s">
        <v>102</v>
      </c>
      <c r="N310" t="s">
        <v>706</v>
      </c>
      <c r="O310" t="s">
        <v>104</v>
      </c>
      <c r="P310" t="str">
        <f>"2170715169                    "</f>
        <v xml:space="preserve">2170715169                    </v>
      </c>
      <c r="Q310">
        <v>0</v>
      </c>
      <c r="R310">
        <v>0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0</v>
      </c>
      <c r="Y310">
        <v>0</v>
      </c>
      <c r="Z310">
        <v>0</v>
      </c>
      <c r="AA310">
        <v>0</v>
      </c>
      <c r="AB310">
        <v>0</v>
      </c>
      <c r="AC310">
        <v>0</v>
      </c>
      <c r="AD310">
        <v>0</v>
      </c>
      <c r="AE310">
        <v>0</v>
      </c>
      <c r="AF310">
        <v>0</v>
      </c>
      <c r="AG310">
        <v>0</v>
      </c>
      <c r="AH310">
        <v>0</v>
      </c>
      <c r="AI310">
        <v>0</v>
      </c>
      <c r="AJ310">
        <v>0</v>
      </c>
      <c r="AK310">
        <v>0</v>
      </c>
      <c r="AL310">
        <v>0</v>
      </c>
      <c r="AM310">
        <v>15.21</v>
      </c>
      <c r="AN310">
        <v>0</v>
      </c>
      <c r="AO310">
        <v>0</v>
      </c>
      <c r="AP310">
        <v>0</v>
      </c>
      <c r="AQ310">
        <v>0</v>
      </c>
      <c r="AR310">
        <v>0</v>
      </c>
      <c r="AS310">
        <v>0</v>
      </c>
      <c r="AT310">
        <v>0</v>
      </c>
      <c r="AU310">
        <v>0</v>
      </c>
      <c r="AV310">
        <v>0</v>
      </c>
      <c r="AW310">
        <v>0</v>
      </c>
      <c r="AX310">
        <v>0</v>
      </c>
      <c r="AY310">
        <v>0</v>
      </c>
      <c r="AZ310">
        <v>0</v>
      </c>
      <c r="BA310">
        <v>0</v>
      </c>
      <c r="BB310">
        <v>0</v>
      </c>
      <c r="BC310">
        <v>0</v>
      </c>
      <c r="BD310">
        <v>0</v>
      </c>
      <c r="BE310">
        <v>0</v>
      </c>
      <c r="BF310">
        <v>0</v>
      </c>
      <c r="BG310">
        <v>0</v>
      </c>
      <c r="BH310">
        <v>1</v>
      </c>
      <c r="BI310">
        <v>7.9</v>
      </c>
      <c r="BJ310">
        <v>15.8</v>
      </c>
      <c r="BK310">
        <v>16</v>
      </c>
      <c r="BL310" s="4">
        <v>94.4</v>
      </c>
      <c r="BM310" s="4">
        <v>14.16</v>
      </c>
      <c r="BN310" s="4">
        <v>108.56</v>
      </c>
      <c r="BO310" s="4">
        <v>108.56</v>
      </c>
      <c r="BQ310" t="s">
        <v>93</v>
      </c>
      <c r="BR310" t="s">
        <v>105</v>
      </c>
      <c r="BS310" s="3">
        <v>43789</v>
      </c>
      <c r="BT310" s="5">
        <v>0.37361111111111112</v>
      </c>
      <c r="BU310" t="s">
        <v>734</v>
      </c>
      <c r="BV310" t="s">
        <v>86</v>
      </c>
      <c r="BY310">
        <v>78946.350000000006</v>
      </c>
      <c r="CA310" t="s">
        <v>735</v>
      </c>
      <c r="CC310" t="s">
        <v>102</v>
      </c>
      <c r="CD310">
        <v>1</v>
      </c>
      <c r="CE310" t="s">
        <v>96</v>
      </c>
      <c r="CF310" s="3">
        <v>43804</v>
      </c>
      <c r="CI310">
        <v>0</v>
      </c>
      <c r="CJ310">
        <v>0</v>
      </c>
      <c r="CK310" t="s">
        <v>108</v>
      </c>
      <c r="CL310" t="s">
        <v>89</v>
      </c>
    </row>
    <row r="311" spans="1:90">
      <c r="A311" t="s">
        <v>72</v>
      </c>
      <c r="B311" t="s">
        <v>73</v>
      </c>
      <c r="C311" t="s">
        <v>74</v>
      </c>
      <c r="E311" t="str">
        <f>"FES1162723739"</f>
        <v>FES1162723739</v>
      </c>
      <c r="F311" s="3">
        <v>43788</v>
      </c>
      <c r="G311">
        <v>202006</v>
      </c>
      <c r="H311" t="s">
        <v>75</v>
      </c>
      <c r="I311" t="s">
        <v>76</v>
      </c>
      <c r="J311" t="s">
        <v>100</v>
      </c>
      <c r="K311" t="s">
        <v>78</v>
      </c>
      <c r="L311" t="s">
        <v>101</v>
      </c>
      <c r="M311" t="s">
        <v>102</v>
      </c>
      <c r="N311" t="s">
        <v>736</v>
      </c>
      <c r="O311" t="s">
        <v>104</v>
      </c>
      <c r="P311" t="str">
        <f>"2170717335                    "</f>
        <v xml:space="preserve">2170717335                    </v>
      </c>
      <c r="Q311">
        <v>0</v>
      </c>
      <c r="R311">
        <v>0</v>
      </c>
      <c r="S311">
        <v>0</v>
      </c>
      <c r="T311">
        <v>0</v>
      </c>
      <c r="U311">
        <v>0</v>
      </c>
      <c r="V311">
        <v>0</v>
      </c>
      <c r="W311">
        <v>0</v>
      </c>
      <c r="X311">
        <v>0</v>
      </c>
      <c r="Y311">
        <v>0</v>
      </c>
      <c r="Z311">
        <v>0</v>
      </c>
      <c r="AA311">
        <v>0</v>
      </c>
      <c r="AB311">
        <v>0</v>
      </c>
      <c r="AC311">
        <v>0</v>
      </c>
      <c r="AD311">
        <v>0</v>
      </c>
      <c r="AE311">
        <v>0</v>
      </c>
      <c r="AF311">
        <v>0</v>
      </c>
      <c r="AG311">
        <v>0</v>
      </c>
      <c r="AH311">
        <v>0</v>
      </c>
      <c r="AI311">
        <v>0</v>
      </c>
      <c r="AJ311">
        <v>0</v>
      </c>
      <c r="AK311">
        <v>0</v>
      </c>
      <c r="AL311">
        <v>0</v>
      </c>
      <c r="AM311">
        <v>14.75</v>
      </c>
      <c r="AN311">
        <v>0</v>
      </c>
      <c r="AO311">
        <v>0</v>
      </c>
      <c r="AP311">
        <v>0</v>
      </c>
      <c r="AQ311">
        <v>0</v>
      </c>
      <c r="AR311">
        <v>0</v>
      </c>
      <c r="AS311">
        <v>0</v>
      </c>
      <c r="AT311">
        <v>0</v>
      </c>
      <c r="AU311">
        <v>0</v>
      </c>
      <c r="AV311">
        <v>0</v>
      </c>
      <c r="AW311">
        <v>0</v>
      </c>
      <c r="AX311">
        <v>0</v>
      </c>
      <c r="AY311">
        <v>0</v>
      </c>
      <c r="AZ311">
        <v>0</v>
      </c>
      <c r="BA311">
        <v>0</v>
      </c>
      <c r="BB311">
        <v>0</v>
      </c>
      <c r="BC311">
        <v>0</v>
      </c>
      <c r="BD311">
        <v>0</v>
      </c>
      <c r="BE311">
        <v>0</v>
      </c>
      <c r="BF311">
        <v>0</v>
      </c>
      <c r="BG311">
        <v>0</v>
      </c>
      <c r="BH311">
        <v>1</v>
      </c>
      <c r="BI311">
        <v>9.3000000000000007</v>
      </c>
      <c r="BJ311">
        <v>8.1</v>
      </c>
      <c r="BK311">
        <v>10</v>
      </c>
      <c r="BL311" s="4">
        <v>91.71</v>
      </c>
      <c r="BM311" s="4">
        <v>13.76</v>
      </c>
      <c r="BN311" s="4">
        <v>105.47</v>
      </c>
      <c r="BO311" s="4">
        <v>105.47</v>
      </c>
      <c r="BQ311" t="s">
        <v>135</v>
      </c>
      <c r="BR311" t="s">
        <v>105</v>
      </c>
      <c r="BS311" s="3">
        <v>43789</v>
      </c>
      <c r="BT311" s="5">
        <v>0.42986111111111108</v>
      </c>
      <c r="BU311" t="s">
        <v>737</v>
      </c>
      <c r="BV311" t="s">
        <v>86</v>
      </c>
      <c r="BY311">
        <v>40625.5</v>
      </c>
      <c r="CC311" t="s">
        <v>102</v>
      </c>
      <c r="CD311">
        <v>200</v>
      </c>
      <c r="CE311" t="s">
        <v>96</v>
      </c>
      <c r="CF311" s="3">
        <v>43804</v>
      </c>
      <c r="CI311">
        <v>0</v>
      </c>
      <c r="CJ311">
        <v>0</v>
      </c>
      <c r="CK311" t="s">
        <v>108</v>
      </c>
      <c r="CL311" t="s">
        <v>89</v>
      </c>
    </row>
    <row r="312" spans="1:90">
      <c r="A312" t="s">
        <v>72</v>
      </c>
      <c r="B312" t="s">
        <v>73</v>
      </c>
      <c r="C312" t="s">
        <v>74</v>
      </c>
      <c r="E312" t="str">
        <f>"FES1162723789"</f>
        <v>FES1162723789</v>
      </c>
      <c r="F312" s="3">
        <v>43788</v>
      </c>
      <c r="G312">
        <v>202006</v>
      </c>
      <c r="H312" t="s">
        <v>75</v>
      </c>
      <c r="I312" t="s">
        <v>76</v>
      </c>
      <c r="J312" t="s">
        <v>100</v>
      </c>
      <c r="K312" t="s">
        <v>78</v>
      </c>
      <c r="L312" t="s">
        <v>340</v>
      </c>
      <c r="M312" t="s">
        <v>341</v>
      </c>
      <c r="N312" t="s">
        <v>738</v>
      </c>
      <c r="O312" t="s">
        <v>104</v>
      </c>
      <c r="P312" t="str">
        <f>"2170717759                    "</f>
        <v xml:space="preserve">2170717759                    </v>
      </c>
      <c r="Q312">
        <v>0</v>
      </c>
      <c r="R312">
        <v>0</v>
      </c>
      <c r="S312">
        <v>0</v>
      </c>
      <c r="T312">
        <v>0</v>
      </c>
      <c r="U312">
        <v>0</v>
      </c>
      <c r="V312">
        <v>0</v>
      </c>
      <c r="W312">
        <v>0</v>
      </c>
      <c r="X312">
        <v>0</v>
      </c>
      <c r="Y312">
        <v>0</v>
      </c>
      <c r="Z312">
        <v>0</v>
      </c>
      <c r="AA312">
        <v>0</v>
      </c>
      <c r="AB312">
        <v>0</v>
      </c>
      <c r="AC312">
        <v>0</v>
      </c>
      <c r="AD312">
        <v>0</v>
      </c>
      <c r="AE312">
        <v>0</v>
      </c>
      <c r="AF312">
        <v>0</v>
      </c>
      <c r="AG312">
        <v>0</v>
      </c>
      <c r="AH312">
        <v>0</v>
      </c>
      <c r="AI312">
        <v>0</v>
      </c>
      <c r="AJ312">
        <v>0</v>
      </c>
      <c r="AK312">
        <v>0</v>
      </c>
      <c r="AL312">
        <v>0</v>
      </c>
      <c r="AM312">
        <v>16.09</v>
      </c>
      <c r="AN312">
        <v>0</v>
      </c>
      <c r="AO312">
        <v>0</v>
      </c>
      <c r="AP312">
        <v>0</v>
      </c>
      <c r="AQ312">
        <v>0</v>
      </c>
      <c r="AR312">
        <v>0</v>
      </c>
      <c r="AS312">
        <v>0</v>
      </c>
      <c r="AT312">
        <v>0</v>
      </c>
      <c r="AU312">
        <v>0</v>
      </c>
      <c r="AV312">
        <v>0</v>
      </c>
      <c r="AW312">
        <v>0</v>
      </c>
      <c r="AX312">
        <v>0</v>
      </c>
      <c r="AY312">
        <v>0</v>
      </c>
      <c r="AZ312">
        <v>0</v>
      </c>
      <c r="BA312">
        <v>0</v>
      </c>
      <c r="BB312">
        <v>0</v>
      </c>
      <c r="BC312">
        <v>0</v>
      </c>
      <c r="BD312">
        <v>0</v>
      </c>
      <c r="BE312">
        <v>0</v>
      </c>
      <c r="BF312">
        <v>0</v>
      </c>
      <c r="BG312">
        <v>0</v>
      </c>
      <c r="BH312">
        <v>1</v>
      </c>
      <c r="BI312">
        <v>3.5</v>
      </c>
      <c r="BJ312">
        <v>3.4</v>
      </c>
      <c r="BK312">
        <v>4</v>
      </c>
      <c r="BL312" s="4">
        <v>99.59</v>
      </c>
      <c r="BM312" s="4">
        <v>14.94</v>
      </c>
      <c r="BN312" s="4">
        <v>114.53</v>
      </c>
      <c r="BO312" s="4">
        <v>114.53</v>
      </c>
      <c r="BQ312" t="s">
        <v>93</v>
      </c>
      <c r="BR312" t="s">
        <v>105</v>
      </c>
      <c r="BS312" s="3">
        <v>43789</v>
      </c>
      <c r="BT312" s="5">
        <v>0.41666666666666669</v>
      </c>
      <c r="BU312" t="s">
        <v>739</v>
      </c>
      <c r="BV312" t="s">
        <v>86</v>
      </c>
      <c r="BY312">
        <v>16776.240000000002</v>
      </c>
      <c r="CC312" t="s">
        <v>341</v>
      </c>
      <c r="CD312">
        <v>1949</v>
      </c>
      <c r="CE312" t="s">
        <v>156</v>
      </c>
      <c r="CF312" s="3">
        <v>43804</v>
      </c>
      <c r="CI312">
        <v>1</v>
      </c>
      <c r="CJ312">
        <v>1</v>
      </c>
      <c r="CK312" t="s">
        <v>740</v>
      </c>
      <c r="CL312" t="s">
        <v>89</v>
      </c>
    </row>
    <row r="313" spans="1:90">
      <c r="A313" t="s">
        <v>72</v>
      </c>
      <c r="B313" t="s">
        <v>73</v>
      </c>
      <c r="C313" t="s">
        <v>74</v>
      </c>
      <c r="E313" t="str">
        <f>"FES1162726167"</f>
        <v>FES1162726167</v>
      </c>
      <c r="F313" s="3">
        <v>43801</v>
      </c>
      <c r="G313">
        <v>202006</v>
      </c>
      <c r="H313" t="s">
        <v>75</v>
      </c>
      <c r="I313" t="s">
        <v>76</v>
      </c>
      <c r="J313" t="s">
        <v>77</v>
      </c>
      <c r="K313" t="s">
        <v>78</v>
      </c>
      <c r="L313" t="s">
        <v>221</v>
      </c>
      <c r="M313" t="s">
        <v>222</v>
      </c>
      <c r="N313" t="s">
        <v>236</v>
      </c>
      <c r="O313" t="s">
        <v>104</v>
      </c>
      <c r="P313" t="str">
        <f>"2170719565                    "</f>
        <v xml:space="preserve">2170719565                    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  <c r="AA313">
        <v>0</v>
      </c>
      <c r="AB313">
        <v>0</v>
      </c>
      <c r="AC313">
        <v>0</v>
      </c>
      <c r="AD313">
        <v>0</v>
      </c>
      <c r="AE313">
        <v>0</v>
      </c>
      <c r="AF313">
        <v>0</v>
      </c>
      <c r="AG313">
        <v>0</v>
      </c>
      <c r="AH313">
        <v>0</v>
      </c>
      <c r="AI313">
        <v>0</v>
      </c>
      <c r="AJ313">
        <v>0</v>
      </c>
      <c r="AK313">
        <v>0</v>
      </c>
      <c r="AL313">
        <v>0</v>
      </c>
      <c r="AM313">
        <v>28.59</v>
      </c>
      <c r="AN313">
        <v>0</v>
      </c>
      <c r="AO313">
        <v>0</v>
      </c>
      <c r="AP313">
        <v>0</v>
      </c>
      <c r="AQ313">
        <v>0</v>
      </c>
      <c r="AR313">
        <v>0</v>
      </c>
      <c r="AS313">
        <v>0</v>
      </c>
      <c r="AT313">
        <v>0</v>
      </c>
      <c r="AU313">
        <v>0</v>
      </c>
      <c r="AV313">
        <v>0</v>
      </c>
      <c r="AW313">
        <v>0</v>
      </c>
      <c r="AX313">
        <v>0</v>
      </c>
      <c r="AY313">
        <v>0</v>
      </c>
      <c r="AZ313">
        <v>0</v>
      </c>
      <c r="BA313">
        <v>0</v>
      </c>
      <c r="BB313">
        <v>0</v>
      </c>
      <c r="BC313">
        <v>0</v>
      </c>
      <c r="BD313">
        <v>0</v>
      </c>
      <c r="BE313">
        <v>0</v>
      </c>
      <c r="BF313">
        <v>0</v>
      </c>
      <c r="BG313">
        <v>0</v>
      </c>
      <c r="BH313">
        <v>1</v>
      </c>
      <c r="BI313">
        <v>22</v>
      </c>
      <c r="BJ313">
        <v>30.9</v>
      </c>
      <c r="BK313">
        <v>31</v>
      </c>
      <c r="BL313" s="4">
        <v>173.03</v>
      </c>
      <c r="BM313" s="4">
        <v>25.95</v>
      </c>
      <c r="BN313" s="4">
        <v>198.98</v>
      </c>
      <c r="BO313" s="4">
        <v>198.98</v>
      </c>
      <c r="BQ313" t="s">
        <v>93</v>
      </c>
      <c r="BR313" t="s">
        <v>84</v>
      </c>
      <c r="BS313" s="3">
        <v>43802</v>
      </c>
      <c r="BT313" s="5">
        <v>0.44861111111111113</v>
      </c>
      <c r="BU313" t="s">
        <v>237</v>
      </c>
      <c r="BV313" t="s">
        <v>86</v>
      </c>
      <c r="BY313">
        <v>154747.82</v>
      </c>
      <c r="CA313" t="s">
        <v>225</v>
      </c>
      <c r="CC313" t="s">
        <v>222</v>
      </c>
      <c r="CD313">
        <v>3212</v>
      </c>
      <c r="CE313" t="s">
        <v>96</v>
      </c>
      <c r="CF313" s="3">
        <v>43803</v>
      </c>
      <c r="CI313">
        <v>1</v>
      </c>
      <c r="CJ313">
        <v>1</v>
      </c>
      <c r="CK313" t="s">
        <v>741</v>
      </c>
      <c r="CL313" t="s">
        <v>89</v>
      </c>
    </row>
    <row r="314" spans="1:90">
      <c r="A314" t="s">
        <v>72</v>
      </c>
      <c r="B314" t="s">
        <v>73</v>
      </c>
      <c r="C314" t="s">
        <v>74</v>
      </c>
      <c r="E314" t="str">
        <f>"FES1162727468"</f>
        <v>FES1162727468</v>
      </c>
      <c r="F314" s="3">
        <v>43809</v>
      </c>
      <c r="G314">
        <v>202006</v>
      </c>
      <c r="H314" t="s">
        <v>75</v>
      </c>
      <c r="I314" t="s">
        <v>76</v>
      </c>
      <c r="J314" t="s">
        <v>77</v>
      </c>
      <c r="K314" t="s">
        <v>78</v>
      </c>
      <c r="L314" t="s">
        <v>198</v>
      </c>
      <c r="M314" t="s">
        <v>199</v>
      </c>
      <c r="N314" t="s">
        <v>485</v>
      </c>
      <c r="O314" t="s">
        <v>82</v>
      </c>
      <c r="P314" t="str">
        <f>"2170710952                    "</f>
        <v xml:space="preserve">2170710952                    </v>
      </c>
      <c r="Q314">
        <v>0</v>
      </c>
      <c r="R314">
        <v>0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0</v>
      </c>
      <c r="Y314">
        <v>0</v>
      </c>
      <c r="Z314">
        <v>0</v>
      </c>
      <c r="AA314">
        <v>0</v>
      </c>
      <c r="AB314">
        <v>0</v>
      </c>
      <c r="AC314">
        <v>0</v>
      </c>
      <c r="AD314">
        <v>0</v>
      </c>
      <c r="AE314">
        <v>0</v>
      </c>
      <c r="AF314">
        <v>0</v>
      </c>
      <c r="AG314">
        <v>0</v>
      </c>
      <c r="AH314">
        <v>0</v>
      </c>
      <c r="AI314">
        <v>0</v>
      </c>
      <c r="AJ314">
        <v>0</v>
      </c>
      <c r="AK314">
        <v>0</v>
      </c>
      <c r="AL314">
        <v>0</v>
      </c>
      <c r="AM314">
        <v>8.58</v>
      </c>
      <c r="AN314">
        <v>0</v>
      </c>
      <c r="AO314">
        <v>0</v>
      </c>
      <c r="AP314">
        <v>0</v>
      </c>
      <c r="AQ314">
        <v>0</v>
      </c>
      <c r="AR314">
        <v>0</v>
      </c>
      <c r="AS314">
        <v>0</v>
      </c>
      <c r="AT314">
        <v>0</v>
      </c>
      <c r="AU314">
        <v>0</v>
      </c>
      <c r="AV314">
        <v>0</v>
      </c>
      <c r="AW314">
        <v>0</v>
      </c>
      <c r="AX314">
        <v>0</v>
      </c>
      <c r="AY314">
        <v>0</v>
      </c>
      <c r="AZ314">
        <v>0</v>
      </c>
      <c r="BA314">
        <v>0</v>
      </c>
      <c r="BB314">
        <v>0</v>
      </c>
      <c r="BC314">
        <v>0</v>
      </c>
      <c r="BD314">
        <v>0</v>
      </c>
      <c r="BE314">
        <v>0</v>
      </c>
      <c r="BF314">
        <v>0</v>
      </c>
      <c r="BG314">
        <v>0</v>
      </c>
      <c r="BH314">
        <v>1</v>
      </c>
      <c r="BI314">
        <v>1</v>
      </c>
      <c r="BJ314">
        <v>0.2</v>
      </c>
      <c r="BK314">
        <v>1</v>
      </c>
      <c r="BL314" s="4">
        <v>50.45</v>
      </c>
      <c r="BM314" s="4">
        <v>7.57</v>
      </c>
      <c r="BN314" s="4">
        <v>58.02</v>
      </c>
      <c r="BO314" s="4">
        <v>58.02</v>
      </c>
      <c r="BQ314" t="s">
        <v>486</v>
      </c>
      <c r="BR314" t="s">
        <v>84</v>
      </c>
      <c r="BS314" s="3">
        <v>43810</v>
      </c>
      <c r="BT314" s="5">
        <v>0.32430555555555557</v>
      </c>
      <c r="BU314" t="s">
        <v>742</v>
      </c>
      <c r="BV314" t="s">
        <v>86</v>
      </c>
      <c r="BY314">
        <v>1200</v>
      </c>
      <c r="CA314" t="s">
        <v>488</v>
      </c>
      <c r="CC314" t="s">
        <v>199</v>
      </c>
      <c r="CD314">
        <v>4001</v>
      </c>
      <c r="CE314" t="s">
        <v>88</v>
      </c>
      <c r="CF314" s="3">
        <v>43811</v>
      </c>
      <c r="CI314">
        <v>1</v>
      </c>
      <c r="CJ314">
        <v>1</v>
      </c>
      <c r="CK314">
        <v>21</v>
      </c>
      <c r="CL314" t="s">
        <v>89</v>
      </c>
    </row>
    <row r="315" spans="1:90">
      <c r="A315" t="s">
        <v>72</v>
      </c>
      <c r="B315" t="s">
        <v>73</v>
      </c>
      <c r="C315" t="s">
        <v>74</v>
      </c>
      <c r="E315" t="str">
        <f>"FES1162727510"</f>
        <v>FES1162727510</v>
      </c>
      <c r="F315" s="3">
        <v>43809</v>
      </c>
      <c r="G315">
        <v>202006</v>
      </c>
      <c r="H315" t="s">
        <v>75</v>
      </c>
      <c r="I315" t="s">
        <v>76</v>
      </c>
      <c r="J315" t="s">
        <v>77</v>
      </c>
      <c r="K315" t="s">
        <v>78</v>
      </c>
      <c r="L315" t="s">
        <v>667</v>
      </c>
      <c r="M315" t="s">
        <v>668</v>
      </c>
      <c r="N315" t="s">
        <v>733</v>
      </c>
      <c r="O315" t="s">
        <v>82</v>
      </c>
      <c r="P315" t="str">
        <f>"217071006                     "</f>
        <v xml:space="preserve">217071006                     </v>
      </c>
      <c r="Q315">
        <v>0</v>
      </c>
      <c r="R315">
        <v>0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0</v>
      </c>
      <c r="AA315">
        <v>0</v>
      </c>
      <c r="AB315">
        <v>0</v>
      </c>
      <c r="AC315">
        <v>0</v>
      </c>
      <c r="AD315">
        <v>0</v>
      </c>
      <c r="AE315">
        <v>0</v>
      </c>
      <c r="AF315">
        <v>0</v>
      </c>
      <c r="AG315">
        <v>0</v>
      </c>
      <c r="AH315">
        <v>0</v>
      </c>
      <c r="AI315">
        <v>0</v>
      </c>
      <c r="AJ315">
        <v>0</v>
      </c>
      <c r="AK315">
        <v>0</v>
      </c>
      <c r="AL315">
        <v>0</v>
      </c>
      <c r="AM315">
        <v>12.07</v>
      </c>
      <c r="AN315">
        <v>0</v>
      </c>
      <c r="AO315">
        <v>0</v>
      </c>
      <c r="AP315">
        <v>0</v>
      </c>
      <c r="AQ315">
        <v>0</v>
      </c>
      <c r="AR315">
        <v>0</v>
      </c>
      <c r="AS315">
        <v>0</v>
      </c>
      <c r="AT315">
        <v>0</v>
      </c>
      <c r="AU315">
        <v>0</v>
      </c>
      <c r="AV315">
        <v>0</v>
      </c>
      <c r="AW315">
        <v>0</v>
      </c>
      <c r="AX315">
        <v>0</v>
      </c>
      <c r="AY315">
        <v>0</v>
      </c>
      <c r="AZ315">
        <v>0</v>
      </c>
      <c r="BA315">
        <v>0</v>
      </c>
      <c r="BB315">
        <v>0</v>
      </c>
      <c r="BC315">
        <v>0</v>
      </c>
      <c r="BD315">
        <v>0</v>
      </c>
      <c r="BE315">
        <v>0</v>
      </c>
      <c r="BF315">
        <v>0</v>
      </c>
      <c r="BG315">
        <v>0</v>
      </c>
      <c r="BH315">
        <v>1</v>
      </c>
      <c r="BI315">
        <v>1</v>
      </c>
      <c r="BJ315">
        <v>0.2</v>
      </c>
      <c r="BK315">
        <v>1</v>
      </c>
      <c r="BL315" s="4">
        <v>70.95</v>
      </c>
      <c r="BM315" s="4">
        <v>10.64</v>
      </c>
      <c r="BN315" s="4">
        <v>81.59</v>
      </c>
      <c r="BO315" s="4">
        <v>81.59</v>
      </c>
      <c r="BQ315" t="s">
        <v>93</v>
      </c>
      <c r="BR315" t="s">
        <v>84</v>
      </c>
      <c r="BS315" s="3">
        <v>43810</v>
      </c>
      <c r="BT315" s="5">
        <v>0.4236111111111111</v>
      </c>
      <c r="BU315" t="s">
        <v>743</v>
      </c>
      <c r="BV315" t="s">
        <v>86</v>
      </c>
      <c r="BY315">
        <v>1200</v>
      </c>
      <c r="CC315" t="s">
        <v>668</v>
      </c>
      <c r="CD315">
        <v>1759</v>
      </c>
      <c r="CE315" t="s">
        <v>88</v>
      </c>
      <c r="CF315" s="3">
        <v>43811</v>
      </c>
      <c r="CI315">
        <v>1</v>
      </c>
      <c r="CJ315">
        <v>1</v>
      </c>
      <c r="CK315">
        <v>24</v>
      </c>
      <c r="CL315" t="s">
        <v>89</v>
      </c>
    </row>
    <row r="316" spans="1:90">
      <c r="A316" t="s">
        <v>72</v>
      </c>
      <c r="B316" t="s">
        <v>73</v>
      </c>
      <c r="C316" t="s">
        <v>74</v>
      </c>
      <c r="E316" t="str">
        <f>"FES1162726969"</f>
        <v>FES1162726969</v>
      </c>
      <c r="F316" s="3">
        <v>43804</v>
      </c>
      <c r="G316">
        <v>202006</v>
      </c>
      <c r="H316" t="s">
        <v>75</v>
      </c>
      <c r="I316" t="s">
        <v>76</v>
      </c>
      <c r="J316" t="s">
        <v>77</v>
      </c>
      <c r="K316" t="s">
        <v>78</v>
      </c>
      <c r="L316" t="s">
        <v>75</v>
      </c>
      <c r="M316" t="s">
        <v>76</v>
      </c>
      <c r="N316" t="s">
        <v>744</v>
      </c>
      <c r="O316" t="s">
        <v>82</v>
      </c>
      <c r="P316" t="str">
        <f>"2170720373                    "</f>
        <v xml:space="preserve">2170720373                    </v>
      </c>
      <c r="Q316">
        <v>0</v>
      </c>
      <c r="R316">
        <v>0</v>
      </c>
      <c r="S316">
        <v>0</v>
      </c>
      <c r="T316">
        <v>0</v>
      </c>
      <c r="U316">
        <v>0</v>
      </c>
      <c r="V316">
        <v>0</v>
      </c>
      <c r="W316">
        <v>0</v>
      </c>
      <c r="X316">
        <v>0</v>
      </c>
      <c r="Y316">
        <v>0</v>
      </c>
      <c r="Z316">
        <v>0</v>
      </c>
      <c r="AA316">
        <v>0</v>
      </c>
      <c r="AB316">
        <v>0</v>
      </c>
      <c r="AC316">
        <v>0</v>
      </c>
      <c r="AD316">
        <v>0</v>
      </c>
      <c r="AE316">
        <v>0</v>
      </c>
      <c r="AF316">
        <v>0</v>
      </c>
      <c r="AG316">
        <v>0</v>
      </c>
      <c r="AH316">
        <v>0</v>
      </c>
      <c r="AI316">
        <v>0</v>
      </c>
      <c r="AJ316">
        <v>0</v>
      </c>
      <c r="AK316">
        <v>0</v>
      </c>
      <c r="AL316">
        <v>0</v>
      </c>
      <c r="AM316">
        <v>6.71</v>
      </c>
      <c r="AN316">
        <v>0</v>
      </c>
      <c r="AO316">
        <v>0</v>
      </c>
      <c r="AP316">
        <v>0</v>
      </c>
      <c r="AQ316">
        <v>0</v>
      </c>
      <c r="AR316">
        <v>0</v>
      </c>
      <c r="AS316">
        <v>0</v>
      </c>
      <c r="AT316">
        <v>0</v>
      </c>
      <c r="AU316">
        <v>0</v>
      </c>
      <c r="AV316">
        <v>0</v>
      </c>
      <c r="AW316">
        <v>0</v>
      </c>
      <c r="AX316">
        <v>0</v>
      </c>
      <c r="AY316">
        <v>0</v>
      </c>
      <c r="AZ316">
        <v>0</v>
      </c>
      <c r="BA316">
        <v>0</v>
      </c>
      <c r="BB316">
        <v>0</v>
      </c>
      <c r="BC316">
        <v>0</v>
      </c>
      <c r="BD316">
        <v>0</v>
      </c>
      <c r="BE316">
        <v>0</v>
      </c>
      <c r="BF316">
        <v>0</v>
      </c>
      <c r="BG316">
        <v>0</v>
      </c>
      <c r="BH316">
        <v>1</v>
      </c>
      <c r="BI316">
        <v>1</v>
      </c>
      <c r="BJ316">
        <v>0.2</v>
      </c>
      <c r="BK316">
        <v>1</v>
      </c>
      <c r="BL316" s="4">
        <v>39.42</v>
      </c>
      <c r="BM316" s="4">
        <v>5.91</v>
      </c>
      <c r="BN316" s="4">
        <v>45.33</v>
      </c>
      <c r="BO316" s="4">
        <v>45.33</v>
      </c>
      <c r="BR316" t="s">
        <v>84</v>
      </c>
      <c r="BS316" s="3">
        <v>43805</v>
      </c>
      <c r="BT316" s="5">
        <v>0.32083333333333336</v>
      </c>
      <c r="BU316" t="s">
        <v>745</v>
      </c>
      <c r="BV316" t="s">
        <v>86</v>
      </c>
      <c r="BY316">
        <v>1200</v>
      </c>
      <c r="CA316" t="s">
        <v>746</v>
      </c>
      <c r="CC316" t="s">
        <v>76</v>
      </c>
      <c r="CD316">
        <v>1601</v>
      </c>
      <c r="CE316" t="s">
        <v>88</v>
      </c>
      <c r="CF316" s="3">
        <v>43808</v>
      </c>
      <c r="CI316">
        <v>1</v>
      </c>
      <c r="CJ316">
        <v>1</v>
      </c>
      <c r="CK316">
        <v>22</v>
      </c>
      <c r="CL316" t="s">
        <v>89</v>
      </c>
    </row>
    <row r="317" spans="1:90">
      <c r="A317" t="s">
        <v>72</v>
      </c>
      <c r="B317" t="s">
        <v>73</v>
      </c>
      <c r="C317" t="s">
        <v>74</v>
      </c>
      <c r="E317" t="str">
        <f>"FES1162726787"</f>
        <v>FES1162726787</v>
      </c>
      <c r="F317" s="3">
        <v>43803</v>
      </c>
      <c r="G317">
        <v>202006</v>
      </c>
      <c r="H317" t="s">
        <v>75</v>
      </c>
      <c r="I317" t="s">
        <v>76</v>
      </c>
      <c r="J317" t="s">
        <v>77</v>
      </c>
      <c r="K317" t="s">
        <v>78</v>
      </c>
      <c r="L317" t="s">
        <v>201</v>
      </c>
      <c r="M317" t="s">
        <v>202</v>
      </c>
      <c r="N317" t="s">
        <v>286</v>
      </c>
      <c r="O317" t="s">
        <v>82</v>
      </c>
      <c r="P317" t="str">
        <f>"2170720227                    "</f>
        <v xml:space="preserve">2170720227                    </v>
      </c>
      <c r="Q317">
        <v>0</v>
      </c>
      <c r="R317">
        <v>0</v>
      </c>
      <c r="S317">
        <v>0</v>
      </c>
      <c r="T317">
        <v>0</v>
      </c>
      <c r="U317">
        <v>0</v>
      </c>
      <c r="V317">
        <v>0</v>
      </c>
      <c r="W317">
        <v>0</v>
      </c>
      <c r="X317">
        <v>0</v>
      </c>
      <c r="Y317">
        <v>0</v>
      </c>
      <c r="Z317">
        <v>0</v>
      </c>
      <c r="AA317">
        <v>0</v>
      </c>
      <c r="AB317">
        <v>0</v>
      </c>
      <c r="AC317">
        <v>0</v>
      </c>
      <c r="AD317">
        <v>0</v>
      </c>
      <c r="AE317">
        <v>0</v>
      </c>
      <c r="AF317">
        <v>0</v>
      </c>
      <c r="AG317">
        <v>0</v>
      </c>
      <c r="AH317">
        <v>0</v>
      </c>
      <c r="AI317">
        <v>0</v>
      </c>
      <c r="AJ317">
        <v>0</v>
      </c>
      <c r="AK317">
        <v>0</v>
      </c>
      <c r="AL317">
        <v>0</v>
      </c>
      <c r="AM317">
        <v>21.45</v>
      </c>
      <c r="AN317">
        <v>0</v>
      </c>
      <c r="AO317">
        <v>0</v>
      </c>
      <c r="AP317">
        <v>0</v>
      </c>
      <c r="AQ317">
        <v>0</v>
      </c>
      <c r="AR317">
        <v>0</v>
      </c>
      <c r="AS317">
        <v>0</v>
      </c>
      <c r="AT317">
        <v>0</v>
      </c>
      <c r="AU317">
        <v>0</v>
      </c>
      <c r="AV317">
        <v>0</v>
      </c>
      <c r="AW317">
        <v>0</v>
      </c>
      <c r="AX317">
        <v>0</v>
      </c>
      <c r="AY317">
        <v>0</v>
      </c>
      <c r="AZ317">
        <v>0</v>
      </c>
      <c r="BA317">
        <v>0</v>
      </c>
      <c r="BB317">
        <v>0</v>
      </c>
      <c r="BC317">
        <v>0</v>
      </c>
      <c r="BD317">
        <v>0</v>
      </c>
      <c r="BE317">
        <v>0</v>
      </c>
      <c r="BF317">
        <v>0</v>
      </c>
      <c r="BG317">
        <v>0</v>
      </c>
      <c r="BH317">
        <v>1</v>
      </c>
      <c r="BI317">
        <v>5</v>
      </c>
      <c r="BJ317">
        <v>3.5</v>
      </c>
      <c r="BK317">
        <v>5</v>
      </c>
      <c r="BL317" s="4">
        <v>126.08</v>
      </c>
      <c r="BM317" s="4">
        <v>18.91</v>
      </c>
      <c r="BN317" s="4">
        <v>144.99</v>
      </c>
      <c r="BO317" s="4">
        <v>144.99</v>
      </c>
      <c r="BQ317" t="s">
        <v>93</v>
      </c>
      <c r="BR317" t="s">
        <v>84</v>
      </c>
      <c r="BS317" s="3">
        <v>43804</v>
      </c>
      <c r="BT317" s="5">
        <v>0.4055555555555555</v>
      </c>
      <c r="BU317" t="s">
        <v>287</v>
      </c>
      <c r="BV317" t="s">
        <v>86</v>
      </c>
      <c r="BY317">
        <v>17315.099999999999</v>
      </c>
      <c r="BZ317" t="s">
        <v>27</v>
      </c>
      <c r="CA317" t="s">
        <v>288</v>
      </c>
      <c r="CC317" t="s">
        <v>202</v>
      </c>
      <c r="CD317">
        <v>3610</v>
      </c>
      <c r="CE317" t="s">
        <v>116</v>
      </c>
      <c r="CF317" s="3">
        <v>43808</v>
      </c>
      <c r="CI317">
        <v>1</v>
      </c>
      <c r="CJ317">
        <v>1</v>
      </c>
      <c r="CK317">
        <v>21</v>
      </c>
      <c r="CL317" t="s">
        <v>89</v>
      </c>
    </row>
    <row r="318" spans="1:90">
      <c r="A318" t="s">
        <v>72</v>
      </c>
      <c r="B318" t="s">
        <v>73</v>
      </c>
      <c r="C318" t="s">
        <v>74</v>
      </c>
      <c r="E318" t="str">
        <f>"FES1162726746"</f>
        <v>FES1162726746</v>
      </c>
      <c r="F318" s="3">
        <v>43803</v>
      </c>
      <c r="G318">
        <v>202006</v>
      </c>
      <c r="H318" t="s">
        <v>75</v>
      </c>
      <c r="I318" t="s">
        <v>76</v>
      </c>
      <c r="J318" t="s">
        <v>77</v>
      </c>
      <c r="K318" t="s">
        <v>78</v>
      </c>
      <c r="L318" t="s">
        <v>75</v>
      </c>
      <c r="M318" t="s">
        <v>76</v>
      </c>
      <c r="N318" t="s">
        <v>312</v>
      </c>
      <c r="O318" t="s">
        <v>82</v>
      </c>
      <c r="P318" t="str">
        <f>"2170720173                    "</f>
        <v xml:space="preserve">2170720173                    </v>
      </c>
      <c r="Q318">
        <v>0</v>
      </c>
      <c r="R318">
        <v>0</v>
      </c>
      <c r="S318">
        <v>0</v>
      </c>
      <c r="T318">
        <v>0</v>
      </c>
      <c r="U318">
        <v>0</v>
      </c>
      <c r="V318">
        <v>0</v>
      </c>
      <c r="W318">
        <v>0</v>
      </c>
      <c r="X318">
        <v>0</v>
      </c>
      <c r="Y318">
        <v>0</v>
      </c>
      <c r="Z318">
        <v>0</v>
      </c>
      <c r="AA318">
        <v>0</v>
      </c>
      <c r="AB318">
        <v>0</v>
      </c>
      <c r="AC318">
        <v>0</v>
      </c>
      <c r="AD318">
        <v>0</v>
      </c>
      <c r="AE318">
        <v>0</v>
      </c>
      <c r="AF318">
        <v>0</v>
      </c>
      <c r="AG318">
        <v>0</v>
      </c>
      <c r="AH318">
        <v>0</v>
      </c>
      <c r="AI318">
        <v>0</v>
      </c>
      <c r="AJ318">
        <v>0</v>
      </c>
      <c r="AK318">
        <v>0</v>
      </c>
      <c r="AL318">
        <v>0</v>
      </c>
      <c r="AM318">
        <v>6.71</v>
      </c>
      <c r="AN318">
        <v>0</v>
      </c>
      <c r="AO318">
        <v>0</v>
      </c>
      <c r="AP318">
        <v>0</v>
      </c>
      <c r="AQ318">
        <v>0</v>
      </c>
      <c r="AR318">
        <v>0</v>
      </c>
      <c r="AS318">
        <v>0</v>
      </c>
      <c r="AT318">
        <v>0</v>
      </c>
      <c r="AU318">
        <v>0</v>
      </c>
      <c r="AV318">
        <v>0</v>
      </c>
      <c r="AW318">
        <v>0</v>
      </c>
      <c r="AX318">
        <v>0</v>
      </c>
      <c r="AY318">
        <v>0</v>
      </c>
      <c r="AZ318">
        <v>0</v>
      </c>
      <c r="BA318">
        <v>0</v>
      </c>
      <c r="BB318">
        <v>0</v>
      </c>
      <c r="BC318">
        <v>0</v>
      </c>
      <c r="BD318">
        <v>0</v>
      </c>
      <c r="BE318">
        <v>0</v>
      </c>
      <c r="BF318">
        <v>0</v>
      </c>
      <c r="BG318">
        <v>0</v>
      </c>
      <c r="BH318">
        <v>1</v>
      </c>
      <c r="BI318">
        <v>1</v>
      </c>
      <c r="BJ318">
        <v>0.2</v>
      </c>
      <c r="BK318">
        <v>1</v>
      </c>
      <c r="BL318" s="4">
        <v>39.42</v>
      </c>
      <c r="BM318" s="4">
        <v>5.91</v>
      </c>
      <c r="BN318" s="4">
        <v>45.33</v>
      </c>
      <c r="BO318" s="4">
        <v>45.33</v>
      </c>
      <c r="BQ318" t="s">
        <v>147</v>
      </c>
      <c r="BR318" t="s">
        <v>84</v>
      </c>
      <c r="BS318" s="3">
        <v>43804</v>
      </c>
      <c r="BT318" s="5">
        <v>0.33333333333333331</v>
      </c>
      <c r="BU318" t="s">
        <v>313</v>
      </c>
      <c r="BV318" t="s">
        <v>86</v>
      </c>
      <c r="BY318">
        <v>1200</v>
      </c>
      <c r="CA318" t="s">
        <v>314</v>
      </c>
      <c r="CC318" t="s">
        <v>76</v>
      </c>
      <c r="CD318">
        <v>1609</v>
      </c>
      <c r="CE318" t="s">
        <v>88</v>
      </c>
      <c r="CF318" s="3">
        <v>43805</v>
      </c>
      <c r="CI318">
        <v>1</v>
      </c>
      <c r="CJ318">
        <v>1</v>
      </c>
      <c r="CK318">
        <v>22</v>
      </c>
      <c r="CL318" t="s">
        <v>89</v>
      </c>
    </row>
    <row r="319" spans="1:90">
      <c r="A319" t="s">
        <v>72</v>
      </c>
      <c r="B319" t="s">
        <v>73</v>
      </c>
      <c r="C319" t="s">
        <v>74</v>
      </c>
      <c r="E319" t="str">
        <f>"FES1162726819"</f>
        <v>FES1162726819</v>
      </c>
      <c r="F319" s="3">
        <v>43804</v>
      </c>
      <c r="G319">
        <v>202006</v>
      </c>
      <c r="H319" t="s">
        <v>75</v>
      </c>
      <c r="I319" t="s">
        <v>76</v>
      </c>
      <c r="J319" t="s">
        <v>77</v>
      </c>
      <c r="K319" t="s">
        <v>78</v>
      </c>
      <c r="L319" t="s">
        <v>90</v>
      </c>
      <c r="M319" t="s">
        <v>91</v>
      </c>
      <c r="N319" t="s">
        <v>207</v>
      </c>
      <c r="O319" t="s">
        <v>82</v>
      </c>
      <c r="P319" t="str">
        <f>"2170720266                    "</f>
        <v xml:space="preserve">2170720266                    </v>
      </c>
      <c r="Q319">
        <v>0</v>
      </c>
      <c r="R319">
        <v>0</v>
      </c>
      <c r="S319">
        <v>0</v>
      </c>
      <c r="T319">
        <v>0</v>
      </c>
      <c r="U319">
        <v>0</v>
      </c>
      <c r="V319">
        <v>0</v>
      </c>
      <c r="W319">
        <v>0</v>
      </c>
      <c r="X319">
        <v>0</v>
      </c>
      <c r="Y319">
        <v>0</v>
      </c>
      <c r="Z319">
        <v>0</v>
      </c>
      <c r="AA319">
        <v>0</v>
      </c>
      <c r="AB319">
        <v>0</v>
      </c>
      <c r="AC319">
        <v>0</v>
      </c>
      <c r="AD319">
        <v>0</v>
      </c>
      <c r="AE319">
        <v>0</v>
      </c>
      <c r="AF319">
        <v>0</v>
      </c>
      <c r="AG319">
        <v>0</v>
      </c>
      <c r="AH319">
        <v>0</v>
      </c>
      <c r="AI319">
        <v>0</v>
      </c>
      <c r="AJ319">
        <v>0</v>
      </c>
      <c r="AK319">
        <v>0</v>
      </c>
      <c r="AL319">
        <v>0</v>
      </c>
      <c r="AM319">
        <v>8.58</v>
      </c>
      <c r="AN319">
        <v>0</v>
      </c>
      <c r="AO319">
        <v>0</v>
      </c>
      <c r="AP319">
        <v>0</v>
      </c>
      <c r="AQ319">
        <v>0</v>
      </c>
      <c r="AR319">
        <v>0</v>
      </c>
      <c r="AS319">
        <v>0</v>
      </c>
      <c r="AT319">
        <v>0</v>
      </c>
      <c r="AU319">
        <v>0</v>
      </c>
      <c r="AV319">
        <v>0</v>
      </c>
      <c r="AW319">
        <v>0</v>
      </c>
      <c r="AX319">
        <v>0</v>
      </c>
      <c r="AY319">
        <v>0</v>
      </c>
      <c r="AZ319">
        <v>0</v>
      </c>
      <c r="BA319">
        <v>0</v>
      </c>
      <c r="BB319">
        <v>0</v>
      </c>
      <c r="BC319">
        <v>0</v>
      </c>
      <c r="BD319">
        <v>0</v>
      </c>
      <c r="BE319">
        <v>0</v>
      </c>
      <c r="BF319">
        <v>0</v>
      </c>
      <c r="BG319">
        <v>0</v>
      </c>
      <c r="BH319">
        <v>1</v>
      </c>
      <c r="BI319">
        <v>1</v>
      </c>
      <c r="BJ319">
        <v>0.2</v>
      </c>
      <c r="BK319">
        <v>1</v>
      </c>
      <c r="BL319" s="4">
        <v>50.45</v>
      </c>
      <c r="BM319" s="4">
        <v>7.57</v>
      </c>
      <c r="BN319" s="4">
        <v>58.02</v>
      </c>
      <c r="BO319" s="4">
        <v>58.02</v>
      </c>
      <c r="BQ319" t="s">
        <v>147</v>
      </c>
      <c r="BR319" t="s">
        <v>84</v>
      </c>
      <c r="BS319" s="3">
        <v>43805</v>
      </c>
      <c r="BT319" s="5">
        <v>0.37847222222222227</v>
      </c>
      <c r="BU319" t="s">
        <v>747</v>
      </c>
      <c r="BV319" t="s">
        <v>86</v>
      </c>
      <c r="BY319">
        <v>1200</v>
      </c>
      <c r="CA319" t="s">
        <v>209</v>
      </c>
      <c r="CC319" t="s">
        <v>91</v>
      </c>
      <c r="CD319">
        <v>7441</v>
      </c>
      <c r="CE319" t="s">
        <v>88</v>
      </c>
      <c r="CF319" s="3">
        <v>43808</v>
      </c>
      <c r="CI319">
        <v>1</v>
      </c>
      <c r="CJ319">
        <v>1</v>
      </c>
      <c r="CK319">
        <v>21</v>
      </c>
      <c r="CL319" t="s">
        <v>89</v>
      </c>
    </row>
    <row r="320" spans="1:90">
      <c r="A320" t="s">
        <v>72</v>
      </c>
      <c r="B320" t="s">
        <v>73</v>
      </c>
      <c r="C320" t="s">
        <v>74</v>
      </c>
      <c r="E320" t="str">
        <f>"FES1162726802"</f>
        <v>FES1162726802</v>
      </c>
      <c r="F320" s="3">
        <v>43803</v>
      </c>
      <c r="G320">
        <v>202006</v>
      </c>
      <c r="H320" t="s">
        <v>75</v>
      </c>
      <c r="I320" t="s">
        <v>76</v>
      </c>
      <c r="J320" t="s">
        <v>77</v>
      </c>
      <c r="K320" t="s">
        <v>78</v>
      </c>
      <c r="L320" t="s">
        <v>404</v>
      </c>
      <c r="M320" t="s">
        <v>405</v>
      </c>
      <c r="N320" t="s">
        <v>406</v>
      </c>
      <c r="O320" t="s">
        <v>82</v>
      </c>
      <c r="P320" t="str">
        <f>"217071249                     "</f>
        <v xml:space="preserve">217071249                     </v>
      </c>
      <c r="Q320">
        <v>0</v>
      </c>
      <c r="R320">
        <v>0</v>
      </c>
      <c r="S320">
        <v>0</v>
      </c>
      <c r="T320">
        <v>0</v>
      </c>
      <c r="U320">
        <v>0</v>
      </c>
      <c r="V320">
        <v>0</v>
      </c>
      <c r="W320">
        <v>0</v>
      </c>
      <c r="X320">
        <v>0</v>
      </c>
      <c r="Y320">
        <v>0</v>
      </c>
      <c r="Z320">
        <v>0</v>
      </c>
      <c r="AA320">
        <v>0</v>
      </c>
      <c r="AB320">
        <v>0</v>
      </c>
      <c r="AC320">
        <v>0</v>
      </c>
      <c r="AD320">
        <v>0</v>
      </c>
      <c r="AE320">
        <v>0</v>
      </c>
      <c r="AF320">
        <v>0</v>
      </c>
      <c r="AG320">
        <v>0</v>
      </c>
      <c r="AH320">
        <v>0</v>
      </c>
      <c r="AI320">
        <v>0</v>
      </c>
      <c r="AJ320">
        <v>0</v>
      </c>
      <c r="AK320">
        <v>0</v>
      </c>
      <c r="AL320">
        <v>0</v>
      </c>
      <c r="AM320">
        <v>15.02</v>
      </c>
      <c r="AN320">
        <v>0</v>
      </c>
      <c r="AO320">
        <v>0</v>
      </c>
      <c r="AP320">
        <v>0</v>
      </c>
      <c r="AQ320">
        <v>0</v>
      </c>
      <c r="AR320">
        <v>0</v>
      </c>
      <c r="AS320">
        <v>0</v>
      </c>
      <c r="AT320">
        <v>0</v>
      </c>
      <c r="AU320">
        <v>0</v>
      </c>
      <c r="AV320">
        <v>0</v>
      </c>
      <c r="AW320">
        <v>0</v>
      </c>
      <c r="AX320">
        <v>0</v>
      </c>
      <c r="AY320">
        <v>0</v>
      </c>
      <c r="AZ320">
        <v>0</v>
      </c>
      <c r="BA320">
        <v>0</v>
      </c>
      <c r="BB320">
        <v>0</v>
      </c>
      <c r="BC320">
        <v>0</v>
      </c>
      <c r="BD320">
        <v>0</v>
      </c>
      <c r="BE320">
        <v>0</v>
      </c>
      <c r="BF320">
        <v>0</v>
      </c>
      <c r="BG320">
        <v>0</v>
      </c>
      <c r="BH320">
        <v>1</v>
      </c>
      <c r="BI320">
        <v>3.2</v>
      </c>
      <c r="BJ320">
        <v>3.1</v>
      </c>
      <c r="BK320">
        <v>3.5</v>
      </c>
      <c r="BL320" s="4">
        <v>88.27</v>
      </c>
      <c r="BM320" s="4">
        <v>13.24</v>
      </c>
      <c r="BN320" s="4">
        <v>101.51</v>
      </c>
      <c r="BO320" s="4">
        <v>101.51</v>
      </c>
      <c r="BQ320" t="s">
        <v>93</v>
      </c>
      <c r="BR320" t="s">
        <v>84</v>
      </c>
      <c r="BS320" s="3">
        <v>43804</v>
      </c>
      <c r="BT320" s="5">
        <v>0.38194444444444442</v>
      </c>
      <c r="BU320" t="s">
        <v>748</v>
      </c>
      <c r="BV320" t="s">
        <v>86</v>
      </c>
      <c r="BY320">
        <v>15389.09</v>
      </c>
      <c r="CA320" t="s">
        <v>408</v>
      </c>
      <c r="CC320" t="s">
        <v>405</v>
      </c>
      <c r="CD320">
        <v>4026</v>
      </c>
      <c r="CE320" t="s">
        <v>96</v>
      </c>
      <c r="CF320" s="3">
        <v>43805</v>
      </c>
      <c r="CI320">
        <v>1</v>
      </c>
      <c r="CJ320">
        <v>1</v>
      </c>
      <c r="CK320">
        <v>21</v>
      </c>
      <c r="CL320" t="s">
        <v>89</v>
      </c>
    </row>
    <row r="321" spans="1:90">
      <c r="A321" t="s">
        <v>72</v>
      </c>
      <c r="B321" t="s">
        <v>73</v>
      </c>
      <c r="C321" t="s">
        <v>74</v>
      </c>
      <c r="E321" t="str">
        <f>"FES1162726698"</f>
        <v>FES1162726698</v>
      </c>
      <c r="F321" s="3">
        <v>43803</v>
      </c>
      <c r="G321">
        <v>202006</v>
      </c>
      <c r="H321" t="s">
        <v>75</v>
      </c>
      <c r="I321" t="s">
        <v>76</v>
      </c>
      <c r="J321" t="s">
        <v>77</v>
      </c>
      <c r="K321" t="s">
        <v>78</v>
      </c>
      <c r="L321" t="s">
        <v>361</v>
      </c>
      <c r="M321" t="s">
        <v>362</v>
      </c>
      <c r="N321" t="s">
        <v>363</v>
      </c>
      <c r="O321" t="s">
        <v>82</v>
      </c>
      <c r="P321" t="str">
        <f>"2170718811                    "</f>
        <v xml:space="preserve">2170718811                    </v>
      </c>
      <c r="Q321">
        <v>0</v>
      </c>
      <c r="R321">
        <v>0</v>
      </c>
      <c r="S321">
        <v>0</v>
      </c>
      <c r="T321">
        <v>0</v>
      </c>
      <c r="U321">
        <v>0</v>
      </c>
      <c r="V321">
        <v>0</v>
      </c>
      <c r="W321">
        <v>0</v>
      </c>
      <c r="X321">
        <v>0</v>
      </c>
      <c r="Y321">
        <v>0</v>
      </c>
      <c r="Z321">
        <v>0</v>
      </c>
      <c r="AA321">
        <v>0</v>
      </c>
      <c r="AB321">
        <v>0</v>
      </c>
      <c r="AC321">
        <v>0</v>
      </c>
      <c r="AD321">
        <v>0</v>
      </c>
      <c r="AE321">
        <v>0</v>
      </c>
      <c r="AF321">
        <v>0</v>
      </c>
      <c r="AG321">
        <v>0</v>
      </c>
      <c r="AH321">
        <v>0</v>
      </c>
      <c r="AI321">
        <v>0</v>
      </c>
      <c r="AJ321">
        <v>0</v>
      </c>
      <c r="AK321">
        <v>0</v>
      </c>
      <c r="AL321">
        <v>0</v>
      </c>
      <c r="AM321">
        <v>8.58</v>
      </c>
      <c r="AN321">
        <v>0</v>
      </c>
      <c r="AO321">
        <v>0</v>
      </c>
      <c r="AP321">
        <v>0</v>
      </c>
      <c r="AQ321">
        <v>0</v>
      </c>
      <c r="AR321">
        <v>0</v>
      </c>
      <c r="AS321">
        <v>0</v>
      </c>
      <c r="AT321">
        <v>0</v>
      </c>
      <c r="AU321">
        <v>0</v>
      </c>
      <c r="AV321">
        <v>0</v>
      </c>
      <c r="AW321">
        <v>0</v>
      </c>
      <c r="AX321">
        <v>0</v>
      </c>
      <c r="AY321">
        <v>0</v>
      </c>
      <c r="AZ321">
        <v>0</v>
      </c>
      <c r="BA321">
        <v>0</v>
      </c>
      <c r="BB321">
        <v>0</v>
      </c>
      <c r="BC321">
        <v>0</v>
      </c>
      <c r="BD321">
        <v>0</v>
      </c>
      <c r="BE321">
        <v>0</v>
      </c>
      <c r="BF321">
        <v>0</v>
      </c>
      <c r="BG321">
        <v>0</v>
      </c>
      <c r="BH321">
        <v>1</v>
      </c>
      <c r="BI321">
        <v>2</v>
      </c>
      <c r="BJ321">
        <v>0.2</v>
      </c>
      <c r="BK321">
        <v>2</v>
      </c>
      <c r="BL321" s="4">
        <v>50.45</v>
      </c>
      <c r="BM321" s="4">
        <v>7.57</v>
      </c>
      <c r="BN321" s="4">
        <v>58.02</v>
      </c>
      <c r="BO321" s="4">
        <v>58.02</v>
      </c>
      <c r="BQ321" t="s">
        <v>93</v>
      </c>
      <c r="BR321" t="s">
        <v>84</v>
      </c>
      <c r="BS321" s="3">
        <v>43804</v>
      </c>
      <c r="BT321" s="5">
        <v>0.42986111111111108</v>
      </c>
      <c r="BU321" t="s">
        <v>364</v>
      </c>
      <c r="BV321" t="s">
        <v>86</v>
      </c>
      <c r="BY321">
        <v>1200</v>
      </c>
      <c r="CA321" t="s">
        <v>185</v>
      </c>
      <c r="CC321" t="s">
        <v>362</v>
      </c>
      <c r="CD321">
        <v>6220</v>
      </c>
      <c r="CE321" t="s">
        <v>88</v>
      </c>
      <c r="CF321" s="3">
        <v>43805</v>
      </c>
      <c r="CI321">
        <v>1</v>
      </c>
      <c r="CJ321">
        <v>1</v>
      </c>
      <c r="CK321">
        <v>21</v>
      </c>
      <c r="CL321" t="s">
        <v>89</v>
      </c>
    </row>
    <row r="322" spans="1:90">
      <c r="A322" t="s">
        <v>72</v>
      </c>
      <c r="B322" t="s">
        <v>73</v>
      </c>
      <c r="C322" t="s">
        <v>74</v>
      </c>
      <c r="E322" t="str">
        <f>"FES1162726995"</f>
        <v>FES1162726995</v>
      </c>
      <c r="F322" s="3">
        <v>43804</v>
      </c>
      <c r="G322">
        <v>202006</v>
      </c>
      <c r="H322" t="s">
        <v>75</v>
      </c>
      <c r="I322" t="s">
        <v>76</v>
      </c>
      <c r="J322" t="s">
        <v>77</v>
      </c>
      <c r="K322" t="s">
        <v>78</v>
      </c>
      <c r="L322" t="s">
        <v>198</v>
      </c>
      <c r="M322" t="s">
        <v>199</v>
      </c>
      <c r="N322" t="s">
        <v>749</v>
      </c>
      <c r="O322" t="s">
        <v>82</v>
      </c>
      <c r="P322" t="str">
        <f>"2170720446                    "</f>
        <v xml:space="preserve">2170720446                    </v>
      </c>
      <c r="Q322">
        <v>0</v>
      </c>
      <c r="R322">
        <v>0</v>
      </c>
      <c r="S322">
        <v>0</v>
      </c>
      <c r="T322">
        <v>0</v>
      </c>
      <c r="U322">
        <v>0</v>
      </c>
      <c r="V322">
        <v>0</v>
      </c>
      <c r="W322">
        <v>0</v>
      </c>
      <c r="X322">
        <v>0</v>
      </c>
      <c r="Y322">
        <v>0</v>
      </c>
      <c r="Z322">
        <v>0</v>
      </c>
      <c r="AA322">
        <v>0</v>
      </c>
      <c r="AB322">
        <v>0</v>
      </c>
      <c r="AC322">
        <v>0</v>
      </c>
      <c r="AD322">
        <v>0</v>
      </c>
      <c r="AE322">
        <v>0</v>
      </c>
      <c r="AF322">
        <v>0</v>
      </c>
      <c r="AG322">
        <v>0</v>
      </c>
      <c r="AH322">
        <v>0</v>
      </c>
      <c r="AI322">
        <v>0</v>
      </c>
      <c r="AJ322">
        <v>0</v>
      </c>
      <c r="AK322">
        <v>0</v>
      </c>
      <c r="AL322">
        <v>0</v>
      </c>
      <c r="AM322">
        <v>8.58</v>
      </c>
      <c r="AN322">
        <v>0</v>
      </c>
      <c r="AO322">
        <v>0</v>
      </c>
      <c r="AP322">
        <v>0</v>
      </c>
      <c r="AQ322">
        <v>0</v>
      </c>
      <c r="AR322">
        <v>0</v>
      </c>
      <c r="AS322">
        <v>0</v>
      </c>
      <c r="AT322">
        <v>0</v>
      </c>
      <c r="AU322">
        <v>0</v>
      </c>
      <c r="AV322">
        <v>0</v>
      </c>
      <c r="AW322">
        <v>0</v>
      </c>
      <c r="AX322">
        <v>0</v>
      </c>
      <c r="AY322">
        <v>0</v>
      </c>
      <c r="AZ322">
        <v>0</v>
      </c>
      <c r="BA322">
        <v>0</v>
      </c>
      <c r="BB322">
        <v>0</v>
      </c>
      <c r="BC322">
        <v>0</v>
      </c>
      <c r="BD322">
        <v>0</v>
      </c>
      <c r="BE322">
        <v>0</v>
      </c>
      <c r="BF322">
        <v>0</v>
      </c>
      <c r="BG322">
        <v>0</v>
      </c>
      <c r="BH322">
        <v>1</v>
      </c>
      <c r="BI322">
        <v>1</v>
      </c>
      <c r="BJ322">
        <v>0.2</v>
      </c>
      <c r="BK322">
        <v>1</v>
      </c>
      <c r="BL322" s="4">
        <v>50.45</v>
      </c>
      <c r="BM322" s="4">
        <v>7.57</v>
      </c>
      <c r="BN322" s="4">
        <v>58.02</v>
      </c>
      <c r="BO322" s="4">
        <v>58.02</v>
      </c>
      <c r="BR322" t="s">
        <v>84</v>
      </c>
      <c r="BS322" s="3">
        <v>43805</v>
      </c>
      <c r="BT322" s="5">
        <v>0.42083333333333334</v>
      </c>
      <c r="BU322" t="s">
        <v>750</v>
      </c>
      <c r="BV322" t="s">
        <v>86</v>
      </c>
      <c r="BY322">
        <v>1200</v>
      </c>
      <c r="CA322" t="s">
        <v>212</v>
      </c>
      <c r="CC322" t="s">
        <v>199</v>
      </c>
      <c r="CD322">
        <v>4156</v>
      </c>
      <c r="CE322" t="s">
        <v>88</v>
      </c>
      <c r="CF322" s="3">
        <v>43808</v>
      </c>
      <c r="CI322">
        <v>1</v>
      </c>
      <c r="CJ322">
        <v>1</v>
      </c>
      <c r="CK322">
        <v>21</v>
      </c>
      <c r="CL322" t="s">
        <v>89</v>
      </c>
    </row>
    <row r="323" spans="1:90">
      <c r="A323" t="s">
        <v>72</v>
      </c>
      <c r="B323" t="s">
        <v>73</v>
      </c>
      <c r="C323" t="s">
        <v>74</v>
      </c>
      <c r="E323" t="str">
        <f>"FES1162726674"</f>
        <v>FES1162726674</v>
      </c>
      <c r="F323" s="3">
        <v>43803</v>
      </c>
      <c r="G323">
        <v>202006</v>
      </c>
      <c r="H323" t="s">
        <v>75</v>
      </c>
      <c r="I323" t="s">
        <v>76</v>
      </c>
      <c r="J323" t="s">
        <v>77</v>
      </c>
      <c r="K323" t="s">
        <v>78</v>
      </c>
      <c r="L323" t="s">
        <v>90</v>
      </c>
      <c r="M323" t="s">
        <v>91</v>
      </c>
      <c r="N323" t="s">
        <v>751</v>
      </c>
      <c r="O323" t="s">
        <v>82</v>
      </c>
      <c r="P323" t="str">
        <f>"2170718011                    "</f>
        <v xml:space="preserve">2170718011                    </v>
      </c>
      <c r="Q323">
        <v>0</v>
      </c>
      <c r="R323">
        <v>0</v>
      </c>
      <c r="S323">
        <v>0</v>
      </c>
      <c r="T323">
        <v>0</v>
      </c>
      <c r="U323">
        <v>0</v>
      </c>
      <c r="V323">
        <v>0</v>
      </c>
      <c r="W323">
        <v>0</v>
      </c>
      <c r="X323">
        <v>0</v>
      </c>
      <c r="Y323">
        <v>0</v>
      </c>
      <c r="Z323">
        <v>0</v>
      </c>
      <c r="AA323">
        <v>0</v>
      </c>
      <c r="AB323">
        <v>0</v>
      </c>
      <c r="AC323">
        <v>0</v>
      </c>
      <c r="AD323">
        <v>0</v>
      </c>
      <c r="AE323">
        <v>0</v>
      </c>
      <c r="AF323">
        <v>0</v>
      </c>
      <c r="AG323">
        <v>0</v>
      </c>
      <c r="AH323">
        <v>0</v>
      </c>
      <c r="AI323">
        <v>0</v>
      </c>
      <c r="AJ323">
        <v>0</v>
      </c>
      <c r="AK323">
        <v>0</v>
      </c>
      <c r="AL323">
        <v>0</v>
      </c>
      <c r="AM323">
        <v>8.58</v>
      </c>
      <c r="AN323">
        <v>0</v>
      </c>
      <c r="AO323">
        <v>0</v>
      </c>
      <c r="AP323">
        <v>0</v>
      </c>
      <c r="AQ323">
        <v>0</v>
      </c>
      <c r="AR323">
        <v>0</v>
      </c>
      <c r="AS323">
        <v>0</v>
      </c>
      <c r="AT323">
        <v>0</v>
      </c>
      <c r="AU323">
        <v>0</v>
      </c>
      <c r="AV323">
        <v>0</v>
      </c>
      <c r="AW323">
        <v>0</v>
      </c>
      <c r="AX323">
        <v>0</v>
      </c>
      <c r="AY323">
        <v>0</v>
      </c>
      <c r="AZ323">
        <v>0</v>
      </c>
      <c r="BA323">
        <v>0</v>
      </c>
      <c r="BB323">
        <v>0</v>
      </c>
      <c r="BC323">
        <v>0</v>
      </c>
      <c r="BD323">
        <v>0</v>
      </c>
      <c r="BE323">
        <v>0</v>
      </c>
      <c r="BF323">
        <v>0</v>
      </c>
      <c r="BG323">
        <v>0</v>
      </c>
      <c r="BH323">
        <v>1</v>
      </c>
      <c r="BI323">
        <v>1</v>
      </c>
      <c r="BJ323">
        <v>0.2</v>
      </c>
      <c r="BK323">
        <v>1</v>
      </c>
      <c r="BL323" s="4">
        <v>50.45</v>
      </c>
      <c r="BM323" s="4">
        <v>7.57</v>
      </c>
      <c r="BN323" s="4">
        <v>58.02</v>
      </c>
      <c r="BO323" s="4">
        <v>58.02</v>
      </c>
      <c r="BQ323" t="s">
        <v>93</v>
      </c>
      <c r="BR323" t="s">
        <v>84</v>
      </c>
      <c r="BS323" s="3">
        <v>43804</v>
      </c>
      <c r="BT323" s="5">
        <v>0.37013888888888885</v>
      </c>
      <c r="BU323" t="s">
        <v>752</v>
      </c>
      <c r="BV323" t="s">
        <v>86</v>
      </c>
      <c r="BY323">
        <v>1200</v>
      </c>
      <c r="CA323" t="s">
        <v>753</v>
      </c>
      <c r="CC323" t="s">
        <v>91</v>
      </c>
      <c r="CD323">
        <v>7500</v>
      </c>
      <c r="CE323" t="s">
        <v>88</v>
      </c>
      <c r="CF323" s="3">
        <v>43805</v>
      </c>
      <c r="CI323">
        <v>1</v>
      </c>
      <c r="CJ323">
        <v>1</v>
      </c>
      <c r="CK323">
        <v>21</v>
      </c>
      <c r="CL323" t="s">
        <v>89</v>
      </c>
    </row>
    <row r="324" spans="1:90">
      <c r="A324" t="s">
        <v>72</v>
      </c>
      <c r="B324" t="s">
        <v>73</v>
      </c>
      <c r="C324" t="s">
        <v>74</v>
      </c>
      <c r="E324" t="str">
        <f>"FES1162726972"</f>
        <v>FES1162726972</v>
      </c>
      <c r="F324" s="3">
        <v>43804</v>
      </c>
      <c r="G324">
        <v>202006</v>
      </c>
      <c r="H324" t="s">
        <v>75</v>
      </c>
      <c r="I324" t="s">
        <v>76</v>
      </c>
      <c r="J324" t="s">
        <v>77</v>
      </c>
      <c r="K324" t="s">
        <v>78</v>
      </c>
      <c r="L324" t="s">
        <v>90</v>
      </c>
      <c r="M324" t="s">
        <v>91</v>
      </c>
      <c r="N324" t="s">
        <v>143</v>
      </c>
      <c r="O324" t="s">
        <v>82</v>
      </c>
      <c r="P324" t="str">
        <f>"2170720399                    "</f>
        <v xml:space="preserve">2170720399                    </v>
      </c>
      <c r="Q324">
        <v>0</v>
      </c>
      <c r="R324">
        <v>0</v>
      </c>
      <c r="S324">
        <v>0</v>
      </c>
      <c r="T324">
        <v>0</v>
      </c>
      <c r="U324">
        <v>0</v>
      </c>
      <c r="V324">
        <v>0</v>
      </c>
      <c r="W324">
        <v>0</v>
      </c>
      <c r="X324">
        <v>0</v>
      </c>
      <c r="Y324">
        <v>0</v>
      </c>
      <c r="Z324">
        <v>0</v>
      </c>
      <c r="AA324">
        <v>0</v>
      </c>
      <c r="AB324">
        <v>0</v>
      </c>
      <c r="AC324">
        <v>0</v>
      </c>
      <c r="AD324">
        <v>0</v>
      </c>
      <c r="AE324">
        <v>0</v>
      </c>
      <c r="AF324">
        <v>0</v>
      </c>
      <c r="AG324">
        <v>0</v>
      </c>
      <c r="AH324">
        <v>0</v>
      </c>
      <c r="AI324">
        <v>0</v>
      </c>
      <c r="AJ324">
        <v>0</v>
      </c>
      <c r="AK324">
        <v>0</v>
      </c>
      <c r="AL324">
        <v>0</v>
      </c>
      <c r="AM324">
        <v>8.58</v>
      </c>
      <c r="AN324">
        <v>0</v>
      </c>
      <c r="AO324">
        <v>0</v>
      </c>
      <c r="AP324">
        <v>0</v>
      </c>
      <c r="AQ324">
        <v>0</v>
      </c>
      <c r="AR324">
        <v>0</v>
      </c>
      <c r="AS324">
        <v>0</v>
      </c>
      <c r="AT324">
        <v>0</v>
      </c>
      <c r="AU324">
        <v>0</v>
      </c>
      <c r="AV324">
        <v>0</v>
      </c>
      <c r="AW324">
        <v>0</v>
      </c>
      <c r="AX324">
        <v>0</v>
      </c>
      <c r="AY324">
        <v>0</v>
      </c>
      <c r="AZ324">
        <v>0</v>
      </c>
      <c r="BA324">
        <v>0</v>
      </c>
      <c r="BB324">
        <v>0</v>
      </c>
      <c r="BC324">
        <v>0</v>
      </c>
      <c r="BD324">
        <v>0</v>
      </c>
      <c r="BE324">
        <v>0</v>
      </c>
      <c r="BF324">
        <v>0</v>
      </c>
      <c r="BG324">
        <v>0</v>
      </c>
      <c r="BH324">
        <v>1</v>
      </c>
      <c r="BI324">
        <v>0.2</v>
      </c>
      <c r="BJ324">
        <v>2</v>
      </c>
      <c r="BK324">
        <v>2</v>
      </c>
      <c r="BL324" s="4">
        <v>50.45</v>
      </c>
      <c r="BM324" s="4">
        <v>7.57</v>
      </c>
      <c r="BN324" s="4">
        <v>58.02</v>
      </c>
      <c r="BO324" s="4">
        <v>58.02</v>
      </c>
      <c r="BQ324" t="s">
        <v>147</v>
      </c>
      <c r="BR324" t="s">
        <v>84</v>
      </c>
      <c r="BS324" s="3">
        <v>43805</v>
      </c>
      <c r="BT324" s="5">
        <v>0.35833333333333334</v>
      </c>
      <c r="BU324" t="s">
        <v>754</v>
      </c>
      <c r="BV324" t="s">
        <v>86</v>
      </c>
      <c r="BY324">
        <v>10143.6</v>
      </c>
      <c r="CA324" t="s">
        <v>145</v>
      </c>
      <c r="CC324" t="s">
        <v>91</v>
      </c>
      <c r="CD324">
        <v>7441</v>
      </c>
      <c r="CE324" t="s">
        <v>88</v>
      </c>
      <c r="CF324" s="3">
        <v>43808</v>
      </c>
      <c r="CI324">
        <v>1</v>
      </c>
      <c r="CJ324">
        <v>1</v>
      </c>
      <c r="CK324">
        <v>21</v>
      </c>
      <c r="CL324" t="s">
        <v>89</v>
      </c>
    </row>
    <row r="325" spans="1:90">
      <c r="A325" t="s">
        <v>72</v>
      </c>
      <c r="B325" t="s">
        <v>73</v>
      </c>
      <c r="C325" t="s">
        <v>74</v>
      </c>
      <c r="E325" t="str">
        <f>"FES1162726999"</f>
        <v>FES1162726999</v>
      </c>
      <c r="F325" s="3">
        <v>43804</v>
      </c>
      <c r="G325">
        <v>202006</v>
      </c>
      <c r="H325" t="s">
        <v>75</v>
      </c>
      <c r="I325" t="s">
        <v>76</v>
      </c>
      <c r="J325" t="s">
        <v>77</v>
      </c>
      <c r="K325" t="s">
        <v>78</v>
      </c>
      <c r="L325" t="s">
        <v>308</v>
      </c>
      <c r="M325" t="s">
        <v>308</v>
      </c>
      <c r="N325" t="s">
        <v>755</v>
      </c>
      <c r="O325" t="s">
        <v>82</v>
      </c>
      <c r="P325" t="str">
        <f>"2170720455                    "</f>
        <v xml:space="preserve">2170720455                    </v>
      </c>
      <c r="Q325">
        <v>0</v>
      </c>
      <c r="R325">
        <v>0</v>
      </c>
      <c r="S325">
        <v>0</v>
      </c>
      <c r="T325">
        <v>0</v>
      </c>
      <c r="U325">
        <v>0</v>
      </c>
      <c r="V325">
        <v>0</v>
      </c>
      <c r="W325">
        <v>0</v>
      </c>
      <c r="X325">
        <v>0</v>
      </c>
      <c r="Y325">
        <v>0</v>
      </c>
      <c r="Z325">
        <v>0</v>
      </c>
      <c r="AA325">
        <v>0</v>
      </c>
      <c r="AB325">
        <v>0</v>
      </c>
      <c r="AC325">
        <v>0</v>
      </c>
      <c r="AD325">
        <v>0</v>
      </c>
      <c r="AE325">
        <v>0</v>
      </c>
      <c r="AF325">
        <v>0</v>
      </c>
      <c r="AG325">
        <v>0</v>
      </c>
      <c r="AH325">
        <v>0</v>
      </c>
      <c r="AI325">
        <v>0</v>
      </c>
      <c r="AJ325">
        <v>0</v>
      </c>
      <c r="AK325">
        <v>0</v>
      </c>
      <c r="AL325">
        <v>0</v>
      </c>
      <c r="AM325">
        <v>16.63</v>
      </c>
      <c r="AN325">
        <v>0</v>
      </c>
      <c r="AO325">
        <v>0</v>
      </c>
      <c r="AP325">
        <v>0</v>
      </c>
      <c r="AQ325">
        <v>0</v>
      </c>
      <c r="AR325">
        <v>0</v>
      </c>
      <c r="AS325">
        <v>0</v>
      </c>
      <c r="AT325">
        <v>0</v>
      </c>
      <c r="AU325">
        <v>0</v>
      </c>
      <c r="AV325">
        <v>0</v>
      </c>
      <c r="AW325">
        <v>0</v>
      </c>
      <c r="AX325">
        <v>0</v>
      </c>
      <c r="AY325">
        <v>0</v>
      </c>
      <c r="AZ325">
        <v>0</v>
      </c>
      <c r="BA325">
        <v>0</v>
      </c>
      <c r="BB325">
        <v>0</v>
      </c>
      <c r="BC325">
        <v>0</v>
      </c>
      <c r="BD325">
        <v>0</v>
      </c>
      <c r="BE325">
        <v>0</v>
      </c>
      <c r="BF325">
        <v>0</v>
      </c>
      <c r="BG325">
        <v>0</v>
      </c>
      <c r="BH325">
        <v>1</v>
      </c>
      <c r="BI325">
        <v>1</v>
      </c>
      <c r="BJ325">
        <v>0.2</v>
      </c>
      <c r="BK325">
        <v>1</v>
      </c>
      <c r="BL325" s="4">
        <v>97.75</v>
      </c>
      <c r="BM325" s="4">
        <v>14.66</v>
      </c>
      <c r="BN325" s="4">
        <v>112.41</v>
      </c>
      <c r="BO325" s="4">
        <v>112.41</v>
      </c>
      <c r="BQ325" t="s">
        <v>147</v>
      </c>
      <c r="BR325" t="s">
        <v>84</v>
      </c>
      <c r="BS325" s="3">
        <v>43805</v>
      </c>
      <c r="BT325" s="5">
        <v>0.4284722222222222</v>
      </c>
      <c r="BU325" t="s">
        <v>679</v>
      </c>
      <c r="BV325" t="s">
        <v>86</v>
      </c>
      <c r="BY325">
        <v>1200</v>
      </c>
      <c r="CA325" t="s">
        <v>311</v>
      </c>
      <c r="CC325" t="s">
        <v>308</v>
      </c>
      <c r="CD325">
        <v>7646</v>
      </c>
      <c r="CE325" t="s">
        <v>88</v>
      </c>
      <c r="CF325" s="3">
        <v>43808</v>
      </c>
      <c r="CI325">
        <v>1</v>
      </c>
      <c r="CJ325">
        <v>1</v>
      </c>
      <c r="CK325">
        <v>23</v>
      </c>
      <c r="CL325" t="s">
        <v>89</v>
      </c>
    </row>
    <row r="326" spans="1:90">
      <c r="A326" t="s">
        <v>72</v>
      </c>
      <c r="B326" t="s">
        <v>73</v>
      </c>
      <c r="C326" t="s">
        <v>74</v>
      </c>
      <c r="E326" t="str">
        <f>"FES1162726716"</f>
        <v>FES1162726716</v>
      </c>
      <c r="F326" s="3">
        <v>43803</v>
      </c>
      <c r="G326">
        <v>202006</v>
      </c>
      <c r="H326" t="s">
        <v>75</v>
      </c>
      <c r="I326" t="s">
        <v>76</v>
      </c>
      <c r="J326" t="s">
        <v>77</v>
      </c>
      <c r="K326" t="s">
        <v>78</v>
      </c>
      <c r="L326" t="s">
        <v>75</v>
      </c>
      <c r="M326" t="s">
        <v>76</v>
      </c>
      <c r="N326" t="s">
        <v>756</v>
      </c>
      <c r="O326" t="s">
        <v>82</v>
      </c>
      <c r="P326" t="str">
        <f>"2170720141                    "</f>
        <v xml:space="preserve">2170720141                    </v>
      </c>
      <c r="Q326">
        <v>0</v>
      </c>
      <c r="R326">
        <v>0</v>
      </c>
      <c r="S326">
        <v>0</v>
      </c>
      <c r="T326">
        <v>0</v>
      </c>
      <c r="U326">
        <v>0</v>
      </c>
      <c r="V326">
        <v>0</v>
      </c>
      <c r="W326">
        <v>0</v>
      </c>
      <c r="X326">
        <v>0</v>
      </c>
      <c r="Y326">
        <v>0</v>
      </c>
      <c r="Z326">
        <v>0</v>
      </c>
      <c r="AA326">
        <v>0</v>
      </c>
      <c r="AB326">
        <v>0</v>
      </c>
      <c r="AC326">
        <v>0</v>
      </c>
      <c r="AD326">
        <v>0</v>
      </c>
      <c r="AE326">
        <v>0</v>
      </c>
      <c r="AF326">
        <v>0</v>
      </c>
      <c r="AG326">
        <v>0</v>
      </c>
      <c r="AH326">
        <v>0</v>
      </c>
      <c r="AI326">
        <v>0</v>
      </c>
      <c r="AJ326">
        <v>0</v>
      </c>
      <c r="AK326">
        <v>0</v>
      </c>
      <c r="AL326">
        <v>0</v>
      </c>
      <c r="AM326">
        <v>6.71</v>
      </c>
      <c r="AN326">
        <v>0</v>
      </c>
      <c r="AO326">
        <v>0</v>
      </c>
      <c r="AP326">
        <v>0</v>
      </c>
      <c r="AQ326">
        <v>0</v>
      </c>
      <c r="AR326">
        <v>0</v>
      </c>
      <c r="AS326">
        <v>0</v>
      </c>
      <c r="AT326">
        <v>0</v>
      </c>
      <c r="AU326">
        <v>0</v>
      </c>
      <c r="AV326">
        <v>0</v>
      </c>
      <c r="AW326">
        <v>0</v>
      </c>
      <c r="AX326">
        <v>0</v>
      </c>
      <c r="AY326">
        <v>0</v>
      </c>
      <c r="AZ326">
        <v>0</v>
      </c>
      <c r="BA326">
        <v>0</v>
      </c>
      <c r="BB326">
        <v>0</v>
      </c>
      <c r="BC326">
        <v>0</v>
      </c>
      <c r="BD326">
        <v>0</v>
      </c>
      <c r="BE326">
        <v>0</v>
      </c>
      <c r="BF326">
        <v>0</v>
      </c>
      <c r="BG326">
        <v>0</v>
      </c>
      <c r="BH326">
        <v>1</v>
      </c>
      <c r="BI326">
        <v>1</v>
      </c>
      <c r="BJ326">
        <v>0.2</v>
      </c>
      <c r="BK326">
        <v>1</v>
      </c>
      <c r="BL326" s="4">
        <v>39.42</v>
      </c>
      <c r="BM326" s="4">
        <v>5.91</v>
      </c>
      <c r="BN326" s="4">
        <v>45.33</v>
      </c>
      <c r="BO326" s="4">
        <v>45.33</v>
      </c>
      <c r="BQ326" t="s">
        <v>93</v>
      </c>
      <c r="BR326" t="s">
        <v>84</v>
      </c>
      <c r="BS326" s="3">
        <v>43804</v>
      </c>
      <c r="BT326" s="5">
        <v>0.33333333333333331</v>
      </c>
      <c r="BU326" t="s">
        <v>757</v>
      </c>
      <c r="BV326" t="s">
        <v>86</v>
      </c>
      <c r="BY326">
        <v>1200</v>
      </c>
      <c r="CA326" t="s">
        <v>320</v>
      </c>
      <c r="CC326" t="s">
        <v>76</v>
      </c>
      <c r="CD326">
        <v>1666</v>
      </c>
      <c r="CE326" t="s">
        <v>88</v>
      </c>
      <c r="CF326" s="3">
        <v>43808</v>
      </c>
      <c r="CI326">
        <v>1</v>
      </c>
      <c r="CJ326">
        <v>1</v>
      </c>
      <c r="CK326">
        <v>22</v>
      </c>
      <c r="CL326" t="s">
        <v>89</v>
      </c>
    </row>
    <row r="327" spans="1:90">
      <c r="A327" t="s">
        <v>72</v>
      </c>
      <c r="B327" t="s">
        <v>73</v>
      </c>
      <c r="C327" t="s">
        <v>74</v>
      </c>
      <c r="E327" t="str">
        <f>"FES1162726692"</f>
        <v>FES1162726692</v>
      </c>
      <c r="F327" s="3">
        <v>43803</v>
      </c>
      <c r="G327">
        <v>202006</v>
      </c>
      <c r="H327" t="s">
        <v>75</v>
      </c>
      <c r="I327" t="s">
        <v>76</v>
      </c>
      <c r="J327" t="s">
        <v>77</v>
      </c>
      <c r="K327" t="s">
        <v>78</v>
      </c>
      <c r="L327" t="s">
        <v>164</v>
      </c>
      <c r="M327" t="s">
        <v>165</v>
      </c>
      <c r="N327" t="s">
        <v>238</v>
      </c>
      <c r="O327" t="s">
        <v>82</v>
      </c>
      <c r="P327" t="str">
        <f>"2170718172                    "</f>
        <v xml:space="preserve">2170718172                    </v>
      </c>
      <c r="Q327">
        <v>0</v>
      </c>
      <c r="R327">
        <v>0</v>
      </c>
      <c r="S327">
        <v>0</v>
      </c>
      <c r="T327">
        <v>0</v>
      </c>
      <c r="U327">
        <v>0</v>
      </c>
      <c r="V327">
        <v>0</v>
      </c>
      <c r="W327">
        <v>0</v>
      </c>
      <c r="X327">
        <v>0</v>
      </c>
      <c r="Y327">
        <v>0</v>
      </c>
      <c r="Z327">
        <v>0</v>
      </c>
      <c r="AA327">
        <v>0</v>
      </c>
      <c r="AB327">
        <v>0</v>
      </c>
      <c r="AC327">
        <v>0</v>
      </c>
      <c r="AD327">
        <v>0</v>
      </c>
      <c r="AE327">
        <v>0</v>
      </c>
      <c r="AF327">
        <v>0</v>
      </c>
      <c r="AG327">
        <v>0</v>
      </c>
      <c r="AH327">
        <v>0</v>
      </c>
      <c r="AI327">
        <v>0</v>
      </c>
      <c r="AJ327">
        <v>0</v>
      </c>
      <c r="AK327">
        <v>0</v>
      </c>
      <c r="AL327">
        <v>0</v>
      </c>
      <c r="AM327">
        <v>8.58</v>
      </c>
      <c r="AN327">
        <v>0</v>
      </c>
      <c r="AO327">
        <v>0</v>
      </c>
      <c r="AP327">
        <v>0</v>
      </c>
      <c r="AQ327">
        <v>0</v>
      </c>
      <c r="AR327">
        <v>0</v>
      </c>
      <c r="AS327">
        <v>0</v>
      </c>
      <c r="AT327">
        <v>0</v>
      </c>
      <c r="AU327">
        <v>0</v>
      </c>
      <c r="AV327">
        <v>0</v>
      </c>
      <c r="AW327">
        <v>0</v>
      </c>
      <c r="AX327">
        <v>0</v>
      </c>
      <c r="AY327">
        <v>0</v>
      </c>
      <c r="AZ327">
        <v>0</v>
      </c>
      <c r="BA327">
        <v>0</v>
      </c>
      <c r="BB327">
        <v>0</v>
      </c>
      <c r="BC327">
        <v>0</v>
      </c>
      <c r="BD327">
        <v>0</v>
      </c>
      <c r="BE327">
        <v>0</v>
      </c>
      <c r="BF327">
        <v>0</v>
      </c>
      <c r="BG327">
        <v>0</v>
      </c>
      <c r="BH327">
        <v>1</v>
      </c>
      <c r="BI327">
        <v>1</v>
      </c>
      <c r="BJ327">
        <v>0.2</v>
      </c>
      <c r="BK327">
        <v>1</v>
      </c>
      <c r="BL327" s="4">
        <v>50.45</v>
      </c>
      <c r="BM327" s="4">
        <v>7.57</v>
      </c>
      <c r="BN327" s="4">
        <v>58.02</v>
      </c>
      <c r="BO327" s="4">
        <v>58.02</v>
      </c>
      <c r="BQ327" t="s">
        <v>758</v>
      </c>
      <c r="BR327" t="s">
        <v>84</v>
      </c>
      <c r="BS327" s="3">
        <v>43804</v>
      </c>
      <c r="BT327" s="5">
        <v>0.39583333333333331</v>
      </c>
      <c r="BU327" t="s">
        <v>759</v>
      </c>
      <c r="BV327" t="s">
        <v>86</v>
      </c>
      <c r="BY327">
        <v>1200</v>
      </c>
      <c r="BZ327" t="s">
        <v>27</v>
      </c>
      <c r="CA327" t="s">
        <v>168</v>
      </c>
      <c r="CC327" t="s">
        <v>165</v>
      </c>
      <c r="CD327">
        <v>5201</v>
      </c>
      <c r="CE327" t="s">
        <v>88</v>
      </c>
      <c r="CF327" s="3">
        <v>43808</v>
      </c>
      <c r="CI327">
        <v>1</v>
      </c>
      <c r="CJ327">
        <v>1</v>
      </c>
      <c r="CK327">
        <v>21</v>
      </c>
      <c r="CL327" t="s">
        <v>89</v>
      </c>
    </row>
    <row r="328" spans="1:90">
      <c r="A328" t="s">
        <v>72</v>
      </c>
      <c r="B328" t="s">
        <v>73</v>
      </c>
      <c r="C328" t="s">
        <v>74</v>
      </c>
      <c r="E328" t="str">
        <f>"FES1162726559"</f>
        <v>FES1162726559</v>
      </c>
      <c r="F328" s="3">
        <v>43803</v>
      </c>
      <c r="G328">
        <v>202006</v>
      </c>
      <c r="H328" t="s">
        <v>75</v>
      </c>
      <c r="I328" t="s">
        <v>76</v>
      </c>
      <c r="J328" t="s">
        <v>77</v>
      </c>
      <c r="K328" t="s">
        <v>78</v>
      </c>
      <c r="L328" t="s">
        <v>90</v>
      </c>
      <c r="M328" t="s">
        <v>91</v>
      </c>
      <c r="N328" t="s">
        <v>744</v>
      </c>
      <c r="O328" t="s">
        <v>82</v>
      </c>
      <c r="P328" t="str">
        <f>"2170719977                    "</f>
        <v xml:space="preserve">2170719977                    </v>
      </c>
      <c r="Q328">
        <v>0</v>
      </c>
      <c r="R328">
        <v>0</v>
      </c>
      <c r="S328">
        <v>0</v>
      </c>
      <c r="T328">
        <v>0</v>
      </c>
      <c r="U328">
        <v>0</v>
      </c>
      <c r="V328">
        <v>0</v>
      </c>
      <c r="W328">
        <v>0</v>
      </c>
      <c r="X328">
        <v>0</v>
      </c>
      <c r="Y328">
        <v>0</v>
      </c>
      <c r="Z328">
        <v>0</v>
      </c>
      <c r="AA328">
        <v>0</v>
      </c>
      <c r="AB328">
        <v>0</v>
      </c>
      <c r="AC328">
        <v>0</v>
      </c>
      <c r="AD328">
        <v>0</v>
      </c>
      <c r="AE328">
        <v>0</v>
      </c>
      <c r="AF328">
        <v>0</v>
      </c>
      <c r="AG328">
        <v>0</v>
      </c>
      <c r="AH328">
        <v>0</v>
      </c>
      <c r="AI328">
        <v>0</v>
      </c>
      <c r="AJ328">
        <v>0</v>
      </c>
      <c r="AK328">
        <v>0</v>
      </c>
      <c r="AL328">
        <v>0</v>
      </c>
      <c r="AM328">
        <v>8.58</v>
      </c>
      <c r="AN328">
        <v>0</v>
      </c>
      <c r="AO328">
        <v>0</v>
      </c>
      <c r="AP328">
        <v>0</v>
      </c>
      <c r="AQ328">
        <v>0</v>
      </c>
      <c r="AR328">
        <v>0</v>
      </c>
      <c r="AS328">
        <v>0</v>
      </c>
      <c r="AT328">
        <v>0</v>
      </c>
      <c r="AU328">
        <v>0</v>
      </c>
      <c r="AV328">
        <v>0</v>
      </c>
      <c r="AW328">
        <v>0</v>
      </c>
      <c r="AX328">
        <v>0</v>
      </c>
      <c r="AY328">
        <v>0</v>
      </c>
      <c r="AZ328">
        <v>0</v>
      </c>
      <c r="BA328">
        <v>0</v>
      </c>
      <c r="BB328">
        <v>0</v>
      </c>
      <c r="BC328">
        <v>0</v>
      </c>
      <c r="BD328">
        <v>0</v>
      </c>
      <c r="BE328">
        <v>0</v>
      </c>
      <c r="BF328">
        <v>0</v>
      </c>
      <c r="BG328">
        <v>0</v>
      </c>
      <c r="BH328">
        <v>1</v>
      </c>
      <c r="BI328">
        <v>1</v>
      </c>
      <c r="BJ328">
        <v>0.2</v>
      </c>
      <c r="BK328">
        <v>1</v>
      </c>
      <c r="BL328" s="4">
        <v>50.45</v>
      </c>
      <c r="BM328" s="4">
        <v>7.57</v>
      </c>
      <c r="BN328" s="4">
        <v>58.02</v>
      </c>
      <c r="BO328" s="4">
        <v>58.02</v>
      </c>
      <c r="BQ328" t="s">
        <v>256</v>
      </c>
      <c r="BR328" t="s">
        <v>84</v>
      </c>
      <c r="BS328" s="3">
        <v>43804</v>
      </c>
      <c r="BT328" s="5">
        <v>0.40277777777777773</v>
      </c>
      <c r="BU328" t="s">
        <v>760</v>
      </c>
      <c r="BV328" t="s">
        <v>86</v>
      </c>
      <c r="BY328">
        <v>1200</v>
      </c>
      <c r="CA328" t="s">
        <v>563</v>
      </c>
      <c r="CC328" t="s">
        <v>91</v>
      </c>
      <c r="CD328">
        <v>7460</v>
      </c>
      <c r="CE328" t="s">
        <v>88</v>
      </c>
      <c r="CF328" s="3">
        <v>43805</v>
      </c>
      <c r="CI328">
        <v>1</v>
      </c>
      <c r="CJ328">
        <v>1</v>
      </c>
      <c r="CK328">
        <v>21</v>
      </c>
      <c r="CL328" t="s">
        <v>89</v>
      </c>
    </row>
    <row r="329" spans="1:90">
      <c r="A329" t="s">
        <v>72</v>
      </c>
      <c r="B329" t="s">
        <v>73</v>
      </c>
      <c r="C329" t="s">
        <v>74</v>
      </c>
      <c r="E329" t="str">
        <f>"FES1162726755"</f>
        <v>FES1162726755</v>
      </c>
      <c r="F329" s="3">
        <v>43803</v>
      </c>
      <c r="G329">
        <v>202006</v>
      </c>
      <c r="H329" t="s">
        <v>75</v>
      </c>
      <c r="I329" t="s">
        <v>76</v>
      </c>
      <c r="J329" t="s">
        <v>77</v>
      </c>
      <c r="K329" t="s">
        <v>78</v>
      </c>
      <c r="L329" t="s">
        <v>632</v>
      </c>
      <c r="M329" t="s">
        <v>633</v>
      </c>
      <c r="N329" t="s">
        <v>634</v>
      </c>
      <c r="O329" t="s">
        <v>82</v>
      </c>
      <c r="P329" t="str">
        <f>"2170720182                    "</f>
        <v xml:space="preserve">2170720182                    </v>
      </c>
      <c r="Q329">
        <v>0</v>
      </c>
      <c r="R329">
        <v>0</v>
      </c>
      <c r="S329">
        <v>0</v>
      </c>
      <c r="T329">
        <v>0</v>
      </c>
      <c r="U329">
        <v>0</v>
      </c>
      <c r="V329">
        <v>0</v>
      </c>
      <c r="W329">
        <v>0</v>
      </c>
      <c r="X329">
        <v>0</v>
      </c>
      <c r="Y329">
        <v>0</v>
      </c>
      <c r="Z329">
        <v>0</v>
      </c>
      <c r="AA329">
        <v>0</v>
      </c>
      <c r="AB329">
        <v>0</v>
      </c>
      <c r="AC329">
        <v>0</v>
      </c>
      <c r="AD329">
        <v>0</v>
      </c>
      <c r="AE329">
        <v>0</v>
      </c>
      <c r="AF329">
        <v>0</v>
      </c>
      <c r="AG329">
        <v>0</v>
      </c>
      <c r="AH329">
        <v>0</v>
      </c>
      <c r="AI329">
        <v>0</v>
      </c>
      <c r="AJ329">
        <v>0</v>
      </c>
      <c r="AK329">
        <v>0</v>
      </c>
      <c r="AL329">
        <v>0</v>
      </c>
      <c r="AM329">
        <v>6.71</v>
      </c>
      <c r="AN329">
        <v>0</v>
      </c>
      <c r="AO329">
        <v>0</v>
      </c>
      <c r="AP329">
        <v>0</v>
      </c>
      <c r="AQ329">
        <v>0</v>
      </c>
      <c r="AR329">
        <v>0</v>
      </c>
      <c r="AS329">
        <v>0</v>
      </c>
      <c r="AT329">
        <v>0</v>
      </c>
      <c r="AU329">
        <v>0</v>
      </c>
      <c r="AV329">
        <v>0</v>
      </c>
      <c r="AW329">
        <v>0</v>
      </c>
      <c r="AX329">
        <v>0</v>
      </c>
      <c r="AY329">
        <v>0</v>
      </c>
      <c r="AZ329">
        <v>0</v>
      </c>
      <c r="BA329">
        <v>0</v>
      </c>
      <c r="BB329">
        <v>0</v>
      </c>
      <c r="BC329">
        <v>0</v>
      </c>
      <c r="BD329">
        <v>0</v>
      </c>
      <c r="BE329">
        <v>0</v>
      </c>
      <c r="BF329">
        <v>0</v>
      </c>
      <c r="BG329">
        <v>0</v>
      </c>
      <c r="BH329">
        <v>1</v>
      </c>
      <c r="BI329">
        <v>1</v>
      </c>
      <c r="BJ329">
        <v>0.2</v>
      </c>
      <c r="BK329">
        <v>1</v>
      </c>
      <c r="BL329" s="4">
        <v>39.42</v>
      </c>
      <c r="BM329" s="4">
        <v>5.91</v>
      </c>
      <c r="BN329" s="4">
        <v>45.33</v>
      </c>
      <c r="BO329" s="4">
        <v>45.33</v>
      </c>
      <c r="BQ329" t="s">
        <v>147</v>
      </c>
      <c r="BR329" t="s">
        <v>84</v>
      </c>
      <c r="BS329" s="3">
        <v>43804</v>
      </c>
      <c r="BT329" s="5">
        <v>0.34236111111111112</v>
      </c>
      <c r="BU329" t="s">
        <v>761</v>
      </c>
      <c r="BV329" t="s">
        <v>86</v>
      </c>
      <c r="BY329">
        <v>1200</v>
      </c>
      <c r="CC329" t="s">
        <v>633</v>
      </c>
      <c r="CD329">
        <v>1451</v>
      </c>
      <c r="CE329" t="s">
        <v>88</v>
      </c>
      <c r="CF329" s="3">
        <v>43805</v>
      </c>
      <c r="CI329">
        <v>1</v>
      </c>
      <c r="CJ329">
        <v>1</v>
      </c>
      <c r="CK329">
        <v>22</v>
      </c>
      <c r="CL329" t="s">
        <v>89</v>
      </c>
    </row>
    <row r="330" spans="1:90">
      <c r="A330" t="s">
        <v>72</v>
      </c>
      <c r="B330" t="s">
        <v>73</v>
      </c>
      <c r="C330" t="s">
        <v>74</v>
      </c>
      <c r="E330" t="str">
        <f>"FES1162726663"</f>
        <v>FES1162726663</v>
      </c>
      <c r="F330" s="3">
        <v>43803</v>
      </c>
      <c r="G330">
        <v>202006</v>
      </c>
      <c r="H330" t="s">
        <v>75</v>
      </c>
      <c r="I330" t="s">
        <v>76</v>
      </c>
      <c r="J330" t="s">
        <v>77</v>
      </c>
      <c r="K330" t="s">
        <v>78</v>
      </c>
      <c r="L330" t="s">
        <v>79</v>
      </c>
      <c r="M330" t="s">
        <v>80</v>
      </c>
      <c r="N330" t="s">
        <v>762</v>
      </c>
      <c r="O330" t="s">
        <v>82</v>
      </c>
      <c r="P330" t="str">
        <f>"2170716950                    "</f>
        <v xml:space="preserve">2170716950                    </v>
      </c>
      <c r="Q330">
        <v>0</v>
      </c>
      <c r="R330">
        <v>0</v>
      </c>
      <c r="S330">
        <v>0</v>
      </c>
      <c r="T330">
        <v>0</v>
      </c>
      <c r="U330">
        <v>0</v>
      </c>
      <c r="V330">
        <v>0</v>
      </c>
      <c r="W330">
        <v>0</v>
      </c>
      <c r="X330">
        <v>0</v>
      </c>
      <c r="Y330">
        <v>0</v>
      </c>
      <c r="Z330">
        <v>0</v>
      </c>
      <c r="AA330">
        <v>0</v>
      </c>
      <c r="AB330">
        <v>0</v>
      </c>
      <c r="AC330">
        <v>0</v>
      </c>
      <c r="AD330">
        <v>0</v>
      </c>
      <c r="AE330">
        <v>0</v>
      </c>
      <c r="AF330">
        <v>0</v>
      </c>
      <c r="AG330">
        <v>0</v>
      </c>
      <c r="AH330">
        <v>0</v>
      </c>
      <c r="AI330">
        <v>0</v>
      </c>
      <c r="AJ330">
        <v>0</v>
      </c>
      <c r="AK330">
        <v>0</v>
      </c>
      <c r="AL330">
        <v>0</v>
      </c>
      <c r="AM330">
        <v>8.58</v>
      </c>
      <c r="AN330">
        <v>0</v>
      </c>
      <c r="AO330">
        <v>0</v>
      </c>
      <c r="AP330">
        <v>0</v>
      </c>
      <c r="AQ330">
        <v>0</v>
      </c>
      <c r="AR330">
        <v>0</v>
      </c>
      <c r="AS330">
        <v>0</v>
      </c>
      <c r="AT330">
        <v>0</v>
      </c>
      <c r="AU330">
        <v>0</v>
      </c>
      <c r="AV330">
        <v>0</v>
      </c>
      <c r="AW330">
        <v>0</v>
      </c>
      <c r="AX330">
        <v>0</v>
      </c>
      <c r="AY330">
        <v>0</v>
      </c>
      <c r="AZ330">
        <v>0</v>
      </c>
      <c r="BA330">
        <v>0</v>
      </c>
      <c r="BB330">
        <v>0</v>
      </c>
      <c r="BC330">
        <v>0</v>
      </c>
      <c r="BD330">
        <v>0</v>
      </c>
      <c r="BE330">
        <v>0</v>
      </c>
      <c r="BF330">
        <v>0</v>
      </c>
      <c r="BG330">
        <v>0</v>
      </c>
      <c r="BH330">
        <v>1</v>
      </c>
      <c r="BI330">
        <v>1</v>
      </c>
      <c r="BJ330">
        <v>0.2</v>
      </c>
      <c r="BK330">
        <v>1</v>
      </c>
      <c r="BL330" s="4">
        <v>50.45</v>
      </c>
      <c r="BM330" s="4">
        <v>7.57</v>
      </c>
      <c r="BN330" s="4">
        <v>58.02</v>
      </c>
      <c r="BO330" s="4">
        <v>58.02</v>
      </c>
      <c r="BQ330" t="s">
        <v>93</v>
      </c>
      <c r="BR330" t="s">
        <v>84</v>
      </c>
      <c r="BS330" s="3">
        <v>43804</v>
      </c>
      <c r="BT330" s="5">
        <v>0.34722222222222227</v>
      </c>
      <c r="BU330" t="s">
        <v>763</v>
      </c>
      <c r="BV330" t="s">
        <v>86</v>
      </c>
      <c r="BY330">
        <v>1200</v>
      </c>
      <c r="CA330">
        <v>80002500274</v>
      </c>
      <c r="CC330" t="s">
        <v>80</v>
      </c>
      <c r="CD330">
        <v>6001</v>
      </c>
      <c r="CE330" t="s">
        <v>88</v>
      </c>
      <c r="CF330" s="3">
        <v>43805</v>
      </c>
      <c r="CI330">
        <v>1</v>
      </c>
      <c r="CJ330">
        <v>1</v>
      </c>
      <c r="CK330">
        <v>21</v>
      </c>
      <c r="CL330" t="s">
        <v>89</v>
      </c>
    </row>
    <row r="331" spans="1:90">
      <c r="A331" t="s">
        <v>72</v>
      </c>
      <c r="B331" t="s">
        <v>73</v>
      </c>
      <c r="C331" t="s">
        <v>74</v>
      </c>
      <c r="E331" t="str">
        <f>"FES1162726753"</f>
        <v>FES1162726753</v>
      </c>
      <c r="F331" s="3">
        <v>43803</v>
      </c>
      <c r="G331">
        <v>202006</v>
      </c>
      <c r="H331" t="s">
        <v>75</v>
      </c>
      <c r="I331" t="s">
        <v>76</v>
      </c>
      <c r="J331" t="s">
        <v>77</v>
      </c>
      <c r="K331" t="s">
        <v>78</v>
      </c>
      <c r="L331" t="s">
        <v>632</v>
      </c>
      <c r="M331" t="s">
        <v>633</v>
      </c>
      <c r="N331" t="s">
        <v>634</v>
      </c>
      <c r="O331" t="s">
        <v>82</v>
      </c>
      <c r="P331" t="str">
        <f>"2170720180                    "</f>
        <v xml:space="preserve">2170720180                    </v>
      </c>
      <c r="Q331">
        <v>0</v>
      </c>
      <c r="R331">
        <v>0</v>
      </c>
      <c r="S331">
        <v>0</v>
      </c>
      <c r="T331">
        <v>0</v>
      </c>
      <c r="U331">
        <v>0</v>
      </c>
      <c r="V331">
        <v>0</v>
      </c>
      <c r="W331">
        <v>0</v>
      </c>
      <c r="X331">
        <v>0</v>
      </c>
      <c r="Y331">
        <v>0</v>
      </c>
      <c r="Z331">
        <v>0</v>
      </c>
      <c r="AA331">
        <v>0</v>
      </c>
      <c r="AB331">
        <v>0</v>
      </c>
      <c r="AC331">
        <v>0</v>
      </c>
      <c r="AD331">
        <v>0</v>
      </c>
      <c r="AE331">
        <v>0</v>
      </c>
      <c r="AF331">
        <v>0</v>
      </c>
      <c r="AG331">
        <v>0</v>
      </c>
      <c r="AH331">
        <v>0</v>
      </c>
      <c r="AI331">
        <v>0</v>
      </c>
      <c r="AJ331">
        <v>0</v>
      </c>
      <c r="AK331">
        <v>0</v>
      </c>
      <c r="AL331">
        <v>0</v>
      </c>
      <c r="AM331">
        <v>6.71</v>
      </c>
      <c r="AN331">
        <v>0</v>
      </c>
      <c r="AO331">
        <v>0</v>
      </c>
      <c r="AP331">
        <v>0</v>
      </c>
      <c r="AQ331">
        <v>0</v>
      </c>
      <c r="AR331">
        <v>0</v>
      </c>
      <c r="AS331">
        <v>0</v>
      </c>
      <c r="AT331">
        <v>0</v>
      </c>
      <c r="AU331">
        <v>0</v>
      </c>
      <c r="AV331">
        <v>0</v>
      </c>
      <c r="AW331">
        <v>0</v>
      </c>
      <c r="AX331">
        <v>0</v>
      </c>
      <c r="AY331">
        <v>0</v>
      </c>
      <c r="AZ331">
        <v>0</v>
      </c>
      <c r="BA331">
        <v>0</v>
      </c>
      <c r="BB331">
        <v>0</v>
      </c>
      <c r="BC331">
        <v>0</v>
      </c>
      <c r="BD331">
        <v>0</v>
      </c>
      <c r="BE331">
        <v>0</v>
      </c>
      <c r="BF331">
        <v>0</v>
      </c>
      <c r="BG331">
        <v>0</v>
      </c>
      <c r="BH331">
        <v>1</v>
      </c>
      <c r="BI331">
        <v>1</v>
      </c>
      <c r="BJ331">
        <v>0.2</v>
      </c>
      <c r="BK331">
        <v>1</v>
      </c>
      <c r="BL331" s="4">
        <v>39.42</v>
      </c>
      <c r="BM331" s="4">
        <v>5.91</v>
      </c>
      <c r="BN331" s="4">
        <v>45.33</v>
      </c>
      <c r="BO331" s="4">
        <v>45.33</v>
      </c>
      <c r="BQ331" t="s">
        <v>147</v>
      </c>
      <c r="BR331" t="s">
        <v>84</v>
      </c>
      <c r="BS331" s="3">
        <v>43804</v>
      </c>
      <c r="BT331" s="5">
        <v>0.34236111111111112</v>
      </c>
      <c r="BU331" t="s">
        <v>761</v>
      </c>
      <c r="BV331" t="s">
        <v>86</v>
      </c>
      <c r="BY331">
        <v>1200</v>
      </c>
      <c r="CC331" t="s">
        <v>633</v>
      </c>
      <c r="CD331">
        <v>1451</v>
      </c>
      <c r="CE331" t="s">
        <v>88</v>
      </c>
      <c r="CF331" s="3">
        <v>43805</v>
      </c>
      <c r="CI331">
        <v>1</v>
      </c>
      <c r="CJ331">
        <v>1</v>
      </c>
      <c r="CK331">
        <v>22</v>
      </c>
      <c r="CL331" t="s">
        <v>89</v>
      </c>
    </row>
    <row r="332" spans="1:90">
      <c r="A332" t="s">
        <v>72</v>
      </c>
      <c r="B332" t="s">
        <v>73</v>
      </c>
      <c r="C332" t="s">
        <v>74</v>
      </c>
      <c r="E332" t="str">
        <f>"FES1162726706"</f>
        <v>FES1162726706</v>
      </c>
      <c r="F332" s="3">
        <v>43803</v>
      </c>
      <c r="G332">
        <v>202006</v>
      </c>
      <c r="H332" t="s">
        <v>75</v>
      </c>
      <c r="I332" t="s">
        <v>76</v>
      </c>
      <c r="J332" t="s">
        <v>77</v>
      </c>
      <c r="K332" t="s">
        <v>78</v>
      </c>
      <c r="L332" t="s">
        <v>198</v>
      </c>
      <c r="M332" t="s">
        <v>199</v>
      </c>
      <c r="N332" t="s">
        <v>297</v>
      </c>
      <c r="O332" t="s">
        <v>82</v>
      </c>
      <c r="P332" t="str">
        <f>"2170719853                    "</f>
        <v xml:space="preserve">2170719853                    </v>
      </c>
      <c r="Q332">
        <v>0</v>
      </c>
      <c r="R332">
        <v>0</v>
      </c>
      <c r="S332">
        <v>0</v>
      </c>
      <c r="T332">
        <v>0</v>
      </c>
      <c r="U332">
        <v>0</v>
      </c>
      <c r="V332">
        <v>0</v>
      </c>
      <c r="W332">
        <v>0</v>
      </c>
      <c r="X332">
        <v>0</v>
      </c>
      <c r="Y332">
        <v>0</v>
      </c>
      <c r="Z332">
        <v>0</v>
      </c>
      <c r="AA332">
        <v>0</v>
      </c>
      <c r="AB332">
        <v>0</v>
      </c>
      <c r="AC332">
        <v>0</v>
      </c>
      <c r="AD332">
        <v>0</v>
      </c>
      <c r="AE332">
        <v>0</v>
      </c>
      <c r="AF332">
        <v>0</v>
      </c>
      <c r="AG332">
        <v>0</v>
      </c>
      <c r="AH332">
        <v>0</v>
      </c>
      <c r="AI332">
        <v>0</v>
      </c>
      <c r="AJ332">
        <v>0</v>
      </c>
      <c r="AK332">
        <v>0</v>
      </c>
      <c r="AL332">
        <v>0</v>
      </c>
      <c r="AM332">
        <v>8.58</v>
      </c>
      <c r="AN332">
        <v>0</v>
      </c>
      <c r="AO332">
        <v>0</v>
      </c>
      <c r="AP332">
        <v>0</v>
      </c>
      <c r="AQ332">
        <v>0</v>
      </c>
      <c r="AR332">
        <v>0</v>
      </c>
      <c r="AS332">
        <v>0</v>
      </c>
      <c r="AT332">
        <v>0</v>
      </c>
      <c r="AU332">
        <v>0</v>
      </c>
      <c r="AV332">
        <v>0</v>
      </c>
      <c r="AW332">
        <v>0</v>
      </c>
      <c r="AX332">
        <v>0</v>
      </c>
      <c r="AY332">
        <v>0</v>
      </c>
      <c r="AZ332">
        <v>0</v>
      </c>
      <c r="BA332">
        <v>0</v>
      </c>
      <c r="BB332">
        <v>0</v>
      </c>
      <c r="BC332">
        <v>0</v>
      </c>
      <c r="BD332">
        <v>0</v>
      </c>
      <c r="BE332">
        <v>0</v>
      </c>
      <c r="BF332">
        <v>0</v>
      </c>
      <c r="BG332">
        <v>0</v>
      </c>
      <c r="BH332">
        <v>1</v>
      </c>
      <c r="BI332">
        <v>1</v>
      </c>
      <c r="BJ332">
        <v>0.2</v>
      </c>
      <c r="BK332">
        <v>1</v>
      </c>
      <c r="BL332" s="4">
        <v>50.45</v>
      </c>
      <c r="BM332" s="4">
        <v>7.57</v>
      </c>
      <c r="BN332" s="4">
        <v>58.02</v>
      </c>
      <c r="BO332" s="4">
        <v>58.02</v>
      </c>
      <c r="BQ332" t="s">
        <v>172</v>
      </c>
      <c r="BR332" t="s">
        <v>84</v>
      </c>
      <c r="BS332" s="3">
        <v>43804</v>
      </c>
      <c r="BT332" s="5">
        <v>0.34375</v>
      </c>
      <c r="BU332" t="s">
        <v>542</v>
      </c>
      <c r="BV332" t="s">
        <v>86</v>
      </c>
      <c r="BY332">
        <v>1200</v>
      </c>
      <c r="BZ332" t="s">
        <v>27</v>
      </c>
      <c r="CA332" t="s">
        <v>299</v>
      </c>
      <c r="CC332" t="s">
        <v>199</v>
      </c>
      <c r="CD332">
        <v>4000</v>
      </c>
      <c r="CE332" t="s">
        <v>88</v>
      </c>
      <c r="CF332" s="3">
        <v>43808</v>
      </c>
      <c r="CI332">
        <v>1</v>
      </c>
      <c r="CJ332">
        <v>1</v>
      </c>
      <c r="CK332">
        <v>21</v>
      </c>
      <c r="CL332" t="s">
        <v>89</v>
      </c>
    </row>
    <row r="333" spans="1:90">
      <c r="A333" t="s">
        <v>72</v>
      </c>
      <c r="B333" t="s">
        <v>73</v>
      </c>
      <c r="C333" t="s">
        <v>74</v>
      </c>
      <c r="E333" t="str">
        <f>"FES1162726637"</f>
        <v>FES1162726637</v>
      </c>
      <c r="F333" s="3">
        <v>43803</v>
      </c>
      <c r="G333">
        <v>202006</v>
      </c>
      <c r="H333" t="s">
        <v>75</v>
      </c>
      <c r="I333" t="s">
        <v>76</v>
      </c>
      <c r="J333" t="s">
        <v>77</v>
      </c>
      <c r="K333" t="s">
        <v>78</v>
      </c>
      <c r="L333" t="s">
        <v>90</v>
      </c>
      <c r="M333" t="s">
        <v>91</v>
      </c>
      <c r="N333" t="s">
        <v>110</v>
      </c>
      <c r="O333" t="s">
        <v>82</v>
      </c>
      <c r="P333" t="str">
        <f>"2170720116                    "</f>
        <v xml:space="preserve">2170720116                    </v>
      </c>
      <c r="Q333">
        <v>0</v>
      </c>
      <c r="R333">
        <v>0</v>
      </c>
      <c r="S333">
        <v>0</v>
      </c>
      <c r="T333">
        <v>0</v>
      </c>
      <c r="U333">
        <v>0</v>
      </c>
      <c r="V333">
        <v>0</v>
      </c>
      <c r="W333">
        <v>0</v>
      </c>
      <c r="X333">
        <v>0</v>
      </c>
      <c r="Y333">
        <v>0</v>
      </c>
      <c r="Z333">
        <v>0</v>
      </c>
      <c r="AA333">
        <v>0</v>
      </c>
      <c r="AB333">
        <v>0</v>
      </c>
      <c r="AC333">
        <v>0</v>
      </c>
      <c r="AD333">
        <v>0</v>
      </c>
      <c r="AE333">
        <v>0</v>
      </c>
      <c r="AF333">
        <v>0</v>
      </c>
      <c r="AG333">
        <v>0</v>
      </c>
      <c r="AH333">
        <v>0</v>
      </c>
      <c r="AI333">
        <v>0</v>
      </c>
      <c r="AJ333">
        <v>0</v>
      </c>
      <c r="AK333">
        <v>0</v>
      </c>
      <c r="AL333">
        <v>0</v>
      </c>
      <c r="AM333">
        <v>8.58</v>
      </c>
      <c r="AN333">
        <v>0</v>
      </c>
      <c r="AO333">
        <v>0</v>
      </c>
      <c r="AP333">
        <v>0</v>
      </c>
      <c r="AQ333">
        <v>0</v>
      </c>
      <c r="AR333">
        <v>0</v>
      </c>
      <c r="AS333">
        <v>0</v>
      </c>
      <c r="AT333">
        <v>0</v>
      </c>
      <c r="AU333">
        <v>0</v>
      </c>
      <c r="AV333">
        <v>0</v>
      </c>
      <c r="AW333">
        <v>0</v>
      </c>
      <c r="AX333">
        <v>0</v>
      </c>
      <c r="AY333">
        <v>0</v>
      </c>
      <c r="AZ333">
        <v>0</v>
      </c>
      <c r="BA333">
        <v>0</v>
      </c>
      <c r="BB333">
        <v>0</v>
      </c>
      <c r="BC333">
        <v>0</v>
      </c>
      <c r="BD333">
        <v>0</v>
      </c>
      <c r="BE333">
        <v>0</v>
      </c>
      <c r="BF333">
        <v>0</v>
      </c>
      <c r="BG333">
        <v>0</v>
      </c>
      <c r="BH333">
        <v>1</v>
      </c>
      <c r="BI333">
        <v>1</v>
      </c>
      <c r="BJ333">
        <v>0.2</v>
      </c>
      <c r="BK333">
        <v>1</v>
      </c>
      <c r="BL333" s="4">
        <v>50.45</v>
      </c>
      <c r="BM333" s="4">
        <v>7.57</v>
      </c>
      <c r="BN333" s="4">
        <v>58.02</v>
      </c>
      <c r="BO333" s="4">
        <v>58.02</v>
      </c>
      <c r="BQ333" t="s">
        <v>147</v>
      </c>
      <c r="BR333" t="s">
        <v>84</v>
      </c>
      <c r="BS333" s="3">
        <v>43804</v>
      </c>
      <c r="BT333" s="5">
        <v>0.34236111111111112</v>
      </c>
      <c r="BU333" t="s">
        <v>764</v>
      </c>
      <c r="BV333" t="s">
        <v>86</v>
      </c>
      <c r="BY333">
        <v>1200</v>
      </c>
      <c r="CA333" t="s">
        <v>112</v>
      </c>
      <c r="CC333" t="s">
        <v>91</v>
      </c>
      <c r="CD333">
        <v>7405</v>
      </c>
      <c r="CE333" t="s">
        <v>88</v>
      </c>
      <c r="CF333" s="3">
        <v>43805</v>
      </c>
      <c r="CI333">
        <v>1</v>
      </c>
      <c r="CJ333">
        <v>1</v>
      </c>
      <c r="CK333">
        <v>21</v>
      </c>
      <c r="CL333" t="s">
        <v>89</v>
      </c>
    </row>
    <row r="334" spans="1:90">
      <c r="A334" t="s">
        <v>72</v>
      </c>
      <c r="B334" t="s">
        <v>73</v>
      </c>
      <c r="C334" t="s">
        <v>74</v>
      </c>
      <c r="E334" t="str">
        <f>"FES1162726556"</f>
        <v>FES1162726556</v>
      </c>
      <c r="F334" s="3">
        <v>43803</v>
      </c>
      <c r="G334">
        <v>202006</v>
      </c>
      <c r="H334" t="s">
        <v>75</v>
      </c>
      <c r="I334" t="s">
        <v>76</v>
      </c>
      <c r="J334" t="s">
        <v>77</v>
      </c>
      <c r="K334" t="s">
        <v>78</v>
      </c>
      <c r="L334" t="s">
        <v>164</v>
      </c>
      <c r="M334" t="s">
        <v>165</v>
      </c>
      <c r="N334" t="s">
        <v>369</v>
      </c>
      <c r="O334" t="s">
        <v>82</v>
      </c>
      <c r="P334" t="str">
        <f>"2170720024                    "</f>
        <v xml:space="preserve">2170720024                    </v>
      </c>
      <c r="Q334">
        <v>0</v>
      </c>
      <c r="R334">
        <v>0</v>
      </c>
      <c r="S334">
        <v>0</v>
      </c>
      <c r="T334">
        <v>0</v>
      </c>
      <c r="U334">
        <v>0</v>
      </c>
      <c r="V334">
        <v>0</v>
      </c>
      <c r="W334">
        <v>0</v>
      </c>
      <c r="X334">
        <v>0</v>
      </c>
      <c r="Y334">
        <v>0</v>
      </c>
      <c r="Z334">
        <v>0</v>
      </c>
      <c r="AA334">
        <v>0</v>
      </c>
      <c r="AB334">
        <v>0</v>
      </c>
      <c r="AC334">
        <v>0</v>
      </c>
      <c r="AD334">
        <v>0</v>
      </c>
      <c r="AE334">
        <v>0</v>
      </c>
      <c r="AF334">
        <v>0</v>
      </c>
      <c r="AG334">
        <v>0</v>
      </c>
      <c r="AH334">
        <v>0</v>
      </c>
      <c r="AI334">
        <v>0</v>
      </c>
      <c r="AJ334">
        <v>0</v>
      </c>
      <c r="AK334">
        <v>0</v>
      </c>
      <c r="AL334">
        <v>0</v>
      </c>
      <c r="AM334">
        <v>8.58</v>
      </c>
      <c r="AN334">
        <v>0</v>
      </c>
      <c r="AO334">
        <v>0</v>
      </c>
      <c r="AP334">
        <v>0</v>
      </c>
      <c r="AQ334">
        <v>0</v>
      </c>
      <c r="AR334">
        <v>0</v>
      </c>
      <c r="AS334">
        <v>0</v>
      </c>
      <c r="AT334">
        <v>0</v>
      </c>
      <c r="AU334">
        <v>0</v>
      </c>
      <c r="AV334">
        <v>0</v>
      </c>
      <c r="AW334">
        <v>0</v>
      </c>
      <c r="AX334">
        <v>0</v>
      </c>
      <c r="AY334">
        <v>0</v>
      </c>
      <c r="AZ334">
        <v>0</v>
      </c>
      <c r="BA334">
        <v>0</v>
      </c>
      <c r="BB334">
        <v>0</v>
      </c>
      <c r="BC334">
        <v>0</v>
      </c>
      <c r="BD334">
        <v>0</v>
      </c>
      <c r="BE334">
        <v>0</v>
      </c>
      <c r="BF334">
        <v>0</v>
      </c>
      <c r="BG334">
        <v>0</v>
      </c>
      <c r="BH334">
        <v>1</v>
      </c>
      <c r="BI334">
        <v>1</v>
      </c>
      <c r="BJ334">
        <v>0.2</v>
      </c>
      <c r="BK334">
        <v>1</v>
      </c>
      <c r="BL334" s="4">
        <v>50.45</v>
      </c>
      <c r="BM334" s="4">
        <v>7.57</v>
      </c>
      <c r="BN334" s="4">
        <v>58.02</v>
      </c>
      <c r="BO334" s="4">
        <v>58.02</v>
      </c>
      <c r="BQ334" t="s">
        <v>93</v>
      </c>
      <c r="BR334" t="s">
        <v>84</v>
      </c>
      <c r="BS334" s="3">
        <v>43804</v>
      </c>
      <c r="BT334" s="5">
        <v>0.42986111111111108</v>
      </c>
      <c r="BU334" t="s">
        <v>765</v>
      </c>
      <c r="BV334" t="s">
        <v>86</v>
      </c>
      <c r="BY334">
        <v>1200</v>
      </c>
      <c r="CA334" t="s">
        <v>766</v>
      </c>
      <c r="CC334" t="s">
        <v>165</v>
      </c>
      <c r="CD334">
        <v>5201</v>
      </c>
      <c r="CE334" t="s">
        <v>88</v>
      </c>
      <c r="CF334" s="3">
        <v>43808</v>
      </c>
      <c r="CI334">
        <v>1</v>
      </c>
      <c r="CJ334">
        <v>1</v>
      </c>
      <c r="CK334">
        <v>21</v>
      </c>
      <c r="CL334" t="s">
        <v>89</v>
      </c>
    </row>
    <row r="335" spans="1:90">
      <c r="A335" t="s">
        <v>72</v>
      </c>
      <c r="B335" t="s">
        <v>73</v>
      </c>
      <c r="C335" t="s">
        <v>74</v>
      </c>
      <c r="E335" t="str">
        <f>"FES1162726543"</f>
        <v>FES1162726543</v>
      </c>
      <c r="F335" s="3">
        <v>43803</v>
      </c>
      <c r="G335">
        <v>202006</v>
      </c>
      <c r="H335" t="s">
        <v>75</v>
      </c>
      <c r="I335" t="s">
        <v>76</v>
      </c>
      <c r="J335" t="s">
        <v>77</v>
      </c>
      <c r="K335" t="s">
        <v>78</v>
      </c>
      <c r="L335" t="s">
        <v>90</v>
      </c>
      <c r="M335" t="s">
        <v>91</v>
      </c>
      <c r="N335" t="s">
        <v>207</v>
      </c>
      <c r="O335" t="s">
        <v>82</v>
      </c>
      <c r="P335" t="str">
        <f>"2170720007                    "</f>
        <v xml:space="preserve">2170720007                    </v>
      </c>
      <c r="Q335">
        <v>0</v>
      </c>
      <c r="R335">
        <v>0</v>
      </c>
      <c r="S335">
        <v>0</v>
      </c>
      <c r="T335">
        <v>0</v>
      </c>
      <c r="U335">
        <v>0</v>
      </c>
      <c r="V335">
        <v>0</v>
      </c>
      <c r="W335">
        <v>0</v>
      </c>
      <c r="X335">
        <v>0</v>
      </c>
      <c r="Y335">
        <v>0</v>
      </c>
      <c r="Z335">
        <v>0</v>
      </c>
      <c r="AA335">
        <v>0</v>
      </c>
      <c r="AB335">
        <v>0</v>
      </c>
      <c r="AC335">
        <v>0</v>
      </c>
      <c r="AD335">
        <v>0</v>
      </c>
      <c r="AE335">
        <v>0</v>
      </c>
      <c r="AF335">
        <v>0</v>
      </c>
      <c r="AG335">
        <v>0</v>
      </c>
      <c r="AH335">
        <v>0</v>
      </c>
      <c r="AI335">
        <v>0</v>
      </c>
      <c r="AJ335">
        <v>0</v>
      </c>
      <c r="AK335">
        <v>0</v>
      </c>
      <c r="AL335">
        <v>0</v>
      </c>
      <c r="AM335">
        <v>8.58</v>
      </c>
      <c r="AN335">
        <v>0</v>
      </c>
      <c r="AO335">
        <v>0</v>
      </c>
      <c r="AP335">
        <v>0</v>
      </c>
      <c r="AQ335">
        <v>0</v>
      </c>
      <c r="AR335">
        <v>0</v>
      </c>
      <c r="AS335">
        <v>0</v>
      </c>
      <c r="AT335">
        <v>0</v>
      </c>
      <c r="AU335">
        <v>0</v>
      </c>
      <c r="AV335">
        <v>0</v>
      </c>
      <c r="AW335">
        <v>0</v>
      </c>
      <c r="AX335">
        <v>0</v>
      </c>
      <c r="AY335">
        <v>0</v>
      </c>
      <c r="AZ335">
        <v>0</v>
      </c>
      <c r="BA335">
        <v>0</v>
      </c>
      <c r="BB335">
        <v>0</v>
      </c>
      <c r="BC335">
        <v>0</v>
      </c>
      <c r="BD335">
        <v>0</v>
      </c>
      <c r="BE335">
        <v>0</v>
      </c>
      <c r="BF335">
        <v>0</v>
      </c>
      <c r="BG335">
        <v>0</v>
      </c>
      <c r="BH335">
        <v>1</v>
      </c>
      <c r="BI335">
        <v>1</v>
      </c>
      <c r="BJ335">
        <v>0.2</v>
      </c>
      <c r="BK335">
        <v>1</v>
      </c>
      <c r="BL335" s="4">
        <v>50.45</v>
      </c>
      <c r="BM335" s="4">
        <v>7.57</v>
      </c>
      <c r="BN335" s="4">
        <v>58.02</v>
      </c>
      <c r="BO335" s="4">
        <v>58.02</v>
      </c>
      <c r="BQ335" t="s">
        <v>147</v>
      </c>
      <c r="BR335" t="s">
        <v>84</v>
      </c>
      <c r="BS335" s="3">
        <v>43804</v>
      </c>
      <c r="BT335" s="5">
        <v>0.36041666666666666</v>
      </c>
      <c r="BU335" t="s">
        <v>349</v>
      </c>
      <c r="BV335" t="s">
        <v>86</v>
      </c>
      <c r="BY335">
        <v>1200</v>
      </c>
      <c r="CA335" t="s">
        <v>209</v>
      </c>
      <c r="CC335" t="s">
        <v>91</v>
      </c>
      <c r="CD335">
        <v>7441</v>
      </c>
      <c r="CE335" t="s">
        <v>88</v>
      </c>
      <c r="CF335" s="3">
        <v>43805</v>
      </c>
      <c r="CI335">
        <v>1</v>
      </c>
      <c r="CJ335">
        <v>1</v>
      </c>
      <c r="CK335">
        <v>21</v>
      </c>
      <c r="CL335" t="s">
        <v>89</v>
      </c>
    </row>
    <row r="336" spans="1:90">
      <c r="A336" t="s">
        <v>72</v>
      </c>
      <c r="B336" t="s">
        <v>73</v>
      </c>
      <c r="C336" t="s">
        <v>74</v>
      </c>
      <c r="E336" t="str">
        <f>"FES1162726580"</f>
        <v>FES1162726580</v>
      </c>
      <c r="F336" s="3">
        <v>43803</v>
      </c>
      <c r="G336">
        <v>202006</v>
      </c>
      <c r="H336" t="s">
        <v>75</v>
      </c>
      <c r="I336" t="s">
        <v>76</v>
      </c>
      <c r="J336" t="s">
        <v>77</v>
      </c>
      <c r="K336" t="s">
        <v>78</v>
      </c>
      <c r="L336" t="s">
        <v>332</v>
      </c>
      <c r="M336" t="s">
        <v>333</v>
      </c>
      <c r="N336" t="s">
        <v>767</v>
      </c>
      <c r="O336" t="s">
        <v>82</v>
      </c>
      <c r="P336" t="str">
        <f>"2170720051                    "</f>
        <v xml:space="preserve">2170720051                    </v>
      </c>
      <c r="Q336">
        <v>0</v>
      </c>
      <c r="R336">
        <v>0</v>
      </c>
      <c r="S336">
        <v>0</v>
      </c>
      <c r="T336">
        <v>0</v>
      </c>
      <c r="U336">
        <v>0</v>
      </c>
      <c r="V336">
        <v>0</v>
      </c>
      <c r="W336">
        <v>0</v>
      </c>
      <c r="X336">
        <v>0</v>
      </c>
      <c r="Y336">
        <v>0</v>
      </c>
      <c r="Z336">
        <v>0</v>
      </c>
      <c r="AA336">
        <v>0</v>
      </c>
      <c r="AB336">
        <v>0</v>
      </c>
      <c r="AC336">
        <v>0</v>
      </c>
      <c r="AD336">
        <v>0</v>
      </c>
      <c r="AE336">
        <v>0</v>
      </c>
      <c r="AF336">
        <v>0</v>
      </c>
      <c r="AG336">
        <v>0</v>
      </c>
      <c r="AH336">
        <v>0</v>
      </c>
      <c r="AI336">
        <v>0</v>
      </c>
      <c r="AJ336">
        <v>0</v>
      </c>
      <c r="AK336">
        <v>0</v>
      </c>
      <c r="AL336">
        <v>0</v>
      </c>
      <c r="AM336">
        <v>6.71</v>
      </c>
      <c r="AN336">
        <v>0</v>
      </c>
      <c r="AO336">
        <v>0</v>
      </c>
      <c r="AP336">
        <v>0</v>
      </c>
      <c r="AQ336">
        <v>0</v>
      </c>
      <c r="AR336">
        <v>0</v>
      </c>
      <c r="AS336">
        <v>0</v>
      </c>
      <c r="AT336">
        <v>0</v>
      </c>
      <c r="AU336">
        <v>0</v>
      </c>
      <c r="AV336">
        <v>0</v>
      </c>
      <c r="AW336">
        <v>0</v>
      </c>
      <c r="AX336">
        <v>0</v>
      </c>
      <c r="AY336">
        <v>0</v>
      </c>
      <c r="AZ336">
        <v>0</v>
      </c>
      <c r="BA336">
        <v>0</v>
      </c>
      <c r="BB336">
        <v>0</v>
      </c>
      <c r="BC336">
        <v>0</v>
      </c>
      <c r="BD336">
        <v>0</v>
      </c>
      <c r="BE336">
        <v>0</v>
      </c>
      <c r="BF336">
        <v>0</v>
      </c>
      <c r="BG336">
        <v>0</v>
      </c>
      <c r="BH336">
        <v>1</v>
      </c>
      <c r="BI336">
        <v>2</v>
      </c>
      <c r="BJ336">
        <v>0.2</v>
      </c>
      <c r="BK336">
        <v>2</v>
      </c>
      <c r="BL336" s="4">
        <v>39.42</v>
      </c>
      <c r="BM336" s="4">
        <v>5.91</v>
      </c>
      <c r="BN336" s="4">
        <v>45.33</v>
      </c>
      <c r="BO336" s="4">
        <v>45.33</v>
      </c>
      <c r="BQ336" t="s">
        <v>147</v>
      </c>
      <c r="BR336" t="s">
        <v>84</v>
      </c>
      <c r="BS336" s="3">
        <v>43804</v>
      </c>
      <c r="BT336" s="5">
        <v>0.36805555555555558</v>
      </c>
      <c r="BU336" t="s">
        <v>442</v>
      </c>
      <c r="BV336" t="s">
        <v>86</v>
      </c>
      <c r="BY336">
        <v>1200</v>
      </c>
      <c r="CC336" t="s">
        <v>333</v>
      </c>
      <c r="CD336">
        <v>2040</v>
      </c>
      <c r="CE336" t="s">
        <v>88</v>
      </c>
      <c r="CF336" s="3">
        <v>43805</v>
      </c>
      <c r="CI336">
        <v>1</v>
      </c>
      <c r="CJ336">
        <v>1</v>
      </c>
      <c r="CK336">
        <v>22</v>
      </c>
      <c r="CL336" t="s">
        <v>89</v>
      </c>
    </row>
    <row r="337" spans="1:90">
      <c r="A337" t="s">
        <v>72</v>
      </c>
      <c r="B337" t="s">
        <v>73</v>
      </c>
      <c r="C337" t="s">
        <v>74</v>
      </c>
      <c r="E337" t="str">
        <f>"FES1162726711"</f>
        <v>FES1162726711</v>
      </c>
      <c r="F337" s="3">
        <v>43803</v>
      </c>
      <c r="G337">
        <v>202006</v>
      </c>
      <c r="H337" t="s">
        <v>75</v>
      </c>
      <c r="I337" t="s">
        <v>76</v>
      </c>
      <c r="J337" t="s">
        <v>77</v>
      </c>
      <c r="K337" t="s">
        <v>78</v>
      </c>
      <c r="L337" t="s">
        <v>79</v>
      </c>
      <c r="M337" t="s">
        <v>80</v>
      </c>
      <c r="N337" t="s">
        <v>768</v>
      </c>
      <c r="O337" t="s">
        <v>82</v>
      </c>
      <c r="P337" t="str">
        <f>"2170720133                    "</f>
        <v xml:space="preserve">2170720133                    </v>
      </c>
      <c r="Q337">
        <v>0</v>
      </c>
      <c r="R337">
        <v>0</v>
      </c>
      <c r="S337">
        <v>0</v>
      </c>
      <c r="T337">
        <v>0</v>
      </c>
      <c r="U337">
        <v>0</v>
      </c>
      <c r="V337">
        <v>0</v>
      </c>
      <c r="W337">
        <v>0</v>
      </c>
      <c r="X337">
        <v>0</v>
      </c>
      <c r="Y337">
        <v>0</v>
      </c>
      <c r="Z337">
        <v>0</v>
      </c>
      <c r="AA337">
        <v>0</v>
      </c>
      <c r="AB337">
        <v>0</v>
      </c>
      <c r="AC337">
        <v>0</v>
      </c>
      <c r="AD337">
        <v>0</v>
      </c>
      <c r="AE337">
        <v>0</v>
      </c>
      <c r="AF337">
        <v>0</v>
      </c>
      <c r="AG337">
        <v>0</v>
      </c>
      <c r="AH337">
        <v>0</v>
      </c>
      <c r="AI337">
        <v>0</v>
      </c>
      <c r="AJ337">
        <v>0</v>
      </c>
      <c r="AK337">
        <v>0</v>
      </c>
      <c r="AL337">
        <v>0</v>
      </c>
      <c r="AM337">
        <v>8.58</v>
      </c>
      <c r="AN337">
        <v>0</v>
      </c>
      <c r="AO337">
        <v>0</v>
      </c>
      <c r="AP337">
        <v>0</v>
      </c>
      <c r="AQ337">
        <v>0</v>
      </c>
      <c r="AR337">
        <v>0</v>
      </c>
      <c r="AS337">
        <v>0</v>
      </c>
      <c r="AT337">
        <v>0</v>
      </c>
      <c r="AU337">
        <v>0</v>
      </c>
      <c r="AV337">
        <v>0</v>
      </c>
      <c r="AW337">
        <v>0</v>
      </c>
      <c r="AX337">
        <v>0</v>
      </c>
      <c r="AY337">
        <v>0</v>
      </c>
      <c r="AZ337">
        <v>0</v>
      </c>
      <c r="BA337">
        <v>0</v>
      </c>
      <c r="BB337">
        <v>0</v>
      </c>
      <c r="BC337">
        <v>0</v>
      </c>
      <c r="BD337">
        <v>0</v>
      </c>
      <c r="BE337">
        <v>0</v>
      </c>
      <c r="BF337">
        <v>0</v>
      </c>
      <c r="BG337">
        <v>0</v>
      </c>
      <c r="BH337">
        <v>1</v>
      </c>
      <c r="BI337">
        <v>1</v>
      </c>
      <c r="BJ337">
        <v>0.2</v>
      </c>
      <c r="BK337">
        <v>1</v>
      </c>
      <c r="BL337" s="4">
        <v>50.45</v>
      </c>
      <c r="BM337" s="4">
        <v>7.57</v>
      </c>
      <c r="BN337" s="4">
        <v>58.02</v>
      </c>
      <c r="BO337" s="4">
        <v>58.02</v>
      </c>
      <c r="BQ337" t="s">
        <v>93</v>
      </c>
      <c r="BR337" t="s">
        <v>84</v>
      </c>
      <c r="BS337" s="3">
        <v>43804</v>
      </c>
      <c r="BT337" s="5">
        <v>0.38750000000000001</v>
      </c>
      <c r="BU337" t="s">
        <v>769</v>
      </c>
      <c r="BV337" t="s">
        <v>86</v>
      </c>
      <c r="BY337">
        <v>1200</v>
      </c>
      <c r="BZ337" t="s">
        <v>27</v>
      </c>
      <c r="CA337" t="s">
        <v>419</v>
      </c>
      <c r="CC337" t="s">
        <v>80</v>
      </c>
      <c r="CD337">
        <v>6001</v>
      </c>
      <c r="CE337" t="s">
        <v>88</v>
      </c>
      <c r="CF337" s="3">
        <v>43805</v>
      </c>
      <c r="CI337">
        <v>1</v>
      </c>
      <c r="CJ337">
        <v>1</v>
      </c>
      <c r="CK337">
        <v>21</v>
      </c>
      <c r="CL337" t="s">
        <v>89</v>
      </c>
    </row>
    <row r="338" spans="1:90">
      <c r="A338" t="s">
        <v>72</v>
      </c>
      <c r="B338" t="s">
        <v>73</v>
      </c>
      <c r="C338" t="s">
        <v>74</v>
      </c>
      <c r="E338" t="str">
        <f>"FES1162726631"</f>
        <v>FES1162726631</v>
      </c>
      <c r="F338" s="3">
        <v>43803</v>
      </c>
      <c r="G338">
        <v>202006</v>
      </c>
      <c r="H338" t="s">
        <v>75</v>
      </c>
      <c r="I338" t="s">
        <v>76</v>
      </c>
      <c r="J338" t="s">
        <v>77</v>
      </c>
      <c r="K338" t="s">
        <v>78</v>
      </c>
      <c r="L338" t="s">
        <v>75</v>
      </c>
      <c r="M338" t="s">
        <v>76</v>
      </c>
      <c r="N338" t="s">
        <v>770</v>
      </c>
      <c r="O338" t="s">
        <v>82</v>
      </c>
      <c r="P338" t="str">
        <f>"2170720110                    "</f>
        <v xml:space="preserve">2170720110                    </v>
      </c>
      <c r="Q338">
        <v>0</v>
      </c>
      <c r="R338">
        <v>0</v>
      </c>
      <c r="S338">
        <v>0</v>
      </c>
      <c r="T338">
        <v>0</v>
      </c>
      <c r="U338">
        <v>0</v>
      </c>
      <c r="V338">
        <v>0</v>
      </c>
      <c r="W338">
        <v>0</v>
      </c>
      <c r="X338">
        <v>0</v>
      </c>
      <c r="Y338">
        <v>0</v>
      </c>
      <c r="Z338">
        <v>0</v>
      </c>
      <c r="AA338">
        <v>0</v>
      </c>
      <c r="AB338">
        <v>0</v>
      </c>
      <c r="AC338">
        <v>0</v>
      </c>
      <c r="AD338">
        <v>0</v>
      </c>
      <c r="AE338">
        <v>0</v>
      </c>
      <c r="AF338">
        <v>0</v>
      </c>
      <c r="AG338">
        <v>0</v>
      </c>
      <c r="AH338">
        <v>0</v>
      </c>
      <c r="AI338">
        <v>0</v>
      </c>
      <c r="AJ338">
        <v>0</v>
      </c>
      <c r="AK338">
        <v>0</v>
      </c>
      <c r="AL338">
        <v>0</v>
      </c>
      <c r="AM338">
        <v>6.71</v>
      </c>
      <c r="AN338">
        <v>0</v>
      </c>
      <c r="AO338">
        <v>0</v>
      </c>
      <c r="AP338">
        <v>0</v>
      </c>
      <c r="AQ338">
        <v>0</v>
      </c>
      <c r="AR338">
        <v>0</v>
      </c>
      <c r="AS338">
        <v>0</v>
      </c>
      <c r="AT338">
        <v>0</v>
      </c>
      <c r="AU338">
        <v>0</v>
      </c>
      <c r="AV338">
        <v>0</v>
      </c>
      <c r="AW338">
        <v>0</v>
      </c>
      <c r="AX338">
        <v>0</v>
      </c>
      <c r="AY338">
        <v>0</v>
      </c>
      <c r="AZ338">
        <v>0</v>
      </c>
      <c r="BA338">
        <v>0</v>
      </c>
      <c r="BB338">
        <v>0</v>
      </c>
      <c r="BC338">
        <v>0</v>
      </c>
      <c r="BD338">
        <v>0</v>
      </c>
      <c r="BE338">
        <v>0</v>
      </c>
      <c r="BF338">
        <v>0</v>
      </c>
      <c r="BG338">
        <v>0</v>
      </c>
      <c r="BH338">
        <v>1</v>
      </c>
      <c r="BI338">
        <v>1</v>
      </c>
      <c r="BJ338">
        <v>0.2</v>
      </c>
      <c r="BK338">
        <v>1</v>
      </c>
      <c r="BL338" s="4">
        <v>39.42</v>
      </c>
      <c r="BM338" s="4">
        <v>5.91</v>
      </c>
      <c r="BN338" s="4">
        <v>45.33</v>
      </c>
      <c r="BO338" s="4">
        <v>45.33</v>
      </c>
      <c r="BQ338" t="s">
        <v>147</v>
      </c>
      <c r="BR338" t="s">
        <v>84</v>
      </c>
      <c r="BS338" s="3">
        <v>43804</v>
      </c>
      <c r="BT338" s="5">
        <v>0.33263888888888887</v>
      </c>
      <c r="BU338" t="s">
        <v>771</v>
      </c>
      <c r="BV338" t="s">
        <v>86</v>
      </c>
      <c r="BY338">
        <v>1200</v>
      </c>
      <c r="CA338" t="s">
        <v>746</v>
      </c>
      <c r="CC338" t="s">
        <v>76</v>
      </c>
      <c r="CD338">
        <v>1601</v>
      </c>
      <c r="CE338" t="s">
        <v>88</v>
      </c>
      <c r="CF338" s="3">
        <v>43808</v>
      </c>
      <c r="CI338">
        <v>1</v>
      </c>
      <c r="CJ338">
        <v>1</v>
      </c>
      <c r="CK338">
        <v>22</v>
      </c>
      <c r="CL338" t="s">
        <v>89</v>
      </c>
    </row>
    <row r="339" spans="1:90">
      <c r="A339" t="s">
        <v>72</v>
      </c>
      <c r="B339" t="s">
        <v>73</v>
      </c>
      <c r="C339" t="s">
        <v>74</v>
      </c>
      <c r="E339" t="str">
        <f>"FES1162726980"</f>
        <v>FES1162726980</v>
      </c>
      <c r="F339" s="3">
        <v>43804</v>
      </c>
      <c r="G339">
        <v>202006</v>
      </c>
      <c r="H339" t="s">
        <v>75</v>
      </c>
      <c r="I339" t="s">
        <v>76</v>
      </c>
      <c r="J339" t="s">
        <v>77</v>
      </c>
      <c r="K339" t="s">
        <v>78</v>
      </c>
      <c r="L339" t="s">
        <v>169</v>
      </c>
      <c r="M339" t="s">
        <v>170</v>
      </c>
      <c r="N339" t="s">
        <v>772</v>
      </c>
      <c r="O339" t="s">
        <v>82</v>
      </c>
      <c r="P339" t="str">
        <f>"2170720375                    "</f>
        <v xml:space="preserve">2170720375                    </v>
      </c>
      <c r="Q339">
        <v>0</v>
      </c>
      <c r="R339">
        <v>0</v>
      </c>
      <c r="S339">
        <v>0</v>
      </c>
      <c r="T339">
        <v>0</v>
      </c>
      <c r="U339">
        <v>0</v>
      </c>
      <c r="V339">
        <v>0</v>
      </c>
      <c r="W339">
        <v>0</v>
      </c>
      <c r="X339">
        <v>0</v>
      </c>
      <c r="Y339">
        <v>0</v>
      </c>
      <c r="Z339">
        <v>0</v>
      </c>
      <c r="AA339">
        <v>0</v>
      </c>
      <c r="AB339">
        <v>0</v>
      </c>
      <c r="AC339">
        <v>0</v>
      </c>
      <c r="AD339">
        <v>0</v>
      </c>
      <c r="AE339">
        <v>0</v>
      </c>
      <c r="AF339">
        <v>0</v>
      </c>
      <c r="AG339">
        <v>0</v>
      </c>
      <c r="AH339">
        <v>0</v>
      </c>
      <c r="AI339">
        <v>0</v>
      </c>
      <c r="AJ339">
        <v>0</v>
      </c>
      <c r="AK339">
        <v>0</v>
      </c>
      <c r="AL339">
        <v>0</v>
      </c>
      <c r="AM339">
        <v>6.71</v>
      </c>
      <c r="AN339">
        <v>0</v>
      </c>
      <c r="AO339">
        <v>0</v>
      </c>
      <c r="AP339">
        <v>0</v>
      </c>
      <c r="AQ339">
        <v>0</v>
      </c>
      <c r="AR339">
        <v>0</v>
      </c>
      <c r="AS339">
        <v>0</v>
      </c>
      <c r="AT339">
        <v>0</v>
      </c>
      <c r="AU339">
        <v>0</v>
      </c>
      <c r="AV339">
        <v>0</v>
      </c>
      <c r="AW339">
        <v>0</v>
      </c>
      <c r="AX339">
        <v>0</v>
      </c>
      <c r="AY339">
        <v>0</v>
      </c>
      <c r="AZ339">
        <v>0</v>
      </c>
      <c r="BA339">
        <v>0</v>
      </c>
      <c r="BB339">
        <v>0</v>
      </c>
      <c r="BC339">
        <v>0</v>
      </c>
      <c r="BD339">
        <v>0</v>
      </c>
      <c r="BE339">
        <v>0</v>
      </c>
      <c r="BF339">
        <v>0</v>
      </c>
      <c r="BG339">
        <v>0</v>
      </c>
      <c r="BH339">
        <v>1</v>
      </c>
      <c r="BI339">
        <v>1</v>
      </c>
      <c r="BJ339">
        <v>0.2</v>
      </c>
      <c r="BK339">
        <v>1</v>
      </c>
      <c r="BL339" s="4">
        <v>39.42</v>
      </c>
      <c r="BM339" s="4">
        <v>5.91</v>
      </c>
      <c r="BN339" s="4">
        <v>45.33</v>
      </c>
      <c r="BO339" s="4">
        <v>45.33</v>
      </c>
      <c r="BQ339" t="s">
        <v>147</v>
      </c>
      <c r="BR339" t="s">
        <v>84</v>
      </c>
      <c r="BS339" s="3">
        <v>43805</v>
      </c>
      <c r="BT339" s="5">
        <v>0.375</v>
      </c>
      <c r="BU339" t="s">
        <v>638</v>
      </c>
      <c r="BV339" t="s">
        <v>86</v>
      </c>
      <c r="BY339">
        <v>1200</v>
      </c>
      <c r="CC339" t="s">
        <v>170</v>
      </c>
      <c r="CD339">
        <v>1459</v>
      </c>
      <c r="CE339" t="s">
        <v>88</v>
      </c>
      <c r="CF339" s="3">
        <v>43808</v>
      </c>
      <c r="CI339">
        <v>1</v>
      </c>
      <c r="CJ339">
        <v>1</v>
      </c>
      <c r="CK339">
        <v>22</v>
      </c>
      <c r="CL339" t="s">
        <v>89</v>
      </c>
    </row>
    <row r="340" spans="1:90">
      <c r="A340" t="s">
        <v>72</v>
      </c>
      <c r="B340" t="s">
        <v>73</v>
      </c>
      <c r="C340" t="s">
        <v>74</v>
      </c>
      <c r="E340" t="str">
        <f>"FES1162726550"</f>
        <v>FES1162726550</v>
      </c>
      <c r="F340" s="3">
        <v>43803</v>
      </c>
      <c r="G340">
        <v>202006</v>
      </c>
      <c r="H340" t="s">
        <v>75</v>
      </c>
      <c r="I340" t="s">
        <v>76</v>
      </c>
      <c r="J340" t="s">
        <v>77</v>
      </c>
      <c r="K340" t="s">
        <v>78</v>
      </c>
      <c r="L340" t="s">
        <v>709</v>
      </c>
      <c r="M340" t="s">
        <v>710</v>
      </c>
      <c r="N340" t="s">
        <v>773</v>
      </c>
      <c r="O340" t="s">
        <v>82</v>
      </c>
      <c r="P340" t="str">
        <f>"2170720019                    "</f>
        <v xml:space="preserve">2170720019                    </v>
      </c>
      <c r="Q340">
        <v>0</v>
      </c>
      <c r="R340">
        <v>0</v>
      </c>
      <c r="S340">
        <v>0</v>
      </c>
      <c r="T340">
        <v>0</v>
      </c>
      <c r="U340">
        <v>0</v>
      </c>
      <c r="V340">
        <v>0</v>
      </c>
      <c r="W340">
        <v>0</v>
      </c>
      <c r="X340">
        <v>0</v>
      </c>
      <c r="Y340">
        <v>0</v>
      </c>
      <c r="Z340">
        <v>0</v>
      </c>
      <c r="AA340">
        <v>0</v>
      </c>
      <c r="AB340">
        <v>0</v>
      </c>
      <c r="AC340">
        <v>0</v>
      </c>
      <c r="AD340">
        <v>0</v>
      </c>
      <c r="AE340">
        <v>0</v>
      </c>
      <c r="AF340">
        <v>0</v>
      </c>
      <c r="AG340">
        <v>0</v>
      </c>
      <c r="AH340">
        <v>0</v>
      </c>
      <c r="AI340">
        <v>0</v>
      </c>
      <c r="AJ340">
        <v>0</v>
      </c>
      <c r="AK340">
        <v>0</v>
      </c>
      <c r="AL340">
        <v>0</v>
      </c>
      <c r="AM340">
        <v>12.07</v>
      </c>
      <c r="AN340">
        <v>0</v>
      </c>
      <c r="AO340">
        <v>0</v>
      </c>
      <c r="AP340">
        <v>0</v>
      </c>
      <c r="AQ340">
        <v>0</v>
      </c>
      <c r="AR340">
        <v>0</v>
      </c>
      <c r="AS340">
        <v>0</v>
      </c>
      <c r="AT340">
        <v>0</v>
      </c>
      <c r="AU340">
        <v>0</v>
      </c>
      <c r="AV340">
        <v>0</v>
      </c>
      <c r="AW340">
        <v>0</v>
      </c>
      <c r="AX340">
        <v>0</v>
      </c>
      <c r="AY340">
        <v>0</v>
      </c>
      <c r="AZ340">
        <v>0</v>
      </c>
      <c r="BA340">
        <v>0</v>
      </c>
      <c r="BB340">
        <v>0</v>
      </c>
      <c r="BC340">
        <v>0</v>
      </c>
      <c r="BD340">
        <v>0</v>
      </c>
      <c r="BE340">
        <v>0</v>
      </c>
      <c r="BF340">
        <v>0</v>
      </c>
      <c r="BG340">
        <v>0</v>
      </c>
      <c r="BH340">
        <v>1</v>
      </c>
      <c r="BI340">
        <v>1</v>
      </c>
      <c r="BJ340">
        <v>0.2</v>
      </c>
      <c r="BK340">
        <v>1</v>
      </c>
      <c r="BL340" s="4">
        <v>70.95</v>
      </c>
      <c r="BM340" s="4">
        <v>10.64</v>
      </c>
      <c r="BN340" s="4">
        <v>81.59</v>
      </c>
      <c r="BO340" s="4">
        <v>81.59</v>
      </c>
      <c r="BQ340" t="s">
        <v>172</v>
      </c>
      <c r="BR340" t="s">
        <v>84</v>
      </c>
      <c r="BS340" s="3">
        <v>43804</v>
      </c>
      <c r="BT340" s="5">
        <v>0.33333333333333331</v>
      </c>
      <c r="BU340" t="s">
        <v>774</v>
      </c>
      <c r="BV340" t="s">
        <v>86</v>
      </c>
      <c r="BY340">
        <v>1200</v>
      </c>
      <c r="CA340" t="s">
        <v>713</v>
      </c>
      <c r="CC340" t="s">
        <v>710</v>
      </c>
      <c r="CD340">
        <v>1871</v>
      </c>
      <c r="CE340" t="s">
        <v>88</v>
      </c>
      <c r="CF340" s="3">
        <v>43805</v>
      </c>
      <c r="CI340">
        <v>1</v>
      </c>
      <c r="CJ340">
        <v>1</v>
      </c>
      <c r="CK340">
        <v>24</v>
      </c>
      <c r="CL340" t="s">
        <v>89</v>
      </c>
    </row>
    <row r="341" spans="1:90">
      <c r="A341" t="s">
        <v>72</v>
      </c>
      <c r="B341" t="s">
        <v>73</v>
      </c>
      <c r="C341" t="s">
        <v>74</v>
      </c>
      <c r="E341" t="str">
        <f>"FES1162726542"</f>
        <v>FES1162726542</v>
      </c>
      <c r="F341" s="3">
        <v>43803</v>
      </c>
      <c r="G341">
        <v>202006</v>
      </c>
      <c r="H341" t="s">
        <v>75</v>
      </c>
      <c r="I341" t="s">
        <v>76</v>
      </c>
      <c r="J341" t="s">
        <v>77</v>
      </c>
      <c r="K341" t="s">
        <v>78</v>
      </c>
      <c r="L341" t="s">
        <v>332</v>
      </c>
      <c r="M341" t="s">
        <v>333</v>
      </c>
      <c r="N341" t="s">
        <v>701</v>
      </c>
      <c r="O341" t="s">
        <v>82</v>
      </c>
      <c r="P341" t="str">
        <f>"2170720004                    "</f>
        <v xml:space="preserve">2170720004                    </v>
      </c>
      <c r="Q341">
        <v>0</v>
      </c>
      <c r="R341">
        <v>0</v>
      </c>
      <c r="S341">
        <v>0</v>
      </c>
      <c r="T341">
        <v>0</v>
      </c>
      <c r="U341">
        <v>0</v>
      </c>
      <c r="V341">
        <v>0</v>
      </c>
      <c r="W341">
        <v>0</v>
      </c>
      <c r="X341">
        <v>0</v>
      </c>
      <c r="Y341">
        <v>0</v>
      </c>
      <c r="Z341">
        <v>0</v>
      </c>
      <c r="AA341">
        <v>0</v>
      </c>
      <c r="AB341">
        <v>0</v>
      </c>
      <c r="AC341">
        <v>0</v>
      </c>
      <c r="AD341">
        <v>0</v>
      </c>
      <c r="AE341">
        <v>0</v>
      </c>
      <c r="AF341">
        <v>0</v>
      </c>
      <c r="AG341">
        <v>0</v>
      </c>
      <c r="AH341">
        <v>0</v>
      </c>
      <c r="AI341">
        <v>0</v>
      </c>
      <c r="AJ341">
        <v>0</v>
      </c>
      <c r="AK341">
        <v>0</v>
      </c>
      <c r="AL341">
        <v>0</v>
      </c>
      <c r="AM341">
        <v>6.71</v>
      </c>
      <c r="AN341">
        <v>0</v>
      </c>
      <c r="AO341">
        <v>0</v>
      </c>
      <c r="AP341">
        <v>0</v>
      </c>
      <c r="AQ341">
        <v>0</v>
      </c>
      <c r="AR341">
        <v>0</v>
      </c>
      <c r="AS341">
        <v>0</v>
      </c>
      <c r="AT341">
        <v>0</v>
      </c>
      <c r="AU341">
        <v>0</v>
      </c>
      <c r="AV341">
        <v>0</v>
      </c>
      <c r="AW341">
        <v>0</v>
      </c>
      <c r="AX341">
        <v>0</v>
      </c>
      <c r="AY341">
        <v>0</v>
      </c>
      <c r="AZ341">
        <v>0</v>
      </c>
      <c r="BA341">
        <v>0</v>
      </c>
      <c r="BB341">
        <v>0</v>
      </c>
      <c r="BC341">
        <v>0</v>
      </c>
      <c r="BD341">
        <v>0</v>
      </c>
      <c r="BE341">
        <v>0</v>
      </c>
      <c r="BF341">
        <v>0</v>
      </c>
      <c r="BG341">
        <v>0</v>
      </c>
      <c r="BH341">
        <v>1</v>
      </c>
      <c r="BI341">
        <v>1</v>
      </c>
      <c r="BJ341">
        <v>0.2</v>
      </c>
      <c r="BK341">
        <v>1</v>
      </c>
      <c r="BL341" s="4">
        <v>39.42</v>
      </c>
      <c r="BM341" s="4">
        <v>5.91</v>
      </c>
      <c r="BN341" s="4">
        <v>45.33</v>
      </c>
      <c r="BO341" s="4">
        <v>45.33</v>
      </c>
      <c r="BQ341" t="s">
        <v>93</v>
      </c>
      <c r="BR341" t="s">
        <v>84</v>
      </c>
      <c r="BS341" s="3">
        <v>43804</v>
      </c>
      <c r="BT341" s="5">
        <v>0.39583333333333331</v>
      </c>
      <c r="BU341" t="s">
        <v>625</v>
      </c>
      <c r="BV341" t="s">
        <v>86</v>
      </c>
      <c r="BY341">
        <v>1200</v>
      </c>
      <c r="CC341" t="s">
        <v>333</v>
      </c>
      <c r="CD341">
        <v>2094</v>
      </c>
      <c r="CE341" t="s">
        <v>88</v>
      </c>
      <c r="CF341" s="3">
        <v>43805</v>
      </c>
      <c r="CI341">
        <v>1</v>
      </c>
      <c r="CJ341">
        <v>1</v>
      </c>
      <c r="CK341">
        <v>22</v>
      </c>
      <c r="CL341" t="s">
        <v>89</v>
      </c>
    </row>
    <row r="342" spans="1:90">
      <c r="A342" t="s">
        <v>72</v>
      </c>
      <c r="B342" t="s">
        <v>73</v>
      </c>
      <c r="C342" t="s">
        <v>74</v>
      </c>
      <c r="E342" t="str">
        <f>"FES1162726750"</f>
        <v>FES1162726750</v>
      </c>
      <c r="F342" s="3">
        <v>43803</v>
      </c>
      <c r="G342">
        <v>202006</v>
      </c>
      <c r="H342" t="s">
        <v>75</v>
      </c>
      <c r="I342" t="s">
        <v>76</v>
      </c>
      <c r="J342" t="s">
        <v>77</v>
      </c>
      <c r="K342" t="s">
        <v>78</v>
      </c>
      <c r="L342" t="s">
        <v>632</v>
      </c>
      <c r="M342" t="s">
        <v>633</v>
      </c>
      <c r="N342" t="s">
        <v>775</v>
      </c>
      <c r="O342" t="s">
        <v>82</v>
      </c>
      <c r="P342" t="str">
        <f>"217071230177                  "</f>
        <v xml:space="preserve">217071230177                  </v>
      </c>
      <c r="Q342">
        <v>0</v>
      </c>
      <c r="R342">
        <v>0</v>
      </c>
      <c r="S342">
        <v>0</v>
      </c>
      <c r="T342">
        <v>0</v>
      </c>
      <c r="U342">
        <v>0</v>
      </c>
      <c r="V342">
        <v>0</v>
      </c>
      <c r="W342">
        <v>0</v>
      </c>
      <c r="X342">
        <v>0</v>
      </c>
      <c r="Y342">
        <v>0</v>
      </c>
      <c r="Z342">
        <v>0</v>
      </c>
      <c r="AA342">
        <v>0</v>
      </c>
      <c r="AB342">
        <v>0</v>
      </c>
      <c r="AC342">
        <v>0</v>
      </c>
      <c r="AD342">
        <v>0</v>
      </c>
      <c r="AE342">
        <v>0</v>
      </c>
      <c r="AF342">
        <v>0</v>
      </c>
      <c r="AG342">
        <v>0</v>
      </c>
      <c r="AH342">
        <v>0</v>
      </c>
      <c r="AI342">
        <v>0</v>
      </c>
      <c r="AJ342">
        <v>0</v>
      </c>
      <c r="AK342">
        <v>0</v>
      </c>
      <c r="AL342">
        <v>0</v>
      </c>
      <c r="AM342">
        <v>7.51</v>
      </c>
      <c r="AN342">
        <v>0</v>
      </c>
      <c r="AO342">
        <v>0</v>
      </c>
      <c r="AP342">
        <v>0</v>
      </c>
      <c r="AQ342">
        <v>0</v>
      </c>
      <c r="AR342">
        <v>0</v>
      </c>
      <c r="AS342">
        <v>0</v>
      </c>
      <c r="AT342">
        <v>0</v>
      </c>
      <c r="AU342">
        <v>0</v>
      </c>
      <c r="AV342">
        <v>0</v>
      </c>
      <c r="AW342">
        <v>0</v>
      </c>
      <c r="AX342">
        <v>0</v>
      </c>
      <c r="AY342">
        <v>0</v>
      </c>
      <c r="AZ342">
        <v>0</v>
      </c>
      <c r="BA342">
        <v>0</v>
      </c>
      <c r="BB342">
        <v>0</v>
      </c>
      <c r="BC342">
        <v>0</v>
      </c>
      <c r="BD342">
        <v>0</v>
      </c>
      <c r="BE342">
        <v>0</v>
      </c>
      <c r="BF342">
        <v>0</v>
      </c>
      <c r="BG342">
        <v>0</v>
      </c>
      <c r="BH342">
        <v>1</v>
      </c>
      <c r="BI342">
        <v>2.2999999999999998</v>
      </c>
      <c r="BJ342">
        <v>1.6</v>
      </c>
      <c r="BK342">
        <v>2.5</v>
      </c>
      <c r="BL342" s="4">
        <v>44.14</v>
      </c>
      <c r="BM342" s="4">
        <v>6.62</v>
      </c>
      <c r="BN342" s="4">
        <v>50.76</v>
      </c>
      <c r="BO342" s="4">
        <v>50.76</v>
      </c>
      <c r="BQ342" t="s">
        <v>147</v>
      </c>
      <c r="BR342" t="s">
        <v>84</v>
      </c>
      <c r="BS342" s="3">
        <v>43804</v>
      </c>
      <c r="BT342" s="5">
        <v>0.35138888888888892</v>
      </c>
      <c r="BU342" t="s">
        <v>776</v>
      </c>
      <c r="BV342" t="s">
        <v>86</v>
      </c>
      <c r="BY342">
        <v>8095.14</v>
      </c>
      <c r="CC342" t="s">
        <v>633</v>
      </c>
      <c r="CD342">
        <v>1451</v>
      </c>
      <c r="CE342" t="s">
        <v>96</v>
      </c>
      <c r="CF342" s="3">
        <v>43805</v>
      </c>
      <c r="CI342">
        <v>1</v>
      </c>
      <c r="CJ342">
        <v>1</v>
      </c>
      <c r="CK342">
        <v>22</v>
      </c>
      <c r="CL342" t="s">
        <v>89</v>
      </c>
    </row>
    <row r="343" spans="1:90">
      <c r="A343" t="s">
        <v>72</v>
      </c>
      <c r="B343" t="s">
        <v>73</v>
      </c>
      <c r="C343" t="s">
        <v>74</v>
      </c>
      <c r="E343" t="str">
        <f>"FES1162726626"</f>
        <v>FES1162726626</v>
      </c>
      <c r="F343" s="3">
        <v>43803</v>
      </c>
      <c r="G343">
        <v>202006</v>
      </c>
      <c r="H343" t="s">
        <v>75</v>
      </c>
      <c r="I343" t="s">
        <v>76</v>
      </c>
      <c r="J343" t="s">
        <v>77</v>
      </c>
      <c r="K343" t="s">
        <v>78</v>
      </c>
      <c r="L343" t="s">
        <v>90</v>
      </c>
      <c r="M343" t="s">
        <v>91</v>
      </c>
      <c r="N343" t="s">
        <v>110</v>
      </c>
      <c r="O343" t="s">
        <v>82</v>
      </c>
      <c r="P343" t="str">
        <f>"2170712018                    "</f>
        <v xml:space="preserve">2170712018                    </v>
      </c>
      <c r="Q343">
        <v>0</v>
      </c>
      <c r="R343">
        <v>0</v>
      </c>
      <c r="S343">
        <v>0</v>
      </c>
      <c r="T343">
        <v>0</v>
      </c>
      <c r="U343">
        <v>0</v>
      </c>
      <c r="V343">
        <v>0</v>
      </c>
      <c r="W343">
        <v>0</v>
      </c>
      <c r="X343">
        <v>0</v>
      </c>
      <c r="Y343">
        <v>0</v>
      </c>
      <c r="Z343">
        <v>0</v>
      </c>
      <c r="AA343">
        <v>0</v>
      </c>
      <c r="AB343">
        <v>0</v>
      </c>
      <c r="AC343">
        <v>0</v>
      </c>
      <c r="AD343">
        <v>0</v>
      </c>
      <c r="AE343">
        <v>0</v>
      </c>
      <c r="AF343">
        <v>0</v>
      </c>
      <c r="AG343">
        <v>0</v>
      </c>
      <c r="AH343">
        <v>0</v>
      </c>
      <c r="AI343">
        <v>0</v>
      </c>
      <c r="AJ343">
        <v>0</v>
      </c>
      <c r="AK343">
        <v>0</v>
      </c>
      <c r="AL343">
        <v>0</v>
      </c>
      <c r="AM343">
        <v>27.88</v>
      </c>
      <c r="AN343">
        <v>0</v>
      </c>
      <c r="AO343">
        <v>0</v>
      </c>
      <c r="AP343">
        <v>0</v>
      </c>
      <c r="AQ343">
        <v>0</v>
      </c>
      <c r="AR343">
        <v>0</v>
      </c>
      <c r="AS343">
        <v>0</v>
      </c>
      <c r="AT343">
        <v>0</v>
      </c>
      <c r="AU343">
        <v>0</v>
      </c>
      <c r="AV343">
        <v>0</v>
      </c>
      <c r="AW343">
        <v>0</v>
      </c>
      <c r="AX343">
        <v>0</v>
      </c>
      <c r="AY343">
        <v>0</v>
      </c>
      <c r="AZ343">
        <v>0</v>
      </c>
      <c r="BA343">
        <v>0</v>
      </c>
      <c r="BB343">
        <v>0</v>
      </c>
      <c r="BC343">
        <v>0</v>
      </c>
      <c r="BD343">
        <v>0</v>
      </c>
      <c r="BE343">
        <v>0</v>
      </c>
      <c r="BF343">
        <v>0</v>
      </c>
      <c r="BG343">
        <v>0</v>
      </c>
      <c r="BH343">
        <v>1</v>
      </c>
      <c r="BI343">
        <v>6.1</v>
      </c>
      <c r="BJ343">
        <v>3.2</v>
      </c>
      <c r="BK343">
        <v>6.5</v>
      </c>
      <c r="BL343" s="4">
        <v>163.89</v>
      </c>
      <c r="BM343" s="4">
        <v>24.58</v>
      </c>
      <c r="BN343" s="4">
        <v>188.47</v>
      </c>
      <c r="BO343" s="4">
        <v>188.47</v>
      </c>
      <c r="BQ343" t="s">
        <v>147</v>
      </c>
      <c r="BR343" t="s">
        <v>84</v>
      </c>
      <c r="BS343" s="3">
        <v>43804</v>
      </c>
      <c r="BT343" s="5">
        <v>0.34097222222222223</v>
      </c>
      <c r="BU343" t="s">
        <v>777</v>
      </c>
      <c r="BV343" t="s">
        <v>86</v>
      </c>
      <c r="BY343">
        <v>15940.21</v>
      </c>
      <c r="CA343" t="s">
        <v>112</v>
      </c>
      <c r="CC343" t="s">
        <v>91</v>
      </c>
      <c r="CD343">
        <v>7405</v>
      </c>
      <c r="CE343" t="s">
        <v>96</v>
      </c>
      <c r="CF343" s="3">
        <v>43805</v>
      </c>
      <c r="CI343">
        <v>1</v>
      </c>
      <c r="CJ343">
        <v>1</v>
      </c>
      <c r="CK343">
        <v>21</v>
      </c>
      <c r="CL343" t="s">
        <v>89</v>
      </c>
    </row>
    <row r="344" spans="1:90">
      <c r="A344" t="s">
        <v>72</v>
      </c>
      <c r="B344" t="s">
        <v>73</v>
      </c>
      <c r="C344" t="s">
        <v>74</v>
      </c>
      <c r="E344" t="str">
        <f>"FES1162726679"</f>
        <v>FES1162726679</v>
      </c>
      <c r="F344" s="3">
        <v>43803</v>
      </c>
      <c r="G344">
        <v>202006</v>
      </c>
      <c r="H344" t="s">
        <v>75</v>
      </c>
      <c r="I344" t="s">
        <v>76</v>
      </c>
      <c r="J344" t="s">
        <v>77</v>
      </c>
      <c r="K344" t="s">
        <v>78</v>
      </c>
      <c r="L344" t="s">
        <v>778</v>
      </c>
      <c r="M344" t="s">
        <v>779</v>
      </c>
      <c r="N344" t="s">
        <v>780</v>
      </c>
      <c r="O344" t="s">
        <v>82</v>
      </c>
      <c r="P344" t="str">
        <f>"2170718067                    "</f>
        <v xml:space="preserve">2170718067                    </v>
      </c>
      <c r="Q344">
        <v>0</v>
      </c>
      <c r="R344">
        <v>0</v>
      </c>
      <c r="S344">
        <v>0</v>
      </c>
      <c r="T344">
        <v>0</v>
      </c>
      <c r="U344">
        <v>0</v>
      </c>
      <c r="V344">
        <v>0</v>
      </c>
      <c r="W344">
        <v>0</v>
      </c>
      <c r="X344">
        <v>0</v>
      </c>
      <c r="Y344">
        <v>0</v>
      </c>
      <c r="Z344">
        <v>0</v>
      </c>
      <c r="AA344">
        <v>0</v>
      </c>
      <c r="AB344">
        <v>0</v>
      </c>
      <c r="AC344">
        <v>0</v>
      </c>
      <c r="AD344">
        <v>0</v>
      </c>
      <c r="AE344">
        <v>0</v>
      </c>
      <c r="AF344">
        <v>0</v>
      </c>
      <c r="AG344">
        <v>0</v>
      </c>
      <c r="AH344">
        <v>0</v>
      </c>
      <c r="AI344">
        <v>0</v>
      </c>
      <c r="AJ344">
        <v>0</v>
      </c>
      <c r="AK344">
        <v>0</v>
      </c>
      <c r="AL344">
        <v>0</v>
      </c>
      <c r="AM344">
        <v>16.63</v>
      </c>
      <c r="AN344">
        <v>0</v>
      </c>
      <c r="AO344">
        <v>0</v>
      </c>
      <c r="AP344">
        <v>0</v>
      </c>
      <c r="AQ344">
        <v>0</v>
      </c>
      <c r="AR344">
        <v>0</v>
      </c>
      <c r="AS344">
        <v>0</v>
      </c>
      <c r="AT344">
        <v>0</v>
      </c>
      <c r="AU344">
        <v>0</v>
      </c>
      <c r="AV344">
        <v>0</v>
      </c>
      <c r="AW344">
        <v>0</v>
      </c>
      <c r="AX344">
        <v>0</v>
      </c>
      <c r="AY344">
        <v>0</v>
      </c>
      <c r="AZ344">
        <v>0</v>
      </c>
      <c r="BA344">
        <v>0</v>
      </c>
      <c r="BB344">
        <v>0</v>
      </c>
      <c r="BC344">
        <v>0</v>
      </c>
      <c r="BD344">
        <v>0</v>
      </c>
      <c r="BE344">
        <v>0</v>
      </c>
      <c r="BF344">
        <v>0</v>
      </c>
      <c r="BG344">
        <v>0</v>
      </c>
      <c r="BH344">
        <v>1</v>
      </c>
      <c r="BI344">
        <v>1</v>
      </c>
      <c r="BJ344">
        <v>0.2</v>
      </c>
      <c r="BK344">
        <v>1</v>
      </c>
      <c r="BL344" s="4">
        <v>97.75</v>
      </c>
      <c r="BM344" s="4">
        <v>14.66</v>
      </c>
      <c r="BN344" s="4">
        <v>112.41</v>
      </c>
      <c r="BO344" s="4">
        <v>112.41</v>
      </c>
      <c r="BQ344" t="s">
        <v>147</v>
      </c>
      <c r="BR344" t="s">
        <v>84</v>
      </c>
      <c r="BS344" s="3">
        <v>43804</v>
      </c>
      <c r="BT344" s="5">
        <v>0.43055555555555558</v>
      </c>
      <c r="BU344" t="s">
        <v>781</v>
      </c>
      <c r="BV344" t="s">
        <v>86</v>
      </c>
      <c r="BY344">
        <v>1200</v>
      </c>
      <c r="CA344" t="s">
        <v>782</v>
      </c>
      <c r="CC344" t="s">
        <v>779</v>
      </c>
      <c r="CD344">
        <v>2531</v>
      </c>
      <c r="CE344" t="s">
        <v>88</v>
      </c>
      <c r="CF344" s="3">
        <v>43808</v>
      </c>
      <c r="CI344">
        <v>1</v>
      </c>
      <c r="CJ344">
        <v>1</v>
      </c>
      <c r="CK344">
        <v>23</v>
      </c>
      <c r="CL344" t="s">
        <v>89</v>
      </c>
    </row>
    <row r="345" spans="1:90">
      <c r="A345" t="s">
        <v>72</v>
      </c>
      <c r="B345" t="s">
        <v>73</v>
      </c>
      <c r="C345" t="s">
        <v>74</v>
      </c>
      <c r="E345" t="str">
        <f>"FES1162726528"</f>
        <v>FES1162726528</v>
      </c>
      <c r="F345" s="3">
        <v>43803</v>
      </c>
      <c r="G345">
        <v>202006</v>
      </c>
      <c r="H345" t="s">
        <v>75</v>
      </c>
      <c r="I345" t="s">
        <v>76</v>
      </c>
      <c r="J345" t="s">
        <v>77</v>
      </c>
      <c r="K345" t="s">
        <v>78</v>
      </c>
      <c r="L345" t="s">
        <v>132</v>
      </c>
      <c r="M345" t="s">
        <v>133</v>
      </c>
      <c r="N345" t="s">
        <v>783</v>
      </c>
      <c r="O345" t="s">
        <v>82</v>
      </c>
      <c r="P345" t="str">
        <f>"2170719986                    "</f>
        <v xml:space="preserve">2170719986                    </v>
      </c>
      <c r="Q345">
        <v>0</v>
      </c>
      <c r="R345">
        <v>0</v>
      </c>
      <c r="S345">
        <v>0</v>
      </c>
      <c r="T345">
        <v>0</v>
      </c>
      <c r="U345">
        <v>0</v>
      </c>
      <c r="V345">
        <v>0</v>
      </c>
      <c r="W345">
        <v>0</v>
      </c>
      <c r="X345">
        <v>0</v>
      </c>
      <c r="Y345">
        <v>0</v>
      </c>
      <c r="Z345">
        <v>0</v>
      </c>
      <c r="AA345">
        <v>0</v>
      </c>
      <c r="AB345">
        <v>0</v>
      </c>
      <c r="AC345">
        <v>0</v>
      </c>
      <c r="AD345">
        <v>0</v>
      </c>
      <c r="AE345">
        <v>0</v>
      </c>
      <c r="AF345">
        <v>0</v>
      </c>
      <c r="AG345">
        <v>0</v>
      </c>
      <c r="AH345">
        <v>0</v>
      </c>
      <c r="AI345">
        <v>0</v>
      </c>
      <c r="AJ345">
        <v>0</v>
      </c>
      <c r="AK345">
        <v>0</v>
      </c>
      <c r="AL345">
        <v>0</v>
      </c>
      <c r="AM345">
        <v>15.02</v>
      </c>
      <c r="AN345">
        <v>0</v>
      </c>
      <c r="AO345">
        <v>0</v>
      </c>
      <c r="AP345">
        <v>0</v>
      </c>
      <c r="AQ345">
        <v>0</v>
      </c>
      <c r="AR345">
        <v>0</v>
      </c>
      <c r="AS345">
        <v>0</v>
      </c>
      <c r="AT345">
        <v>0</v>
      </c>
      <c r="AU345">
        <v>0</v>
      </c>
      <c r="AV345">
        <v>0</v>
      </c>
      <c r="AW345">
        <v>0</v>
      </c>
      <c r="AX345">
        <v>0</v>
      </c>
      <c r="AY345">
        <v>0</v>
      </c>
      <c r="AZ345">
        <v>0</v>
      </c>
      <c r="BA345">
        <v>0</v>
      </c>
      <c r="BB345">
        <v>0</v>
      </c>
      <c r="BC345">
        <v>0</v>
      </c>
      <c r="BD345">
        <v>0</v>
      </c>
      <c r="BE345">
        <v>0</v>
      </c>
      <c r="BF345">
        <v>0</v>
      </c>
      <c r="BG345">
        <v>0</v>
      </c>
      <c r="BH345">
        <v>1</v>
      </c>
      <c r="BI345">
        <v>1.7</v>
      </c>
      <c r="BJ345">
        <v>3.5</v>
      </c>
      <c r="BK345">
        <v>3.5</v>
      </c>
      <c r="BL345" s="4">
        <v>88.27</v>
      </c>
      <c r="BM345" s="4">
        <v>13.24</v>
      </c>
      <c r="BN345" s="4">
        <v>101.51</v>
      </c>
      <c r="BO345" s="4">
        <v>101.51</v>
      </c>
      <c r="BQ345" t="s">
        <v>256</v>
      </c>
      <c r="BR345" t="s">
        <v>84</v>
      </c>
      <c r="BS345" s="3">
        <v>43804</v>
      </c>
      <c r="BT345" s="5">
        <v>0.47916666666666669</v>
      </c>
      <c r="BU345" t="s">
        <v>784</v>
      </c>
      <c r="BV345" t="s">
        <v>89</v>
      </c>
      <c r="BW345" t="s">
        <v>149</v>
      </c>
      <c r="BX345" t="s">
        <v>785</v>
      </c>
      <c r="BY345">
        <v>17571.2</v>
      </c>
      <c r="CA345" t="s">
        <v>786</v>
      </c>
      <c r="CC345" t="s">
        <v>133</v>
      </c>
      <c r="CD345">
        <v>157</v>
      </c>
      <c r="CE345" t="s">
        <v>96</v>
      </c>
      <c r="CF345" s="3">
        <v>43805</v>
      </c>
      <c r="CI345">
        <v>1</v>
      </c>
      <c r="CJ345">
        <v>1</v>
      </c>
      <c r="CK345">
        <v>21</v>
      </c>
      <c r="CL345" t="s">
        <v>89</v>
      </c>
    </row>
    <row r="346" spans="1:90">
      <c r="A346" t="s">
        <v>72</v>
      </c>
      <c r="B346" t="s">
        <v>73</v>
      </c>
      <c r="C346" t="s">
        <v>74</v>
      </c>
      <c r="E346" t="str">
        <f>"FES1162726705"</f>
        <v>FES1162726705</v>
      </c>
      <c r="F346" s="3">
        <v>43803</v>
      </c>
      <c r="G346">
        <v>202006</v>
      </c>
      <c r="H346" t="s">
        <v>75</v>
      </c>
      <c r="I346" t="s">
        <v>76</v>
      </c>
      <c r="J346" t="s">
        <v>77</v>
      </c>
      <c r="K346" t="s">
        <v>78</v>
      </c>
      <c r="L346" t="s">
        <v>151</v>
      </c>
      <c r="M346" t="s">
        <v>102</v>
      </c>
      <c r="N346" t="s">
        <v>329</v>
      </c>
      <c r="O346" t="s">
        <v>82</v>
      </c>
      <c r="P346" t="str">
        <f>"2170719831                    "</f>
        <v xml:space="preserve">2170719831                    </v>
      </c>
      <c r="Q346">
        <v>0</v>
      </c>
      <c r="R346">
        <v>0</v>
      </c>
      <c r="S346">
        <v>0</v>
      </c>
      <c r="T346">
        <v>0</v>
      </c>
      <c r="U346">
        <v>0</v>
      </c>
      <c r="V346">
        <v>0</v>
      </c>
      <c r="W346">
        <v>0</v>
      </c>
      <c r="X346">
        <v>0</v>
      </c>
      <c r="Y346">
        <v>0</v>
      </c>
      <c r="Z346">
        <v>0</v>
      </c>
      <c r="AA346">
        <v>0</v>
      </c>
      <c r="AB346">
        <v>0</v>
      </c>
      <c r="AC346">
        <v>0</v>
      </c>
      <c r="AD346">
        <v>0</v>
      </c>
      <c r="AE346">
        <v>0</v>
      </c>
      <c r="AF346">
        <v>0</v>
      </c>
      <c r="AG346">
        <v>0</v>
      </c>
      <c r="AH346">
        <v>0</v>
      </c>
      <c r="AI346">
        <v>0</v>
      </c>
      <c r="AJ346">
        <v>0</v>
      </c>
      <c r="AK346">
        <v>0</v>
      </c>
      <c r="AL346">
        <v>0</v>
      </c>
      <c r="AM346">
        <v>8.58</v>
      </c>
      <c r="AN346">
        <v>0</v>
      </c>
      <c r="AO346">
        <v>0</v>
      </c>
      <c r="AP346">
        <v>0</v>
      </c>
      <c r="AQ346">
        <v>0</v>
      </c>
      <c r="AR346">
        <v>0</v>
      </c>
      <c r="AS346">
        <v>0</v>
      </c>
      <c r="AT346">
        <v>0</v>
      </c>
      <c r="AU346">
        <v>0</v>
      </c>
      <c r="AV346">
        <v>0</v>
      </c>
      <c r="AW346">
        <v>0</v>
      </c>
      <c r="AX346">
        <v>0</v>
      </c>
      <c r="AY346">
        <v>0</v>
      </c>
      <c r="AZ346">
        <v>0</v>
      </c>
      <c r="BA346">
        <v>0</v>
      </c>
      <c r="BB346">
        <v>0</v>
      </c>
      <c r="BC346">
        <v>0</v>
      </c>
      <c r="BD346">
        <v>0</v>
      </c>
      <c r="BE346">
        <v>0</v>
      </c>
      <c r="BF346">
        <v>0</v>
      </c>
      <c r="BG346">
        <v>0</v>
      </c>
      <c r="BH346">
        <v>1</v>
      </c>
      <c r="BI346">
        <v>1</v>
      </c>
      <c r="BJ346">
        <v>0.2</v>
      </c>
      <c r="BK346">
        <v>1</v>
      </c>
      <c r="BL346" s="4">
        <v>50.45</v>
      </c>
      <c r="BM346" s="4">
        <v>7.57</v>
      </c>
      <c r="BN346" s="4">
        <v>58.02</v>
      </c>
      <c r="BO346" s="4">
        <v>58.02</v>
      </c>
      <c r="BQ346" t="s">
        <v>147</v>
      </c>
      <c r="BR346" t="s">
        <v>84</v>
      </c>
      <c r="BS346" s="3">
        <v>43804</v>
      </c>
      <c r="BT346" s="5">
        <v>0.4201388888888889</v>
      </c>
      <c r="BU346" t="s">
        <v>330</v>
      </c>
      <c r="BV346" t="s">
        <v>86</v>
      </c>
      <c r="BY346">
        <v>1200</v>
      </c>
      <c r="CC346" t="s">
        <v>102</v>
      </c>
      <c r="CD346">
        <v>200</v>
      </c>
      <c r="CE346" t="s">
        <v>88</v>
      </c>
      <c r="CF346" s="3">
        <v>43805</v>
      </c>
      <c r="CI346">
        <v>1</v>
      </c>
      <c r="CJ346">
        <v>1</v>
      </c>
      <c r="CK346">
        <v>21</v>
      </c>
      <c r="CL346" t="s">
        <v>89</v>
      </c>
    </row>
    <row r="347" spans="1:90">
      <c r="A347" t="s">
        <v>72</v>
      </c>
      <c r="B347" t="s">
        <v>73</v>
      </c>
      <c r="C347" t="s">
        <v>74</v>
      </c>
      <c r="E347" t="str">
        <f>"FES1162726688"</f>
        <v>FES1162726688</v>
      </c>
      <c r="F347" s="3">
        <v>43803</v>
      </c>
      <c r="G347">
        <v>202006</v>
      </c>
      <c r="H347" t="s">
        <v>75</v>
      </c>
      <c r="I347" t="s">
        <v>76</v>
      </c>
      <c r="J347" t="s">
        <v>77</v>
      </c>
      <c r="K347" t="s">
        <v>78</v>
      </c>
      <c r="L347" t="s">
        <v>132</v>
      </c>
      <c r="M347" t="s">
        <v>133</v>
      </c>
      <c r="N347" t="s">
        <v>134</v>
      </c>
      <c r="O347" t="s">
        <v>82</v>
      </c>
      <c r="P347" t="str">
        <f>"2170718112                    "</f>
        <v xml:space="preserve">2170718112                    </v>
      </c>
      <c r="Q347">
        <v>0</v>
      </c>
      <c r="R347">
        <v>0</v>
      </c>
      <c r="S347">
        <v>0</v>
      </c>
      <c r="T347">
        <v>0</v>
      </c>
      <c r="U347">
        <v>0</v>
      </c>
      <c r="V347">
        <v>0</v>
      </c>
      <c r="W347">
        <v>0</v>
      </c>
      <c r="X347">
        <v>0</v>
      </c>
      <c r="Y347">
        <v>0</v>
      </c>
      <c r="Z347">
        <v>0</v>
      </c>
      <c r="AA347">
        <v>0</v>
      </c>
      <c r="AB347">
        <v>0</v>
      </c>
      <c r="AC347">
        <v>0</v>
      </c>
      <c r="AD347">
        <v>0</v>
      </c>
      <c r="AE347">
        <v>0</v>
      </c>
      <c r="AF347">
        <v>0</v>
      </c>
      <c r="AG347">
        <v>0</v>
      </c>
      <c r="AH347">
        <v>0</v>
      </c>
      <c r="AI347">
        <v>0</v>
      </c>
      <c r="AJ347">
        <v>0</v>
      </c>
      <c r="AK347">
        <v>0</v>
      </c>
      <c r="AL347">
        <v>0</v>
      </c>
      <c r="AM347">
        <v>8.58</v>
      </c>
      <c r="AN347">
        <v>0</v>
      </c>
      <c r="AO347">
        <v>0</v>
      </c>
      <c r="AP347">
        <v>0</v>
      </c>
      <c r="AQ347">
        <v>0</v>
      </c>
      <c r="AR347">
        <v>0</v>
      </c>
      <c r="AS347">
        <v>0</v>
      </c>
      <c r="AT347">
        <v>0</v>
      </c>
      <c r="AU347">
        <v>0</v>
      </c>
      <c r="AV347">
        <v>0</v>
      </c>
      <c r="AW347">
        <v>0</v>
      </c>
      <c r="AX347">
        <v>0</v>
      </c>
      <c r="AY347">
        <v>0</v>
      </c>
      <c r="AZ347">
        <v>0</v>
      </c>
      <c r="BA347">
        <v>0</v>
      </c>
      <c r="BB347">
        <v>0</v>
      </c>
      <c r="BC347">
        <v>0</v>
      </c>
      <c r="BD347">
        <v>0</v>
      </c>
      <c r="BE347">
        <v>0</v>
      </c>
      <c r="BF347">
        <v>0</v>
      </c>
      <c r="BG347">
        <v>0</v>
      </c>
      <c r="BH347">
        <v>1</v>
      </c>
      <c r="BI347">
        <v>1</v>
      </c>
      <c r="BJ347">
        <v>0.2</v>
      </c>
      <c r="BK347">
        <v>1</v>
      </c>
      <c r="BL347" s="4">
        <v>50.45</v>
      </c>
      <c r="BM347" s="4">
        <v>7.57</v>
      </c>
      <c r="BN347" s="4">
        <v>58.02</v>
      </c>
      <c r="BO347" s="4">
        <v>58.02</v>
      </c>
      <c r="BQ347" t="s">
        <v>172</v>
      </c>
      <c r="BR347" t="s">
        <v>84</v>
      </c>
      <c r="BS347" s="3">
        <v>43804</v>
      </c>
      <c r="BT347" s="5">
        <v>0.37847222222222227</v>
      </c>
      <c r="BU347" t="s">
        <v>787</v>
      </c>
      <c r="BV347" t="s">
        <v>86</v>
      </c>
      <c r="BY347">
        <v>1200</v>
      </c>
      <c r="CA347" t="s">
        <v>788</v>
      </c>
      <c r="CC347" t="s">
        <v>133</v>
      </c>
      <c r="CD347">
        <v>157</v>
      </c>
      <c r="CE347" t="s">
        <v>88</v>
      </c>
      <c r="CF347" s="3">
        <v>43805</v>
      </c>
      <c r="CI347">
        <v>1</v>
      </c>
      <c r="CJ347">
        <v>1</v>
      </c>
      <c r="CK347">
        <v>21</v>
      </c>
      <c r="CL347" t="s">
        <v>89</v>
      </c>
    </row>
    <row r="348" spans="1:90">
      <c r="A348" t="s">
        <v>72</v>
      </c>
      <c r="B348" t="s">
        <v>73</v>
      </c>
      <c r="C348" t="s">
        <v>74</v>
      </c>
      <c r="E348" t="str">
        <f>"FES1162726687"</f>
        <v>FES1162726687</v>
      </c>
      <c r="F348" s="3">
        <v>43803</v>
      </c>
      <c r="G348">
        <v>202006</v>
      </c>
      <c r="H348" t="s">
        <v>75</v>
      </c>
      <c r="I348" t="s">
        <v>76</v>
      </c>
      <c r="J348" t="s">
        <v>77</v>
      </c>
      <c r="K348" t="s">
        <v>78</v>
      </c>
      <c r="L348" t="s">
        <v>169</v>
      </c>
      <c r="M348" t="s">
        <v>170</v>
      </c>
      <c r="N348" t="s">
        <v>772</v>
      </c>
      <c r="O348" t="s">
        <v>82</v>
      </c>
      <c r="P348" t="str">
        <f>"2170718111                    "</f>
        <v xml:space="preserve">2170718111                    </v>
      </c>
      <c r="Q348">
        <v>0</v>
      </c>
      <c r="R348">
        <v>0</v>
      </c>
      <c r="S348">
        <v>0</v>
      </c>
      <c r="T348">
        <v>0</v>
      </c>
      <c r="U348">
        <v>0</v>
      </c>
      <c r="V348">
        <v>0</v>
      </c>
      <c r="W348">
        <v>0</v>
      </c>
      <c r="X348">
        <v>0</v>
      </c>
      <c r="Y348">
        <v>0</v>
      </c>
      <c r="Z348">
        <v>0</v>
      </c>
      <c r="AA348">
        <v>0</v>
      </c>
      <c r="AB348">
        <v>0</v>
      </c>
      <c r="AC348">
        <v>0</v>
      </c>
      <c r="AD348">
        <v>0</v>
      </c>
      <c r="AE348">
        <v>0</v>
      </c>
      <c r="AF348">
        <v>0</v>
      </c>
      <c r="AG348">
        <v>0</v>
      </c>
      <c r="AH348">
        <v>0</v>
      </c>
      <c r="AI348">
        <v>0</v>
      </c>
      <c r="AJ348">
        <v>0</v>
      </c>
      <c r="AK348">
        <v>0</v>
      </c>
      <c r="AL348">
        <v>0</v>
      </c>
      <c r="AM348">
        <v>6.71</v>
      </c>
      <c r="AN348">
        <v>0</v>
      </c>
      <c r="AO348">
        <v>0</v>
      </c>
      <c r="AP348">
        <v>0</v>
      </c>
      <c r="AQ348">
        <v>0</v>
      </c>
      <c r="AR348">
        <v>0</v>
      </c>
      <c r="AS348">
        <v>0</v>
      </c>
      <c r="AT348">
        <v>0</v>
      </c>
      <c r="AU348">
        <v>0</v>
      </c>
      <c r="AV348">
        <v>0</v>
      </c>
      <c r="AW348">
        <v>0</v>
      </c>
      <c r="AX348">
        <v>0</v>
      </c>
      <c r="AY348">
        <v>0</v>
      </c>
      <c r="AZ348">
        <v>0</v>
      </c>
      <c r="BA348">
        <v>0</v>
      </c>
      <c r="BB348">
        <v>0</v>
      </c>
      <c r="BC348">
        <v>0</v>
      </c>
      <c r="BD348">
        <v>0</v>
      </c>
      <c r="BE348">
        <v>0</v>
      </c>
      <c r="BF348">
        <v>0</v>
      </c>
      <c r="BG348">
        <v>0</v>
      </c>
      <c r="BH348">
        <v>1</v>
      </c>
      <c r="BI348">
        <v>1</v>
      </c>
      <c r="BJ348">
        <v>0.2</v>
      </c>
      <c r="BK348">
        <v>1</v>
      </c>
      <c r="BL348" s="4">
        <v>39.42</v>
      </c>
      <c r="BM348" s="4">
        <v>5.91</v>
      </c>
      <c r="BN348" s="4">
        <v>45.33</v>
      </c>
      <c r="BO348" s="4">
        <v>45.33</v>
      </c>
      <c r="BQ348" t="s">
        <v>147</v>
      </c>
      <c r="BR348" t="s">
        <v>84</v>
      </c>
      <c r="BS348" s="3">
        <v>43804</v>
      </c>
      <c r="BT348" s="5">
        <v>0.33333333333333331</v>
      </c>
      <c r="BU348" t="s">
        <v>789</v>
      </c>
      <c r="BV348" t="s">
        <v>86</v>
      </c>
      <c r="BY348">
        <v>1200</v>
      </c>
      <c r="CC348" t="s">
        <v>170</v>
      </c>
      <c r="CD348">
        <v>1459</v>
      </c>
      <c r="CE348" t="s">
        <v>88</v>
      </c>
      <c r="CF348" s="3">
        <v>43805</v>
      </c>
      <c r="CI348">
        <v>1</v>
      </c>
      <c r="CJ348">
        <v>1</v>
      </c>
      <c r="CK348">
        <v>22</v>
      </c>
      <c r="CL348" t="s">
        <v>89</v>
      </c>
    </row>
    <row r="349" spans="1:90">
      <c r="A349" t="s">
        <v>72</v>
      </c>
      <c r="B349" t="s">
        <v>73</v>
      </c>
      <c r="C349" t="s">
        <v>74</v>
      </c>
      <c r="E349" t="str">
        <f>"FES1162726721"</f>
        <v>FES1162726721</v>
      </c>
      <c r="F349" s="3">
        <v>43803</v>
      </c>
      <c r="G349">
        <v>202006</v>
      </c>
      <c r="H349" t="s">
        <v>75</v>
      </c>
      <c r="I349" t="s">
        <v>76</v>
      </c>
      <c r="J349" t="s">
        <v>77</v>
      </c>
      <c r="K349" t="s">
        <v>78</v>
      </c>
      <c r="L349" t="s">
        <v>332</v>
      </c>
      <c r="M349" t="s">
        <v>333</v>
      </c>
      <c r="N349" t="s">
        <v>790</v>
      </c>
      <c r="O349" t="s">
        <v>82</v>
      </c>
      <c r="P349" t="str">
        <f>"2170718712                    "</f>
        <v xml:space="preserve">2170718712                    </v>
      </c>
      <c r="Q349">
        <v>0</v>
      </c>
      <c r="R349">
        <v>0</v>
      </c>
      <c r="S349">
        <v>0</v>
      </c>
      <c r="T349">
        <v>0</v>
      </c>
      <c r="U349">
        <v>0</v>
      </c>
      <c r="V349">
        <v>0</v>
      </c>
      <c r="W349">
        <v>0</v>
      </c>
      <c r="X349">
        <v>0</v>
      </c>
      <c r="Y349">
        <v>0</v>
      </c>
      <c r="Z349">
        <v>0</v>
      </c>
      <c r="AA349">
        <v>0</v>
      </c>
      <c r="AB349">
        <v>0</v>
      </c>
      <c r="AC349">
        <v>0</v>
      </c>
      <c r="AD349">
        <v>0</v>
      </c>
      <c r="AE349">
        <v>0</v>
      </c>
      <c r="AF349">
        <v>0</v>
      </c>
      <c r="AG349">
        <v>0</v>
      </c>
      <c r="AH349">
        <v>0</v>
      </c>
      <c r="AI349">
        <v>0</v>
      </c>
      <c r="AJ349">
        <v>0</v>
      </c>
      <c r="AK349">
        <v>0</v>
      </c>
      <c r="AL349">
        <v>0</v>
      </c>
      <c r="AM349">
        <v>9.92</v>
      </c>
      <c r="AN349">
        <v>0</v>
      </c>
      <c r="AO349">
        <v>0</v>
      </c>
      <c r="AP349">
        <v>0</v>
      </c>
      <c r="AQ349">
        <v>0</v>
      </c>
      <c r="AR349">
        <v>0</v>
      </c>
      <c r="AS349">
        <v>0</v>
      </c>
      <c r="AT349">
        <v>0</v>
      </c>
      <c r="AU349">
        <v>0</v>
      </c>
      <c r="AV349">
        <v>0</v>
      </c>
      <c r="AW349">
        <v>0</v>
      </c>
      <c r="AX349">
        <v>0</v>
      </c>
      <c r="AY349">
        <v>0</v>
      </c>
      <c r="AZ349">
        <v>0</v>
      </c>
      <c r="BA349">
        <v>0</v>
      </c>
      <c r="BB349">
        <v>0</v>
      </c>
      <c r="BC349">
        <v>0</v>
      </c>
      <c r="BD349">
        <v>0</v>
      </c>
      <c r="BE349">
        <v>0</v>
      </c>
      <c r="BF349">
        <v>0</v>
      </c>
      <c r="BG349">
        <v>0</v>
      </c>
      <c r="BH349">
        <v>1</v>
      </c>
      <c r="BI349">
        <v>3.6</v>
      </c>
      <c r="BJ349">
        <v>1.7</v>
      </c>
      <c r="BK349">
        <v>4</v>
      </c>
      <c r="BL349" s="4">
        <v>58.31</v>
      </c>
      <c r="BM349" s="4">
        <v>8.75</v>
      </c>
      <c r="BN349" s="4">
        <v>67.06</v>
      </c>
      <c r="BO349" s="4">
        <v>67.06</v>
      </c>
      <c r="BQ349" t="s">
        <v>147</v>
      </c>
      <c r="BR349" t="s">
        <v>84</v>
      </c>
      <c r="BS349" s="3">
        <v>43804</v>
      </c>
      <c r="BT349" s="5">
        <v>0.375</v>
      </c>
      <c r="BU349" t="s">
        <v>142</v>
      </c>
      <c r="BV349" t="s">
        <v>86</v>
      </c>
      <c r="BY349">
        <v>8748.34</v>
      </c>
      <c r="CC349" t="s">
        <v>333</v>
      </c>
      <c r="CD349">
        <v>2091</v>
      </c>
      <c r="CE349" t="s">
        <v>96</v>
      </c>
      <c r="CF349" s="3">
        <v>43808</v>
      </c>
      <c r="CI349">
        <v>1</v>
      </c>
      <c r="CJ349">
        <v>1</v>
      </c>
      <c r="CK349">
        <v>22</v>
      </c>
      <c r="CL349" t="s">
        <v>89</v>
      </c>
    </row>
    <row r="350" spans="1:90">
      <c r="A350" t="s">
        <v>72</v>
      </c>
      <c r="B350" t="s">
        <v>73</v>
      </c>
      <c r="C350" t="s">
        <v>74</v>
      </c>
      <c r="E350" t="str">
        <f>"FES1162726531"</f>
        <v>FES1162726531</v>
      </c>
      <c r="F350" s="3">
        <v>43803</v>
      </c>
      <c r="G350">
        <v>202006</v>
      </c>
      <c r="H350" t="s">
        <v>75</v>
      </c>
      <c r="I350" t="s">
        <v>76</v>
      </c>
      <c r="J350" t="s">
        <v>77</v>
      </c>
      <c r="K350" t="s">
        <v>78</v>
      </c>
      <c r="L350" t="s">
        <v>164</v>
      </c>
      <c r="M350" t="s">
        <v>165</v>
      </c>
      <c r="N350" t="s">
        <v>238</v>
      </c>
      <c r="O350" t="s">
        <v>82</v>
      </c>
      <c r="P350" t="str">
        <f>"2170719993                    "</f>
        <v xml:space="preserve">2170719993                    </v>
      </c>
      <c r="Q350">
        <v>0</v>
      </c>
      <c r="R350">
        <v>0</v>
      </c>
      <c r="S350">
        <v>0</v>
      </c>
      <c r="T350">
        <v>0</v>
      </c>
      <c r="U350">
        <v>0</v>
      </c>
      <c r="V350">
        <v>0</v>
      </c>
      <c r="W350">
        <v>0</v>
      </c>
      <c r="X350">
        <v>0</v>
      </c>
      <c r="Y350">
        <v>0</v>
      </c>
      <c r="Z350">
        <v>0</v>
      </c>
      <c r="AA350">
        <v>0</v>
      </c>
      <c r="AB350">
        <v>0</v>
      </c>
      <c r="AC350">
        <v>0</v>
      </c>
      <c r="AD350">
        <v>0</v>
      </c>
      <c r="AE350">
        <v>0</v>
      </c>
      <c r="AF350">
        <v>0</v>
      </c>
      <c r="AG350">
        <v>0</v>
      </c>
      <c r="AH350">
        <v>0</v>
      </c>
      <c r="AI350">
        <v>0</v>
      </c>
      <c r="AJ350">
        <v>0</v>
      </c>
      <c r="AK350">
        <v>0</v>
      </c>
      <c r="AL350">
        <v>0</v>
      </c>
      <c r="AM350">
        <v>8.58</v>
      </c>
      <c r="AN350">
        <v>0</v>
      </c>
      <c r="AO350">
        <v>0</v>
      </c>
      <c r="AP350">
        <v>0</v>
      </c>
      <c r="AQ350">
        <v>0</v>
      </c>
      <c r="AR350">
        <v>0</v>
      </c>
      <c r="AS350">
        <v>0</v>
      </c>
      <c r="AT350">
        <v>0</v>
      </c>
      <c r="AU350">
        <v>0</v>
      </c>
      <c r="AV350">
        <v>0</v>
      </c>
      <c r="AW350">
        <v>0</v>
      </c>
      <c r="AX350">
        <v>0</v>
      </c>
      <c r="AY350">
        <v>0</v>
      </c>
      <c r="AZ350">
        <v>0</v>
      </c>
      <c r="BA350">
        <v>0</v>
      </c>
      <c r="BB350">
        <v>0</v>
      </c>
      <c r="BC350">
        <v>0</v>
      </c>
      <c r="BD350">
        <v>0</v>
      </c>
      <c r="BE350">
        <v>0</v>
      </c>
      <c r="BF350">
        <v>0</v>
      </c>
      <c r="BG350">
        <v>0</v>
      </c>
      <c r="BH350">
        <v>1</v>
      </c>
      <c r="BI350">
        <v>1</v>
      </c>
      <c r="BJ350">
        <v>0.2</v>
      </c>
      <c r="BK350">
        <v>1</v>
      </c>
      <c r="BL350" s="4">
        <v>50.45</v>
      </c>
      <c r="BM350" s="4">
        <v>7.57</v>
      </c>
      <c r="BN350" s="4">
        <v>58.02</v>
      </c>
      <c r="BO350" s="4">
        <v>58.02</v>
      </c>
      <c r="BQ350" t="s">
        <v>147</v>
      </c>
      <c r="BR350" t="s">
        <v>84</v>
      </c>
      <c r="BS350" s="3">
        <v>43804</v>
      </c>
      <c r="BT350" s="5">
        <v>0.3756944444444445</v>
      </c>
      <c r="BU350" t="s">
        <v>791</v>
      </c>
      <c r="BV350" t="s">
        <v>86</v>
      </c>
      <c r="BY350">
        <v>1200</v>
      </c>
      <c r="BZ350" t="s">
        <v>27</v>
      </c>
      <c r="CA350" t="s">
        <v>168</v>
      </c>
      <c r="CC350" t="s">
        <v>165</v>
      </c>
      <c r="CD350">
        <v>5201</v>
      </c>
      <c r="CE350" t="s">
        <v>88</v>
      </c>
      <c r="CF350" s="3">
        <v>43808</v>
      </c>
      <c r="CI350">
        <v>1</v>
      </c>
      <c r="CJ350">
        <v>1</v>
      </c>
      <c r="CK350">
        <v>21</v>
      </c>
      <c r="CL350" t="s">
        <v>89</v>
      </c>
    </row>
    <row r="351" spans="1:90">
      <c r="A351" t="s">
        <v>72</v>
      </c>
      <c r="B351" t="s">
        <v>73</v>
      </c>
      <c r="C351" t="s">
        <v>74</v>
      </c>
      <c r="E351" t="str">
        <f>"FES1162726725"</f>
        <v>FES1162726725</v>
      </c>
      <c r="F351" s="3">
        <v>43803</v>
      </c>
      <c r="G351">
        <v>202006</v>
      </c>
      <c r="H351" t="s">
        <v>75</v>
      </c>
      <c r="I351" t="s">
        <v>76</v>
      </c>
      <c r="J351" t="s">
        <v>77</v>
      </c>
      <c r="K351" t="s">
        <v>78</v>
      </c>
      <c r="L351" t="s">
        <v>90</v>
      </c>
      <c r="M351" t="s">
        <v>91</v>
      </c>
      <c r="N351" t="s">
        <v>110</v>
      </c>
      <c r="O351" t="s">
        <v>82</v>
      </c>
      <c r="P351" t="str">
        <f>"2170720154                    "</f>
        <v xml:space="preserve">2170720154                    </v>
      </c>
      <c r="Q351">
        <v>0</v>
      </c>
      <c r="R351">
        <v>0</v>
      </c>
      <c r="S351">
        <v>0</v>
      </c>
      <c r="T351">
        <v>0</v>
      </c>
      <c r="U351">
        <v>0</v>
      </c>
      <c r="V351">
        <v>0</v>
      </c>
      <c r="W351">
        <v>0</v>
      </c>
      <c r="X351">
        <v>0</v>
      </c>
      <c r="Y351">
        <v>0</v>
      </c>
      <c r="Z351">
        <v>0</v>
      </c>
      <c r="AA351">
        <v>0</v>
      </c>
      <c r="AB351">
        <v>0</v>
      </c>
      <c r="AC351">
        <v>0</v>
      </c>
      <c r="AD351">
        <v>0</v>
      </c>
      <c r="AE351">
        <v>0</v>
      </c>
      <c r="AF351">
        <v>0</v>
      </c>
      <c r="AG351">
        <v>0</v>
      </c>
      <c r="AH351">
        <v>0</v>
      </c>
      <c r="AI351">
        <v>0</v>
      </c>
      <c r="AJ351">
        <v>0</v>
      </c>
      <c r="AK351">
        <v>0</v>
      </c>
      <c r="AL351">
        <v>0</v>
      </c>
      <c r="AM351">
        <v>8.58</v>
      </c>
      <c r="AN351">
        <v>0</v>
      </c>
      <c r="AO351">
        <v>0</v>
      </c>
      <c r="AP351">
        <v>0</v>
      </c>
      <c r="AQ351">
        <v>0</v>
      </c>
      <c r="AR351">
        <v>0</v>
      </c>
      <c r="AS351">
        <v>0</v>
      </c>
      <c r="AT351">
        <v>0</v>
      </c>
      <c r="AU351">
        <v>0</v>
      </c>
      <c r="AV351">
        <v>0</v>
      </c>
      <c r="AW351">
        <v>0</v>
      </c>
      <c r="AX351">
        <v>0</v>
      </c>
      <c r="AY351">
        <v>0</v>
      </c>
      <c r="AZ351">
        <v>0</v>
      </c>
      <c r="BA351">
        <v>0</v>
      </c>
      <c r="BB351">
        <v>0</v>
      </c>
      <c r="BC351">
        <v>0</v>
      </c>
      <c r="BD351">
        <v>0</v>
      </c>
      <c r="BE351">
        <v>0</v>
      </c>
      <c r="BF351">
        <v>0</v>
      </c>
      <c r="BG351">
        <v>0</v>
      </c>
      <c r="BH351">
        <v>1</v>
      </c>
      <c r="BI351">
        <v>1</v>
      </c>
      <c r="BJ351">
        <v>0.2</v>
      </c>
      <c r="BK351">
        <v>1</v>
      </c>
      <c r="BL351" s="4">
        <v>50.45</v>
      </c>
      <c r="BM351" s="4">
        <v>7.57</v>
      </c>
      <c r="BN351" s="4">
        <v>58.02</v>
      </c>
      <c r="BO351" s="4">
        <v>58.02</v>
      </c>
      <c r="BQ351" t="s">
        <v>147</v>
      </c>
      <c r="BR351" t="s">
        <v>84</v>
      </c>
      <c r="BS351" s="3">
        <v>43804</v>
      </c>
      <c r="BT351" s="5">
        <v>0.34166666666666662</v>
      </c>
      <c r="BU351" t="s">
        <v>764</v>
      </c>
      <c r="BV351" t="s">
        <v>86</v>
      </c>
      <c r="BY351">
        <v>1200</v>
      </c>
      <c r="CA351" t="s">
        <v>112</v>
      </c>
      <c r="CC351" t="s">
        <v>91</v>
      </c>
      <c r="CD351">
        <v>7405</v>
      </c>
      <c r="CE351" t="s">
        <v>88</v>
      </c>
      <c r="CF351" s="3">
        <v>43805</v>
      </c>
      <c r="CI351">
        <v>1</v>
      </c>
      <c r="CJ351">
        <v>1</v>
      </c>
      <c r="CK351">
        <v>21</v>
      </c>
      <c r="CL351" t="s">
        <v>89</v>
      </c>
    </row>
    <row r="352" spans="1:90">
      <c r="A352" t="s">
        <v>72</v>
      </c>
      <c r="B352" t="s">
        <v>73</v>
      </c>
      <c r="C352" t="s">
        <v>74</v>
      </c>
      <c r="E352" t="str">
        <f>"FES1162726612"</f>
        <v>FES1162726612</v>
      </c>
      <c r="F352" s="3">
        <v>43803</v>
      </c>
      <c r="G352">
        <v>202006</v>
      </c>
      <c r="H352" t="s">
        <v>75</v>
      </c>
      <c r="I352" t="s">
        <v>76</v>
      </c>
      <c r="J352" t="s">
        <v>77</v>
      </c>
      <c r="K352" t="s">
        <v>78</v>
      </c>
      <c r="L352" t="s">
        <v>90</v>
      </c>
      <c r="M352" t="s">
        <v>91</v>
      </c>
      <c r="N352" t="s">
        <v>535</v>
      </c>
      <c r="O352" t="s">
        <v>82</v>
      </c>
      <c r="P352" t="str">
        <f>"2170718320                    "</f>
        <v xml:space="preserve">2170718320                    </v>
      </c>
      <c r="Q352">
        <v>0</v>
      </c>
      <c r="R352">
        <v>0</v>
      </c>
      <c r="S352">
        <v>0</v>
      </c>
      <c r="T352">
        <v>0</v>
      </c>
      <c r="U352">
        <v>0</v>
      </c>
      <c r="V352">
        <v>0</v>
      </c>
      <c r="W352">
        <v>0</v>
      </c>
      <c r="X352">
        <v>0</v>
      </c>
      <c r="Y352">
        <v>0</v>
      </c>
      <c r="Z352">
        <v>0</v>
      </c>
      <c r="AA352">
        <v>0</v>
      </c>
      <c r="AB352">
        <v>0</v>
      </c>
      <c r="AC352">
        <v>0</v>
      </c>
      <c r="AD352">
        <v>0</v>
      </c>
      <c r="AE352">
        <v>0</v>
      </c>
      <c r="AF352">
        <v>0</v>
      </c>
      <c r="AG352">
        <v>0</v>
      </c>
      <c r="AH352">
        <v>0</v>
      </c>
      <c r="AI352">
        <v>0</v>
      </c>
      <c r="AJ352">
        <v>0</v>
      </c>
      <c r="AK352">
        <v>0</v>
      </c>
      <c r="AL352">
        <v>0</v>
      </c>
      <c r="AM352">
        <v>8.58</v>
      </c>
      <c r="AN352">
        <v>0</v>
      </c>
      <c r="AO352">
        <v>0</v>
      </c>
      <c r="AP352">
        <v>0</v>
      </c>
      <c r="AQ352">
        <v>0</v>
      </c>
      <c r="AR352">
        <v>0</v>
      </c>
      <c r="AS352">
        <v>0</v>
      </c>
      <c r="AT352">
        <v>0</v>
      </c>
      <c r="AU352">
        <v>0</v>
      </c>
      <c r="AV352">
        <v>0</v>
      </c>
      <c r="AW352">
        <v>0</v>
      </c>
      <c r="AX352">
        <v>0</v>
      </c>
      <c r="AY352">
        <v>0</v>
      </c>
      <c r="AZ352">
        <v>0</v>
      </c>
      <c r="BA352">
        <v>0</v>
      </c>
      <c r="BB352">
        <v>0</v>
      </c>
      <c r="BC352">
        <v>0</v>
      </c>
      <c r="BD352">
        <v>0</v>
      </c>
      <c r="BE352">
        <v>0</v>
      </c>
      <c r="BF352">
        <v>0</v>
      </c>
      <c r="BG352">
        <v>0</v>
      </c>
      <c r="BH352">
        <v>1</v>
      </c>
      <c r="BI352">
        <v>1</v>
      </c>
      <c r="BJ352">
        <v>0.2</v>
      </c>
      <c r="BK352">
        <v>1</v>
      </c>
      <c r="BL352" s="4">
        <v>50.45</v>
      </c>
      <c r="BM352" s="4">
        <v>7.57</v>
      </c>
      <c r="BN352" s="4">
        <v>58.02</v>
      </c>
      <c r="BO352" s="4">
        <v>58.02</v>
      </c>
      <c r="BQ352" t="s">
        <v>147</v>
      </c>
      <c r="BR352" t="s">
        <v>84</v>
      </c>
      <c r="BS352" s="3">
        <v>43804</v>
      </c>
      <c r="BT352" s="5">
        <v>0.41041666666666665</v>
      </c>
      <c r="BU352" t="s">
        <v>792</v>
      </c>
      <c r="BV352" t="s">
        <v>86</v>
      </c>
      <c r="BY352">
        <v>1200</v>
      </c>
      <c r="CA352" t="s">
        <v>209</v>
      </c>
      <c r="CC352" t="s">
        <v>91</v>
      </c>
      <c r="CD352">
        <v>7441</v>
      </c>
      <c r="CE352" t="s">
        <v>88</v>
      </c>
      <c r="CF352" s="3">
        <v>43805</v>
      </c>
      <c r="CI352">
        <v>1</v>
      </c>
      <c r="CJ352">
        <v>1</v>
      </c>
      <c r="CK352">
        <v>21</v>
      </c>
      <c r="CL352" t="s">
        <v>89</v>
      </c>
    </row>
    <row r="353" spans="1:90">
      <c r="A353" t="s">
        <v>72</v>
      </c>
      <c r="B353" t="s">
        <v>73</v>
      </c>
      <c r="C353" t="s">
        <v>74</v>
      </c>
      <c r="E353" t="str">
        <f>"FES1162726555"</f>
        <v>FES1162726555</v>
      </c>
      <c r="F353" s="3">
        <v>43803</v>
      </c>
      <c r="G353">
        <v>202006</v>
      </c>
      <c r="H353" t="s">
        <v>75</v>
      </c>
      <c r="I353" t="s">
        <v>76</v>
      </c>
      <c r="J353" t="s">
        <v>77</v>
      </c>
      <c r="K353" t="s">
        <v>78</v>
      </c>
      <c r="L353" t="s">
        <v>79</v>
      </c>
      <c r="M353" t="s">
        <v>80</v>
      </c>
      <c r="N353" t="s">
        <v>347</v>
      </c>
      <c r="O353" t="s">
        <v>793</v>
      </c>
      <c r="P353" t="str">
        <f>"2170720005                    "</f>
        <v xml:space="preserve">2170720005                    </v>
      </c>
      <c r="Q353">
        <v>0</v>
      </c>
      <c r="R353">
        <v>0</v>
      </c>
      <c r="S353">
        <v>0</v>
      </c>
      <c r="T353">
        <v>0</v>
      </c>
      <c r="U353">
        <v>0</v>
      </c>
      <c r="V353">
        <v>0</v>
      </c>
      <c r="W353">
        <v>0</v>
      </c>
      <c r="X353">
        <v>0</v>
      </c>
      <c r="Y353">
        <v>0</v>
      </c>
      <c r="Z353">
        <v>0</v>
      </c>
      <c r="AA353">
        <v>0</v>
      </c>
      <c r="AB353">
        <v>0</v>
      </c>
      <c r="AC353">
        <v>0</v>
      </c>
      <c r="AD353">
        <v>0</v>
      </c>
      <c r="AE353">
        <v>437.5</v>
      </c>
      <c r="AF353">
        <v>0</v>
      </c>
      <c r="AG353">
        <v>0</v>
      </c>
      <c r="AH353">
        <v>0</v>
      </c>
      <c r="AI353">
        <v>0</v>
      </c>
      <c r="AJ353">
        <v>0</v>
      </c>
      <c r="AK353">
        <v>0</v>
      </c>
      <c r="AL353">
        <v>0</v>
      </c>
      <c r="AM353">
        <v>130.44</v>
      </c>
      <c r="AN353">
        <v>0</v>
      </c>
      <c r="AO353">
        <v>0</v>
      </c>
      <c r="AP353">
        <v>0</v>
      </c>
      <c r="AQ353">
        <v>0</v>
      </c>
      <c r="AR353">
        <v>0</v>
      </c>
      <c r="AS353">
        <v>0</v>
      </c>
      <c r="AT353">
        <v>0</v>
      </c>
      <c r="AU353">
        <v>0</v>
      </c>
      <c r="AV353">
        <v>0</v>
      </c>
      <c r="AW353">
        <v>0</v>
      </c>
      <c r="AX353">
        <v>0</v>
      </c>
      <c r="AY353">
        <v>0</v>
      </c>
      <c r="AZ353">
        <v>0</v>
      </c>
      <c r="BA353">
        <v>0</v>
      </c>
      <c r="BB353">
        <v>0</v>
      </c>
      <c r="BC353">
        <v>0</v>
      </c>
      <c r="BD353">
        <v>0</v>
      </c>
      <c r="BE353">
        <v>0</v>
      </c>
      <c r="BF353">
        <v>0</v>
      </c>
      <c r="BG353">
        <v>0</v>
      </c>
      <c r="BH353">
        <v>1</v>
      </c>
      <c r="BI353">
        <v>9</v>
      </c>
      <c r="BJ353">
        <v>9.1</v>
      </c>
      <c r="BK353">
        <v>9.5</v>
      </c>
      <c r="BL353" s="4">
        <v>766.71</v>
      </c>
      <c r="BM353" s="4">
        <v>115.01</v>
      </c>
      <c r="BN353" s="4">
        <v>881.72</v>
      </c>
      <c r="BO353" s="4">
        <v>881.72</v>
      </c>
      <c r="BP353" t="s">
        <v>794</v>
      </c>
      <c r="BQ353" t="s">
        <v>93</v>
      </c>
      <c r="BR353" t="s">
        <v>84</v>
      </c>
      <c r="BS353" s="3">
        <v>43803</v>
      </c>
      <c r="BT353" s="5">
        <v>0.80555555555555547</v>
      </c>
      <c r="BU353" t="s">
        <v>795</v>
      </c>
      <c r="BV353" t="s">
        <v>86</v>
      </c>
      <c r="BY353">
        <v>45632</v>
      </c>
      <c r="BZ353" t="s">
        <v>24</v>
      </c>
      <c r="CC353" t="s">
        <v>80</v>
      </c>
      <c r="CD353">
        <v>6000</v>
      </c>
      <c r="CE353" t="s">
        <v>96</v>
      </c>
      <c r="CF353" s="3">
        <v>43805</v>
      </c>
      <c r="CI353">
        <v>0</v>
      </c>
      <c r="CJ353">
        <v>0</v>
      </c>
      <c r="CK353">
        <v>21</v>
      </c>
      <c r="CL353" t="s">
        <v>89</v>
      </c>
    </row>
    <row r="354" spans="1:90">
      <c r="A354" t="s">
        <v>72</v>
      </c>
      <c r="B354" t="s">
        <v>73</v>
      </c>
      <c r="C354" t="s">
        <v>74</v>
      </c>
      <c r="E354" t="str">
        <f>"FES1162726657"</f>
        <v>FES1162726657</v>
      </c>
      <c r="F354" s="3">
        <v>43803</v>
      </c>
      <c r="G354">
        <v>202006</v>
      </c>
      <c r="H354" t="s">
        <v>75</v>
      </c>
      <c r="I354" t="s">
        <v>76</v>
      </c>
      <c r="J354" t="s">
        <v>77</v>
      </c>
      <c r="K354" t="s">
        <v>78</v>
      </c>
      <c r="L354" t="s">
        <v>274</v>
      </c>
      <c r="M354" t="s">
        <v>275</v>
      </c>
      <c r="N354" t="s">
        <v>796</v>
      </c>
      <c r="O354" t="s">
        <v>82</v>
      </c>
      <c r="P354" t="str">
        <f>"2170715637                    "</f>
        <v xml:space="preserve">2170715637                    </v>
      </c>
      <c r="Q354">
        <v>0</v>
      </c>
      <c r="R354">
        <v>0</v>
      </c>
      <c r="S354">
        <v>0</v>
      </c>
      <c r="T354">
        <v>0</v>
      </c>
      <c r="U354">
        <v>0</v>
      </c>
      <c r="V354">
        <v>0</v>
      </c>
      <c r="W354">
        <v>0</v>
      </c>
      <c r="X354">
        <v>0</v>
      </c>
      <c r="Y354">
        <v>0</v>
      </c>
      <c r="Z354">
        <v>0</v>
      </c>
      <c r="AA354">
        <v>0</v>
      </c>
      <c r="AB354">
        <v>0</v>
      </c>
      <c r="AC354">
        <v>0</v>
      </c>
      <c r="AD354">
        <v>0</v>
      </c>
      <c r="AE354">
        <v>0</v>
      </c>
      <c r="AF354">
        <v>0</v>
      </c>
      <c r="AG354">
        <v>0</v>
      </c>
      <c r="AH354">
        <v>0</v>
      </c>
      <c r="AI354">
        <v>0</v>
      </c>
      <c r="AJ354">
        <v>0</v>
      </c>
      <c r="AK354">
        <v>0</v>
      </c>
      <c r="AL354">
        <v>0</v>
      </c>
      <c r="AM354">
        <v>16.63</v>
      </c>
      <c r="AN354">
        <v>0</v>
      </c>
      <c r="AO354">
        <v>0</v>
      </c>
      <c r="AP354">
        <v>0</v>
      </c>
      <c r="AQ354">
        <v>0</v>
      </c>
      <c r="AR354">
        <v>0</v>
      </c>
      <c r="AS354">
        <v>0</v>
      </c>
      <c r="AT354">
        <v>0</v>
      </c>
      <c r="AU354">
        <v>0</v>
      </c>
      <c r="AV354">
        <v>0</v>
      </c>
      <c r="AW354">
        <v>0</v>
      </c>
      <c r="AX354">
        <v>0</v>
      </c>
      <c r="AY354">
        <v>0</v>
      </c>
      <c r="AZ354">
        <v>0</v>
      </c>
      <c r="BA354">
        <v>0</v>
      </c>
      <c r="BB354">
        <v>0</v>
      </c>
      <c r="BC354">
        <v>0</v>
      </c>
      <c r="BD354">
        <v>0</v>
      </c>
      <c r="BE354">
        <v>0</v>
      </c>
      <c r="BF354">
        <v>0</v>
      </c>
      <c r="BG354">
        <v>0</v>
      </c>
      <c r="BH354">
        <v>1</v>
      </c>
      <c r="BI354">
        <v>1</v>
      </c>
      <c r="BJ354">
        <v>0.2</v>
      </c>
      <c r="BK354">
        <v>1</v>
      </c>
      <c r="BL354" s="4">
        <v>97.75</v>
      </c>
      <c r="BM354" s="4">
        <v>14.66</v>
      </c>
      <c r="BN354" s="4">
        <v>112.41</v>
      </c>
      <c r="BO354" s="4">
        <v>112.41</v>
      </c>
      <c r="BQ354" t="s">
        <v>147</v>
      </c>
      <c r="BR354" t="s">
        <v>84</v>
      </c>
      <c r="BS354" s="3">
        <v>43804</v>
      </c>
      <c r="BT354" s="5">
        <v>0.45277777777777778</v>
      </c>
      <c r="BU354" t="s">
        <v>278</v>
      </c>
      <c r="BV354" t="s">
        <v>86</v>
      </c>
      <c r="BY354">
        <v>1200</v>
      </c>
      <c r="CA354" t="s">
        <v>279</v>
      </c>
      <c r="CC354" t="s">
        <v>275</v>
      </c>
      <c r="CD354">
        <v>4450</v>
      </c>
      <c r="CE354" t="s">
        <v>88</v>
      </c>
      <c r="CF354" s="3">
        <v>43805</v>
      </c>
      <c r="CI354">
        <v>1</v>
      </c>
      <c r="CJ354">
        <v>1</v>
      </c>
      <c r="CK354">
        <v>23</v>
      </c>
      <c r="CL354" t="s">
        <v>89</v>
      </c>
    </row>
    <row r="355" spans="1:90">
      <c r="A355" t="s">
        <v>72</v>
      </c>
      <c r="B355" t="s">
        <v>73</v>
      </c>
      <c r="C355" t="s">
        <v>74</v>
      </c>
      <c r="E355" t="str">
        <f>"FES1162726682"</f>
        <v>FES1162726682</v>
      </c>
      <c r="F355" s="3">
        <v>43803</v>
      </c>
      <c r="G355">
        <v>202006</v>
      </c>
      <c r="H355" t="s">
        <v>75</v>
      </c>
      <c r="I355" t="s">
        <v>76</v>
      </c>
      <c r="J355" t="s">
        <v>77</v>
      </c>
      <c r="K355" t="s">
        <v>78</v>
      </c>
      <c r="L355" t="s">
        <v>201</v>
      </c>
      <c r="M355" t="s">
        <v>202</v>
      </c>
      <c r="N355" t="s">
        <v>797</v>
      </c>
      <c r="O355" t="s">
        <v>82</v>
      </c>
      <c r="P355" t="str">
        <f>"2170718101                    "</f>
        <v xml:space="preserve">2170718101                    </v>
      </c>
      <c r="Q355">
        <v>0</v>
      </c>
      <c r="R355">
        <v>0</v>
      </c>
      <c r="S355">
        <v>0</v>
      </c>
      <c r="T355">
        <v>0</v>
      </c>
      <c r="U355">
        <v>0</v>
      </c>
      <c r="V355">
        <v>0</v>
      </c>
      <c r="W355">
        <v>0</v>
      </c>
      <c r="X355">
        <v>0</v>
      </c>
      <c r="Y355">
        <v>0</v>
      </c>
      <c r="Z355">
        <v>0</v>
      </c>
      <c r="AA355">
        <v>0</v>
      </c>
      <c r="AB355">
        <v>0</v>
      </c>
      <c r="AC355">
        <v>0</v>
      </c>
      <c r="AD355">
        <v>0</v>
      </c>
      <c r="AE355">
        <v>0</v>
      </c>
      <c r="AF355">
        <v>0</v>
      </c>
      <c r="AG355">
        <v>0</v>
      </c>
      <c r="AH355">
        <v>0</v>
      </c>
      <c r="AI355">
        <v>0</v>
      </c>
      <c r="AJ355">
        <v>0</v>
      </c>
      <c r="AK355">
        <v>0</v>
      </c>
      <c r="AL355">
        <v>0</v>
      </c>
      <c r="AM355">
        <v>8.58</v>
      </c>
      <c r="AN355">
        <v>0</v>
      </c>
      <c r="AO355">
        <v>0</v>
      </c>
      <c r="AP355">
        <v>0</v>
      </c>
      <c r="AQ355">
        <v>0</v>
      </c>
      <c r="AR355">
        <v>0</v>
      </c>
      <c r="AS355">
        <v>0</v>
      </c>
      <c r="AT355">
        <v>0</v>
      </c>
      <c r="AU355">
        <v>0</v>
      </c>
      <c r="AV355">
        <v>0</v>
      </c>
      <c r="AW355">
        <v>0</v>
      </c>
      <c r="AX355">
        <v>0</v>
      </c>
      <c r="AY355">
        <v>0</v>
      </c>
      <c r="AZ355">
        <v>0</v>
      </c>
      <c r="BA355">
        <v>0</v>
      </c>
      <c r="BB355">
        <v>0</v>
      </c>
      <c r="BC355">
        <v>0</v>
      </c>
      <c r="BD355">
        <v>0</v>
      </c>
      <c r="BE355">
        <v>0</v>
      </c>
      <c r="BF355">
        <v>0</v>
      </c>
      <c r="BG355">
        <v>0</v>
      </c>
      <c r="BH355">
        <v>1</v>
      </c>
      <c r="BI355">
        <v>1</v>
      </c>
      <c r="BJ355">
        <v>0.2</v>
      </c>
      <c r="BK355">
        <v>1</v>
      </c>
      <c r="BL355" s="4">
        <v>50.45</v>
      </c>
      <c r="BM355" s="4">
        <v>7.57</v>
      </c>
      <c r="BN355" s="4">
        <v>58.02</v>
      </c>
      <c r="BO355" s="4">
        <v>58.02</v>
      </c>
      <c r="BQ355" t="s">
        <v>798</v>
      </c>
      <c r="BR355" t="s">
        <v>84</v>
      </c>
      <c r="BS355" s="3">
        <v>43804</v>
      </c>
      <c r="BT355" s="5">
        <v>0.30972222222222223</v>
      </c>
      <c r="BU355" t="s">
        <v>799</v>
      </c>
      <c r="BV355" t="s">
        <v>86</v>
      </c>
      <c r="BY355">
        <v>1200</v>
      </c>
      <c r="BZ355" t="s">
        <v>27</v>
      </c>
      <c r="CA355" t="s">
        <v>288</v>
      </c>
      <c r="CC355" t="s">
        <v>202</v>
      </c>
      <c r="CD355">
        <v>3610</v>
      </c>
      <c r="CE355" t="s">
        <v>88</v>
      </c>
      <c r="CF355" s="3">
        <v>43808</v>
      </c>
      <c r="CI355">
        <v>1</v>
      </c>
      <c r="CJ355">
        <v>1</v>
      </c>
      <c r="CK355">
        <v>21</v>
      </c>
      <c r="CL355" t="s">
        <v>89</v>
      </c>
    </row>
    <row r="356" spans="1:90">
      <c r="A356" t="s">
        <v>72</v>
      </c>
      <c r="B356" t="s">
        <v>73</v>
      </c>
      <c r="C356" t="s">
        <v>74</v>
      </c>
      <c r="E356" t="str">
        <f>"FES1162726720"</f>
        <v>FES1162726720</v>
      </c>
      <c r="F356" s="3">
        <v>43803</v>
      </c>
      <c r="G356">
        <v>202006</v>
      </c>
      <c r="H356" t="s">
        <v>75</v>
      </c>
      <c r="I356" t="s">
        <v>76</v>
      </c>
      <c r="J356" t="s">
        <v>77</v>
      </c>
      <c r="K356" t="s">
        <v>78</v>
      </c>
      <c r="L356" t="s">
        <v>151</v>
      </c>
      <c r="M356" t="s">
        <v>102</v>
      </c>
      <c r="N356" t="s">
        <v>683</v>
      </c>
      <c r="O356" t="s">
        <v>82</v>
      </c>
      <c r="P356" t="str">
        <f>"2170720146                    "</f>
        <v xml:space="preserve">2170720146                    </v>
      </c>
      <c r="Q356">
        <v>0</v>
      </c>
      <c r="R356">
        <v>0</v>
      </c>
      <c r="S356">
        <v>0</v>
      </c>
      <c r="T356">
        <v>0</v>
      </c>
      <c r="U356">
        <v>0</v>
      </c>
      <c r="V356">
        <v>0</v>
      </c>
      <c r="W356">
        <v>0</v>
      </c>
      <c r="X356">
        <v>0</v>
      </c>
      <c r="Y356">
        <v>0</v>
      </c>
      <c r="Z356">
        <v>0</v>
      </c>
      <c r="AA356">
        <v>0</v>
      </c>
      <c r="AB356">
        <v>0</v>
      </c>
      <c r="AC356">
        <v>0</v>
      </c>
      <c r="AD356">
        <v>0</v>
      </c>
      <c r="AE356">
        <v>0</v>
      </c>
      <c r="AF356">
        <v>0</v>
      </c>
      <c r="AG356">
        <v>0</v>
      </c>
      <c r="AH356">
        <v>0</v>
      </c>
      <c r="AI356">
        <v>0</v>
      </c>
      <c r="AJ356">
        <v>0</v>
      </c>
      <c r="AK356">
        <v>0</v>
      </c>
      <c r="AL356">
        <v>0</v>
      </c>
      <c r="AM356">
        <v>8.58</v>
      </c>
      <c r="AN356">
        <v>0</v>
      </c>
      <c r="AO356">
        <v>0</v>
      </c>
      <c r="AP356">
        <v>0</v>
      </c>
      <c r="AQ356">
        <v>0</v>
      </c>
      <c r="AR356">
        <v>0</v>
      </c>
      <c r="AS356">
        <v>0</v>
      </c>
      <c r="AT356">
        <v>0</v>
      </c>
      <c r="AU356">
        <v>0</v>
      </c>
      <c r="AV356">
        <v>0</v>
      </c>
      <c r="AW356">
        <v>0</v>
      </c>
      <c r="AX356">
        <v>0</v>
      </c>
      <c r="AY356">
        <v>0</v>
      </c>
      <c r="AZ356">
        <v>0</v>
      </c>
      <c r="BA356">
        <v>0</v>
      </c>
      <c r="BB356">
        <v>0</v>
      </c>
      <c r="BC356">
        <v>0</v>
      </c>
      <c r="BD356">
        <v>0</v>
      </c>
      <c r="BE356">
        <v>0</v>
      </c>
      <c r="BF356">
        <v>0</v>
      </c>
      <c r="BG356">
        <v>0</v>
      </c>
      <c r="BH356">
        <v>1</v>
      </c>
      <c r="BI356">
        <v>1</v>
      </c>
      <c r="BJ356">
        <v>0.2</v>
      </c>
      <c r="BK356">
        <v>1</v>
      </c>
      <c r="BL356" s="4">
        <v>50.45</v>
      </c>
      <c r="BM356" s="4">
        <v>7.57</v>
      </c>
      <c r="BN356" s="4">
        <v>58.02</v>
      </c>
      <c r="BO356" s="4">
        <v>58.02</v>
      </c>
      <c r="BQ356" t="s">
        <v>684</v>
      </c>
      <c r="BR356" t="s">
        <v>84</v>
      </c>
      <c r="BS356" s="3">
        <v>43804</v>
      </c>
      <c r="BT356" s="5">
        <v>0.40972222222222227</v>
      </c>
      <c r="BU356" t="s">
        <v>800</v>
      </c>
      <c r="BV356" t="s">
        <v>86</v>
      </c>
      <c r="BY356">
        <v>1200</v>
      </c>
      <c r="CC356" t="s">
        <v>102</v>
      </c>
      <c r="CD356">
        <v>200</v>
      </c>
      <c r="CE356" t="s">
        <v>88</v>
      </c>
      <c r="CF356" s="3">
        <v>43805</v>
      </c>
      <c r="CI356">
        <v>1</v>
      </c>
      <c r="CJ356">
        <v>1</v>
      </c>
      <c r="CK356">
        <v>21</v>
      </c>
      <c r="CL356" t="s">
        <v>89</v>
      </c>
    </row>
    <row r="357" spans="1:90">
      <c r="A357" t="s">
        <v>72</v>
      </c>
      <c r="B357" t="s">
        <v>73</v>
      </c>
      <c r="C357" t="s">
        <v>74</v>
      </c>
      <c r="E357" t="str">
        <f>"FES1162726757"</f>
        <v>FES1162726757</v>
      </c>
      <c r="F357" s="3">
        <v>43803</v>
      </c>
      <c r="G357">
        <v>202006</v>
      </c>
      <c r="H357" t="s">
        <v>75</v>
      </c>
      <c r="I357" t="s">
        <v>76</v>
      </c>
      <c r="J357" t="s">
        <v>77</v>
      </c>
      <c r="K357" t="s">
        <v>78</v>
      </c>
      <c r="L357" t="s">
        <v>198</v>
      </c>
      <c r="M357" t="s">
        <v>199</v>
      </c>
      <c r="N357" t="s">
        <v>292</v>
      </c>
      <c r="O357" t="s">
        <v>82</v>
      </c>
      <c r="P357" t="str">
        <f>"2170720184                    "</f>
        <v xml:space="preserve">2170720184                    </v>
      </c>
      <c r="Q357">
        <v>0</v>
      </c>
      <c r="R357">
        <v>0</v>
      </c>
      <c r="S357">
        <v>0</v>
      </c>
      <c r="T357">
        <v>0</v>
      </c>
      <c r="U357">
        <v>0</v>
      </c>
      <c r="V357">
        <v>0</v>
      </c>
      <c r="W357">
        <v>0</v>
      </c>
      <c r="X357">
        <v>0</v>
      </c>
      <c r="Y357">
        <v>0</v>
      </c>
      <c r="Z357">
        <v>0</v>
      </c>
      <c r="AA357">
        <v>0</v>
      </c>
      <c r="AB357">
        <v>0</v>
      </c>
      <c r="AC357">
        <v>0</v>
      </c>
      <c r="AD357">
        <v>0</v>
      </c>
      <c r="AE357">
        <v>0</v>
      </c>
      <c r="AF357">
        <v>0</v>
      </c>
      <c r="AG357">
        <v>0</v>
      </c>
      <c r="AH357">
        <v>0</v>
      </c>
      <c r="AI357">
        <v>0</v>
      </c>
      <c r="AJ357">
        <v>0</v>
      </c>
      <c r="AK357">
        <v>0</v>
      </c>
      <c r="AL357">
        <v>0</v>
      </c>
      <c r="AM357">
        <v>8.58</v>
      </c>
      <c r="AN357">
        <v>0</v>
      </c>
      <c r="AO357">
        <v>0</v>
      </c>
      <c r="AP357">
        <v>0</v>
      </c>
      <c r="AQ357">
        <v>0</v>
      </c>
      <c r="AR357">
        <v>0</v>
      </c>
      <c r="AS357">
        <v>0</v>
      </c>
      <c r="AT357">
        <v>0</v>
      </c>
      <c r="AU357">
        <v>0</v>
      </c>
      <c r="AV357">
        <v>0</v>
      </c>
      <c r="AW357">
        <v>0</v>
      </c>
      <c r="AX357">
        <v>0</v>
      </c>
      <c r="AY357">
        <v>0</v>
      </c>
      <c r="AZ357">
        <v>0</v>
      </c>
      <c r="BA357">
        <v>0</v>
      </c>
      <c r="BB357">
        <v>0</v>
      </c>
      <c r="BC357">
        <v>0</v>
      </c>
      <c r="BD357">
        <v>0</v>
      </c>
      <c r="BE357">
        <v>0</v>
      </c>
      <c r="BF357">
        <v>0</v>
      </c>
      <c r="BG357">
        <v>0</v>
      </c>
      <c r="BH357">
        <v>1</v>
      </c>
      <c r="BI357">
        <v>1</v>
      </c>
      <c r="BJ357">
        <v>0.2</v>
      </c>
      <c r="BK357">
        <v>1</v>
      </c>
      <c r="BL357" s="4">
        <v>50.45</v>
      </c>
      <c r="BM357" s="4">
        <v>7.57</v>
      </c>
      <c r="BN357" s="4">
        <v>58.02</v>
      </c>
      <c r="BO357" s="4">
        <v>58.02</v>
      </c>
      <c r="BR357" t="s">
        <v>84</v>
      </c>
      <c r="BS357" s="3">
        <v>43804</v>
      </c>
      <c r="BT357" s="5">
        <v>0.39583333333333331</v>
      </c>
      <c r="BU357" t="s">
        <v>801</v>
      </c>
      <c r="BV357" t="s">
        <v>86</v>
      </c>
      <c r="BY357">
        <v>1200</v>
      </c>
      <c r="BZ357" t="s">
        <v>27</v>
      </c>
      <c r="CA357" t="s">
        <v>294</v>
      </c>
      <c r="CC357" t="s">
        <v>199</v>
      </c>
      <c r="CD357">
        <v>4094</v>
      </c>
      <c r="CE357" t="s">
        <v>88</v>
      </c>
      <c r="CI357">
        <v>1</v>
      </c>
      <c r="CJ357">
        <v>1</v>
      </c>
      <c r="CK357">
        <v>21</v>
      </c>
      <c r="CL357" t="s">
        <v>89</v>
      </c>
    </row>
    <row r="358" spans="1:90">
      <c r="A358" t="s">
        <v>72</v>
      </c>
      <c r="B358" t="s">
        <v>73</v>
      </c>
      <c r="C358" t="s">
        <v>74</v>
      </c>
      <c r="E358" t="str">
        <f>"FES1162726498"</f>
        <v>FES1162726498</v>
      </c>
      <c r="F358" s="3">
        <v>43803</v>
      </c>
      <c r="G358">
        <v>202006</v>
      </c>
      <c r="H358" t="s">
        <v>75</v>
      </c>
      <c r="I358" t="s">
        <v>76</v>
      </c>
      <c r="J358" t="s">
        <v>77</v>
      </c>
      <c r="K358" t="s">
        <v>78</v>
      </c>
      <c r="L358" t="s">
        <v>90</v>
      </c>
      <c r="M358" t="s">
        <v>91</v>
      </c>
      <c r="N358" t="s">
        <v>802</v>
      </c>
      <c r="O358" t="s">
        <v>82</v>
      </c>
      <c r="P358" t="str">
        <f>"2170719941                    "</f>
        <v xml:space="preserve">2170719941                    </v>
      </c>
      <c r="Q358">
        <v>0</v>
      </c>
      <c r="R358">
        <v>0</v>
      </c>
      <c r="S358">
        <v>0</v>
      </c>
      <c r="T358">
        <v>0</v>
      </c>
      <c r="U358">
        <v>0</v>
      </c>
      <c r="V358">
        <v>0</v>
      </c>
      <c r="W358">
        <v>0</v>
      </c>
      <c r="X358">
        <v>0</v>
      </c>
      <c r="Y358">
        <v>0</v>
      </c>
      <c r="Z358">
        <v>0</v>
      </c>
      <c r="AA358">
        <v>0</v>
      </c>
      <c r="AB358">
        <v>0</v>
      </c>
      <c r="AC358">
        <v>0</v>
      </c>
      <c r="AD358">
        <v>0</v>
      </c>
      <c r="AE358">
        <v>0</v>
      </c>
      <c r="AF358">
        <v>0</v>
      </c>
      <c r="AG358">
        <v>0</v>
      </c>
      <c r="AH358">
        <v>0</v>
      </c>
      <c r="AI358">
        <v>0</v>
      </c>
      <c r="AJ358">
        <v>0</v>
      </c>
      <c r="AK358">
        <v>0</v>
      </c>
      <c r="AL358">
        <v>0</v>
      </c>
      <c r="AM358">
        <v>8.58</v>
      </c>
      <c r="AN358">
        <v>0</v>
      </c>
      <c r="AO358">
        <v>0</v>
      </c>
      <c r="AP358">
        <v>0</v>
      </c>
      <c r="AQ358">
        <v>0</v>
      </c>
      <c r="AR358">
        <v>0</v>
      </c>
      <c r="AS358">
        <v>0</v>
      </c>
      <c r="AT358">
        <v>0</v>
      </c>
      <c r="AU358">
        <v>0</v>
      </c>
      <c r="AV358">
        <v>0</v>
      </c>
      <c r="AW358">
        <v>0</v>
      </c>
      <c r="AX358">
        <v>0</v>
      </c>
      <c r="AY358">
        <v>0</v>
      </c>
      <c r="AZ358">
        <v>0</v>
      </c>
      <c r="BA358">
        <v>0</v>
      </c>
      <c r="BB358">
        <v>0</v>
      </c>
      <c r="BC358">
        <v>0</v>
      </c>
      <c r="BD358">
        <v>0</v>
      </c>
      <c r="BE358">
        <v>0</v>
      </c>
      <c r="BF358">
        <v>0</v>
      </c>
      <c r="BG358">
        <v>0</v>
      </c>
      <c r="BH358">
        <v>1</v>
      </c>
      <c r="BI358">
        <v>1</v>
      </c>
      <c r="BJ358">
        <v>0.2</v>
      </c>
      <c r="BK358">
        <v>1</v>
      </c>
      <c r="BL358" s="4">
        <v>50.45</v>
      </c>
      <c r="BM358" s="4">
        <v>7.57</v>
      </c>
      <c r="BN358" s="4">
        <v>58.02</v>
      </c>
      <c r="BO358" s="4">
        <v>58.02</v>
      </c>
      <c r="BQ358" t="s">
        <v>803</v>
      </c>
      <c r="BR358" t="s">
        <v>84</v>
      </c>
      <c r="BS358" s="3">
        <v>43804</v>
      </c>
      <c r="BT358" s="5">
        <v>0.33680555555555558</v>
      </c>
      <c r="BU358" t="s">
        <v>804</v>
      </c>
      <c r="BV358" t="s">
        <v>86</v>
      </c>
      <c r="BY358">
        <v>1200</v>
      </c>
      <c r="CA358" t="s">
        <v>539</v>
      </c>
      <c r="CC358" t="s">
        <v>91</v>
      </c>
      <c r="CD358">
        <v>7530</v>
      </c>
      <c r="CE358" t="s">
        <v>88</v>
      </c>
      <c r="CF358" s="3">
        <v>43805</v>
      </c>
      <c r="CI358">
        <v>1</v>
      </c>
      <c r="CJ358">
        <v>1</v>
      </c>
      <c r="CK358">
        <v>21</v>
      </c>
      <c r="CL358" t="s">
        <v>89</v>
      </c>
    </row>
    <row r="359" spans="1:90">
      <c r="A359" t="s">
        <v>72</v>
      </c>
      <c r="B359" t="s">
        <v>73</v>
      </c>
      <c r="C359" t="s">
        <v>74</v>
      </c>
      <c r="E359" t="str">
        <f>"FES1162726593"</f>
        <v>FES1162726593</v>
      </c>
      <c r="F359" s="3">
        <v>43803</v>
      </c>
      <c r="G359">
        <v>202006</v>
      </c>
      <c r="H359" t="s">
        <v>75</v>
      </c>
      <c r="I359" t="s">
        <v>76</v>
      </c>
      <c r="J359" t="s">
        <v>77</v>
      </c>
      <c r="K359" t="s">
        <v>78</v>
      </c>
      <c r="L359" t="s">
        <v>90</v>
      </c>
      <c r="M359" t="s">
        <v>91</v>
      </c>
      <c r="N359" t="s">
        <v>219</v>
      </c>
      <c r="O359" t="s">
        <v>82</v>
      </c>
      <c r="P359" t="str">
        <f>"2170720071                    "</f>
        <v xml:space="preserve">2170720071                    </v>
      </c>
      <c r="Q359">
        <v>0</v>
      </c>
      <c r="R359">
        <v>0</v>
      </c>
      <c r="S359">
        <v>0</v>
      </c>
      <c r="T359">
        <v>0</v>
      </c>
      <c r="U359">
        <v>0</v>
      </c>
      <c r="V359">
        <v>0</v>
      </c>
      <c r="W359">
        <v>0</v>
      </c>
      <c r="X359">
        <v>0</v>
      </c>
      <c r="Y359">
        <v>0</v>
      </c>
      <c r="Z359">
        <v>0</v>
      </c>
      <c r="AA359">
        <v>0</v>
      </c>
      <c r="AB359">
        <v>0</v>
      </c>
      <c r="AC359">
        <v>0</v>
      </c>
      <c r="AD359">
        <v>0</v>
      </c>
      <c r="AE359">
        <v>0</v>
      </c>
      <c r="AF359">
        <v>0</v>
      </c>
      <c r="AG359">
        <v>0</v>
      </c>
      <c r="AH359">
        <v>0</v>
      </c>
      <c r="AI359">
        <v>0</v>
      </c>
      <c r="AJ359">
        <v>0</v>
      </c>
      <c r="AK359">
        <v>0</v>
      </c>
      <c r="AL359">
        <v>0</v>
      </c>
      <c r="AM359">
        <v>8.58</v>
      </c>
      <c r="AN359">
        <v>0</v>
      </c>
      <c r="AO359">
        <v>0</v>
      </c>
      <c r="AP359">
        <v>0</v>
      </c>
      <c r="AQ359">
        <v>0</v>
      </c>
      <c r="AR359">
        <v>0</v>
      </c>
      <c r="AS359">
        <v>0</v>
      </c>
      <c r="AT359">
        <v>0</v>
      </c>
      <c r="AU359">
        <v>0</v>
      </c>
      <c r="AV359">
        <v>0</v>
      </c>
      <c r="AW359">
        <v>0</v>
      </c>
      <c r="AX359">
        <v>0</v>
      </c>
      <c r="AY359">
        <v>0</v>
      </c>
      <c r="AZ359">
        <v>0</v>
      </c>
      <c r="BA359">
        <v>0</v>
      </c>
      <c r="BB359">
        <v>0</v>
      </c>
      <c r="BC359">
        <v>0</v>
      </c>
      <c r="BD359">
        <v>0</v>
      </c>
      <c r="BE359">
        <v>0</v>
      </c>
      <c r="BF359">
        <v>0</v>
      </c>
      <c r="BG359">
        <v>0</v>
      </c>
      <c r="BH359">
        <v>1</v>
      </c>
      <c r="BI359">
        <v>1</v>
      </c>
      <c r="BJ359">
        <v>0.2</v>
      </c>
      <c r="BK359">
        <v>1</v>
      </c>
      <c r="BL359" s="4">
        <v>50.45</v>
      </c>
      <c r="BM359" s="4">
        <v>7.57</v>
      </c>
      <c r="BN359" s="4">
        <v>58.02</v>
      </c>
      <c r="BO359" s="4">
        <v>58.02</v>
      </c>
      <c r="BQ359" t="s">
        <v>147</v>
      </c>
      <c r="BR359" t="s">
        <v>84</v>
      </c>
      <c r="BS359" s="3">
        <v>43804</v>
      </c>
      <c r="BT359" s="5">
        <v>0.35486111111111113</v>
      </c>
      <c r="BU359" t="s">
        <v>220</v>
      </c>
      <c r="BV359" t="s">
        <v>86</v>
      </c>
      <c r="BY359">
        <v>1200</v>
      </c>
      <c r="CA359" t="s">
        <v>112</v>
      </c>
      <c r="CC359" t="s">
        <v>91</v>
      </c>
      <c r="CD359">
        <v>7441</v>
      </c>
      <c r="CE359" t="s">
        <v>88</v>
      </c>
      <c r="CF359" s="3">
        <v>43805</v>
      </c>
      <c r="CI359">
        <v>1</v>
      </c>
      <c r="CJ359">
        <v>1</v>
      </c>
      <c r="CK359">
        <v>21</v>
      </c>
      <c r="CL359" t="s">
        <v>89</v>
      </c>
    </row>
    <row r="360" spans="1:90">
      <c r="A360" t="s">
        <v>72</v>
      </c>
      <c r="B360" t="s">
        <v>73</v>
      </c>
      <c r="C360" t="s">
        <v>74</v>
      </c>
      <c r="E360" t="str">
        <f>"FES1162726648"</f>
        <v>FES1162726648</v>
      </c>
      <c r="F360" s="3">
        <v>43803</v>
      </c>
      <c r="G360">
        <v>202006</v>
      </c>
      <c r="H360" t="s">
        <v>75</v>
      </c>
      <c r="I360" t="s">
        <v>76</v>
      </c>
      <c r="J360" t="s">
        <v>77</v>
      </c>
      <c r="K360" t="s">
        <v>78</v>
      </c>
      <c r="L360" t="s">
        <v>491</v>
      </c>
      <c r="M360" t="s">
        <v>492</v>
      </c>
      <c r="N360" t="s">
        <v>805</v>
      </c>
      <c r="O360" t="s">
        <v>82</v>
      </c>
      <c r="P360" t="str">
        <f>"2170720127                    "</f>
        <v xml:space="preserve">2170720127                    </v>
      </c>
      <c r="Q360">
        <v>0</v>
      </c>
      <c r="R360">
        <v>0</v>
      </c>
      <c r="S360">
        <v>0</v>
      </c>
      <c r="T360">
        <v>0</v>
      </c>
      <c r="U360">
        <v>0</v>
      </c>
      <c r="V360">
        <v>0</v>
      </c>
      <c r="W360">
        <v>0</v>
      </c>
      <c r="X360">
        <v>0</v>
      </c>
      <c r="Y360">
        <v>0</v>
      </c>
      <c r="Z360">
        <v>0</v>
      </c>
      <c r="AA360">
        <v>0</v>
      </c>
      <c r="AB360">
        <v>0</v>
      </c>
      <c r="AC360">
        <v>0</v>
      </c>
      <c r="AD360">
        <v>0</v>
      </c>
      <c r="AE360">
        <v>0</v>
      </c>
      <c r="AF360">
        <v>0</v>
      </c>
      <c r="AG360">
        <v>0</v>
      </c>
      <c r="AH360">
        <v>0</v>
      </c>
      <c r="AI360">
        <v>0</v>
      </c>
      <c r="AJ360">
        <v>0</v>
      </c>
      <c r="AK360">
        <v>0</v>
      </c>
      <c r="AL360">
        <v>0</v>
      </c>
      <c r="AM360">
        <v>6.71</v>
      </c>
      <c r="AN360">
        <v>0</v>
      </c>
      <c r="AO360">
        <v>0</v>
      </c>
      <c r="AP360">
        <v>0</v>
      </c>
      <c r="AQ360">
        <v>0</v>
      </c>
      <c r="AR360">
        <v>0</v>
      </c>
      <c r="AS360">
        <v>0</v>
      </c>
      <c r="AT360">
        <v>0</v>
      </c>
      <c r="AU360">
        <v>0</v>
      </c>
      <c r="AV360">
        <v>0</v>
      </c>
      <c r="AW360">
        <v>0</v>
      </c>
      <c r="AX360">
        <v>0</v>
      </c>
      <c r="AY360">
        <v>0</v>
      </c>
      <c r="AZ360">
        <v>0</v>
      </c>
      <c r="BA360">
        <v>0</v>
      </c>
      <c r="BB360">
        <v>0</v>
      </c>
      <c r="BC360">
        <v>0</v>
      </c>
      <c r="BD360">
        <v>0</v>
      </c>
      <c r="BE360">
        <v>0</v>
      </c>
      <c r="BF360">
        <v>0</v>
      </c>
      <c r="BG360">
        <v>0</v>
      </c>
      <c r="BH360">
        <v>1</v>
      </c>
      <c r="BI360">
        <v>1</v>
      </c>
      <c r="BJ360">
        <v>0.2</v>
      </c>
      <c r="BK360">
        <v>1</v>
      </c>
      <c r="BL360" s="4">
        <v>39.42</v>
      </c>
      <c r="BM360" s="4">
        <v>5.91</v>
      </c>
      <c r="BN360" s="4">
        <v>45.33</v>
      </c>
      <c r="BO360" s="4">
        <v>45.33</v>
      </c>
      <c r="BQ360" t="s">
        <v>256</v>
      </c>
      <c r="BR360" t="s">
        <v>84</v>
      </c>
      <c r="BS360" s="3">
        <v>43804</v>
      </c>
      <c r="BT360" s="5">
        <v>0.35972222222222222</v>
      </c>
      <c r="BU360" t="s">
        <v>806</v>
      </c>
      <c r="BV360" t="s">
        <v>86</v>
      </c>
      <c r="BY360">
        <v>1200</v>
      </c>
      <c r="CC360" t="s">
        <v>492</v>
      </c>
      <c r="CD360">
        <v>1709</v>
      </c>
      <c r="CE360" t="s">
        <v>88</v>
      </c>
      <c r="CF360" s="3">
        <v>43805</v>
      </c>
      <c r="CI360">
        <v>1</v>
      </c>
      <c r="CJ360">
        <v>1</v>
      </c>
      <c r="CK360">
        <v>22</v>
      </c>
      <c r="CL360" t="s">
        <v>89</v>
      </c>
    </row>
    <row r="361" spans="1:90">
      <c r="A361" t="s">
        <v>72</v>
      </c>
      <c r="B361" t="s">
        <v>73</v>
      </c>
      <c r="C361" t="s">
        <v>74</v>
      </c>
      <c r="E361" t="str">
        <f>"FES1162726769"</f>
        <v>FES1162726769</v>
      </c>
      <c r="F361" s="3">
        <v>43803</v>
      </c>
      <c r="G361">
        <v>202006</v>
      </c>
      <c r="H361" t="s">
        <v>75</v>
      </c>
      <c r="I361" t="s">
        <v>76</v>
      </c>
      <c r="J361" t="s">
        <v>77</v>
      </c>
      <c r="K361" t="s">
        <v>78</v>
      </c>
      <c r="L361" t="s">
        <v>90</v>
      </c>
      <c r="M361" t="s">
        <v>91</v>
      </c>
      <c r="N361" t="s">
        <v>807</v>
      </c>
      <c r="O361" t="s">
        <v>82</v>
      </c>
      <c r="P361" t="str">
        <f>"2170720200                    "</f>
        <v xml:space="preserve">2170720200                    </v>
      </c>
      <c r="Q361">
        <v>0</v>
      </c>
      <c r="R361">
        <v>0</v>
      </c>
      <c r="S361">
        <v>0</v>
      </c>
      <c r="T361">
        <v>0</v>
      </c>
      <c r="U361">
        <v>0</v>
      </c>
      <c r="V361">
        <v>0</v>
      </c>
      <c r="W361">
        <v>0</v>
      </c>
      <c r="X361">
        <v>0</v>
      </c>
      <c r="Y361">
        <v>0</v>
      </c>
      <c r="Z361">
        <v>0</v>
      </c>
      <c r="AA361">
        <v>0</v>
      </c>
      <c r="AB361">
        <v>0</v>
      </c>
      <c r="AC361">
        <v>0</v>
      </c>
      <c r="AD361">
        <v>0</v>
      </c>
      <c r="AE361">
        <v>0</v>
      </c>
      <c r="AF361">
        <v>0</v>
      </c>
      <c r="AG361">
        <v>0</v>
      </c>
      <c r="AH361">
        <v>0</v>
      </c>
      <c r="AI361">
        <v>0</v>
      </c>
      <c r="AJ361">
        <v>0</v>
      </c>
      <c r="AK361">
        <v>0</v>
      </c>
      <c r="AL361">
        <v>0</v>
      </c>
      <c r="AM361">
        <v>8.58</v>
      </c>
      <c r="AN361">
        <v>0</v>
      </c>
      <c r="AO361">
        <v>0</v>
      </c>
      <c r="AP361">
        <v>0</v>
      </c>
      <c r="AQ361">
        <v>0</v>
      </c>
      <c r="AR361">
        <v>0</v>
      </c>
      <c r="AS361">
        <v>0</v>
      </c>
      <c r="AT361">
        <v>0</v>
      </c>
      <c r="AU361">
        <v>0</v>
      </c>
      <c r="AV361">
        <v>0</v>
      </c>
      <c r="AW361">
        <v>0</v>
      </c>
      <c r="AX361">
        <v>0</v>
      </c>
      <c r="AY361">
        <v>0</v>
      </c>
      <c r="AZ361">
        <v>0</v>
      </c>
      <c r="BA361">
        <v>0</v>
      </c>
      <c r="BB361">
        <v>0</v>
      </c>
      <c r="BC361">
        <v>0</v>
      </c>
      <c r="BD361">
        <v>0</v>
      </c>
      <c r="BE361">
        <v>0</v>
      </c>
      <c r="BF361">
        <v>0</v>
      </c>
      <c r="BG361">
        <v>0</v>
      </c>
      <c r="BH361">
        <v>1</v>
      </c>
      <c r="BI361">
        <v>1</v>
      </c>
      <c r="BJ361">
        <v>0.2</v>
      </c>
      <c r="BK361">
        <v>1</v>
      </c>
      <c r="BL361" s="4">
        <v>50.45</v>
      </c>
      <c r="BM361" s="4">
        <v>7.57</v>
      </c>
      <c r="BN361" s="4">
        <v>58.02</v>
      </c>
      <c r="BO361" s="4">
        <v>58.02</v>
      </c>
      <c r="BR361" t="s">
        <v>84</v>
      </c>
      <c r="BS361" s="3">
        <v>43804</v>
      </c>
      <c r="BT361" s="5">
        <v>0.40972222222222227</v>
      </c>
      <c r="BU361" t="s">
        <v>808</v>
      </c>
      <c r="BV361" t="s">
        <v>86</v>
      </c>
      <c r="BY361">
        <v>1200</v>
      </c>
      <c r="CA361" t="s">
        <v>809</v>
      </c>
      <c r="CC361" t="s">
        <v>91</v>
      </c>
      <c r="CD361">
        <v>7915</v>
      </c>
      <c r="CE361" t="s">
        <v>88</v>
      </c>
      <c r="CF361" s="3">
        <v>43805</v>
      </c>
      <c r="CI361">
        <v>1</v>
      </c>
      <c r="CJ361">
        <v>1</v>
      </c>
      <c r="CK361">
        <v>21</v>
      </c>
      <c r="CL361" t="s">
        <v>89</v>
      </c>
    </row>
    <row r="362" spans="1:90">
      <c r="A362" t="s">
        <v>72</v>
      </c>
      <c r="B362" t="s">
        <v>73</v>
      </c>
      <c r="C362" t="s">
        <v>74</v>
      </c>
      <c r="E362" t="str">
        <f>"FES1162726841"</f>
        <v>FES1162726841</v>
      </c>
      <c r="F362" s="3">
        <v>43803</v>
      </c>
      <c r="G362">
        <v>202006</v>
      </c>
      <c r="H362" t="s">
        <v>75</v>
      </c>
      <c r="I362" t="s">
        <v>76</v>
      </c>
      <c r="J362" t="s">
        <v>77</v>
      </c>
      <c r="K362" t="s">
        <v>78</v>
      </c>
      <c r="L362" t="s">
        <v>332</v>
      </c>
      <c r="M362" t="s">
        <v>333</v>
      </c>
      <c r="N362" t="s">
        <v>701</v>
      </c>
      <c r="O362" t="s">
        <v>82</v>
      </c>
      <c r="P362" t="str">
        <f>"2170720289                    "</f>
        <v xml:space="preserve">2170720289                    </v>
      </c>
      <c r="Q362">
        <v>0</v>
      </c>
      <c r="R362">
        <v>0</v>
      </c>
      <c r="S362">
        <v>0</v>
      </c>
      <c r="T362">
        <v>0</v>
      </c>
      <c r="U362">
        <v>0</v>
      </c>
      <c r="V362">
        <v>0</v>
      </c>
      <c r="W362">
        <v>0</v>
      </c>
      <c r="X362">
        <v>0</v>
      </c>
      <c r="Y362">
        <v>0</v>
      </c>
      <c r="Z362">
        <v>0</v>
      </c>
      <c r="AA362">
        <v>0</v>
      </c>
      <c r="AB362">
        <v>0</v>
      </c>
      <c r="AC362">
        <v>0</v>
      </c>
      <c r="AD362">
        <v>0</v>
      </c>
      <c r="AE362">
        <v>0</v>
      </c>
      <c r="AF362">
        <v>0</v>
      </c>
      <c r="AG362">
        <v>0</v>
      </c>
      <c r="AH362">
        <v>0</v>
      </c>
      <c r="AI362">
        <v>0</v>
      </c>
      <c r="AJ362">
        <v>0</v>
      </c>
      <c r="AK362">
        <v>0</v>
      </c>
      <c r="AL362">
        <v>0</v>
      </c>
      <c r="AM362">
        <v>6.71</v>
      </c>
      <c r="AN362">
        <v>0</v>
      </c>
      <c r="AO362">
        <v>0</v>
      </c>
      <c r="AP362">
        <v>0</v>
      </c>
      <c r="AQ362">
        <v>0</v>
      </c>
      <c r="AR362">
        <v>0</v>
      </c>
      <c r="AS362">
        <v>0</v>
      </c>
      <c r="AT362">
        <v>0</v>
      </c>
      <c r="AU362">
        <v>0</v>
      </c>
      <c r="AV362">
        <v>0</v>
      </c>
      <c r="AW362">
        <v>0</v>
      </c>
      <c r="AX362">
        <v>0</v>
      </c>
      <c r="AY362">
        <v>0</v>
      </c>
      <c r="AZ362">
        <v>0</v>
      </c>
      <c r="BA362">
        <v>0</v>
      </c>
      <c r="BB362">
        <v>0</v>
      </c>
      <c r="BC362">
        <v>0</v>
      </c>
      <c r="BD362">
        <v>0</v>
      </c>
      <c r="BE362">
        <v>0</v>
      </c>
      <c r="BF362">
        <v>0</v>
      </c>
      <c r="BG362">
        <v>0</v>
      </c>
      <c r="BH362">
        <v>1</v>
      </c>
      <c r="BI362">
        <v>1</v>
      </c>
      <c r="BJ362">
        <v>0.2</v>
      </c>
      <c r="BK362">
        <v>1</v>
      </c>
      <c r="BL362" s="4">
        <v>39.42</v>
      </c>
      <c r="BM362" s="4">
        <v>5.91</v>
      </c>
      <c r="BN362" s="4">
        <v>45.33</v>
      </c>
      <c r="BO362" s="4">
        <v>45.33</v>
      </c>
      <c r="BQ362" t="s">
        <v>93</v>
      </c>
      <c r="BR362" t="s">
        <v>84</v>
      </c>
      <c r="BS362" s="3">
        <v>43804</v>
      </c>
      <c r="BT362" s="5">
        <v>0.39444444444444443</v>
      </c>
      <c r="BU362" t="s">
        <v>810</v>
      </c>
      <c r="BV362" t="s">
        <v>86</v>
      </c>
      <c r="BY362">
        <v>1200</v>
      </c>
      <c r="CC362" t="s">
        <v>333</v>
      </c>
      <c r="CD362">
        <v>2094</v>
      </c>
      <c r="CE362" t="s">
        <v>88</v>
      </c>
      <c r="CI362">
        <v>1</v>
      </c>
      <c r="CJ362">
        <v>1</v>
      </c>
      <c r="CK362">
        <v>22</v>
      </c>
      <c r="CL362" t="s">
        <v>89</v>
      </c>
    </row>
    <row r="363" spans="1:90">
      <c r="A363" t="s">
        <v>72</v>
      </c>
      <c r="B363" t="s">
        <v>73</v>
      </c>
      <c r="C363" t="s">
        <v>74</v>
      </c>
      <c r="E363" t="str">
        <f>"FES1162726785"</f>
        <v>FES1162726785</v>
      </c>
      <c r="F363" s="3">
        <v>43803</v>
      </c>
      <c r="G363">
        <v>202006</v>
      </c>
      <c r="H363" t="s">
        <v>75</v>
      </c>
      <c r="I363" t="s">
        <v>76</v>
      </c>
      <c r="J363" t="s">
        <v>77</v>
      </c>
      <c r="K363" t="s">
        <v>78</v>
      </c>
      <c r="L363" t="s">
        <v>332</v>
      </c>
      <c r="M363" t="s">
        <v>333</v>
      </c>
      <c r="N363" t="s">
        <v>701</v>
      </c>
      <c r="O363" t="s">
        <v>82</v>
      </c>
      <c r="P363" t="str">
        <f>"2170720231                    "</f>
        <v xml:space="preserve">2170720231                    </v>
      </c>
      <c r="Q363">
        <v>0</v>
      </c>
      <c r="R363">
        <v>0</v>
      </c>
      <c r="S363">
        <v>0</v>
      </c>
      <c r="T363">
        <v>0</v>
      </c>
      <c r="U363">
        <v>0</v>
      </c>
      <c r="V363">
        <v>0</v>
      </c>
      <c r="W363">
        <v>0</v>
      </c>
      <c r="X363">
        <v>0</v>
      </c>
      <c r="Y363">
        <v>0</v>
      </c>
      <c r="Z363">
        <v>0</v>
      </c>
      <c r="AA363">
        <v>0</v>
      </c>
      <c r="AB363">
        <v>0</v>
      </c>
      <c r="AC363">
        <v>0</v>
      </c>
      <c r="AD363">
        <v>0</v>
      </c>
      <c r="AE363">
        <v>0</v>
      </c>
      <c r="AF363">
        <v>0</v>
      </c>
      <c r="AG363">
        <v>0</v>
      </c>
      <c r="AH363">
        <v>0</v>
      </c>
      <c r="AI363">
        <v>0</v>
      </c>
      <c r="AJ363">
        <v>0</v>
      </c>
      <c r="AK363">
        <v>0</v>
      </c>
      <c r="AL363">
        <v>0</v>
      </c>
      <c r="AM363">
        <v>6.71</v>
      </c>
      <c r="AN363">
        <v>0</v>
      </c>
      <c r="AO363">
        <v>0</v>
      </c>
      <c r="AP363">
        <v>0</v>
      </c>
      <c r="AQ363">
        <v>0</v>
      </c>
      <c r="AR363">
        <v>0</v>
      </c>
      <c r="AS363">
        <v>0</v>
      </c>
      <c r="AT363">
        <v>0</v>
      </c>
      <c r="AU363">
        <v>0</v>
      </c>
      <c r="AV363">
        <v>0</v>
      </c>
      <c r="AW363">
        <v>0</v>
      </c>
      <c r="AX363">
        <v>0</v>
      </c>
      <c r="AY363">
        <v>0</v>
      </c>
      <c r="AZ363">
        <v>0</v>
      </c>
      <c r="BA363">
        <v>0</v>
      </c>
      <c r="BB363">
        <v>0</v>
      </c>
      <c r="BC363">
        <v>0</v>
      </c>
      <c r="BD363">
        <v>0</v>
      </c>
      <c r="BE363">
        <v>0</v>
      </c>
      <c r="BF363">
        <v>0</v>
      </c>
      <c r="BG363">
        <v>0</v>
      </c>
      <c r="BH363">
        <v>1</v>
      </c>
      <c r="BI363">
        <v>1</v>
      </c>
      <c r="BJ363">
        <v>0.2</v>
      </c>
      <c r="BK363">
        <v>1</v>
      </c>
      <c r="BL363" s="4">
        <v>39.42</v>
      </c>
      <c r="BM363" s="4">
        <v>5.91</v>
      </c>
      <c r="BN363" s="4">
        <v>45.33</v>
      </c>
      <c r="BO363" s="4">
        <v>45.33</v>
      </c>
      <c r="BQ363" t="s">
        <v>93</v>
      </c>
      <c r="BR363" t="s">
        <v>84</v>
      </c>
      <c r="BS363" s="3">
        <v>43804</v>
      </c>
      <c r="BT363" s="5">
        <v>0.39513888888888887</v>
      </c>
      <c r="BU363" t="s">
        <v>810</v>
      </c>
      <c r="BV363" t="s">
        <v>86</v>
      </c>
      <c r="BY363">
        <v>1200</v>
      </c>
      <c r="CC363" t="s">
        <v>333</v>
      </c>
      <c r="CD363">
        <v>2094</v>
      </c>
      <c r="CE363" t="s">
        <v>88</v>
      </c>
      <c r="CF363" s="3">
        <v>43805</v>
      </c>
      <c r="CI363">
        <v>1</v>
      </c>
      <c r="CJ363">
        <v>1</v>
      </c>
      <c r="CK363">
        <v>22</v>
      </c>
      <c r="CL363" t="s">
        <v>89</v>
      </c>
    </row>
    <row r="364" spans="1:90">
      <c r="A364" t="s">
        <v>72</v>
      </c>
      <c r="B364" t="s">
        <v>73</v>
      </c>
      <c r="C364" t="s">
        <v>74</v>
      </c>
      <c r="E364" t="str">
        <f>"FES1162726588"</f>
        <v>FES1162726588</v>
      </c>
      <c r="F364" s="3">
        <v>43803</v>
      </c>
      <c r="G364">
        <v>202006</v>
      </c>
      <c r="H364" t="s">
        <v>75</v>
      </c>
      <c r="I364" t="s">
        <v>76</v>
      </c>
      <c r="J364" t="s">
        <v>77</v>
      </c>
      <c r="K364" t="s">
        <v>78</v>
      </c>
      <c r="L364" t="s">
        <v>332</v>
      </c>
      <c r="M364" t="s">
        <v>333</v>
      </c>
      <c r="N364" t="s">
        <v>811</v>
      </c>
      <c r="O364" t="s">
        <v>82</v>
      </c>
      <c r="P364" t="str">
        <f>"2170720061                    "</f>
        <v xml:space="preserve">2170720061                    </v>
      </c>
      <c r="Q364">
        <v>0</v>
      </c>
      <c r="R364">
        <v>0</v>
      </c>
      <c r="S364">
        <v>0</v>
      </c>
      <c r="T364">
        <v>0</v>
      </c>
      <c r="U364">
        <v>0</v>
      </c>
      <c r="V364">
        <v>0</v>
      </c>
      <c r="W364">
        <v>0</v>
      </c>
      <c r="X364">
        <v>0</v>
      </c>
      <c r="Y364">
        <v>0</v>
      </c>
      <c r="Z364">
        <v>0</v>
      </c>
      <c r="AA364">
        <v>0</v>
      </c>
      <c r="AB364">
        <v>0</v>
      </c>
      <c r="AC364">
        <v>0</v>
      </c>
      <c r="AD364">
        <v>0</v>
      </c>
      <c r="AE364">
        <v>0</v>
      </c>
      <c r="AF364">
        <v>0</v>
      </c>
      <c r="AG364">
        <v>0</v>
      </c>
      <c r="AH364">
        <v>0</v>
      </c>
      <c r="AI364">
        <v>0</v>
      </c>
      <c r="AJ364">
        <v>0</v>
      </c>
      <c r="AK364">
        <v>0</v>
      </c>
      <c r="AL364">
        <v>0</v>
      </c>
      <c r="AM364">
        <v>6.71</v>
      </c>
      <c r="AN364">
        <v>0</v>
      </c>
      <c r="AO364">
        <v>0</v>
      </c>
      <c r="AP364">
        <v>0</v>
      </c>
      <c r="AQ364">
        <v>0</v>
      </c>
      <c r="AR364">
        <v>0</v>
      </c>
      <c r="AS364">
        <v>0</v>
      </c>
      <c r="AT364">
        <v>0</v>
      </c>
      <c r="AU364">
        <v>0</v>
      </c>
      <c r="AV364">
        <v>0</v>
      </c>
      <c r="AW364">
        <v>0</v>
      </c>
      <c r="AX364">
        <v>0</v>
      </c>
      <c r="AY364">
        <v>0</v>
      </c>
      <c r="AZ364">
        <v>0</v>
      </c>
      <c r="BA364">
        <v>0</v>
      </c>
      <c r="BB364">
        <v>0</v>
      </c>
      <c r="BC364">
        <v>0</v>
      </c>
      <c r="BD364">
        <v>0</v>
      </c>
      <c r="BE364">
        <v>0</v>
      </c>
      <c r="BF364">
        <v>0</v>
      </c>
      <c r="BG364">
        <v>0</v>
      </c>
      <c r="BH364">
        <v>1</v>
      </c>
      <c r="BI364">
        <v>1</v>
      </c>
      <c r="BJ364">
        <v>0.2</v>
      </c>
      <c r="BK364">
        <v>1</v>
      </c>
      <c r="BL364" s="4">
        <v>39.42</v>
      </c>
      <c r="BM364" s="4">
        <v>5.91</v>
      </c>
      <c r="BN364" s="4">
        <v>45.33</v>
      </c>
      <c r="BO364" s="4">
        <v>45.33</v>
      </c>
      <c r="BQ364" t="s">
        <v>93</v>
      </c>
      <c r="BR364" t="s">
        <v>84</v>
      </c>
      <c r="BS364" s="3">
        <v>43804</v>
      </c>
      <c r="BT364" s="5">
        <v>0.33333333333333331</v>
      </c>
      <c r="BU364" t="s">
        <v>812</v>
      </c>
      <c r="BV364" t="s">
        <v>86</v>
      </c>
      <c r="BY364">
        <v>1200</v>
      </c>
      <c r="CA364" t="s">
        <v>307</v>
      </c>
      <c r="CC364" t="s">
        <v>333</v>
      </c>
      <c r="CD364">
        <v>2000</v>
      </c>
      <c r="CE364" t="s">
        <v>88</v>
      </c>
      <c r="CF364" s="3">
        <v>43805</v>
      </c>
      <c r="CI364">
        <v>1</v>
      </c>
      <c r="CJ364">
        <v>1</v>
      </c>
      <c r="CK364">
        <v>22</v>
      </c>
      <c r="CL364" t="s">
        <v>89</v>
      </c>
    </row>
    <row r="365" spans="1:90">
      <c r="A365" t="s">
        <v>72</v>
      </c>
      <c r="B365" t="s">
        <v>73</v>
      </c>
      <c r="C365" t="s">
        <v>74</v>
      </c>
      <c r="E365" t="str">
        <f>"FES1162726778"</f>
        <v>FES1162726778</v>
      </c>
      <c r="F365" s="3">
        <v>43803</v>
      </c>
      <c r="G365">
        <v>202006</v>
      </c>
      <c r="H365" t="s">
        <v>75</v>
      </c>
      <c r="I365" t="s">
        <v>76</v>
      </c>
      <c r="J365" t="s">
        <v>77</v>
      </c>
      <c r="K365" t="s">
        <v>78</v>
      </c>
      <c r="L365" t="s">
        <v>332</v>
      </c>
      <c r="M365" t="s">
        <v>333</v>
      </c>
      <c r="N365" t="s">
        <v>813</v>
      </c>
      <c r="O365" t="s">
        <v>82</v>
      </c>
      <c r="P365" t="str">
        <f>"2170720221                    "</f>
        <v xml:space="preserve">2170720221                    </v>
      </c>
      <c r="Q365">
        <v>0</v>
      </c>
      <c r="R365">
        <v>0</v>
      </c>
      <c r="S365">
        <v>0</v>
      </c>
      <c r="T365">
        <v>0</v>
      </c>
      <c r="U365">
        <v>0</v>
      </c>
      <c r="V365">
        <v>0</v>
      </c>
      <c r="W365">
        <v>0</v>
      </c>
      <c r="X365">
        <v>0</v>
      </c>
      <c r="Y365">
        <v>0</v>
      </c>
      <c r="Z365">
        <v>0</v>
      </c>
      <c r="AA365">
        <v>0</v>
      </c>
      <c r="AB365">
        <v>0</v>
      </c>
      <c r="AC365">
        <v>0</v>
      </c>
      <c r="AD365">
        <v>0</v>
      </c>
      <c r="AE365">
        <v>0</v>
      </c>
      <c r="AF365">
        <v>0</v>
      </c>
      <c r="AG365">
        <v>0</v>
      </c>
      <c r="AH365">
        <v>0</v>
      </c>
      <c r="AI365">
        <v>0</v>
      </c>
      <c r="AJ365">
        <v>0</v>
      </c>
      <c r="AK365">
        <v>0</v>
      </c>
      <c r="AL365">
        <v>0</v>
      </c>
      <c r="AM365">
        <v>6.71</v>
      </c>
      <c r="AN365">
        <v>0</v>
      </c>
      <c r="AO365">
        <v>0</v>
      </c>
      <c r="AP365">
        <v>0</v>
      </c>
      <c r="AQ365">
        <v>0</v>
      </c>
      <c r="AR365">
        <v>0</v>
      </c>
      <c r="AS365">
        <v>0</v>
      </c>
      <c r="AT365">
        <v>0</v>
      </c>
      <c r="AU365">
        <v>0</v>
      </c>
      <c r="AV365">
        <v>0</v>
      </c>
      <c r="AW365">
        <v>0</v>
      </c>
      <c r="AX365">
        <v>0</v>
      </c>
      <c r="AY365">
        <v>0</v>
      </c>
      <c r="AZ365">
        <v>0</v>
      </c>
      <c r="BA365">
        <v>0</v>
      </c>
      <c r="BB365">
        <v>0</v>
      </c>
      <c r="BC365">
        <v>0</v>
      </c>
      <c r="BD365">
        <v>0</v>
      </c>
      <c r="BE365">
        <v>0</v>
      </c>
      <c r="BF365">
        <v>0</v>
      </c>
      <c r="BG365">
        <v>0</v>
      </c>
      <c r="BH365">
        <v>1</v>
      </c>
      <c r="BI365">
        <v>1</v>
      </c>
      <c r="BJ365">
        <v>0.2</v>
      </c>
      <c r="BK365">
        <v>1</v>
      </c>
      <c r="BL365" s="4">
        <v>39.42</v>
      </c>
      <c r="BM365" s="4">
        <v>5.91</v>
      </c>
      <c r="BN365" s="4">
        <v>45.33</v>
      </c>
      <c r="BO365" s="4">
        <v>45.33</v>
      </c>
      <c r="BQ365" t="s">
        <v>93</v>
      </c>
      <c r="BR365" t="s">
        <v>84</v>
      </c>
      <c r="BS365" s="3">
        <v>43804</v>
      </c>
      <c r="BT365" s="5">
        <v>0.39583333333333331</v>
      </c>
      <c r="BU365" t="s">
        <v>814</v>
      </c>
      <c r="BV365" t="s">
        <v>86</v>
      </c>
      <c r="BY365">
        <v>1200</v>
      </c>
      <c r="CC365" t="s">
        <v>333</v>
      </c>
      <c r="CD365">
        <v>2040</v>
      </c>
      <c r="CE365" t="s">
        <v>88</v>
      </c>
      <c r="CF365" s="3">
        <v>43805</v>
      </c>
      <c r="CI365">
        <v>1</v>
      </c>
      <c r="CJ365">
        <v>1</v>
      </c>
      <c r="CK365">
        <v>22</v>
      </c>
      <c r="CL365" t="s">
        <v>89</v>
      </c>
    </row>
    <row r="366" spans="1:90">
      <c r="A366" t="s">
        <v>72</v>
      </c>
      <c r="B366" t="s">
        <v>73</v>
      </c>
      <c r="C366" t="s">
        <v>74</v>
      </c>
      <c r="E366" t="str">
        <f>"FES1162726767"</f>
        <v>FES1162726767</v>
      </c>
      <c r="F366" s="3">
        <v>43803</v>
      </c>
      <c r="G366">
        <v>202006</v>
      </c>
      <c r="H366" t="s">
        <v>75</v>
      </c>
      <c r="I366" t="s">
        <v>76</v>
      </c>
      <c r="J366" t="s">
        <v>77</v>
      </c>
      <c r="K366" t="s">
        <v>78</v>
      </c>
      <c r="L366" t="s">
        <v>221</v>
      </c>
      <c r="M366" t="s">
        <v>222</v>
      </c>
      <c r="N366" t="s">
        <v>236</v>
      </c>
      <c r="O366" t="s">
        <v>82</v>
      </c>
      <c r="P366" t="str">
        <f>"217071916                     "</f>
        <v xml:space="preserve">217071916                     </v>
      </c>
      <c r="Q366">
        <v>0</v>
      </c>
      <c r="R366">
        <v>0</v>
      </c>
      <c r="S366">
        <v>0</v>
      </c>
      <c r="T366">
        <v>0</v>
      </c>
      <c r="U366">
        <v>0</v>
      </c>
      <c r="V366">
        <v>0</v>
      </c>
      <c r="W366">
        <v>0</v>
      </c>
      <c r="X366">
        <v>0</v>
      </c>
      <c r="Y366">
        <v>0</v>
      </c>
      <c r="Z366">
        <v>0</v>
      </c>
      <c r="AA366">
        <v>0</v>
      </c>
      <c r="AB366">
        <v>0</v>
      </c>
      <c r="AC366">
        <v>0</v>
      </c>
      <c r="AD366">
        <v>0</v>
      </c>
      <c r="AE366">
        <v>0</v>
      </c>
      <c r="AF366">
        <v>0</v>
      </c>
      <c r="AG366">
        <v>0</v>
      </c>
      <c r="AH366">
        <v>0</v>
      </c>
      <c r="AI366">
        <v>0</v>
      </c>
      <c r="AJ366">
        <v>0</v>
      </c>
      <c r="AK366">
        <v>0</v>
      </c>
      <c r="AL366">
        <v>0</v>
      </c>
      <c r="AM366">
        <v>15.02</v>
      </c>
      <c r="AN366">
        <v>0</v>
      </c>
      <c r="AO366">
        <v>0</v>
      </c>
      <c r="AP366">
        <v>0</v>
      </c>
      <c r="AQ366">
        <v>0</v>
      </c>
      <c r="AR366">
        <v>0</v>
      </c>
      <c r="AS366">
        <v>0</v>
      </c>
      <c r="AT366">
        <v>0</v>
      </c>
      <c r="AU366">
        <v>0</v>
      </c>
      <c r="AV366">
        <v>0</v>
      </c>
      <c r="AW366">
        <v>0</v>
      </c>
      <c r="AX366">
        <v>0</v>
      </c>
      <c r="AY366">
        <v>0</v>
      </c>
      <c r="AZ366">
        <v>0</v>
      </c>
      <c r="BA366">
        <v>0</v>
      </c>
      <c r="BB366">
        <v>0</v>
      </c>
      <c r="BC366">
        <v>0</v>
      </c>
      <c r="BD366">
        <v>0</v>
      </c>
      <c r="BE366">
        <v>0</v>
      </c>
      <c r="BF366">
        <v>0</v>
      </c>
      <c r="BG366">
        <v>0</v>
      </c>
      <c r="BH366">
        <v>1</v>
      </c>
      <c r="BI366">
        <v>3.2</v>
      </c>
      <c r="BJ366">
        <v>1.3</v>
      </c>
      <c r="BK366">
        <v>3.5</v>
      </c>
      <c r="BL366" s="4">
        <v>88.27</v>
      </c>
      <c r="BM366" s="4">
        <v>13.24</v>
      </c>
      <c r="BN366" s="4">
        <v>101.51</v>
      </c>
      <c r="BO366" s="4">
        <v>101.51</v>
      </c>
      <c r="BQ366" t="s">
        <v>93</v>
      </c>
      <c r="BR366" t="s">
        <v>84</v>
      </c>
      <c r="BS366" s="3">
        <v>43804</v>
      </c>
      <c r="BT366" s="5">
        <v>0.39930555555555558</v>
      </c>
      <c r="BU366" t="s">
        <v>815</v>
      </c>
      <c r="BV366" t="s">
        <v>86</v>
      </c>
      <c r="BY366">
        <v>6470.88</v>
      </c>
      <c r="CA366" t="s">
        <v>225</v>
      </c>
      <c r="CC366" t="s">
        <v>222</v>
      </c>
      <c r="CD366">
        <v>3212</v>
      </c>
      <c r="CE366" t="s">
        <v>96</v>
      </c>
      <c r="CF366" s="3">
        <v>43805</v>
      </c>
      <c r="CI366">
        <v>1</v>
      </c>
      <c r="CJ366">
        <v>1</v>
      </c>
      <c r="CK366">
        <v>21</v>
      </c>
      <c r="CL366" t="s">
        <v>89</v>
      </c>
    </row>
    <row r="367" spans="1:90">
      <c r="A367" t="s">
        <v>72</v>
      </c>
      <c r="B367" t="s">
        <v>73</v>
      </c>
      <c r="C367" t="s">
        <v>74</v>
      </c>
      <c r="E367" t="str">
        <f>"FES1162726702"</f>
        <v>FES1162726702</v>
      </c>
      <c r="F367" s="3">
        <v>43803</v>
      </c>
      <c r="G367">
        <v>202006</v>
      </c>
      <c r="H367" t="s">
        <v>75</v>
      </c>
      <c r="I367" t="s">
        <v>76</v>
      </c>
      <c r="J367" t="s">
        <v>77</v>
      </c>
      <c r="K367" t="s">
        <v>78</v>
      </c>
      <c r="L367" t="s">
        <v>446</v>
      </c>
      <c r="M367" t="s">
        <v>447</v>
      </c>
      <c r="N367" t="s">
        <v>634</v>
      </c>
      <c r="O367" t="s">
        <v>82</v>
      </c>
      <c r="P367" t="str">
        <f>"2170719473                    "</f>
        <v xml:space="preserve">2170719473                    </v>
      </c>
      <c r="Q367">
        <v>0</v>
      </c>
      <c r="R367">
        <v>0</v>
      </c>
      <c r="S367">
        <v>0</v>
      </c>
      <c r="T367">
        <v>0</v>
      </c>
      <c r="U367">
        <v>0</v>
      </c>
      <c r="V367">
        <v>0</v>
      </c>
      <c r="W367">
        <v>0</v>
      </c>
      <c r="X367">
        <v>0</v>
      </c>
      <c r="Y367">
        <v>0</v>
      </c>
      <c r="Z367">
        <v>0</v>
      </c>
      <c r="AA367">
        <v>0</v>
      </c>
      <c r="AB367">
        <v>0</v>
      </c>
      <c r="AC367">
        <v>0</v>
      </c>
      <c r="AD367">
        <v>0</v>
      </c>
      <c r="AE367">
        <v>0</v>
      </c>
      <c r="AF367">
        <v>0</v>
      </c>
      <c r="AG367">
        <v>0</v>
      </c>
      <c r="AH367">
        <v>0</v>
      </c>
      <c r="AI367">
        <v>0</v>
      </c>
      <c r="AJ367">
        <v>0</v>
      </c>
      <c r="AK367">
        <v>0</v>
      </c>
      <c r="AL367">
        <v>0</v>
      </c>
      <c r="AM367">
        <v>8.58</v>
      </c>
      <c r="AN367">
        <v>0</v>
      </c>
      <c r="AO367">
        <v>0</v>
      </c>
      <c r="AP367">
        <v>0</v>
      </c>
      <c r="AQ367">
        <v>0</v>
      </c>
      <c r="AR367">
        <v>0</v>
      </c>
      <c r="AS367">
        <v>0</v>
      </c>
      <c r="AT367">
        <v>0</v>
      </c>
      <c r="AU367">
        <v>0</v>
      </c>
      <c r="AV367">
        <v>0</v>
      </c>
      <c r="AW367">
        <v>0</v>
      </c>
      <c r="AX367">
        <v>0</v>
      </c>
      <c r="AY367">
        <v>0</v>
      </c>
      <c r="AZ367">
        <v>0</v>
      </c>
      <c r="BA367">
        <v>0</v>
      </c>
      <c r="BB367">
        <v>0</v>
      </c>
      <c r="BC367">
        <v>0</v>
      </c>
      <c r="BD367">
        <v>0</v>
      </c>
      <c r="BE367">
        <v>0</v>
      </c>
      <c r="BF367">
        <v>0</v>
      </c>
      <c r="BG367">
        <v>0</v>
      </c>
      <c r="BH367">
        <v>1</v>
      </c>
      <c r="BI367">
        <v>1</v>
      </c>
      <c r="BJ367">
        <v>0.2</v>
      </c>
      <c r="BK367">
        <v>1</v>
      </c>
      <c r="BL367" s="4">
        <v>50.45</v>
      </c>
      <c r="BM367" s="4">
        <v>7.57</v>
      </c>
      <c r="BN367" s="4">
        <v>58.02</v>
      </c>
      <c r="BO367" s="4">
        <v>58.02</v>
      </c>
      <c r="BQ367" t="s">
        <v>147</v>
      </c>
      <c r="BR367" t="s">
        <v>84</v>
      </c>
      <c r="BS367" s="3">
        <v>43804</v>
      </c>
      <c r="BT367" s="5">
        <v>0.41250000000000003</v>
      </c>
      <c r="BU367" t="s">
        <v>816</v>
      </c>
      <c r="BV367" t="s">
        <v>86</v>
      </c>
      <c r="BY367">
        <v>1200</v>
      </c>
      <c r="CA367" t="s">
        <v>212</v>
      </c>
      <c r="CC367" t="s">
        <v>447</v>
      </c>
      <c r="CD367">
        <v>4133</v>
      </c>
      <c r="CE367" t="s">
        <v>88</v>
      </c>
      <c r="CF367" s="3">
        <v>43805</v>
      </c>
      <c r="CI367">
        <v>1</v>
      </c>
      <c r="CJ367">
        <v>1</v>
      </c>
      <c r="CK367">
        <v>21</v>
      </c>
      <c r="CL367" t="s">
        <v>89</v>
      </c>
    </row>
    <row r="368" spans="1:90">
      <c r="A368" t="s">
        <v>72</v>
      </c>
      <c r="B368" t="s">
        <v>73</v>
      </c>
      <c r="C368" t="s">
        <v>74</v>
      </c>
      <c r="E368" t="str">
        <f>"FES1162726829"</f>
        <v>FES1162726829</v>
      </c>
      <c r="F368" s="3">
        <v>43803</v>
      </c>
      <c r="G368">
        <v>202006</v>
      </c>
      <c r="H368" t="s">
        <v>75</v>
      </c>
      <c r="I368" t="s">
        <v>76</v>
      </c>
      <c r="J368" t="s">
        <v>77</v>
      </c>
      <c r="K368" t="s">
        <v>78</v>
      </c>
      <c r="L368" t="s">
        <v>632</v>
      </c>
      <c r="M368" t="s">
        <v>633</v>
      </c>
      <c r="N368" t="s">
        <v>775</v>
      </c>
      <c r="O368" t="s">
        <v>82</v>
      </c>
      <c r="P368" t="str">
        <f>"2170712075                    "</f>
        <v xml:space="preserve">2170712075                    </v>
      </c>
      <c r="Q368">
        <v>0</v>
      </c>
      <c r="R368">
        <v>0</v>
      </c>
      <c r="S368">
        <v>0</v>
      </c>
      <c r="T368">
        <v>0</v>
      </c>
      <c r="U368">
        <v>0</v>
      </c>
      <c r="V368">
        <v>0</v>
      </c>
      <c r="W368">
        <v>0</v>
      </c>
      <c r="X368">
        <v>0</v>
      </c>
      <c r="Y368">
        <v>0</v>
      </c>
      <c r="Z368">
        <v>0</v>
      </c>
      <c r="AA368">
        <v>0</v>
      </c>
      <c r="AB368">
        <v>0</v>
      </c>
      <c r="AC368">
        <v>0</v>
      </c>
      <c r="AD368">
        <v>0</v>
      </c>
      <c r="AE368">
        <v>0</v>
      </c>
      <c r="AF368">
        <v>0</v>
      </c>
      <c r="AG368">
        <v>0</v>
      </c>
      <c r="AH368">
        <v>0</v>
      </c>
      <c r="AI368">
        <v>0</v>
      </c>
      <c r="AJ368">
        <v>0</v>
      </c>
      <c r="AK368">
        <v>0</v>
      </c>
      <c r="AL368">
        <v>0</v>
      </c>
      <c r="AM368">
        <v>10.72</v>
      </c>
      <c r="AN368">
        <v>0</v>
      </c>
      <c r="AO368">
        <v>0</v>
      </c>
      <c r="AP368">
        <v>0</v>
      </c>
      <c r="AQ368">
        <v>0</v>
      </c>
      <c r="AR368">
        <v>0</v>
      </c>
      <c r="AS368">
        <v>0</v>
      </c>
      <c r="AT368">
        <v>0</v>
      </c>
      <c r="AU368">
        <v>0</v>
      </c>
      <c r="AV368">
        <v>0</v>
      </c>
      <c r="AW368">
        <v>0</v>
      </c>
      <c r="AX368">
        <v>0</v>
      </c>
      <c r="AY368">
        <v>0</v>
      </c>
      <c r="AZ368">
        <v>0</v>
      </c>
      <c r="BA368">
        <v>0</v>
      </c>
      <c r="BB368">
        <v>0</v>
      </c>
      <c r="BC368">
        <v>0</v>
      </c>
      <c r="BD368">
        <v>0</v>
      </c>
      <c r="BE368">
        <v>0</v>
      </c>
      <c r="BF368">
        <v>0</v>
      </c>
      <c r="BG368">
        <v>0</v>
      </c>
      <c r="BH368">
        <v>1</v>
      </c>
      <c r="BI368">
        <v>3.2</v>
      </c>
      <c r="BJ368">
        <v>4.3</v>
      </c>
      <c r="BK368">
        <v>4.5</v>
      </c>
      <c r="BL368" s="4">
        <v>63.03</v>
      </c>
      <c r="BM368" s="4">
        <v>9.4499999999999993</v>
      </c>
      <c r="BN368" s="4">
        <v>72.48</v>
      </c>
      <c r="BO368" s="4">
        <v>72.48</v>
      </c>
      <c r="BQ368" t="s">
        <v>147</v>
      </c>
      <c r="BR368" t="s">
        <v>84</v>
      </c>
      <c r="BS368" s="3">
        <v>43804</v>
      </c>
      <c r="BT368" s="5">
        <v>0.35138888888888892</v>
      </c>
      <c r="BU368" t="s">
        <v>776</v>
      </c>
      <c r="BV368" t="s">
        <v>86</v>
      </c>
      <c r="BY368">
        <v>21301.68</v>
      </c>
      <c r="CC368" t="s">
        <v>633</v>
      </c>
      <c r="CD368">
        <v>1451</v>
      </c>
      <c r="CE368" t="s">
        <v>116</v>
      </c>
      <c r="CF368" s="3">
        <v>43805</v>
      </c>
      <c r="CI368">
        <v>1</v>
      </c>
      <c r="CJ368">
        <v>1</v>
      </c>
      <c r="CK368">
        <v>22</v>
      </c>
      <c r="CL368" t="s">
        <v>89</v>
      </c>
    </row>
    <row r="369" spans="1:90">
      <c r="A369" t="s">
        <v>72</v>
      </c>
      <c r="B369" t="s">
        <v>73</v>
      </c>
      <c r="C369" t="s">
        <v>74</v>
      </c>
      <c r="E369" t="str">
        <f>"FES1162726722"</f>
        <v>FES1162726722</v>
      </c>
      <c r="F369" s="3">
        <v>43803</v>
      </c>
      <c r="G369">
        <v>202006</v>
      </c>
      <c r="H369" t="s">
        <v>75</v>
      </c>
      <c r="I369" t="s">
        <v>76</v>
      </c>
      <c r="J369" t="s">
        <v>77</v>
      </c>
      <c r="K369" t="s">
        <v>78</v>
      </c>
      <c r="L369" t="s">
        <v>90</v>
      </c>
      <c r="M369" t="s">
        <v>91</v>
      </c>
      <c r="N369" t="s">
        <v>548</v>
      </c>
      <c r="O369" t="s">
        <v>82</v>
      </c>
      <c r="P369" t="str">
        <f>"2170720149                    "</f>
        <v xml:space="preserve">2170720149                    </v>
      </c>
      <c r="Q369">
        <v>0</v>
      </c>
      <c r="R369">
        <v>0</v>
      </c>
      <c r="S369">
        <v>0</v>
      </c>
      <c r="T369">
        <v>0</v>
      </c>
      <c r="U369">
        <v>0</v>
      </c>
      <c r="V369">
        <v>0</v>
      </c>
      <c r="W369">
        <v>0</v>
      </c>
      <c r="X369">
        <v>0</v>
      </c>
      <c r="Y369">
        <v>0</v>
      </c>
      <c r="Z369">
        <v>0</v>
      </c>
      <c r="AA369">
        <v>0</v>
      </c>
      <c r="AB369">
        <v>0</v>
      </c>
      <c r="AC369">
        <v>0</v>
      </c>
      <c r="AD369">
        <v>0</v>
      </c>
      <c r="AE369">
        <v>0</v>
      </c>
      <c r="AF369">
        <v>0</v>
      </c>
      <c r="AG369">
        <v>0</v>
      </c>
      <c r="AH369">
        <v>0</v>
      </c>
      <c r="AI369">
        <v>0</v>
      </c>
      <c r="AJ369">
        <v>0</v>
      </c>
      <c r="AK369">
        <v>0</v>
      </c>
      <c r="AL369">
        <v>0</v>
      </c>
      <c r="AM369">
        <v>8.58</v>
      </c>
      <c r="AN369">
        <v>0</v>
      </c>
      <c r="AO369">
        <v>0</v>
      </c>
      <c r="AP369">
        <v>0</v>
      </c>
      <c r="AQ369">
        <v>0</v>
      </c>
      <c r="AR369">
        <v>0</v>
      </c>
      <c r="AS369">
        <v>0</v>
      </c>
      <c r="AT369">
        <v>0</v>
      </c>
      <c r="AU369">
        <v>0</v>
      </c>
      <c r="AV369">
        <v>0</v>
      </c>
      <c r="AW369">
        <v>0</v>
      </c>
      <c r="AX369">
        <v>0</v>
      </c>
      <c r="AY369">
        <v>0</v>
      </c>
      <c r="AZ369">
        <v>0</v>
      </c>
      <c r="BA369">
        <v>0</v>
      </c>
      <c r="BB369">
        <v>0</v>
      </c>
      <c r="BC369">
        <v>0</v>
      </c>
      <c r="BD369">
        <v>0</v>
      </c>
      <c r="BE369">
        <v>0</v>
      </c>
      <c r="BF369">
        <v>0</v>
      </c>
      <c r="BG369">
        <v>0</v>
      </c>
      <c r="BH369">
        <v>1</v>
      </c>
      <c r="BI369">
        <v>1</v>
      </c>
      <c r="BJ369">
        <v>0.2</v>
      </c>
      <c r="BK369">
        <v>1</v>
      </c>
      <c r="BL369" s="4">
        <v>50.45</v>
      </c>
      <c r="BM369" s="4">
        <v>7.57</v>
      </c>
      <c r="BN369" s="4">
        <v>58.02</v>
      </c>
      <c r="BO369" s="4">
        <v>58.02</v>
      </c>
      <c r="BQ369" t="s">
        <v>147</v>
      </c>
      <c r="BR369" t="s">
        <v>84</v>
      </c>
      <c r="BS369" s="3">
        <v>43804</v>
      </c>
      <c r="BT369" s="5">
        <v>0.32013888888888892</v>
      </c>
      <c r="BU369" t="s">
        <v>817</v>
      </c>
      <c r="BV369" t="s">
        <v>86</v>
      </c>
      <c r="BY369">
        <v>1200</v>
      </c>
      <c r="CA369" t="s">
        <v>818</v>
      </c>
      <c r="CC369" t="s">
        <v>91</v>
      </c>
      <c r="CD369">
        <v>7530</v>
      </c>
      <c r="CE369" t="s">
        <v>88</v>
      </c>
      <c r="CF369" s="3">
        <v>43805</v>
      </c>
      <c r="CI369">
        <v>1</v>
      </c>
      <c r="CJ369">
        <v>1</v>
      </c>
      <c r="CK369">
        <v>21</v>
      </c>
      <c r="CL369" t="s">
        <v>89</v>
      </c>
    </row>
    <row r="370" spans="1:90">
      <c r="A370" t="s">
        <v>72</v>
      </c>
      <c r="B370" t="s">
        <v>73</v>
      </c>
      <c r="C370" t="s">
        <v>74</v>
      </c>
      <c r="E370" t="str">
        <f>"FES1162726558"</f>
        <v>FES1162726558</v>
      </c>
      <c r="F370" s="3">
        <v>43803</v>
      </c>
      <c r="G370">
        <v>202006</v>
      </c>
      <c r="H370" t="s">
        <v>75</v>
      </c>
      <c r="I370" t="s">
        <v>76</v>
      </c>
      <c r="J370" t="s">
        <v>77</v>
      </c>
      <c r="K370" t="s">
        <v>78</v>
      </c>
      <c r="L370" t="s">
        <v>90</v>
      </c>
      <c r="M370" t="s">
        <v>91</v>
      </c>
      <c r="N370" t="s">
        <v>535</v>
      </c>
      <c r="O370" t="s">
        <v>82</v>
      </c>
      <c r="P370" t="str">
        <f>"2170720030                    "</f>
        <v xml:space="preserve">2170720030                    </v>
      </c>
      <c r="Q370">
        <v>0</v>
      </c>
      <c r="R370">
        <v>0</v>
      </c>
      <c r="S370">
        <v>0</v>
      </c>
      <c r="T370">
        <v>0</v>
      </c>
      <c r="U370">
        <v>0</v>
      </c>
      <c r="V370">
        <v>0</v>
      </c>
      <c r="W370">
        <v>0</v>
      </c>
      <c r="X370">
        <v>0</v>
      </c>
      <c r="Y370">
        <v>0</v>
      </c>
      <c r="Z370">
        <v>0</v>
      </c>
      <c r="AA370">
        <v>0</v>
      </c>
      <c r="AB370">
        <v>0</v>
      </c>
      <c r="AC370">
        <v>0</v>
      </c>
      <c r="AD370">
        <v>0</v>
      </c>
      <c r="AE370">
        <v>0</v>
      </c>
      <c r="AF370">
        <v>0</v>
      </c>
      <c r="AG370">
        <v>0</v>
      </c>
      <c r="AH370">
        <v>0</v>
      </c>
      <c r="AI370">
        <v>0</v>
      </c>
      <c r="AJ370">
        <v>0</v>
      </c>
      <c r="AK370">
        <v>0</v>
      </c>
      <c r="AL370">
        <v>0</v>
      </c>
      <c r="AM370">
        <v>8.58</v>
      </c>
      <c r="AN370">
        <v>0</v>
      </c>
      <c r="AO370">
        <v>0</v>
      </c>
      <c r="AP370">
        <v>0</v>
      </c>
      <c r="AQ370">
        <v>0</v>
      </c>
      <c r="AR370">
        <v>0</v>
      </c>
      <c r="AS370">
        <v>0</v>
      </c>
      <c r="AT370">
        <v>0</v>
      </c>
      <c r="AU370">
        <v>0</v>
      </c>
      <c r="AV370">
        <v>0</v>
      </c>
      <c r="AW370">
        <v>0</v>
      </c>
      <c r="AX370">
        <v>0</v>
      </c>
      <c r="AY370">
        <v>0</v>
      </c>
      <c r="AZ370">
        <v>0</v>
      </c>
      <c r="BA370">
        <v>0</v>
      </c>
      <c r="BB370">
        <v>0</v>
      </c>
      <c r="BC370">
        <v>0</v>
      </c>
      <c r="BD370">
        <v>0</v>
      </c>
      <c r="BE370">
        <v>0</v>
      </c>
      <c r="BF370">
        <v>0</v>
      </c>
      <c r="BG370">
        <v>0</v>
      </c>
      <c r="BH370">
        <v>1</v>
      </c>
      <c r="BI370">
        <v>1</v>
      </c>
      <c r="BJ370">
        <v>0.2</v>
      </c>
      <c r="BK370">
        <v>1</v>
      </c>
      <c r="BL370" s="4">
        <v>50.45</v>
      </c>
      <c r="BM370" s="4">
        <v>7.57</v>
      </c>
      <c r="BN370" s="4">
        <v>58.02</v>
      </c>
      <c r="BO370" s="4">
        <v>58.02</v>
      </c>
      <c r="BQ370" t="s">
        <v>147</v>
      </c>
      <c r="BR370" t="s">
        <v>84</v>
      </c>
      <c r="BS370" s="3">
        <v>43804</v>
      </c>
      <c r="BT370" s="5">
        <v>0.40972222222222227</v>
      </c>
      <c r="BU370" t="s">
        <v>819</v>
      </c>
      <c r="BV370" t="s">
        <v>86</v>
      </c>
      <c r="BY370">
        <v>1200</v>
      </c>
      <c r="CA370" t="s">
        <v>209</v>
      </c>
      <c r="CC370" t="s">
        <v>91</v>
      </c>
      <c r="CD370">
        <v>7441</v>
      </c>
      <c r="CE370" t="s">
        <v>88</v>
      </c>
      <c r="CF370" s="3">
        <v>43805</v>
      </c>
      <c r="CI370">
        <v>1</v>
      </c>
      <c r="CJ370">
        <v>1</v>
      </c>
      <c r="CK370">
        <v>21</v>
      </c>
      <c r="CL370" t="s">
        <v>89</v>
      </c>
    </row>
    <row r="371" spans="1:90">
      <c r="A371" t="s">
        <v>72</v>
      </c>
      <c r="B371" t="s">
        <v>73</v>
      </c>
      <c r="C371" t="s">
        <v>74</v>
      </c>
      <c r="E371" t="str">
        <f>"FES1162726886"</f>
        <v>FES1162726886</v>
      </c>
      <c r="F371" s="3">
        <v>43803</v>
      </c>
      <c r="G371">
        <v>202006</v>
      </c>
      <c r="H371" t="s">
        <v>75</v>
      </c>
      <c r="I371" t="s">
        <v>76</v>
      </c>
      <c r="J371" t="s">
        <v>77</v>
      </c>
      <c r="K371" t="s">
        <v>78</v>
      </c>
      <c r="L371" t="s">
        <v>258</v>
      </c>
      <c r="M371" t="s">
        <v>259</v>
      </c>
      <c r="N371" t="s">
        <v>820</v>
      </c>
      <c r="O371" t="s">
        <v>82</v>
      </c>
      <c r="P371" t="str">
        <f>"2170720335                    "</f>
        <v xml:space="preserve">2170720335                    </v>
      </c>
      <c r="Q371">
        <v>0</v>
      </c>
      <c r="R371">
        <v>0</v>
      </c>
      <c r="S371">
        <v>0</v>
      </c>
      <c r="T371">
        <v>0</v>
      </c>
      <c r="U371">
        <v>0</v>
      </c>
      <c r="V371">
        <v>0</v>
      </c>
      <c r="W371">
        <v>0</v>
      </c>
      <c r="X371">
        <v>0</v>
      </c>
      <c r="Y371">
        <v>0</v>
      </c>
      <c r="Z371">
        <v>0</v>
      </c>
      <c r="AA371">
        <v>0</v>
      </c>
      <c r="AB371">
        <v>0</v>
      </c>
      <c r="AC371">
        <v>0</v>
      </c>
      <c r="AD371">
        <v>0</v>
      </c>
      <c r="AE371">
        <v>0</v>
      </c>
      <c r="AF371">
        <v>0</v>
      </c>
      <c r="AG371">
        <v>0</v>
      </c>
      <c r="AH371">
        <v>0</v>
      </c>
      <c r="AI371">
        <v>0</v>
      </c>
      <c r="AJ371">
        <v>0</v>
      </c>
      <c r="AK371">
        <v>0</v>
      </c>
      <c r="AL371">
        <v>0</v>
      </c>
      <c r="AM371">
        <v>8.58</v>
      </c>
      <c r="AN371">
        <v>0</v>
      </c>
      <c r="AO371">
        <v>0</v>
      </c>
      <c r="AP371">
        <v>0</v>
      </c>
      <c r="AQ371">
        <v>0</v>
      </c>
      <c r="AR371">
        <v>0</v>
      </c>
      <c r="AS371">
        <v>0</v>
      </c>
      <c r="AT371">
        <v>0</v>
      </c>
      <c r="AU371">
        <v>0</v>
      </c>
      <c r="AV371">
        <v>0</v>
      </c>
      <c r="AW371">
        <v>0</v>
      </c>
      <c r="AX371">
        <v>0</v>
      </c>
      <c r="AY371">
        <v>0</v>
      </c>
      <c r="AZ371">
        <v>0</v>
      </c>
      <c r="BA371">
        <v>0</v>
      </c>
      <c r="BB371">
        <v>0</v>
      </c>
      <c r="BC371">
        <v>0</v>
      </c>
      <c r="BD371">
        <v>0</v>
      </c>
      <c r="BE371">
        <v>0</v>
      </c>
      <c r="BF371">
        <v>0</v>
      </c>
      <c r="BG371">
        <v>0</v>
      </c>
      <c r="BH371">
        <v>1</v>
      </c>
      <c r="BI371">
        <v>1</v>
      </c>
      <c r="BJ371">
        <v>0.2</v>
      </c>
      <c r="BK371">
        <v>1</v>
      </c>
      <c r="BL371" s="4">
        <v>50.45</v>
      </c>
      <c r="BM371" s="4">
        <v>7.57</v>
      </c>
      <c r="BN371" s="4">
        <v>58.02</v>
      </c>
      <c r="BO371" s="4">
        <v>58.02</v>
      </c>
      <c r="BQ371" t="s">
        <v>93</v>
      </c>
      <c r="BR371" t="s">
        <v>84</v>
      </c>
      <c r="BS371" s="3">
        <v>43804</v>
      </c>
      <c r="BT371" s="5">
        <v>0.38263888888888892</v>
      </c>
      <c r="BU371" t="s">
        <v>821</v>
      </c>
      <c r="BV371" t="s">
        <v>86</v>
      </c>
      <c r="BY371">
        <v>1200</v>
      </c>
      <c r="CA371" t="s">
        <v>262</v>
      </c>
      <c r="CC371" t="s">
        <v>259</v>
      </c>
      <c r="CD371">
        <v>7600</v>
      </c>
      <c r="CE371" t="s">
        <v>88</v>
      </c>
      <c r="CF371" s="3">
        <v>43805</v>
      </c>
      <c r="CI371">
        <v>1</v>
      </c>
      <c r="CJ371">
        <v>1</v>
      </c>
      <c r="CK371">
        <v>21</v>
      </c>
      <c r="CL371" t="s">
        <v>89</v>
      </c>
    </row>
    <row r="372" spans="1:90">
      <c r="A372" t="s">
        <v>72</v>
      </c>
      <c r="B372" t="s">
        <v>73</v>
      </c>
      <c r="C372" t="s">
        <v>74</v>
      </c>
      <c r="E372" t="str">
        <f>"FES1162726831"</f>
        <v>FES1162726831</v>
      </c>
      <c r="F372" s="3">
        <v>43803</v>
      </c>
      <c r="G372">
        <v>202006</v>
      </c>
      <c r="H372" t="s">
        <v>75</v>
      </c>
      <c r="I372" t="s">
        <v>76</v>
      </c>
      <c r="J372" t="s">
        <v>77</v>
      </c>
      <c r="K372" t="s">
        <v>78</v>
      </c>
      <c r="L372" t="s">
        <v>79</v>
      </c>
      <c r="M372" t="s">
        <v>80</v>
      </c>
      <c r="N372" t="s">
        <v>822</v>
      </c>
      <c r="O372" t="s">
        <v>82</v>
      </c>
      <c r="P372" t="str">
        <f>"2170719693                    "</f>
        <v xml:space="preserve">2170719693                    </v>
      </c>
      <c r="Q372">
        <v>0</v>
      </c>
      <c r="R372">
        <v>0</v>
      </c>
      <c r="S372">
        <v>0</v>
      </c>
      <c r="T372">
        <v>0</v>
      </c>
      <c r="U372">
        <v>0</v>
      </c>
      <c r="V372">
        <v>0</v>
      </c>
      <c r="W372">
        <v>0</v>
      </c>
      <c r="X372">
        <v>0</v>
      </c>
      <c r="Y372">
        <v>0</v>
      </c>
      <c r="Z372">
        <v>0</v>
      </c>
      <c r="AA372">
        <v>0</v>
      </c>
      <c r="AB372">
        <v>0</v>
      </c>
      <c r="AC372">
        <v>0</v>
      </c>
      <c r="AD372">
        <v>0</v>
      </c>
      <c r="AE372">
        <v>0</v>
      </c>
      <c r="AF372">
        <v>0</v>
      </c>
      <c r="AG372">
        <v>0</v>
      </c>
      <c r="AH372">
        <v>0</v>
      </c>
      <c r="AI372">
        <v>0</v>
      </c>
      <c r="AJ372">
        <v>0</v>
      </c>
      <c r="AK372">
        <v>0</v>
      </c>
      <c r="AL372">
        <v>0</v>
      </c>
      <c r="AM372">
        <v>8.58</v>
      </c>
      <c r="AN372">
        <v>0</v>
      </c>
      <c r="AO372">
        <v>0</v>
      </c>
      <c r="AP372">
        <v>0</v>
      </c>
      <c r="AQ372">
        <v>0</v>
      </c>
      <c r="AR372">
        <v>0</v>
      </c>
      <c r="AS372">
        <v>0</v>
      </c>
      <c r="AT372">
        <v>0</v>
      </c>
      <c r="AU372">
        <v>0</v>
      </c>
      <c r="AV372">
        <v>0</v>
      </c>
      <c r="AW372">
        <v>0</v>
      </c>
      <c r="AX372">
        <v>0</v>
      </c>
      <c r="AY372">
        <v>0</v>
      </c>
      <c r="AZ372">
        <v>0</v>
      </c>
      <c r="BA372">
        <v>0</v>
      </c>
      <c r="BB372">
        <v>0</v>
      </c>
      <c r="BC372">
        <v>0</v>
      </c>
      <c r="BD372">
        <v>0</v>
      </c>
      <c r="BE372">
        <v>0</v>
      </c>
      <c r="BF372">
        <v>0</v>
      </c>
      <c r="BG372">
        <v>0</v>
      </c>
      <c r="BH372">
        <v>1</v>
      </c>
      <c r="BI372">
        <v>1</v>
      </c>
      <c r="BJ372">
        <v>0.2</v>
      </c>
      <c r="BK372">
        <v>1</v>
      </c>
      <c r="BL372" s="4">
        <v>50.45</v>
      </c>
      <c r="BM372" s="4">
        <v>7.57</v>
      </c>
      <c r="BN372" s="4">
        <v>58.02</v>
      </c>
      <c r="BO372" s="4">
        <v>58.02</v>
      </c>
      <c r="BQ372" t="s">
        <v>93</v>
      </c>
      <c r="BR372" t="s">
        <v>84</v>
      </c>
      <c r="BS372" s="3">
        <v>43804</v>
      </c>
      <c r="BT372" s="5">
        <v>0.3611111111111111</v>
      </c>
      <c r="BU372" t="s">
        <v>823</v>
      </c>
      <c r="BV372" t="s">
        <v>86</v>
      </c>
      <c r="BY372">
        <v>1200</v>
      </c>
      <c r="BZ372" t="s">
        <v>27</v>
      </c>
      <c r="CA372" t="s">
        <v>99</v>
      </c>
      <c r="CC372" t="s">
        <v>80</v>
      </c>
      <c r="CD372">
        <v>6000</v>
      </c>
      <c r="CE372" t="s">
        <v>88</v>
      </c>
      <c r="CF372" s="3">
        <v>43805</v>
      </c>
      <c r="CI372">
        <v>1</v>
      </c>
      <c r="CJ372">
        <v>1</v>
      </c>
      <c r="CK372">
        <v>21</v>
      </c>
      <c r="CL372" t="s">
        <v>89</v>
      </c>
    </row>
    <row r="373" spans="1:90">
      <c r="A373" t="s">
        <v>72</v>
      </c>
      <c r="B373" t="s">
        <v>73</v>
      </c>
      <c r="C373" t="s">
        <v>74</v>
      </c>
      <c r="E373" t="str">
        <f>"FES1162726756"</f>
        <v>FES1162726756</v>
      </c>
      <c r="F373" s="3">
        <v>43803</v>
      </c>
      <c r="G373">
        <v>202006</v>
      </c>
      <c r="H373" t="s">
        <v>75</v>
      </c>
      <c r="I373" t="s">
        <v>76</v>
      </c>
      <c r="J373" t="s">
        <v>77</v>
      </c>
      <c r="K373" t="s">
        <v>78</v>
      </c>
      <c r="L373" t="s">
        <v>198</v>
      </c>
      <c r="M373" t="s">
        <v>199</v>
      </c>
      <c r="N373" t="s">
        <v>824</v>
      </c>
      <c r="O373" t="s">
        <v>82</v>
      </c>
      <c r="P373" t="str">
        <f>"2170726756                    "</f>
        <v xml:space="preserve">2170726756                    </v>
      </c>
      <c r="Q373">
        <v>0</v>
      </c>
      <c r="R373">
        <v>0</v>
      </c>
      <c r="S373">
        <v>0</v>
      </c>
      <c r="T373">
        <v>0</v>
      </c>
      <c r="U373">
        <v>0</v>
      </c>
      <c r="V373">
        <v>0</v>
      </c>
      <c r="W373">
        <v>0</v>
      </c>
      <c r="X373">
        <v>0</v>
      </c>
      <c r="Y373">
        <v>0</v>
      </c>
      <c r="Z373">
        <v>0</v>
      </c>
      <c r="AA373">
        <v>0</v>
      </c>
      <c r="AB373">
        <v>0</v>
      </c>
      <c r="AC373">
        <v>0</v>
      </c>
      <c r="AD373">
        <v>0</v>
      </c>
      <c r="AE373">
        <v>0</v>
      </c>
      <c r="AF373">
        <v>0</v>
      </c>
      <c r="AG373">
        <v>0</v>
      </c>
      <c r="AH373">
        <v>0</v>
      </c>
      <c r="AI373">
        <v>0</v>
      </c>
      <c r="AJ373">
        <v>0</v>
      </c>
      <c r="AK373">
        <v>0</v>
      </c>
      <c r="AL373">
        <v>0</v>
      </c>
      <c r="AM373">
        <v>8.58</v>
      </c>
      <c r="AN373">
        <v>0</v>
      </c>
      <c r="AO373">
        <v>0</v>
      </c>
      <c r="AP373">
        <v>0</v>
      </c>
      <c r="AQ373">
        <v>0</v>
      </c>
      <c r="AR373">
        <v>0</v>
      </c>
      <c r="AS373">
        <v>0</v>
      </c>
      <c r="AT373">
        <v>0</v>
      </c>
      <c r="AU373">
        <v>0</v>
      </c>
      <c r="AV373">
        <v>0</v>
      </c>
      <c r="AW373">
        <v>0</v>
      </c>
      <c r="AX373">
        <v>0</v>
      </c>
      <c r="AY373">
        <v>0</v>
      </c>
      <c r="AZ373">
        <v>0</v>
      </c>
      <c r="BA373">
        <v>0</v>
      </c>
      <c r="BB373">
        <v>0</v>
      </c>
      <c r="BC373">
        <v>0</v>
      </c>
      <c r="BD373">
        <v>0</v>
      </c>
      <c r="BE373">
        <v>0</v>
      </c>
      <c r="BF373">
        <v>0</v>
      </c>
      <c r="BG373">
        <v>0</v>
      </c>
      <c r="BH373">
        <v>1</v>
      </c>
      <c r="BI373">
        <v>1.5</v>
      </c>
      <c r="BJ373">
        <v>1</v>
      </c>
      <c r="BK373">
        <v>1.5</v>
      </c>
      <c r="BL373" s="4">
        <v>50.45</v>
      </c>
      <c r="BM373" s="4">
        <v>7.57</v>
      </c>
      <c r="BN373" s="4">
        <v>58.02</v>
      </c>
      <c r="BO373" s="4">
        <v>58.02</v>
      </c>
      <c r="BR373" t="s">
        <v>84</v>
      </c>
      <c r="BS373" s="3">
        <v>43804</v>
      </c>
      <c r="BT373" s="5">
        <v>0.39583333333333331</v>
      </c>
      <c r="BU373" t="s">
        <v>801</v>
      </c>
      <c r="BV373" t="s">
        <v>86</v>
      </c>
      <c r="BY373">
        <v>4796.3599999999997</v>
      </c>
      <c r="BZ373" t="s">
        <v>27</v>
      </c>
      <c r="CA373" t="s">
        <v>294</v>
      </c>
      <c r="CC373" t="s">
        <v>199</v>
      </c>
      <c r="CD373">
        <v>4094</v>
      </c>
      <c r="CE373" t="s">
        <v>96</v>
      </c>
      <c r="CF373" s="3">
        <v>43805</v>
      </c>
      <c r="CI373">
        <v>1</v>
      </c>
      <c r="CJ373">
        <v>1</v>
      </c>
      <c r="CK373">
        <v>21</v>
      </c>
      <c r="CL373" t="s">
        <v>89</v>
      </c>
    </row>
    <row r="374" spans="1:90">
      <c r="A374" t="s">
        <v>72</v>
      </c>
      <c r="B374" t="s">
        <v>73</v>
      </c>
      <c r="C374" t="s">
        <v>74</v>
      </c>
      <c r="E374" t="str">
        <f>"FES1162726703"</f>
        <v>FES1162726703</v>
      </c>
      <c r="F374" s="3">
        <v>43803</v>
      </c>
      <c r="G374">
        <v>202006</v>
      </c>
      <c r="H374" t="s">
        <v>75</v>
      </c>
      <c r="I374" t="s">
        <v>76</v>
      </c>
      <c r="J374" t="s">
        <v>77</v>
      </c>
      <c r="K374" t="s">
        <v>78</v>
      </c>
      <c r="L374" t="s">
        <v>177</v>
      </c>
      <c r="M374" t="s">
        <v>178</v>
      </c>
      <c r="N374" t="s">
        <v>179</v>
      </c>
      <c r="O374" t="s">
        <v>82</v>
      </c>
      <c r="P374" t="str">
        <f>"2170716089                    "</f>
        <v xml:space="preserve">2170716089                    </v>
      </c>
      <c r="Q374">
        <v>0</v>
      </c>
      <c r="R374">
        <v>0</v>
      </c>
      <c r="S374">
        <v>0</v>
      </c>
      <c r="T374">
        <v>0</v>
      </c>
      <c r="U374">
        <v>0</v>
      </c>
      <c r="V374">
        <v>0</v>
      </c>
      <c r="W374">
        <v>0</v>
      </c>
      <c r="X374">
        <v>0</v>
      </c>
      <c r="Y374">
        <v>0</v>
      </c>
      <c r="Z374">
        <v>0</v>
      </c>
      <c r="AA374">
        <v>0</v>
      </c>
      <c r="AB374">
        <v>0</v>
      </c>
      <c r="AC374">
        <v>0</v>
      </c>
      <c r="AD374">
        <v>0</v>
      </c>
      <c r="AE374">
        <v>0</v>
      </c>
      <c r="AF374">
        <v>0</v>
      </c>
      <c r="AG374">
        <v>0</v>
      </c>
      <c r="AH374">
        <v>0</v>
      </c>
      <c r="AI374">
        <v>0</v>
      </c>
      <c r="AJ374">
        <v>0</v>
      </c>
      <c r="AK374">
        <v>0</v>
      </c>
      <c r="AL374">
        <v>0</v>
      </c>
      <c r="AM374">
        <v>12.07</v>
      </c>
      <c r="AN374">
        <v>0</v>
      </c>
      <c r="AO374">
        <v>0</v>
      </c>
      <c r="AP374">
        <v>0</v>
      </c>
      <c r="AQ374">
        <v>0</v>
      </c>
      <c r="AR374">
        <v>0</v>
      </c>
      <c r="AS374">
        <v>0</v>
      </c>
      <c r="AT374">
        <v>0</v>
      </c>
      <c r="AU374">
        <v>0</v>
      </c>
      <c r="AV374">
        <v>0</v>
      </c>
      <c r="AW374">
        <v>0</v>
      </c>
      <c r="AX374">
        <v>0</v>
      </c>
      <c r="AY374">
        <v>0</v>
      </c>
      <c r="AZ374">
        <v>0</v>
      </c>
      <c r="BA374">
        <v>0</v>
      </c>
      <c r="BB374">
        <v>0</v>
      </c>
      <c r="BC374">
        <v>0</v>
      </c>
      <c r="BD374">
        <v>0</v>
      </c>
      <c r="BE374">
        <v>0</v>
      </c>
      <c r="BF374">
        <v>0</v>
      </c>
      <c r="BG374">
        <v>0</v>
      </c>
      <c r="BH374">
        <v>1</v>
      </c>
      <c r="BI374">
        <v>0.7</v>
      </c>
      <c r="BJ374">
        <v>0.7</v>
      </c>
      <c r="BK374">
        <v>1</v>
      </c>
      <c r="BL374" s="4">
        <v>70.95</v>
      </c>
      <c r="BM374" s="4">
        <v>10.64</v>
      </c>
      <c r="BN374" s="4">
        <v>81.59</v>
      </c>
      <c r="BO374" s="4">
        <v>81.59</v>
      </c>
      <c r="BQ374" t="s">
        <v>147</v>
      </c>
      <c r="BR374" t="s">
        <v>84</v>
      </c>
      <c r="BS374" s="3">
        <v>43804</v>
      </c>
      <c r="BT374" s="5">
        <v>0.62847222222222221</v>
      </c>
      <c r="BU374" t="s">
        <v>731</v>
      </c>
      <c r="BV374" t="s">
        <v>86</v>
      </c>
      <c r="BY374">
        <v>3362.04</v>
      </c>
      <c r="CA374" t="s">
        <v>182</v>
      </c>
      <c r="CC374" t="s">
        <v>178</v>
      </c>
      <c r="CD374">
        <v>1028</v>
      </c>
      <c r="CE374" t="s">
        <v>96</v>
      </c>
      <c r="CF374" s="3">
        <v>43805</v>
      </c>
      <c r="CI374">
        <v>1</v>
      </c>
      <c r="CJ374">
        <v>1</v>
      </c>
      <c r="CK374">
        <v>24</v>
      </c>
      <c r="CL374" t="s">
        <v>89</v>
      </c>
    </row>
    <row r="375" spans="1:90">
      <c r="A375" t="s">
        <v>72</v>
      </c>
      <c r="B375" t="s">
        <v>73</v>
      </c>
      <c r="C375" t="s">
        <v>74</v>
      </c>
      <c r="E375" t="str">
        <f>"FES1162726760"</f>
        <v>FES1162726760</v>
      </c>
      <c r="F375" s="3">
        <v>43803</v>
      </c>
      <c r="G375">
        <v>202006</v>
      </c>
      <c r="H375" t="s">
        <v>75</v>
      </c>
      <c r="I375" t="s">
        <v>76</v>
      </c>
      <c r="J375" t="s">
        <v>77</v>
      </c>
      <c r="K375" t="s">
        <v>78</v>
      </c>
      <c r="L375" t="s">
        <v>198</v>
      </c>
      <c r="M375" t="s">
        <v>199</v>
      </c>
      <c r="N375" t="s">
        <v>292</v>
      </c>
      <c r="O375" t="s">
        <v>82</v>
      </c>
      <c r="P375" t="str">
        <f>"2170720187                    "</f>
        <v xml:space="preserve">2170720187                    </v>
      </c>
      <c r="Q375">
        <v>0</v>
      </c>
      <c r="R375">
        <v>0</v>
      </c>
      <c r="S375">
        <v>0</v>
      </c>
      <c r="T375">
        <v>0</v>
      </c>
      <c r="U375">
        <v>0</v>
      </c>
      <c r="V375">
        <v>0</v>
      </c>
      <c r="W375">
        <v>0</v>
      </c>
      <c r="X375">
        <v>0</v>
      </c>
      <c r="Y375">
        <v>0</v>
      </c>
      <c r="Z375">
        <v>0</v>
      </c>
      <c r="AA375">
        <v>0</v>
      </c>
      <c r="AB375">
        <v>0</v>
      </c>
      <c r="AC375">
        <v>0</v>
      </c>
      <c r="AD375">
        <v>0</v>
      </c>
      <c r="AE375">
        <v>0</v>
      </c>
      <c r="AF375">
        <v>0</v>
      </c>
      <c r="AG375">
        <v>0</v>
      </c>
      <c r="AH375">
        <v>0</v>
      </c>
      <c r="AI375">
        <v>0</v>
      </c>
      <c r="AJ375">
        <v>0</v>
      </c>
      <c r="AK375">
        <v>0</v>
      </c>
      <c r="AL375">
        <v>0</v>
      </c>
      <c r="AM375">
        <v>8.58</v>
      </c>
      <c r="AN375">
        <v>0</v>
      </c>
      <c r="AO375">
        <v>0</v>
      </c>
      <c r="AP375">
        <v>0</v>
      </c>
      <c r="AQ375">
        <v>0</v>
      </c>
      <c r="AR375">
        <v>0</v>
      </c>
      <c r="AS375">
        <v>0</v>
      </c>
      <c r="AT375">
        <v>0</v>
      </c>
      <c r="AU375">
        <v>0</v>
      </c>
      <c r="AV375">
        <v>0</v>
      </c>
      <c r="AW375">
        <v>0</v>
      </c>
      <c r="AX375">
        <v>0</v>
      </c>
      <c r="AY375">
        <v>0</v>
      </c>
      <c r="AZ375">
        <v>0</v>
      </c>
      <c r="BA375">
        <v>0</v>
      </c>
      <c r="BB375">
        <v>0</v>
      </c>
      <c r="BC375">
        <v>0</v>
      </c>
      <c r="BD375">
        <v>0</v>
      </c>
      <c r="BE375">
        <v>0</v>
      </c>
      <c r="BF375">
        <v>0</v>
      </c>
      <c r="BG375">
        <v>0</v>
      </c>
      <c r="BH375">
        <v>1</v>
      </c>
      <c r="BI375">
        <v>2</v>
      </c>
      <c r="BJ375">
        <v>1.2</v>
      </c>
      <c r="BK375">
        <v>2</v>
      </c>
      <c r="BL375" s="4">
        <v>50.45</v>
      </c>
      <c r="BM375" s="4">
        <v>7.57</v>
      </c>
      <c r="BN375" s="4">
        <v>58.02</v>
      </c>
      <c r="BO375" s="4">
        <v>58.02</v>
      </c>
      <c r="BR375" t="s">
        <v>84</v>
      </c>
      <c r="BS375" s="3">
        <v>43804</v>
      </c>
      <c r="BT375" s="5">
        <v>0.39513888888888887</v>
      </c>
      <c r="BU375" t="s">
        <v>801</v>
      </c>
      <c r="BV375" t="s">
        <v>86</v>
      </c>
      <c r="BY375">
        <v>6222</v>
      </c>
      <c r="BZ375" t="s">
        <v>27</v>
      </c>
      <c r="CA375" t="s">
        <v>294</v>
      </c>
      <c r="CC375" t="s">
        <v>199</v>
      </c>
      <c r="CD375">
        <v>4094</v>
      </c>
      <c r="CE375" t="s">
        <v>96</v>
      </c>
      <c r="CF375" s="3">
        <v>43805</v>
      </c>
      <c r="CI375">
        <v>1</v>
      </c>
      <c r="CJ375">
        <v>1</v>
      </c>
      <c r="CK375">
        <v>21</v>
      </c>
      <c r="CL375" t="s">
        <v>89</v>
      </c>
    </row>
    <row r="376" spans="1:90">
      <c r="A376" t="s">
        <v>72</v>
      </c>
      <c r="B376" t="s">
        <v>73</v>
      </c>
      <c r="C376" t="s">
        <v>74</v>
      </c>
      <c r="E376" t="str">
        <f>"FES1162726683"</f>
        <v>FES1162726683</v>
      </c>
      <c r="F376" s="3">
        <v>43803</v>
      </c>
      <c r="G376">
        <v>202006</v>
      </c>
      <c r="H376" t="s">
        <v>75</v>
      </c>
      <c r="I376" t="s">
        <v>76</v>
      </c>
      <c r="J376" t="s">
        <v>77</v>
      </c>
      <c r="K376" t="s">
        <v>78</v>
      </c>
      <c r="L376" t="s">
        <v>213</v>
      </c>
      <c r="M376" t="s">
        <v>214</v>
      </c>
      <c r="N376" t="s">
        <v>303</v>
      </c>
      <c r="O376" t="s">
        <v>82</v>
      </c>
      <c r="P376" t="str">
        <f>"2170718102                    "</f>
        <v xml:space="preserve">2170718102                    </v>
      </c>
      <c r="Q376">
        <v>0</v>
      </c>
      <c r="R376">
        <v>0</v>
      </c>
      <c r="S376">
        <v>0</v>
      </c>
      <c r="T376">
        <v>0</v>
      </c>
      <c r="U376">
        <v>0</v>
      </c>
      <c r="V376">
        <v>0</v>
      </c>
      <c r="W376">
        <v>0</v>
      </c>
      <c r="X376">
        <v>0</v>
      </c>
      <c r="Y376">
        <v>0</v>
      </c>
      <c r="Z376">
        <v>0</v>
      </c>
      <c r="AA376">
        <v>0</v>
      </c>
      <c r="AB376">
        <v>0</v>
      </c>
      <c r="AC376">
        <v>0</v>
      </c>
      <c r="AD376">
        <v>0</v>
      </c>
      <c r="AE376">
        <v>0</v>
      </c>
      <c r="AF376">
        <v>0</v>
      </c>
      <c r="AG376">
        <v>0</v>
      </c>
      <c r="AH376">
        <v>0</v>
      </c>
      <c r="AI376">
        <v>0</v>
      </c>
      <c r="AJ376">
        <v>0</v>
      </c>
      <c r="AK376">
        <v>0</v>
      </c>
      <c r="AL376">
        <v>0</v>
      </c>
      <c r="AM376">
        <v>60.05</v>
      </c>
      <c r="AN376">
        <v>0</v>
      </c>
      <c r="AO376">
        <v>0</v>
      </c>
      <c r="AP376">
        <v>0</v>
      </c>
      <c r="AQ376">
        <v>0</v>
      </c>
      <c r="AR376">
        <v>0</v>
      </c>
      <c r="AS376">
        <v>0</v>
      </c>
      <c r="AT376">
        <v>0</v>
      </c>
      <c r="AU376">
        <v>0</v>
      </c>
      <c r="AV376">
        <v>0</v>
      </c>
      <c r="AW376">
        <v>0</v>
      </c>
      <c r="AX376">
        <v>0</v>
      </c>
      <c r="AY376">
        <v>0</v>
      </c>
      <c r="AZ376">
        <v>0</v>
      </c>
      <c r="BA376">
        <v>0</v>
      </c>
      <c r="BB376">
        <v>0</v>
      </c>
      <c r="BC376">
        <v>0</v>
      </c>
      <c r="BD376">
        <v>0</v>
      </c>
      <c r="BE376">
        <v>0</v>
      </c>
      <c r="BF376">
        <v>0</v>
      </c>
      <c r="BG376">
        <v>0</v>
      </c>
      <c r="BH376">
        <v>1</v>
      </c>
      <c r="BI376">
        <v>14</v>
      </c>
      <c r="BJ376">
        <v>8.1</v>
      </c>
      <c r="BK376">
        <v>14</v>
      </c>
      <c r="BL376" s="4">
        <v>352.96</v>
      </c>
      <c r="BM376" s="4">
        <v>52.94</v>
      </c>
      <c r="BN376" s="4">
        <v>405.9</v>
      </c>
      <c r="BO376" s="4">
        <v>405.9</v>
      </c>
      <c r="BQ376" t="s">
        <v>147</v>
      </c>
      <c r="BR376" t="s">
        <v>84</v>
      </c>
      <c r="BS376" s="3">
        <v>43804</v>
      </c>
      <c r="BT376" s="5">
        <v>0.32708333333333334</v>
      </c>
      <c r="BU376" t="s">
        <v>304</v>
      </c>
      <c r="BV376" t="s">
        <v>86</v>
      </c>
      <c r="BY376">
        <v>40662.160000000003</v>
      </c>
      <c r="BZ376" t="s">
        <v>27</v>
      </c>
      <c r="CA376" t="s">
        <v>99</v>
      </c>
      <c r="CC376" t="s">
        <v>214</v>
      </c>
      <c r="CD376">
        <v>6230</v>
      </c>
      <c r="CE376" t="s">
        <v>96</v>
      </c>
      <c r="CF376" s="3">
        <v>43805</v>
      </c>
      <c r="CI376">
        <v>1</v>
      </c>
      <c r="CJ376">
        <v>1</v>
      </c>
      <c r="CK376">
        <v>21</v>
      </c>
      <c r="CL376" t="s">
        <v>89</v>
      </c>
    </row>
    <row r="377" spans="1:90">
      <c r="A377" t="s">
        <v>72</v>
      </c>
      <c r="B377" t="s">
        <v>73</v>
      </c>
      <c r="C377" t="s">
        <v>74</v>
      </c>
      <c r="E377" t="str">
        <f>"FES1162726838"</f>
        <v>FES1162726838</v>
      </c>
      <c r="F377" s="3">
        <v>43803</v>
      </c>
      <c r="G377">
        <v>202006</v>
      </c>
      <c r="H377" t="s">
        <v>75</v>
      </c>
      <c r="I377" t="s">
        <v>76</v>
      </c>
      <c r="J377" t="s">
        <v>77</v>
      </c>
      <c r="K377" t="s">
        <v>78</v>
      </c>
      <c r="L377" t="s">
        <v>404</v>
      </c>
      <c r="M377" t="s">
        <v>405</v>
      </c>
      <c r="N377" t="s">
        <v>406</v>
      </c>
      <c r="O377" t="s">
        <v>82</v>
      </c>
      <c r="P377" t="str">
        <f>"2170720284                    "</f>
        <v xml:space="preserve">2170720284                    </v>
      </c>
      <c r="Q377">
        <v>0</v>
      </c>
      <c r="R377">
        <v>0</v>
      </c>
      <c r="S377">
        <v>0</v>
      </c>
      <c r="T377">
        <v>0</v>
      </c>
      <c r="U377">
        <v>0</v>
      </c>
      <c r="V377">
        <v>0</v>
      </c>
      <c r="W377">
        <v>0</v>
      </c>
      <c r="X377">
        <v>0</v>
      </c>
      <c r="Y377">
        <v>0</v>
      </c>
      <c r="Z377">
        <v>0</v>
      </c>
      <c r="AA377">
        <v>0</v>
      </c>
      <c r="AB377">
        <v>0</v>
      </c>
      <c r="AC377">
        <v>0</v>
      </c>
      <c r="AD377">
        <v>0</v>
      </c>
      <c r="AE377">
        <v>0</v>
      </c>
      <c r="AF377">
        <v>0</v>
      </c>
      <c r="AG377">
        <v>0</v>
      </c>
      <c r="AH377">
        <v>0</v>
      </c>
      <c r="AI377">
        <v>0</v>
      </c>
      <c r="AJ377">
        <v>0</v>
      </c>
      <c r="AK377">
        <v>0</v>
      </c>
      <c r="AL377">
        <v>0</v>
      </c>
      <c r="AM377">
        <v>8.58</v>
      </c>
      <c r="AN377">
        <v>0</v>
      </c>
      <c r="AO377">
        <v>0</v>
      </c>
      <c r="AP377">
        <v>0</v>
      </c>
      <c r="AQ377">
        <v>0</v>
      </c>
      <c r="AR377">
        <v>0</v>
      </c>
      <c r="AS377">
        <v>0</v>
      </c>
      <c r="AT377">
        <v>0</v>
      </c>
      <c r="AU377">
        <v>0</v>
      </c>
      <c r="AV377">
        <v>0</v>
      </c>
      <c r="AW377">
        <v>0</v>
      </c>
      <c r="AX377">
        <v>0</v>
      </c>
      <c r="AY377">
        <v>0</v>
      </c>
      <c r="AZ377">
        <v>0</v>
      </c>
      <c r="BA377">
        <v>0</v>
      </c>
      <c r="BB377">
        <v>0</v>
      </c>
      <c r="BC377">
        <v>0</v>
      </c>
      <c r="BD377">
        <v>0</v>
      </c>
      <c r="BE377">
        <v>0</v>
      </c>
      <c r="BF377">
        <v>0</v>
      </c>
      <c r="BG377">
        <v>0</v>
      </c>
      <c r="BH377">
        <v>1</v>
      </c>
      <c r="BI377">
        <v>1</v>
      </c>
      <c r="BJ377">
        <v>0.2</v>
      </c>
      <c r="BK377">
        <v>1</v>
      </c>
      <c r="BL377" s="4">
        <v>50.45</v>
      </c>
      <c r="BM377" s="4">
        <v>7.57</v>
      </c>
      <c r="BN377" s="4">
        <v>58.02</v>
      </c>
      <c r="BO377" s="4">
        <v>58.02</v>
      </c>
      <c r="BQ377" t="s">
        <v>93</v>
      </c>
      <c r="BR377" t="s">
        <v>84</v>
      </c>
      <c r="BS377" s="3">
        <v>43804</v>
      </c>
      <c r="BT377" s="5">
        <v>0.3833333333333333</v>
      </c>
      <c r="BU377" t="s">
        <v>748</v>
      </c>
      <c r="BV377" t="s">
        <v>86</v>
      </c>
      <c r="BY377">
        <v>1200</v>
      </c>
      <c r="CA377" t="s">
        <v>408</v>
      </c>
      <c r="CC377" t="s">
        <v>405</v>
      </c>
      <c r="CD377">
        <v>4026</v>
      </c>
      <c r="CE377" t="s">
        <v>88</v>
      </c>
      <c r="CF377" s="3">
        <v>43805</v>
      </c>
      <c r="CI377">
        <v>1</v>
      </c>
      <c r="CJ377">
        <v>1</v>
      </c>
      <c r="CK377">
        <v>21</v>
      </c>
      <c r="CL377" t="s">
        <v>89</v>
      </c>
    </row>
    <row r="378" spans="1:90">
      <c r="A378" t="s">
        <v>72</v>
      </c>
      <c r="B378" t="s">
        <v>73</v>
      </c>
      <c r="C378" t="s">
        <v>74</v>
      </c>
      <c r="E378" t="str">
        <f>"FES1162726561"</f>
        <v>FES1162726561</v>
      </c>
      <c r="F378" s="3">
        <v>43803</v>
      </c>
      <c r="G378">
        <v>202006</v>
      </c>
      <c r="H378" t="s">
        <v>75</v>
      </c>
      <c r="I378" t="s">
        <v>76</v>
      </c>
      <c r="J378" t="s">
        <v>77</v>
      </c>
      <c r="K378" t="s">
        <v>78</v>
      </c>
      <c r="L378" t="s">
        <v>169</v>
      </c>
      <c r="M378" t="s">
        <v>170</v>
      </c>
      <c r="N378" t="s">
        <v>570</v>
      </c>
      <c r="O378" t="s">
        <v>82</v>
      </c>
      <c r="P378" t="str">
        <f>"2170720029                    "</f>
        <v xml:space="preserve">2170720029                    </v>
      </c>
      <c r="Q378">
        <v>0</v>
      </c>
      <c r="R378">
        <v>0</v>
      </c>
      <c r="S378">
        <v>0</v>
      </c>
      <c r="T378">
        <v>0</v>
      </c>
      <c r="U378">
        <v>0</v>
      </c>
      <c r="V378">
        <v>0</v>
      </c>
      <c r="W378">
        <v>0</v>
      </c>
      <c r="X378">
        <v>0</v>
      </c>
      <c r="Y378">
        <v>0</v>
      </c>
      <c r="Z378">
        <v>0</v>
      </c>
      <c r="AA378">
        <v>0</v>
      </c>
      <c r="AB378">
        <v>0</v>
      </c>
      <c r="AC378">
        <v>0</v>
      </c>
      <c r="AD378">
        <v>0</v>
      </c>
      <c r="AE378">
        <v>0</v>
      </c>
      <c r="AF378">
        <v>0</v>
      </c>
      <c r="AG378">
        <v>0</v>
      </c>
      <c r="AH378">
        <v>0</v>
      </c>
      <c r="AI378">
        <v>0</v>
      </c>
      <c r="AJ378">
        <v>0</v>
      </c>
      <c r="AK378">
        <v>0</v>
      </c>
      <c r="AL378">
        <v>0</v>
      </c>
      <c r="AM378">
        <v>22.78</v>
      </c>
      <c r="AN378">
        <v>0</v>
      </c>
      <c r="AO378">
        <v>0</v>
      </c>
      <c r="AP378">
        <v>0</v>
      </c>
      <c r="AQ378">
        <v>0</v>
      </c>
      <c r="AR378">
        <v>0</v>
      </c>
      <c r="AS378">
        <v>0</v>
      </c>
      <c r="AT378">
        <v>0</v>
      </c>
      <c r="AU378">
        <v>0</v>
      </c>
      <c r="AV378">
        <v>0</v>
      </c>
      <c r="AW378">
        <v>0</v>
      </c>
      <c r="AX378">
        <v>0</v>
      </c>
      <c r="AY378">
        <v>0</v>
      </c>
      <c r="AZ378">
        <v>0</v>
      </c>
      <c r="BA378">
        <v>0</v>
      </c>
      <c r="BB378">
        <v>0</v>
      </c>
      <c r="BC378">
        <v>0</v>
      </c>
      <c r="BD378">
        <v>0</v>
      </c>
      <c r="BE378">
        <v>0</v>
      </c>
      <c r="BF378">
        <v>0</v>
      </c>
      <c r="BG378">
        <v>0</v>
      </c>
      <c r="BH378">
        <v>1</v>
      </c>
      <c r="BI378">
        <v>12</v>
      </c>
      <c r="BJ378">
        <v>8.6</v>
      </c>
      <c r="BK378">
        <v>12</v>
      </c>
      <c r="BL378" s="4">
        <v>133.88999999999999</v>
      </c>
      <c r="BM378" s="4">
        <v>20.079999999999998</v>
      </c>
      <c r="BN378" s="4">
        <v>153.97</v>
      </c>
      <c r="BO378" s="4">
        <v>153.97</v>
      </c>
      <c r="BR378" t="s">
        <v>84</v>
      </c>
      <c r="BS378" s="3">
        <v>43804</v>
      </c>
      <c r="BT378" s="5">
        <v>0.31944444444444448</v>
      </c>
      <c r="BU378" t="s">
        <v>825</v>
      </c>
      <c r="BV378" t="s">
        <v>86</v>
      </c>
      <c r="BY378">
        <v>43187.87</v>
      </c>
      <c r="CA378" t="s">
        <v>826</v>
      </c>
      <c r="CC378" t="s">
        <v>170</v>
      </c>
      <c r="CD378">
        <v>1460</v>
      </c>
      <c r="CE378" t="s">
        <v>96</v>
      </c>
      <c r="CF378" s="3">
        <v>43805</v>
      </c>
      <c r="CI378">
        <v>1</v>
      </c>
      <c r="CJ378">
        <v>1</v>
      </c>
      <c r="CK378">
        <v>22</v>
      </c>
      <c r="CL378" t="s">
        <v>89</v>
      </c>
    </row>
    <row r="379" spans="1:90">
      <c r="A379" t="s">
        <v>72</v>
      </c>
      <c r="B379" t="s">
        <v>73</v>
      </c>
      <c r="C379" t="s">
        <v>74</v>
      </c>
      <c r="E379" t="str">
        <f>"FES1162726510"</f>
        <v>FES1162726510</v>
      </c>
      <c r="F379" s="3">
        <v>43803</v>
      </c>
      <c r="G379">
        <v>202006</v>
      </c>
      <c r="H379" t="s">
        <v>75</v>
      </c>
      <c r="I379" t="s">
        <v>76</v>
      </c>
      <c r="J379" t="s">
        <v>77</v>
      </c>
      <c r="K379" t="s">
        <v>78</v>
      </c>
      <c r="L379" t="s">
        <v>90</v>
      </c>
      <c r="M379" t="s">
        <v>91</v>
      </c>
      <c r="N379" t="s">
        <v>548</v>
      </c>
      <c r="O379" t="s">
        <v>82</v>
      </c>
      <c r="P379" t="str">
        <f>"2170719961                    "</f>
        <v xml:space="preserve">2170719961                    </v>
      </c>
      <c r="Q379">
        <v>0</v>
      </c>
      <c r="R379">
        <v>0</v>
      </c>
      <c r="S379">
        <v>0</v>
      </c>
      <c r="T379">
        <v>0</v>
      </c>
      <c r="U379">
        <v>0</v>
      </c>
      <c r="V379">
        <v>0</v>
      </c>
      <c r="W379">
        <v>0</v>
      </c>
      <c r="X379">
        <v>0</v>
      </c>
      <c r="Y379">
        <v>0</v>
      </c>
      <c r="Z379">
        <v>0</v>
      </c>
      <c r="AA379">
        <v>0</v>
      </c>
      <c r="AB379">
        <v>0</v>
      </c>
      <c r="AC379">
        <v>0</v>
      </c>
      <c r="AD379">
        <v>0</v>
      </c>
      <c r="AE379">
        <v>0</v>
      </c>
      <c r="AF379">
        <v>0</v>
      </c>
      <c r="AG379">
        <v>0</v>
      </c>
      <c r="AH379">
        <v>0</v>
      </c>
      <c r="AI379">
        <v>0</v>
      </c>
      <c r="AJ379">
        <v>0</v>
      </c>
      <c r="AK379">
        <v>0</v>
      </c>
      <c r="AL379">
        <v>0</v>
      </c>
      <c r="AM379">
        <v>10.73</v>
      </c>
      <c r="AN379">
        <v>0</v>
      </c>
      <c r="AO379">
        <v>0</v>
      </c>
      <c r="AP379">
        <v>0</v>
      </c>
      <c r="AQ379">
        <v>0</v>
      </c>
      <c r="AR379">
        <v>0</v>
      </c>
      <c r="AS379">
        <v>0</v>
      </c>
      <c r="AT379">
        <v>0</v>
      </c>
      <c r="AU379">
        <v>0</v>
      </c>
      <c r="AV379">
        <v>0</v>
      </c>
      <c r="AW379">
        <v>0</v>
      </c>
      <c r="AX379">
        <v>0</v>
      </c>
      <c r="AY379">
        <v>0</v>
      </c>
      <c r="AZ379">
        <v>0</v>
      </c>
      <c r="BA379">
        <v>0</v>
      </c>
      <c r="BB379">
        <v>0</v>
      </c>
      <c r="BC379">
        <v>0</v>
      </c>
      <c r="BD379">
        <v>0</v>
      </c>
      <c r="BE379">
        <v>0</v>
      </c>
      <c r="BF379">
        <v>0</v>
      </c>
      <c r="BG379">
        <v>0</v>
      </c>
      <c r="BH379">
        <v>1</v>
      </c>
      <c r="BI379">
        <v>2.2999999999999998</v>
      </c>
      <c r="BJ379">
        <v>1.3</v>
      </c>
      <c r="BK379">
        <v>2.5</v>
      </c>
      <c r="BL379" s="4">
        <v>63.06</v>
      </c>
      <c r="BM379" s="4">
        <v>9.4600000000000009</v>
      </c>
      <c r="BN379" s="4">
        <v>72.52</v>
      </c>
      <c r="BO379" s="4">
        <v>72.52</v>
      </c>
      <c r="BQ379" t="s">
        <v>147</v>
      </c>
      <c r="BR379" t="s">
        <v>84</v>
      </c>
      <c r="BS379" s="3">
        <v>43804</v>
      </c>
      <c r="BT379" s="5">
        <v>0.32013888888888892</v>
      </c>
      <c r="BU379" t="s">
        <v>817</v>
      </c>
      <c r="BV379" t="s">
        <v>86</v>
      </c>
      <c r="BY379">
        <v>6658.36</v>
      </c>
      <c r="CA379" t="s">
        <v>818</v>
      </c>
      <c r="CC379" t="s">
        <v>91</v>
      </c>
      <c r="CD379">
        <v>7530</v>
      </c>
      <c r="CE379" t="s">
        <v>96</v>
      </c>
      <c r="CF379" s="3">
        <v>43805</v>
      </c>
      <c r="CI379">
        <v>1</v>
      </c>
      <c r="CJ379">
        <v>1</v>
      </c>
      <c r="CK379">
        <v>21</v>
      </c>
      <c r="CL379" t="s">
        <v>89</v>
      </c>
    </row>
    <row r="380" spans="1:90">
      <c r="A380" t="s">
        <v>72</v>
      </c>
      <c r="B380" t="s">
        <v>73</v>
      </c>
      <c r="C380" t="s">
        <v>74</v>
      </c>
      <c r="E380" t="str">
        <f>"FES1162726878"</f>
        <v>FES1162726878</v>
      </c>
      <c r="F380" s="3">
        <v>43803</v>
      </c>
      <c r="G380">
        <v>202006</v>
      </c>
      <c r="H380" t="s">
        <v>75</v>
      </c>
      <c r="I380" t="s">
        <v>76</v>
      </c>
      <c r="J380" t="s">
        <v>77</v>
      </c>
      <c r="K380" t="s">
        <v>78</v>
      </c>
      <c r="L380" t="s">
        <v>198</v>
      </c>
      <c r="M380" t="s">
        <v>199</v>
      </c>
      <c r="N380" t="s">
        <v>280</v>
      </c>
      <c r="O380" t="s">
        <v>82</v>
      </c>
      <c r="P380" t="str">
        <f>"2170720321                    "</f>
        <v xml:space="preserve">2170720321                    </v>
      </c>
      <c r="Q380">
        <v>0</v>
      </c>
      <c r="R380">
        <v>0</v>
      </c>
      <c r="S380">
        <v>0</v>
      </c>
      <c r="T380">
        <v>0</v>
      </c>
      <c r="U380">
        <v>0</v>
      </c>
      <c r="V380">
        <v>0</v>
      </c>
      <c r="W380">
        <v>0</v>
      </c>
      <c r="X380">
        <v>0</v>
      </c>
      <c r="Y380">
        <v>0</v>
      </c>
      <c r="Z380">
        <v>0</v>
      </c>
      <c r="AA380">
        <v>0</v>
      </c>
      <c r="AB380">
        <v>0</v>
      </c>
      <c r="AC380">
        <v>0</v>
      </c>
      <c r="AD380">
        <v>0</v>
      </c>
      <c r="AE380">
        <v>0</v>
      </c>
      <c r="AF380">
        <v>0</v>
      </c>
      <c r="AG380">
        <v>0</v>
      </c>
      <c r="AH380">
        <v>0</v>
      </c>
      <c r="AI380">
        <v>0</v>
      </c>
      <c r="AJ380">
        <v>0</v>
      </c>
      <c r="AK380">
        <v>0</v>
      </c>
      <c r="AL380">
        <v>0</v>
      </c>
      <c r="AM380">
        <v>8.58</v>
      </c>
      <c r="AN380">
        <v>0</v>
      </c>
      <c r="AO380">
        <v>0</v>
      </c>
      <c r="AP380">
        <v>0</v>
      </c>
      <c r="AQ380">
        <v>0</v>
      </c>
      <c r="AR380">
        <v>0</v>
      </c>
      <c r="AS380">
        <v>0</v>
      </c>
      <c r="AT380">
        <v>0</v>
      </c>
      <c r="AU380">
        <v>0</v>
      </c>
      <c r="AV380">
        <v>0</v>
      </c>
      <c r="AW380">
        <v>0</v>
      </c>
      <c r="AX380">
        <v>0</v>
      </c>
      <c r="AY380">
        <v>0</v>
      </c>
      <c r="AZ380">
        <v>0</v>
      </c>
      <c r="BA380">
        <v>0</v>
      </c>
      <c r="BB380">
        <v>0</v>
      </c>
      <c r="BC380">
        <v>0</v>
      </c>
      <c r="BD380">
        <v>0</v>
      </c>
      <c r="BE380">
        <v>0</v>
      </c>
      <c r="BF380">
        <v>0</v>
      </c>
      <c r="BG380">
        <v>0</v>
      </c>
      <c r="BH380">
        <v>1</v>
      </c>
      <c r="BI380">
        <v>1</v>
      </c>
      <c r="BJ380">
        <v>0.2</v>
      </c>
      <c r="BK380">
        <v>1</v>
      </c>
      <c r="BL380" s="4">
        <v>50.45</v>
      </c>
      <c r="BM380" s="4">
        <v>7.57</v>
      </c>
      <c r="BN380" s="4">
        <v>58.02</v>
      </c>
      <c r="BO380" s="4">
        <v>58.02</v>
      </c>
      <c r="BQ380" t="s">
        <v>147</v>
      </c>
      <c r="BR380" t="s">
        <v>84</v>
      </c>
      <c r="BS380" s="3">
        <v>43804</v>
      </c>
      <c r="BT380" s="5">
        <v>0.35902777777777778</v>
      </c>
      <c r="BU380" t="s">
        <v>827</v>
      </c>
      <c r="BV380" t="s">
        <v>86</v>
      </c>
      <c r="BY380">
        <v>1200</v>
      </c>
      <c r="BZ380" t="s">
        <v>27</v>
      </c>
      <c r="CA380" t="s">
        <v>281</v>
      </c>
      <c r="CC380" t="s">
        <v>199</v>
      </c>
      <c r="CD380">
        <v>4001</v>
      </c>
      <c r="CE380" t="s">
        <v>88</v>
      </c>
      <c r="CF380" s="3">
        <v>43808</v>
      </c>
      <c r="CI380">
        <v>1</v>
      </c>
      <c r="CJ380">
        <v>1</v>
      </c>
      <c r="CK380">
        <v>21</v>
      </c>
      <c r="CL380" t="s">
        <v>89</v>
      </c>
    </row>
    <row r="381" spans="1:90">
      <c r="A381" t="s">
        <v>72</v>
      </c>
      <c r="B381" t="s">
        <v>73</v>
      </c>
      <c r="C381" t="s">
        <v>74</v>
      </c>
      <c r="E381" t="str">
        <f>"FES1162726800"</f>
        <v>FES1162726800</v>
      </c>
      <c r="F381" s="3">
        <v>43803</v>
      </c>
      <c r="G381">
        <v>202006</v>
      </c>
      <c r="H381" t="s">
        <v>75</v>
      </c>
      <c r="I381" t="s">
        <v>76</v>
      </c>
      <c r="J381" t="s">
        <v>77</v>
      </c>
      <c r="K381" t="s">
        <v>78</v>
      </c>
      <c r="L381" t="s">
        <v>90</v>
      </c>
      <c r="M381" t="s">
        <v>91</v>
      </c>
      <c r="N381" t="s">
        <v>110</v>
      </c>
      <c r="O381" t="s">
        <v>82</v>
      </c>
      <c r="P381" t="str">
        <f>"217071246                     "</f>
        <v xml:space="preserve">217071246                     </v>
      </c>
      <c r="Q381">
        <v>0</v>
      </c>
      <c r="R381">
        <v>0</v>
      </c>
      <c r="S381">
        <v>0</v>
      </c>
      <c r="T381">
        <v>0</v>
      </c>
      <c r="U381">
        <v>0</v>
      </c>
      <c r="V381">
        <v>0</v>
      </c>
      <c r="W381">
        <v>0</v>
      </c>
      <c r="X381">
        <v>0</v>
      </c>
      <c r="Y381">
        <v>0</v>
      </c>
      <c r="Z381">
        <v>0</v>
      </c>
      <c r="AA381">
        <v>0</v>
      </c>
      <c r="AB381">
        <v>0</v>
      </c>
      <c r="AC381">
        <v>0</v>
      </c>
      <c r="AD381">
        <v>0</v>
      </c>
      <c r="AE381">
        <v>0</v>
      </c>
      <c r="AF381">
        <v>0</v>
      </c>
      <c r="AG381">
        <v>0</v>
      </c>
      <c r="AH381">
        <v>0</v>
      </c>
      <c r="AI381">
        <v>0</v>
      </c>
      <c r="AJ381">
        <v>0</v>
      </c>
      <c r="AK381">
        <v>0</v>
      </c>
      <c r="AL381">
        <v>0</v>
      </c>
      <c r="AM381">
        <v>8.58</v>
      </c>
      <c r="AN381">
        <v>0</v>
      </c>
      <c r="AO381">
        <v>0</v>
      </c>
      <c r="AP381">
        <v>0</v>
      </c>
      <c r="AQ381">
        <v>0</v>
      </c>
      <c r="AR381">
        <v>0</v>
      </c>
      <c r="AS381">
        <v>0</v>
      </c>
      <c r="AT381">
        <v>0</v>
      </c>
      <c r="AU381">
        <v>0</v>
      </c>
      <c r="AV381">
        <v>0</v>
      </c>
      <c r="AW381">
        <v>0</v>
      </c>
      <c r="AX381">
        <v>0</v>
      </c>
      <c r="AY381">
        <v>0</v>
      </c>
      <c r="AZ381">
        <v>0</v>
      </c>
      <c r="BA381">
        <v>0</v>
      </c>
      <c r="BB381">
        <v>0</v>
      </c>
      <c r="BC381">
        <v>0</v>
      </c>
      <c r="BD381">
        <v>0</v>
      </c>
      <c r="BE381">
        <v>0</v>
      </c>
      <c r="BF381">
        <v>0</v>
      </c>
      <c r="BG381">
        <v>0</v>
      </c>
      <c r="BH381">
        <v>1</v>
      </c>
      <c r="BI381">
        <v>1.3</v>
      </c>
      <c r="BJ381">
        <v>1.3</v>
      </c>
      <c r="BK381">
        <v>1.5</v>
      </c>
      <c r="BL381" s="4">
        <v>50.45</v>
      </c>
      <c r="BM381" s="4">
        <v>7.57</v>
      </c>
      <c r="BN381" s="4">
        <v>58.02</v>
      </c>
      <c r="BO381" s="4">
        <v>58.02</v>
      </c>
      <c r="BQ381" t="s">
        <v>147</v>
      </c>
      <c r="BR381" t="s">
        <v>84</v>
      </c>
      <c r="BS381" s="3">
        <v>43804</v>
      </c>
      <c r="BT381" s="5">
        <v>0.34166666666666662</v>
      </c>
      <c r="BU381" t="s">
        <v>764</v>
      </c>
      <c r="BV381" t="s">
        <v>86</v>
      </c>
      <c r="BY381">
        <v>6285.71</v>
      </c>
      <c r="CA381" t="s">
        <v>112</v>
      </c>
      <c r="CC381" t="s">
        <v>91</v>
      </c>
      <c r="CD381">
        <v>7405</v>
      </c>
      <c r="CE381" t="s">
        <v>116</v>
      </c>
      <c r="CF381" s="3">
        <v>43805</v>
      </c>
      <c r="CI381">
        <v>1</v>
      </c>
      <c r="CJ381">
        <v>1</v>
      </c>
      <c r="CK381">
        <v>21</v>
      </c>
      <c r="CL381" t="s">
        <v>89</v>
      </c>
    </row>
    <row r="382" spans="1:90">
      <c r="A382" t="s">
        <v>72</v>
      </c>
      <c r="B382" t="s">
        <v>73</v>
      </c>
      <c r="C382" t="s">
        <v>74</v>
      </c>
      <c r="E382" t="str">
        <f>"FES1162726646"</f>
        <v>FES1162726646</v>
      </c>
      <c r="F382" s="3">
        <v>43803</v>
      </c>
      <c r="G382">
        <v>202006</v>
      </c>
      <c r="H382" t="s">
        <v>75</v>
      </c>
      <c r="I382" t="s">
        <v>76</v>
      </c>
      <c r="J382" t="s">
        <v>77</v>
      </c>
      <c r="K382" t="s">
        <v>78</v>
      </c>
      <c r="L382" t="s">
        <v>90</v>
      </c>
      <c r="M382" t="s">
        <v>91</v>
      </c>
      <c r="N382" t="s">
        <v>537</v>
      </c>
      <c r="O382" t="s">
        <v>82</v>
      </c>
      <c r="P382" t="str">
        <f>"21707122                      "</f>
        <v xml:space="preserve">21707122                      </v>
      </c>
      <c r="Q382">
        <v>0</v>
      </c>
      <c r="R382">
        <v>0</v>
      </c>
      <c r="S382">
        <v>0</v>
      </c>
      <c r="T382">
        <v>0</v>
      </c>
      <c r="U382">
        <v>0</v>
      </c>
      <c r="V382">
        <v>0</v>
      </c>
      <c r="W382">
        <v>0</v>
      </c>
      <c r="X382">
        <v>0</v>
      </c>
      <c r="Y382">
        <v>0</v>
      </c>
      <c r="Z382">
        <v>0</v>
      </c>
      <c r="AA382">
        <v>0</v>
      </c>
      <c r="AB382">
        <v>0</v>
      </c>
      <c r="AC382">
        <v>0</v>
      </c>
      <c r="AD382">
        <v>0</v>
      </c>
      <c r="AE382">
        <v>0</v>
      </c>
      <c r="AF382">
        <v>0</v>
      </c>
      <c r="AG382">
        <v>0</v>
      </c>
      <c r="AH382">
        <v>0</v>
      </c>
      <c r="AI382">
        <v>0</v>
      </c>
      <c r="AJ382">
        <v>0</v>
      </c>
      <c r="AK382">
        <v>0</v>
      </c>
      <c r="AL382">
        <v>0</v>
      </c>
      <c r="AM382">
        <v>8.58</v>
      </c>
      <c r="AN382">
        <v>0</v>
      </c>
      <c r="AO382">
        <v>0</v>
      </c>
      <c r="AP382">
        <v>0</v>
      </c>
      <c r="AQ382">
        <v>0</v>
      </c>
      <c r="AR382">
        <v>0</v>
      </c>
      <c r="AS382">
        <v>0</v>
      </c>
      <c r="AT382">
        <v>0</v>
      </c>
      <c r="AU382">
        <v>0</v>
      </c>
      <c r="AV382">
        <v>0</v>
      </c>
      <c r="AW382">
        <v>0</v>
      </c>
      <c r="AX382">
        <v>0</v>
      </c>
      <c r="AY382">
        <v>0</v>
      </c>
      <c r="AZ382">
        <v>0</v>
      </c>
      <c r="BA382">
        <v>0</v>
      </c>
      <c r="BB382">
        <v>0</v>
      </c>
      <c r="BC382">
        <v>0</v>
      </c>
      <c r="BD382">
        <v>0</v>
      </c>
      <c r="BE382">
        <v>0</v>
      </c>
      <c r="BF382">
        <v>0</v>
      </c>
      <c r="BG382">
        <v>0</v>
      </c>
      <c r="BH382">
        <v>1</v>
      </c>
      <c r="BI382">
        <v>1.9</v>
      </c>
      <c r="BJ382">
        <v>0.9</v>
      </c>
      <c r="BK382">
        <v>2</v>
      </c>
      <c r="BL382" s="4">
        <v>50.45</v>
      </c>
      <c r="BM382" s="4">
        <v>7.57</v>
      </c>
      <c r="BN382" s="4">
        <v>58.02</v>
      </c>
      <c r="BO382" s="4">
        <v>58.02</v>
      </c>
      <c r="BQ382" t="s">
        <v>93</v>
      </c>
      <c r="BR382" t="s">
        <v>84</v>
      </c>
      <c r="BS382" s="3">
        <v>43804</v>
      </c>
      <c r="BT382" s="5">
        <v>0.3263888888888889</v>
      </c>
      <c r="BU382" t="s">
        <v>828</v>
      </c>
      <c r="BV382" t="s">
        <v>86</v>
      </c>
      <c r="BY382">
        <v>4634.04</v>
      </c>
      <c r="CA382" t="s">
        <v>539</v>
      </c>
      <c r="CC382" t="s">
        <v>91</v>
      </c>
      <c r="CD382">
        <v>7530</v>
      </c>
      <c r="CE382" t="s">
        <v>116</v>
      </c>
      <c r="CF382" s="3">
        <v>43805</v>
      </c>
      <c r="CI382">
        <v>1</v>
      </c>
      <c r="CJ382">
        <v>1</v>
      </c>
      <c r="CK382">
        <v>21</v>
      </c>
      <c r="CL382" t="s">
        <v>89</v>
      </c>
    </row>
    <row r="383" spans="1:90">
      <c r="A383" t="s">
        <v>72</v>
      </c>
      <c r="B383" t="s">
        <v>73</v>
      </c>
      <c r="C383" t="s">
        <v>74</v>
      </c>
      <c r="E383" t="str">
        <f>"FES1162726891"</f>
        <v>FES1162726891</v>
      </c>
      <c r="F383" s="3">
        <v>43803</v>
      </c>
      <c r="G383">
        <v>202006</v>
      </c>
      <c r="H383" t="s">
        <v>75</v>
      </c>
      <c r="I383" t="s">
        <v>76</v>
      </c>
      <c r="J383" t="s">
        <v>77</v>
      </c>
      <c r="K383" t="s">
        <v>78</v>
      </c>
      <c r="L383" t="s">
        <v>404</v>
      </c>
      <c r="M383" t="s">
        <v>405</v>
      </c>
      <c r="N383" t="s">
        <v>406</v>
      </c>
      <c r="O383" t="s">
        <v>82</v>
      </c>
      <c r="P383" t="str">
        <f>"217071333                     "</f>
        <v xml:space="preserve">217071333                     </v>
      </c>
      <c r="Q383">
        <v>0</v>
      </c>
      <c r="R383">
        <v>0</v>
      </c>
      <c r="S383">
        <v>0</v>
      </c>
      <c r="T383">
        <v>0</v>
      </c>
      <c r="U383">
        <v>0</v>
      </c>
      <c r="V383">
        <v>0</v>
      </c>
      <c r="W383">
        <v>0</v>
      </c>
      <c r="X383">
        <v>0</v>
      </c>
      <c r="Y383">
        <v>0</v>
      </c>
      <c r="Z383">
        <v>0</v>
      </c>
      <c r="AA383">
        <v>0</v>
      </c>
      <c r="AB383">
        <v>0</v>
      </c>
      <c r="AC383">
        <v>0</v>
      </c>
      <c r="AD383">
        <v>0</v>
      </c>
      <c r="AE383">
        <v>0</v>
      </c>
      <c r="AF383">
        <v>0</v>
      </c>
      <c r="AG383">
        <v>0</v>
      </c>
      <c r="AH383">
        <v>0</v>
      </c>
      <c r="AI383">
        <v>0</v>
      </c>
      <c r="AJ383">
        <v>0</v>
      </c>
      <c r="AK383">
        <v>0</v>
      </c>
      <c r="AL383">
        <v>0</v>
      </c>
      <c r="AM383">
        <v>8.58</v>
      </c>
      <c r="AN383">
        <v>0</v>
      </c>
      <c r="AO383">
        <v>0</v>
      </c>
      <c r="AP383">
        <v>0</v>
      </c>
      <c r="AQ383">
        <v>0</v>
      </c>
      <c r="AR383">
        <v>0</v>
      </c>
      <c r="AS383">
        <v>0</v>
      </c>
      <c r="AT383">
        <v>0</v>
      </c>
      <c r="AU383">
        <v>0</v>
      </c>
      <c r="AV383">
        <v>0</v>
      </c>
      <c r="AW383">
        <v>0</v>
      </c>
      <c r="AX383">
        <v>0</v>
      </c>
      <c r="AY383">
        <v>0</v>
      </c>
      <c r="AZ383">
        <v>0</v>
      </c>
      <c r="BA383">
        <v>0</v>
      </c>
      <c r="BB383">
        <v>0</v>
      </c>
      <c r="BC383">
        <v>0</v>
      </c>
      <c r="BD383">
        <v>0</v>
      </c>
      <c r="BE383">
        <v>0</v>
      </c>
      <c r="BF383">
        <v>0</v>
      </c>
      <c r="BG383">
        <v>0</v>
      </c>
      <c r="BH383">
        <v>1</v>
      </c>
      <c r="BI383">
        <v>1.5</v>
      </c>
      <c r="BJ383">
        <v>0.8</v>
      </c>
      <c r="BK383">
        <v>1.5</v>
      </c>
      <c r="BL383" s="4">
        <v>50.45</v>
      </c>
      <c r="BM383" s="4">
        <v>7.57</v>
      </c>
      <c r="BN383" s="4">
        <v>58.02</v>
      </c>
      <c r="BO383" s="4">
        <v>58.02</v>
      </c>
      <c r="BQ383" t="s">
        <v>93</v>
      </c>
      <c r="BR383" t="s">
        <v>84</v>
      </c>
      <c r="BS383" s="3">
        <v>43804</v>
      </c>
      <c r="BT383" s="5">
        <v>0.3833333333333333</v>
      </c>
      <c r="BU383" t="s">
        <v>748</v>
      </c>
      <c r="BV383" t="s">
        <v>86</v>
      </c>
      <c r="BY383">
        <v>3886.34</v>
      </c>
      <c r="CA383" t="s">
        <v>408</v>
      </c>
      <c r="CC383" t="s">
        <v>405</v>
      </c>
      <c r="CD383">
        <v>4026</v>
      </c>
      <c r="CE383" t="s">
        <v>116</v>
      </c>
      <c r="CF383" s="3">
        <v>43805</v>
      </c>
      <c r="CI383">
        <v>1</v>
      </c>
      <c r="CJ383">
        <v>1</v>
      </c>
      <c r="CK383">
        <v>21</v>
      </c>
      <c r="CL383" t="s">
        <v>89</v>
      </c>
    </row>
    <row r="384" spans="1:90">
      <c r="A384" t="s">
        <v>72</v>
      </c>
      <c r="B384" t="s">
        <v>73</v>
      </c>
      <c r="C384" t="s">
        <v>74</v>
      </c>
      <c r="E384" t="str">
        <f>"FES1162726830"</f>
        <v>FES1162726830</v>
      </c>
      <c r="F384" s="3">
        <v>43803</v>
      </c>
      <c r="G384">
        <v>202006</v>
      </c>
      <c r="H384" t="s">
        <v>75</v>
      </c>
      <c r="I384" t="s">
        <v>76</v>
      </c>
      <c r="J384" t="s">
        <v>77</v>
      </c>
      <c r="K384" t="s">
        <v>78</v>
      </c>
      <c r="L384" t="s">
        <v>446</v>
      </c>
      <c r="M384" t="s">
        <v>447</v>
      </c>
      <c r="N384" t="s">
        <v>829</v>
      </c>
      <c r="O384" t="s">
        <v>82</v>
      </c>
      <c r="P384" t="str">
        <f>"2170715883                    "</f>
        <v xml:space="preserve">2170715883                    </v>
      </c>
      <c r="Q384">
        <v>0</v>
      </c>
      <c r="R384">
        <v>0</v>
      </c>
      <c r="S384">
        <v>0</v>
      </c>
      <c r="T384">
        <v>0</v>
      </c>
      <c r="U384">
        <v>0</v>
      </c>
      <c r="V384">
        <v>0</v>
      </c>
      <c r="W384">
        <v>0</v>
      </c>
      <c r="X384">
        <v>0</v>
      </c>
      <c r="Y384">
        <v>0</v>
      </c>
      <c r="Z384">
        <v>0</v>
      </c>
      <c r="AA384">
        <v>0</v>
      </c>
      <c r="AB384">
        <v>0</v>
      </c>
      <c r="AC384">
        <v>0</v>
      </c>
      <c r="AD384">
        <v>0</v>
      </c>
      <c r="AE384">
        <v>0</v>
      </c>
      <c r="AF384">
        <v>0</v>
      </c>
      <c r="AG384">
        <v>0</v>
      </c>
      <c r="AH384">
        <v>0</v>
      </c>
      <c r="AI384">
        <v>0</v>
      </c>
      <c r="AJ384">
        <v>0</v>
      </c>
      <c r="AK384">
        <v>0</v>
      </c>
      <c r="AL384">
        <v>0</v>
      </c>
      <c r="AM384">
        <v>8.58</v>
      </c>
      <c r="AN384">
        <v>0</v>
      </c>
      <c r="AO384">
        <v>0</v>
      </c>
      <c r="AP384">
        <v>0</v>
      </c>
      <c r="AQ384">
        <v>0</v>
      </c>
      <c r="AR384">
        <v>0</v>
      </c>
      <c r="AS384">
        <v>0</v>
      </c>
      <c r="AT384">
        <v>0</v>
      </c>
      <c r="AU384">
        <v>0</v>
      </c>
      <c r="AV384">
        <v>0</v>
      </c>
      <c r="AW384">
        <v>0</v>
      </c>
      <c r="AX384">
        <v>0</v>
      </c>
      <c r="AY384">
        <v>0</v>
      </c>
      <c r="AZ384">
        <v>0</v>
      </c>
      <c r="BA384">
        <v>0</v>
      </c>
      <c r="BB384">
        <v>0</v>
      </c>
      <c r="BC384">
        <v>0</v>
      </c>
      <c r="BD384">
        <v>0</v>
      </c>
      <c r="BE384">
        <v>0</v>
      </c>
      <c r="BF384">
        <v>0</v>
      </c>
      <c r="BG384">
        <v>0</v>
      </c>
      <c r="BH384">
        <v>1</v>
      </c>
      <c r="BI384">
        <v>1</v>
      </c>
      <c r="BJ384">
        <v>0.2</v>
      </c>
      <c r="BK384">
        <v>1</v>
      </c>
      <c r="BL384" s="4">
        <v>50.45</v>
      </c>
      <c r="BM384" s="4">
        <v>7.57</v>
      </c>
      <c r="BN384" s="4">
        <v>58.02</v>
      </c>
      <c r="BO384" s="4">
        <v>58.02</v>
      </c>
      <c r="BR384" t="s">
        <v>84</v>
      </c>
      <c r="BS384" s="3">
        <v>43804</v>
      </c>
      <c r="BT384" s="5">
        <v>0.39027777777777778</v>
      </c>
      <c r="BU384" t="s">
        <v>830</v>
      </c>
      <c r="BV384" t="s">
        <v>86</v>
      </c>
      <c r="BY384">
        <v>1200</v>
      </c>
      <c r="CA384" t="s">
        <v>212</v>
      </c>
      <c r="CC384" t="s">
        <v>447</v>
      </c>
      <c r="CD384">
        <v>4113</v>
      </c>
      <c r="CE384" t="s">
        <v>88</v>
      </c>
      <c r="CF384" s="3">
        <v>43805</v>
      </c>
      <c r="CI384">
        <v>1</v>
      </c>
      <c r="CJ384">
        <v>1</v>
      </c>
      <c r="CK384">
        <v>21</v>
      </c>
      <c r="CL384" t="s">
        <v>89</v>
      </c>
    </row>
    <row r="385" spans="1:90">
      <c r="A385" t="s">
        <v>72</v>
      </c>
      <c r="B385" t="s">
        <v>73</v>
      </c>
      <c r="C385" t="s">
        <v>74</v>
      </c>
      <c r="E385" t="str">
        <f>"FES1162726607"</f>
        <v>FES1162726607</v>
      </c>
      <c r="F385" s="3">
        <v>43803</v>
      </c>
      <c r="G385">
        <v>202006</v>
      </c>
      <c r="H385" t="s">
        <v>75</v>
      </c>
      <c r="I385" t="s">
        <v>76</v>
      </c>
      <c r="J385" t="s">
        <v>77</v>
      </c>
      <c r="K385" t="s">
        <v>78</v>
      </c>
      <c r="L385" t="s">
        <v>79</v>
      </c>
      <c r="M385" t="s">
        <v>80</v>
      </c>
      <c r="N385" t="s">
        <v>129</v>
      </c>
      <c r="O385" t="s">
        <v>82</v>
      </c>
      <c r="P385" t="str">
        <f>"2170720084                    "</f>
        <v xml:space="preserve">2170720084                    </v>
      </c>
      <c r="Q385">
        <v>0</v>
      </c>
      <c r="R385">
        <v>0</v>
      </c>
      <c r="S385">
        <v>0</v>
      </c>
      <c r="T385">
        <v>0</v>
      </c>
      <c r="U385">
        <v>0</v>
      </c>
      <c r="V385">
        <v>0</v>
      </c>
      <c r="W385">
        <v>0</v>
      </c>
      <c r="X385">
        <v>0</v>
      </c>
      <c r="Y385">
        <v>0</v>
      </c>
      <c r="Z385">
        <v>0</v>
      </c>
      <c r="AA385">
        <v>0</v>
      </c>
      <c r="AB385">
        <v>0</v>
      </c>
      <c r="AC385">
        <v>0</v>
      </c>
      <c r="AD385">
        <v>0</v>
      </c>
      <c r="AE385">
        <v>0</v>
      </c>
      <c r="AF385">
        <v>0</v>
      </c>
      <c r="AG385">
        <v>0</v>
      </c>
      <c r="AH385">
        <v>0</v>
      </c>
      <c r="AI385">
        <v>0</v>
      </c>
      <c r="AJ385">
        <v>0</v>
      </c>
      <c r="AK385">
        <v>0</v>
      </c>
      <c r="AL385">
        <v>0</v>
      </c>
      <c r="AM385">
        <v>8.58</v>
      </c>
      <c r="AN385">
        <v>0</v>
      </c>
      <c r="AO385">
        <v>0</v>
      </c>
      <c r="AP385">
        <v>0</v>
      </c>
      <c r="AQ385">
        <v>0</v>
      </c>
      <c r="AR385">
        <v>0</v>
      </c>
      <c r="AS385">
        <v>0</v>
      </c>
      <c r="AT385">
        <v>0</v>
      </c>
      <c r="AU385">
        <v>0</v>
      </c>
      <c r="AV385">
        <v>0</v>
      </c>
      <c r="AW385">
        <v>0</v>
      </c>
      <c r="AX385">
        <v>0</v>
      </c>
      <c r="AY385">
        <v>0</v>
      </c>
      <c r="AZ385">
        <v>0</v>
      </c>
      <c r="BA385">
        <v>0</v>
      </c>
      <c r="BB385">
        <v>0</v>
      </c>
      <c r="BC385">
        <v>0</v>
      </c>
      <c r="BD385">
        <v>0</v>
      </c>
      <c r="BE385">
        <v>0</v>
      </c>
      <c r="BF385">
        <v>0</v>
      </c>
      <c r="BG385">
        <v>0</v>
      </c>
      <c r="BH385">
        <v>1</v>
      </c>
      <c r="BI385">
        <v>1</v>
      </c>
      <c r="BJ385">
        <v>0.2</v>
      </c>
      <c r="BK385">
        <v>1</v>
      </c>
      <c r="BL385" s="4">
        <v>50.45</v>
      </c>
      <c r="BM385" s="4">
        <v>7.57</v>
      </c>
      <c r="BN385" s="4">
        <v>58.02</v>
      </c>
      <c r="BO385" s="4">
        <v>58.02</v>
      </c>
      <c r="BQ385" t="s">
        <v>147</v>
      </c>
      <c r="BR385" t="s">
        <v>84</v>
      </c>
      <c r="BS385" s="3">
        <v>43804</v>
      </c>
      <c r="BT385" s="5">
        <v>0.3888888888888889</v>
      </c>
      <c r="BU385" t="s">
        <v>638</v>
      </c>
      <c r="BV385" t="s">
        <v>86</v>
      </c>
      <c r="BY385">
        <v>1200</v>
      </c>
      <c r="CA385" t="s">
        <v>131</v>
      </c>
      <c r="CC385" t="s">
        <v>80</v>
      </c>
      <c r="CD385">
        <v>6001</v>
      </c>
      <c r="CE385" t="s">
        <v>88</v>
      </c>
      <c r="CF385" s="3">
        <v>43805</v>
      </c>
      <c r="CI385">
        <v>1</v>
      </c>
      <c r="CJ385">
        <v>1</v>
      </c>
      <c r="CK385">
        <v>21</v>
      </c>
      <c r="CL385" t="s">
        <v>89</v>
      </c>
    </row>
    <row r="386" spans="1:90">
      <c r="A386" t="s">
        <v>72</v>
      </c>
      <c r="B386" t="s">
        <v>73</v>
      </c>
      <c r="C386" t="s">
        <v>74</v>
      </c>
      <c r="E386" t="str">
        <f>"FES1162726618"</f>
        <v>FES1162726618</v>
      </c>
      <c r="F386" s="3">
        <v>43803</v>
      </c>
      <c r="G386">
        <v>202006</v>
      </c>
      <c r="H386" t="s">
        <v>75</v>
      </c>
      <c r="I386" t="s">
        <v>76</v>
      </c>
      <c r="J386" t="s">
        <v>77</v>
      </c>
      <c r="K386" t="s">
        <v>78</v>
      </c>
      <c r="L386" t="s">
        <v>90</v>
      </c>
      <c r="M386" t="s">
        <v>91</v>
      </c>
      <c r="N386" t="s">
        <v>831</v>
      </c>
      <c r="O386" t="s">
        <v>82</v>
      </c>
      <c r="P386" t="str">
        <f>"2170720099                    "</f>
        <v xml:space="preserve">2170720099                    </v>
      </c>
      <c r="Q386">
        <v>0</v>
      </c>
      <c r="R386">
        <v>0</v>
      </c>
      <c r="S386">
        <v>0</v>
      </c>
      <c r="T386">
        <v>0</v>
      </c>
      <c r="U386">
        <v>0</v>
      </c>
      <c r="V386">
        <v>0</v>
      </c>
      <c r="W386">
        <v>0</v>
      </c>
      <c r="X386">
        <v>0</v>
      </c>
      <c r="Y386">
        <v>0</v>
      </c>
      <c r="Z386">
        <v>0</v>
      </c>
      <c r="AA386">
        <v>0</v>
      </c>
      <c r="AB386">
        <v>0</v>
      </c>
      <c r="AC386">
        <v>0</v>
      </c>
      <c r="AD386">
        <v>0</v>
      </c>
      <c r="AE386">
        <v>0</v>
      </c>
      <c r="AF386">
        <v>0</v>
      </c>
      <c r="AG386">
        <v>0</v>
      </c>
      <c r="AH386">
        <v>0</v>
      </c>
      <c r="AI386">
        <v>0</v>
      </c>
      <c r="AJ386">
        <v>0</v>
      </c>
      <c r="AK386">
        <v>0</v>
      </c>
      <c r="AL386">
        <v>0</v>
      </c>
      <c r="AM386">
        <v>36.46</v>
      </c>
      <c r="AN386">
        <v>0</v>
      </c>
      <c r="AO386">
        <v>0</v>
      </c>
      <c r="AP386">
        <v>0</v>
      </c>
      <c r="AQ386">
        <v>0</v>
      </c>
      <c r="AR386">
        <v>0</v>
      </c>
      <c r="AS386">
        <v>0</v>
      </c>
      <c r="AT386">
        <v>0</v>
      </c>
      <c r="AU386">
        <v>0</v>
      </c>
      <c r="AV386">
        <v>0</v>
      </c>
      <c r="AW386">
        <v>0</v>
      </c>
      <c r="AX386">
        <v>0</v>
      </c>
      <c r="AY386">
        <v>0</v>
      </c>
      <c r="AZ386">
        <v>0</v>
      </c>
      <c r="BA386">
        <v>0</v>
      </c>
      <c r="BB386">
        <v>0</v>
      </c>
      <c r="BC386">
        <v>0</v>
      </c>
      <c r="BD386">
        <v>0</v>
      </c>
      <c r="BE386">
        <v>0</v>
      </c>
      <c r="BF386">
        <v>0</v>
      </c>
      <c r="BG386">
        <v>0</v>
      </c>
      <c r="BH386">
        <v>2</v>
      </c>
      <c r="BI386">
        <v>8.3000000000000007</v>
      </c>
      <c r="BJ386">
        <v>4.4000000000000004</v>
      </c>
      <c r="BK386">
        <v>8.5</v>
      </c>
      <c r="BL386" s="4">
        <v>214.31</v>
      </c>
      <c r="BM386" s="4">
        <v>32.15</v>
      </c>
      <c r="BN386" s="4">
        <v>246.46</v>
      </c>
      <c r="BO386" s="4">
        <v>246.46</v>
      </c>
      <c r="BQ386" t="s">
        <v>832</v>
      </c>
      <c r="BR386" t="s">
        <v>84</v>
      </c>
      <c r="BS386" s="3">
        <v>43804</v>
      </c>
      <c r="BT386" s="5">
        <v>0.37013888888888885</v>
      </c>
      <c r="BU386" t="s">
        <v>833</v>
      </c>
      <c r="BV386" t="s">
        <v>86</v>
      </c>
      <c r="BY386">
        <v>22102.13</v>
      </c>
      <c r="CA386" t="s">
        <v>753</v>
      </c>
      <c r="CC386" t="s">
        <v>91</v>
      </c>
      <c r="CD386">
        <v>7500</v>
      </c>
      <c r="CE386" t="s">
        <v>122</v>
      </c>
      <c r="CF386" s="3">
        <v>43805</v>
      </c>
      <c r="CI386">
        <v>1</v>
      </c>
      <c r="CJ386">
        <v>1</v>
      </c>
      <c r="CK386">
        <v>21</v>
      </c>
      <c r="CL386" t="s">
        <v>89</v>
      </c>
    </row>
    <row r="387" spans="1:90">
      <c r="A387" t="s">
        <v>72</v>
      </c>
      <c r="B387" t="s">
        <v>73</v>
      </c>
      <c r="C387" t="s">
        <v>74</v>
      </c>
      <c r="E387" t="str">
        <f>"FES1162726676"</f>
        <v>FES1162726676</v>
      </c>
      <c r="F387" s="3">
        <v>43803</v>
      </c>
      <c r="G387">
        <v>202006</v>
      </c>
      <c r="H387" t="s">
        <v>75</v>
      </c>
      <c r="I387" t="s">
        <v>76</v>
      </c>
      <c r="J387" t="s">
        <v>77</v>
      </c>
      <c r="K387" t="s">
        <v>78</v>
      </c>
      <c r="L387" t="s">
        <v>79</v>
      </c>
      <c r="M387" t="s">
        <v>80</v>
      </c>
      <c r="N387" t="s">
        <v>834</v>
      </c>
      <c r="O387" t="s">
        <v>82</v>
      </c>
      <c r="P387" t="str">
        <f>"2170718042                    "</f>
        <v xml:space="preserve">2170718042                    </v>
      </c>
      <c r="Q387">
        <v>0</v>
      </c>
      <c r="R387">
        <v>0</v>
      </c>
      <c r="S387">
        <v>0</v>
      </c>
      <c r="T387">
        <v>0</v>
      </c>
      <c r="U387">
        <v>0</v>
      </c>
      <c r="V387">
        <v>0</v>
      </c>
      <c r="W387">
        <v>0</v>
      </c>
      <c r="X387">
        <v>0</v>
      </c>
      <c r="Y387">
        <v>0</v>
      </c>
      <c r="Z387">
        <v>0</v>
      </c>
      <c r="AA387">
        <v>0</v>
      </c>
      <c r="AB387">
        <v>0</v>
      </c>
      <c r="AC387">
        <v>0</v>
      </c>
      <c r="AD387">
        <v>0</v>
      </c>
      <c r="AE387">
        <v>0</v>
      </c>
      <c r="AF387">
        <v>0</v>
      </c>
      <c r="AG387">
        <v>0</v>
      </c>
      <c r="AH387">
        <v>0</v>
      </c>
      <c r="AI387">
        <v>0</v>
      </c>
      <c r="AJ387">
        <v>0</v>
      </c>
      <c r="AK387">
        <v>0</v>
      </c>
      <c r="AL387">
        <v>0</v>
      </c>
      <c r="AM387">
        <v>23.59</v>
      </c>
      <c r="AN387">
        <v>0</v>
      </c>
      <c r="AO387">
        <v>0</v>
      </c>
      <c r="AP387">
        <v>0</v>
      </c>
      <c r="AQ387">
        <v>0</v>
      </c>
      <c r="AR387">
        <v>0</v>
      </c>
      <c r="AS387">
        <v>0</v>
      </c>
      <c r="AT387">
        <v>0</v>
      </c>
      <c r="AU387">
        <v>0</v>
      </c>
      <c r="AV387">
        <v>0</v>
      </c>
      <c r="AW387">
        <v>0</v>
      </c>
      <c r="AX387">
        <v>0</v>
      </c>
      <c r="AY387">
        <v>0</v>
      </c>
      <c r="AZ387">
        <v>0</v>
      </c>
      <c r="BA387">
        <v>0</v>
      </c>
      <c r="BB387">
        <v>0</v>
      </c>
      <c r="BC387">
        <v>0</v>
      </c>
      <c r="BD387">
        <v>0</v>
      </c>
      <c r="BE387">
        <v>0</v>
      </c>
      <c r="BF387">
        <v>0</v>
      </c>
      <c r="BG387">
        <v>0</v>
      </c>
      <c r="BH387">
        <v>1</v>
      </c>
      <c r="BI387">
        <v>5.2</v>
      </c>
      <c r="BJ387">
        <v>4.2</v>
      </c>
      <c r="BK387">
        <v>5.5</v>
      </c>
      <c r="BL387" s="4">
        <v>138.68</v>
      </c>
      <c r="BM387" s="4">
        <v>20.8</v>
      </c>
      <c r="BN387" s="4">
        <v>159.47999999999999</v>
      </c>
      <c r="BO387" s="4">
        <v>159.47999999999999</v>
      </c>
      <c r="BQ387" t="s">
        <v>835</v>
      </c>
      <c r="BR387" t="s">
        <v>84</v>
      </c>
      <c r="BS387" s="3">
        <v>43804</v>
      </c>
      <c r="BT387" s="5">
        <v>0.3527777777777778</v>
      </c>
      <c r="BU387" t="s">
        <v>836</v>
      </c>
      <c r="BV387" t="s">
        <v>86</v>
      </c>
      <c r="BY387">
        <v>20959.22</v>
      </c>
      <c r="CA387" t="s">
        <v>185</v>
      </c>
      <c r="CC387" t="s">
        <v>80</v>
      </c>
      <c r="CD387">
        <v>6001</v>
      </c>
      <c r="CE387" t="s">
        <v>96</v>
      </c>
      <c r="CF387" s="3">
        <v>43805</v>
      </c>
      <c r="CI387">
        <v>1</v>
      </c>
      <c r="CJ387">
        <v>1</v>
      </c>
      <c r="CK387">
        <v>21</v>
      </c>
      <c r="CL387" t="s">
        <v>89</v>
      </c>
    </row>
    <row r="388" spans="1:90">
      <c r="A388" t="s">
        <v>72</v>
      </c>
      <c r="B388" t="s">
        <v>73</v>
      </c>
      <c r="C388" t="s">
        <v>74</v>
      </c>
      <c r="E388" t="str">
        <f>"FES1162726833"</f>
        <v>FES1162726833</v>
      </c>
      <c r="F388" s="3">
        <v>43803</v>
      </c>
      <c r="G388">
        <v>202006</v>
      </c>
      <c r="H388" t="s">
        <v>75</v>
      </c>
      <c r="I388" t="s">
        <v>76</v>
      </c>
      <c r="J388" t="s">
        <v>77</v>
      </c>
      <c r="K388" t="s">
        <v>78</v>
      </c>
      <c r="L388" t="s">
        <v>198</v>
      </c>
      <c r="M388" t="s">
        <v>199</v>
      </c>
      <c r="N388" t="s">
        <v>837</v>
      </c>
      <c r="O388" t="s">
        <v>82</v>
      </c>
      <c r="P388" t="str">
        <f>"2170720277                    "</f>
        <v xml:space="preserve">2170720277                    </v>
      </c>
      <c r="Q388">
        <v>0</v>
      </c>
      <c r="R388">
        <v>0</v>
      </c>
      <c r="S388">
        <v>0</v>
      </c>
      <c r="T388">
        <v>0</v>
      </c>
      <c r="U388">
        <v>0</v>
      </c>
      <c r="V388">
        <v>0</v>
      </c>
      <c r="W388">
        <v>0</v>
      </c>
      <c r="X388">
        <v>0</v>
      </c>
      <c r="Y388">
        <v>0</v>
      </c>
      <c r="Z388">
        <v>0</v>
      </c>
      <c r="AA388">
        <v>0</v>
      </c>
      <c r="AB388">
        <v>0</v>
      </c>
      <c r="AC388">
        <v>0</v>
      </c>
      <c r="AD388">
        <v>0</v>
      </c>
      <c r="AE388">
        <v>0</v>
      </c>
      <c r="AF388">
        <v>0</v>
      </c>
      <c r="AG388">
        <v>0</v>
      </c>
      <c r="AH388">
        <v>0</v>
      </c>
      <c r="AI388">
        <v>0</v>
      </c>
      <c r="AJ388">
        <v>0</v>
      </c>
      <c r="AK388">
        <v>0</v>
      </c>
      <c r="AL388">
        <v>0</v>
      </c>
      <c r="AM388">
        <v>8.58</v>
      </c>
      <c r="AN388">
        <v>0</v>
      </c>
      <c r="AO388">
        <v>0</v>
      </c>
      <c r="AP388">
        <v>0</v>
      </c>
      <c r="AQ388">
        <v>0</v>
      </c>
      <c r="AR388">
        <v>0</v>
      </c>
      <c r="AS388">
        <v>0</v>
      </c>
      <c r="AT388">
        <v>0</v>
      </c>
      <c r="AU388">
        <v>0</v>
      </c>
      <c r="AV388">
        <v>0</v>
      </c>
      <c r="AW388">
        <v>0</v>
      </c>
      <c r="AX388">
        <v>0</v>
      </c>
      <c r="AY388">
        <v>0</v>
      </c>
      <c r="AZ388">
        <v>0</v>
      </c>
      <c r="BA388">
        <v>0</v>
      </c>
      <c r="BB388">
        <v>0</v>
      </c>
      <c r="BC388">
        <v>0</v>
      </c>
      <c r="BD388">
        <v>0</v>
      </c>
      <c r="BE388">
        <v>0</v>
      </c>
      <c r="BF388">
        <v>0</v>
      </c>
      <c r="BG388">
        <v>0</v>
      </c>
      <c r="BH388">
        <v>1</v>
      </c>
      <c r="BI388">
        <v>1</v>
      </c>
      <c r="BJ388">
        <v>0.2</v>
      </c>
      <c r="BK388">
        <v>1</v>
      </c>
      <c r="BL388" s="4">
        <v>50.45</v>
      </c>
      <c r="BM388" s="4">
        <v>7.57</v>
      </c>
      <c r="BN388" s="4">
        <v>58.02</v>
      </c>
      <c r="BO388" s="4">
        <v>58.02</v>
      </c>
      <c r="BQ388" t="s">
        <v>135</v>
      </c>
      <c r="BR388" t="s">
        <v>84</v>
      </c>
      <c r="BS388" s="3">
        <v>43804</v>
      </c>
      <c r="BT388" s="5">
        <v>0.30416666666666664</v>
      </c>
      <c r="BU388" t="s">
        <v>838</v>
      </c>
      <c r="BV388" t="s">
        <v>86</v>
      </c>
      <c r="BY388">
        <v>1200</v>
      </c>
      <c r="BZ388" t="s">
        <v>27</v>
      </c>
      <c r="CA388" t="s">
        <v>839</v>
      </c>
      <c r="CC388" t="s">
        <v>199</v>
      </c>
      <c r="CD388">
        <v>4064</v>
      </c>
      <c r="CE388" t="s">
        <v>88</v>
      </c>
      <c r="CF388" s="3">
        <v>43808</v>
      </c>
      <c r="CI388">
        <v>1</v>
      </c>
      <c r="CJ388">
        <v>1</v>
      </c>
      <c r="CK388">
        <v>21</v>
      </c>
      <c r="CL388" t="s">
        <v>89</v>
      </c>
    </row>
    <row r="389" spans="1:90">
      <c r="A389" t="s">
        <v>72</v>
      </c>
      <c r="B389" t="s">
        <v>73</v>
      </c>
      <c r="C389" t="s">
        <v>74</v>
      </c>
      <c r="E389" t="str">
        <f>"FES1162726752"</f>
        <v>FES1162726752</v>
      </c>
      <c r="F389" s="3">
        <v>43803</v>
      </c>
      <c r="G389">
        <v>202006</v>
      </c>
      <c r="H389" t="s">
        <v>75</v>
      </c>
      <c r="I389" t="s">
        <v>76</v>
      </c>
      <c r="J389" t="s">
        <v>77</v>
      </c>
      <c r="K389" t="s">
        <v>78</v>
      </c>
      <c r="L389" t="s">
        <v>332</v>
      </c>
      <c r="M389" t="s">
        <v>333</v>
      </c>
      <c r="N389" t="s">
        <v>840</v>
      </c>
      <c r="O389" t="s">
        <v>82</v>
      </c>
      <c r="P389" t="str">
        <f>"2170720109                    "</f>
        <v xml:space="preserve">2170720109                    </v>
      </c>
      <c r="Q389">
        <v>0</v>
      </c>
      <c r="R389">
        <v>0</v>
      </c>
      <c r="S389">
        <v>0</v>
      </c>
      <c r="T389">
        <v>0</v>
      </c>
      <c r="U389">
        <v>0</v>
      </c>
      <c r="V389">
        <v>0</v>
      </c>
      <c r="W389">
        <v>0</v>
      </c>
      <c r="X389">
        <v>0</v>
      </c>
      <c r="Y389">
        <v>0</v>
      </c>
      <c r="Z389">
        <v>0</v>
      </c>
      <c r="AA389">
        <v>0</v>
      </c>
      <c r="AB389">
        <v>0</v>
      </c>
      <c r="AC389">
        <v>0</v>
      </c>
      <c r="AD389">
        <v>0</v>
      </c>
      <c r="AE389">
        <v>0</v>
      </c>
      <c r="AF389">
        <v>0</v>
      </c>
      <c r="AG389">
        <v>0</v>
      </c>
      <c r="AH389">
        <v>0</v>
      </c>
      <c r="AI389">
        <v>0</v>
      </c>
      <c r="AJ389">
        <v>0</v>
      </c>
      <c r="AK389">
        <v>0</v>
      </c>
      <c r="AL389">
        <v>0</v>
      </c>
      <c r="AM389">
        <v>6.71</v>
      </c>
      <c r="AN389">
        <v>0</v>
      </c>
      <c r="AO389">
        <v>0</v>
      </c>
      <c r="AP389">
        <v>0</v>
      </c>
      <c r="AQ389">
        <v>0</v>
      </c>
      <c r="AR389">
        <v>0</v>
      </c>
      <c r="AS389">
        <v>0</v>
      </c>
      <c r="AT389">
        <v>0</v>
      </c>
      <c r="AU389">
        <v>0</v>
      </c>
      <c r="AV389">
        <v>0</v>
      </c>
      <c r="AW389">
        <v>0</v>
      </c>
      <c r="AX389">
        <v>0</v>
      </c>
      <c r="AY389">
        <v>0</v>
      </c>
      <c r="AZ389">
        <v>0</v>
      </c>
      <c r="BA389">
        <v>0</v>
      </c>
      <c r="BB389">
        <v>0</v>
      </c>
      <c r="BC389">
        <v>0</v>
      </c>
      <c r="BD389">
        <v>0</v>
      </c>
      <c r="BE389">
        <v>0</v>
      </c>
      <c r="BF389">
        <v>0</v>
      </c>
      <c r="BG389">
        <v>0</v>
      </c>
      <c r="BH389">
        <v>1</v>
      </c>
      <c r="BI389">
        <v>1</v>
      </c>
      <c r="BJ389">
        <v>0.2</v>
      </c>
      <c r="BK389">
        <v>1</v>
      </c>
      <c r="BL389" s="4">
        <v>39.42</v>
      </c>
      <c r="BM389" s="4">
        <v>5.91</v>
      </c>
      <c r="BN389" s="4">
        <v>45.33</v>
      </c>
      <c r="BO389" s="4">
        <v>45.33</v>
      </c>
      <c r="BR389" t="s">
        <v>84</v>
      </c>
      <c r="BS389" s="3">
        <v>43804</v>
      </c>
      <c r="BT389" s="5">
        <v>0.42777777777777781</v>
      </c>
      <c r="BU389" t="s">
        <v>841</v>
      </c>
      <c r="BV389" t="s">
        <v>86</v>
      </c>
      <c r="BY389">
        <v>1200</v>
      </c>
      <c r="CA389" t="s">
        <v>344</v>
      </c>
      <c r="CC389" t="s">
        <v>333</v>
      </c>
      <c r="CD389">
        <v>2110</v>
      </c>
      <c r="CE389" t="s">
        <v>88</v>
      </c>
      <c r="CF389" s="3">
        <v>43805</v>
      </c>
      <c r="CI389">
        <v>1</v>
      </c>
      <c r="CJ389">
        <v>1</v>
      </c>
      <c r="CK389">
        <v>22</v>
      </c>
      <c r="CL389" t="s">
        <v>89</v>
      </c>
    </row>
    <row r="390" spans="1:90">
      <c r="A390" t="s">
        <v>72</v>
      </c>
      <c r="B390" t="s">
        <v>73</v>
      </c>
      <c r="C390" t="s">
        <v>74</v>
      </c>
      <c r="E390" t="str">
        <f>"FES1162726834"</f>
        <v>FES1162726834</v>
      </c>
      <c r="F390" s="3">
        <v>43803</v>
      </c>
      <c r="G390">
        <v>202006</v>
      </c>
      <c r="H390" t="s">
        <v>75</v>
      </c>
      <c r="I390" t="s">
        <v>76</v>
      </c>
      <c r="J390" t="s">
        <v>77</v>
      </c>
      <c r="K390" t="s">
        <v>78</v>
      </c>
      <c r="L390" t="s">
        <v>198</v>
      </c>
      <c r="M390" t="s">
        <v>199</v>
      </c>
      <c r="N390" t="s">
        <v>842</v>
      </c>
      <c r="O390" t="s">
        <v>82</v>
      </c>
      <c r="P390" t="str">
        <f>"2170712078                    "</f>
        <v xml:space="preserve">2170712078                    </v>
      </c>
      <c r="Q390">
        <v>0</v>
      </c>
      <c r="R390">
        <v>0</v>
      </c>
      <c r="S390">
        <v>0</v>
      </c>
      <c r="T390">
        <v>0</v>
      </c>
      <c r="U390">
        <v>0</v>
      </c>
      <c r="V390">
        <v>0</v>
      </c>
      <c r="W390">
        <v>0</v>
      </c>
      <c r="X390">
        <v>0</v>
      </c>
      <c r="Y390">
        <v>0</v>
      </c>
      <c r="Z390">
        <v>0</v>
      </c>
      <c r="AA390">
        <v>0</v>
      </c>
      <c r="AB390">
        <v>0</v>
      </c>
      <c r="AC390">
        <v>0</v>
      </c>
      <c r="AD390">
        <v>0</v>
      </c>
      <c r="AE390">
        <v>0</v>
      </c>
      <c r="AF390">
        <v>0</v>
      </c>
      <c r="AG390">
        <v>0</v>
      </c>
      <c r="AH390">
        <v>0</v>
      </c>
      <c r="AI390">
        <v>0</v>
      </c>
      <c r="AJ390">
        <v>0</v>
      </c>
      <c r="AK390">
        <v>0</v>
      </c>
      <c r="AL390">
        <v>0</v>
      </c>
      <c r="AM390">
        <v>8.58</v>
      </c>
      <c r="AN390">
        <v>0</v>
      </c>
      <c r="AO390">
        <v>0</v>
      </c>
      <c r="AP390">
        <v>0</v>
      </c>
      <c r="AQ390">
        <v>0</v>
      </c>
      <c r="AR390">
        <v>0</v>
      </c>
      <c r="AS390">
        <v>0</v>
      </c>
      <c r="AT390">
        <v>0</v>
      </c>
      <c r="AU390">
        <v>0</v>
      </c>
      <c r="AV390">
        <v>0</v>
      </c>
      <c r="AW390">
        <v>0</v>
      </c>
      <c r="AX390">
        <v>0</v>
      </c>
      <c r="AY390">
        <v>0</v>
      </c>
      <c r="AZ390">
        <v>0</v>
      </c>
      <c r="BA390">
        <v>0</v>
      </c>
      <c r="BB390">
        <v>0</v>
      </c>
      <c r="BC390">
        <v>0</v>
      </c>
      <c r="BD390">
        <v>0</v>
      </c>
      <c r="BE390">
        <v>0</v>
      </c>
      <c r="BF390">
        <v>0</v>
      </c>
      <c r="BG390">
        <v>0</v>
      </c>
      <c r="BH390">
        <v>1</v>
      </c>
      <c r="BI390">
        <v>1</v>
      </c>
      <c r="BJ390">
        <v>0.9</v>
      </c>
      <c r="BK390">
        <v>1</v>
      </c>
      <c r="BL390" s="4">
        <v>50.45</v>
      </c>
      <c r="BM390" s="4">
        <v>7.57</v>
      </c>
      <c r="BN390" s="4">
        <v>58.02</v>
      </c>
      <c r="BO390" s="4">
        <v>58.02</v>
      </c>
      <c r="BQ390" t="s">
        <v>843</v>
      </c>
      <c r="BR390" t="s">
        <v>84</v>
      </c>
      <c r="BS390" s="3">
        <v>43804</v>
      </c>
      <c r="BT390" s="5">
        <v>0.35347222222222219</v>
      </c>
      <c r="BU390" t="s">
        <v>844</v>
      </c>
      <c r="BV390" t="s">
        <v>86</v>
      </c>
      <c r="BY390">
        <v>4399.92</v>
      </c>
      <c r="BZ390" t="s">
        <v>27</v>
      </c>
      <c r="CA390" t="s">
        <v>299</v>
      </c>
      <c r="CC390" t="s">
        <v>199</v>
      </c>
      <c r="CD390">
        <v>4051</v>
      </c>
      <c r="CE390" t="s">
        <v>96</v>
      </c>
      <c r="CF390" s="3">
        <v>43808</v>
      </c>
      <c r="CI390">
        <v>1</v>
      </c>
      <c r="CJ390">
        <v>1</v>
      </c>
      <c r="CK390">
        <v>21</v>
      </c>
      <c r="CL390" t="s">
        <v>89</v>
      </c>
    </row>
    <row r="391" spans="1:90">
      <c r="A391" t="s">
        <v>72</v>
      </c>
      <c r="B391" t="s">
        <v>73</v>
      </c>
      <c r="C391" t="s">
        <v>74</v>
      </c>
      <c r="E391" t="str">
        <f>"FES162726681"</f>
        <v>FES162726681</v>
      </c>
      <c r="F391" s="3">
        <v>43803</v>
      </c>
      <c r="G391">
        <v>202006</v>
      </c>
      <c r="H391" t="s">
        <v>75</v>
      </c>
      <c r="I391" t="s">
        <v>76</v>
      </c>
      <c r="J391" t="s">
        <v>77</v>
      </c>
      <c r="K391" t="s">
        <v>78</v>
      </c>
      <c r="L391" t="s">
        <v>201</v>
      </c>
      <c r="M391" t="s">
        <v>202</v>
      </c>
      <c r="N391" t="s">
        <v>443</v>
      </c>
      <c r="O391" t="s">
        <v>82</v>
      </c>
      <c r="P391" t="str">
        <f>"217071807                     "</f>
        <v xml:space="preserve">217071807                     </v>
      </c>
      <c r="Q391">
        <v>0</v>
      </c>
      <c r="R391">
        <v>0</v>
      </c>
      <c r="S391">
        <v>0</v>
      </c>
      <c r="T391">
        <v>0</v>
      </c>
      <c r="U391">
        <v>0</v>
      </c>
      <c r="V391">
        <v>0</v>
      </c>
      <c r="W391">
        <v>0</v>
      </c>
      <c r="X391">
        <v>0</v>
      </c>
      <c r="Y391">
        <v>0</v>
      </c>
      <c r="Z391">
        <v>0</v>
      </c>
      <c r="AA391">
        <v>0</v>
      </c>
      <c r="AB391">
        <v>0</v>
      </c>
      <c r="AC391">
        <v>0</v>
      </c>
      <c r="AD391">
        <v>0</v>
      </c>
      <c r="AE391">
        <v>0</v>
      </c>
      <c r="AF391">
        <v>0</v>
      </c>
      <c r="AG391">
        <v>0</v>
      </c>
      <c r="AH391">
        <v>0</v>
      </c>
      <c r="AI391">
        <v>0</v>
      </c>
      <c r="AJ391">
        <v>0</v>
      </c>
      <c r="AK391">
        <v>0</v>
      </c>
      <c r="AL391">
        <v>0</v>
      </c>
      <c r="AM391">
        <v>8.58</v>
      </c>
      <c r="AN391">
        <v>0</v>
      </c>
      <c r="AO391">
        <v>0</v>
      </c>
      <c r="AP391">
        <v>0</v>
      </c>
      <c r="AQ391">
        <v>0</v>
      </c>
      <c r="AR391">
        <v>0</v>
      </c>
      <c r="AS391">
        <v>0</v>
      </c>
      <c r="AT391">
        <v>0</v>
      </c>
      <c r="AU391">
        <v>0</v>
      </c>
      <c r="AV391">
        <v>0</v>
      </c>
      <c r="AW391">
        <v>0</v>
      </c>
      <c r="AX391">
        <v>0</v>
      </c>
      <c r="AY391">
        <v>0</v>
      </c>
      <c r="AZ391">
        <v>0</v>
      </c>
      <c r="BA391">
        <v>0</v>
      </c>
      <c r="BB391">
        <v>0</v>
      </c>
      <c r="BC391">
        <v>0</v>
      </c>
      <c r="BD391">
        <v>0</v>
      </c>
      <c r="BE391">
        <v>0</v>
      </c>
      <c r="BF391">
        <v>0</v>
      </c>
      <c r="BG391">
        <v>0</v>
      </c>
      <c r="BH391">
        <v>1</v>
      </c>
      <c r="BI391">
        <v>2</v>
      </c>
      <c r="BJ391">
        <v>0.9</v>
      </c>
      <c r="BK391">
        <v>2</v>
      </c>
      <c r="BL391" s="4">
        <v>50.45</v>
      </c>
      <c r="BM391" s="4">
        <v>7.57</v>
      </c>
      <c r="BN391" s="4">
        <v>58.02</v>
      </c>
      <c r="BO391" s="4">
        <v>58.02</v>
      </c>
      <c r="BQ391" t="s">
        <v>256</v>
      </c>
      <c r="BR391" t="s">
        <v>84</v>
      </c>
      <c r="BS391" s="3">
        <v>43804</v>
      </c>
      <c r="BT391" s="5">
        <v>0.3215277777777778</v>
      </c>
      <c r="BU391" t="s">
        <v>444</v>
      </c>
      <c r="BV391" t="s">
        <v>86</v>
      </c>
      <c r="BY391">
        <v>4571.03</v>
      </c>
      <c r="BZ391" t="s">
        <v>27</v>
      </c>
      <c r="CA391" t="s">
        <v>205</v>
      </c>
      <c r="CC391" t="s">
        <v>202</v>
      </c>
      <c r="CD391">
        <v>3610</v>
      </c>
      <c r="CE391" t="s">
        <v>96</v>
      </c>
      <c r="CI391">
        <v>1</v>
      </c>
      <c r="CJ391">
        <v>1</v>
      </c>
      <c r="CK391">
        <v>21</v>
      </c>
      <c r="CL391" t="s">
        <v>89</v>
      </c>
    </row>
    <row r="392" spans="1:90">
      <c r="A392" t="s">
        <v>72</v>
      </c>
      <c r="B392" t="s">
        <v>73</v>
      </c>
      <c r="C392" t="s">
        <v>74</v>
      </c>
      <c r="E392" t="str">
        <f>"FES1162726860"</f>
        <v>FES1162726860</v>
      </c>
      <c r="F392" s="3">
        <v>43803</v>
      </c>
      <c r="G392">
        <v>202006</v>
      </c>
      <c r="H392" t="s">
        <v>75</v>
      </c>
      <c r="I392" t="s">
        <v>76</v>
      </c>
      <c r="J392" t="s">
        <v>77</v>
      </c>
      <c r="K392" t="s">
        <v>78</v>
      </c>
      <c r="L392" t="s">
        <v>221</v>
      </c>
      <c r="M392" t="s">
        <v>222</v>
      </c>
      <c r="N392" t="s">
        <v>845</v>
      </c>
      <c r="O392" t="s">
        <v>82</v>
      </c>
      <c r="P392" t="str">
        <f>"21707130230                   "</f>
        <v xml:space="preserve">21707130230                   </v>
      </c>
      <c r="Q392">
        <v>0</v>
      </c>
      <c r="R392">
        <v>0</v>
      </c>
      <c r="S392">
        <v>0</v>
      </c>
      <c r="T392">
        <v>0</v>
      </c>
      <c r="U392">
        <v>0</v>
      </c>
      <c r="V392">
        <v>0</v>
      </c>
      <c r="W392">
        <v>0</v>
      </c>
      <c r="X392">
        <v>0</v>
      </c>
      <c r="Y392">
        <v>0</v>
      </c>
      <c r="Z392">
        <v>0</v>
      </c>
      <c r="AA392">
        <v>0</v>
      </c>
      <c r="AB392">
        <v>0</v>
      </c>
      <c r="AC392">
        <v>0</v>
      </c>
      <c r="AD392">
        <v>0</v>
      </c>
      <c r="AE392">
        <v>0</v>
      </c>
      <c r="AF392">
        <v>0</v>
      </c>
      <c r="AG392">
        <v>0</v>
      </c>
      <c r="AH392">
        <v>0</v>
      </c>
      <c r="AI392">
        <v>0</v>
      </c>
      <c r="AJ392">
        <v>0</v>
      </c>
      <c r="AK392">
        <v>0</v>
      </c>
      <c r="AL392">
        <v>0</v>
      </c>
      <c r="AM392">
        <v>25.74</v>
      </c>
      <c r="AN392">
        <v>0</v>
      </c>
      <c r="AO392">
        <v>0</v>
      </c>
      <c r="AP392">
        <v>0</v>
      </c>
      <c r="AQ392">
        <v>0</v>
      </c>
      <c r="AR392">
        <v>0</v>
      </c>
      <c r="AS392">
        <v>0</v>
      </c>
      <c r="AT392">
        <v>0</v>
      </c>
      <c r="AU392">
        <v>0</v>
      </c>
      <c r="AV392">
        <v>0</v>
      </c>
      <c r="AW392">
        <v>0</v>
      </c>
      <c r="AX392">
        <v>0</v>
      </c>
      <c r="AY392">
        <v>0</v>
      </c>
      <c r="AZ392">
        <v>0</v>
      </c>
      <c r="BA392">
        <v>0</v>
      </c>
      <c r="BB392">
        <v>0</v>
      </c>
      <c r="BC392">
        <v>0</v>
      </c>
      <c r="BD392">
        <v>0</v>
      </c>
      <c r="BE392">
        <v>0</v>
      </c>
      <c r="BF392">
        <v>0</v>
      </c>
      <c r="BG392">
        <v>0</v>
      </c>
      <c r="BH392">
        <v>1</v>
      </c>
      <c r="BI392">
        <v>5.6</v>
      </c>
      <c r="BJ392">
        <v>1.4</v>
      </c>
      <c r="BK392">
        <v>6</v>
      </c>
      <c r="BL392" s="4">
        <v>151.29</v>
      </c>
      <c r="BM392" s="4">
        <v>22.69</v>
      </c>
      <c r="BN392" s="4">
        <v>173.98</v>
      </c>
      <c r="BO392" s="4">
        <v>173.98</v>
      </c>
      <c r="BQ392" t="s">
        <v>93</v>
      </c>
      <c r="BR392" t="s">
        <v>84</v>
      </c>
      <c r="BS392" s="3">
        <v>43804</v>
      </c>
      <c r="BT392" s="5">
        <v>0.35069444444444442</v>
      </c>
      <c r="BU392" t="s">
        <v>846</v>
      </c>
      <c r="BV392" t="s">
        <v>86</v>
      </c>
      <c r="BY392">
        <v>7074.64</v>
      </c>
      <c r="CA392" t="s">
        <v>847</v>
      </c>
      <c r="CC392" t="s">
        <v>222</v>
      </c>
      <c r="CD392">
        <v>3201</v>
      </c>
      <c r="CE392" t="s">
        <v>96</v>
      </c>
      <c r="CF392" s="3">
        <v>43805</v>
      </c>
      <c r="CI392">
        <v>1</v>
      </c>
      <c r="CJ392">
        <v>1</v>
      </c>
      <c r="CK392">
        <v>21</v>
      </c>
      <c r="CL392" t="s">
        <v>89</v>
      </c>
    </row>
    <row r="393" spans="1:90">
      <c r="A393" t="s">
        <v>72</v>
      </c>
      <c r="B393" t="s">
        <v>73</v>
      </c>
      <c r="C393" t="s">
        <v>74</v>
      </c>
      <c r="E393" t="str">
        <f>"FES1162726824"</f>
        <v>FES1162726824</v>
      </c>
      <c r="F393" s="3">
        <v>43803</v>
      </c>
      <c r="G393">
        <v>202006</v>
      </c>
      <c r="H393" t="s">
        <v>75</v>
      </c>
      <c r="I393" t="s">
        <v>76</v>
      </c>
      <c r="J393" t="s">
        <v>77</v>
      </c>
      <c r="K393" t="s">
        <v>78</v>
      </c>
      <c r="L393" t="s">
        <v>404</v>
      </c>
      <c r="M393" t="s">
        <v>405</v>
      </c>
      <c r="N393" t="s">
        <v>406</v>
      </c>
      <c r="O393" t="s">
        <v>82</v>
      </c>
      <c r="P393" t="str">
        <f>"2170715234                    "</f>
        <v xml:space="preserve">2170715234                    </v>
      </c>
      <c r="Q393">
        <v>0</v>
      </c>
      <c r="R393">
        <v>0</v>
      </c>
      <c r="S393">
        <v>0</v>
      </c>
      <c r="T393">
        <v>0</v>
      </c>
      <c r="U393">
        <v>0</v>
      </c>
      <c r="V393">
        <v>0</v>
      </c>
      <c r="W393">
        <v>0</v>
      </c>
      <c r="X393">
        <v>0</v>
      </c>
      <c r="Y393">
        <v>0</v>
      </c>
      <c r="Z393">
        <v>0</v>
      </c>
      <c r="AA393">
        <v>0</v>
      </c>
      <c r="AB393">
        <v>0</v>
      </c>
      <c r="AC393">
        <v>0</v>
      </c>
      <c r="AD393">
        <v>0</v>
      </c>
      <c r="AE393">
        <v>0</v>
      </c>
      <c r="AF393">
        <v>0</v>
      </c>
      <c r="AG393">
        <v>0</v>
      </c>
      <c r="AH393">
        <v>0</v>
      </c>
      <c r="AI393">
        <v>0</v>
      </c>
      <c r="AJ393">
        <v>0</v>
      </c>
      <c r="AK393">
        <v>0</v>
      </c>
      <c r="AL393">
        <v>0</v>
      </c>
      <c r="AM393">
        <v>45.04</v>
      </c>
      <c r="AN393">
        <v>0</v>
      </c>
      <c r="AO393">
        <v>0</v>
      </c>
      <c r="AP393">
        <v>0</v>
      </c>
      <c r="AQ393">
        <v>0</v>
      </c>
      <c r="AR393">
        <v>0</v>
      </c>
      <c r="AS393">
        <v>0</v>
      </c>
      <c r="AT393">
        <v>0</v>
      </c>
      <c r="AU393">
        <v>0</v>
      </c>
      <c r="AV393">
        <v>0</v>
      </c>
      <c r="AW393">
        <v>0</v>
      </c>
      <c r="AX393">
        <v>0</v>
      </c>
      <c r="AY393">
        <v>0</v>
      </c>
      <c r="AZ393">
        <v>0</v>
      </c>
      <c r="BA393">
        <v>0</v>
      </c>
      <c r="BB393">
        <v>0</v>
      </c>
      <c r="BC393">
        <v>0</v>
      </c>
      <c r="BD393">
        <v>0</v>
      </c>
      <c r="BE393">
        <v>0</v>
      </c>
      <c r="BF393">
        <v>0</v>
      </c>
      <c r="BG393">
        <v>0</v>
      </c>
      <c r="BH393">
        <v>1</v>
      </c>
      <c r="BI393">
        <v>10.199999999999999</v>
      </c>
      <c r="BJ393">
        <v>4.5999999999999996</v>
      </c>
      <c r="BK393">
        <v>10.5</v>
      </c>
      <c r="BL393" s="4">
        <v>264.73</v>
      </c>
      <c r="BM393" s="4">
        <v>39.71</v>
      </c>
      <c r="BN393" s="4">
        <v>304.44</v>
      </c>
      <c r="BO393" s="4">
        <v>304.44</v>
      </c>
      <c r="BQ393" t="s">
        <v>93</v>
      </c>
      <c r="BR393" t="s">
        <v>84</v>
      </c>
      <c r="BS393" s="3">
        <v>43804</v>
      </c>
      <c r="BT393" s="5">
        <v>0.3833333333333333</v>
      </c>
      <c r="BU393" t="s">
        <v>748</v>
      </c>
      <c r="BV393" t="s">
        <v>86</v>
      </c>
      <c r="BY393">
        <v>23005.59</v>
      </c>
      <c r="CA393" t="s">
        <v>408</v>
      </c>
      <c r="CC393" t="s">
        <v>405</v>
      </c>
      <c r="CD393">
        <v>4026</v>
      </c>
      <c r="CE393" t="s">
        <v>116</v>
      </c>
      <c r="CF393" s="3">
        <v>43805</v>
      </c>
      <c r="CI393">
        <v>1</v>
      </c>
      <c r="CJ393">
        <v>1</v>
      </c>
      <c r="CK393">
        <v>21</v>
      </c>
      <c r="CL393" t="s">
        <v>89</v>
      </c>
    </row>
    <row r="394" spans="1:90">
      <c r="A394" t="s">
        <v>72</v>
      </c>
      <c r="B394" t="s">
        <v>73</v>
      </c>
      <c r="C394" t="s">
        <v>74</v>
      </c>
      <c r="E394" t="str">
        <f>"FES1162726690"</f>
        <v>FES1162726690</v>
      </c>
      <c r="F394" s="3">
        <v>43803</v>
      </c>
      <c r="G394">
        <v>202006</v>
      </c>
      <c r="H394" t="s">
        <v>75</v>
      </c>
      <c r="I394" t="s">
        <v>76</v>
      </c>
      <c r="J394" t="s">
        <v>77</v>
      </c>
      <c r="K394" t="s">
        <v>78</v>
      </c>
      <c r="L394" t="s">
        <v>240</v>
      </c>
      <c r="M394" t="s">
        <v>241</v>
      </c>
      <c r="N394" t="s">
        <v>242</v>
      </c>
      <c r="O394" t="s">
        <v>82</v>
      </c>
      <c r="P394" t="str">
        <f>"2170718121                    "</f>
        <v xml:space="preserve">2170718121                    </v>
      </c>
      <c r="Q394">
        <v>0</v>
      </c>
      <c r="R394">
        <v>0</v>
      </c>
      <c r="S394">
        <v>0</v>
      </c>
      <c r="T394">
        <v>0</v>
      </c>
      <c r="U394">
        <v>0</v>
      </c>
      <c r="V394">
        <v>0</v>
      </c>
      <c r="W394">
        <v>0</v>
      </c>
      <c r="X394">
        <v>0</v>
      </c>
      <c r="Y394">
        <v>0</v>
      </c>
      <c r="Z394">
        <v>0</v>
      </c>
      <c r="AA394">
        <v>0</v>
      </c>
      <c r="AB394">
        <v>0</v>
      </c>
      <c r="AC394">
        <v>0</v>
      </c>
      <c r="AD394">
        <v>0</v>
      </c>
      <c r="AE394">
        <v>0</v>
      </c>
      <c r="AF394">
        <v>0</v>
      </c>
      <c r="AG394">
        <v>0</v>
      </c>
      <c r="AH394">
        <v>0</v>
      </c>
      <c r="AI394">
        <v>0</v>
      </c>
      <c r="AJ394">
        <v>0</v>
      </c>
      <c r="AK394">
        <v>0</v>
      </c>
      <c r="AL394">
        <v>0</v>
      </c>
      <c r="AM394">
        <v>10.73</v>
      </c>
      <c r="AN394">
        <v>0</v>
      </c>
      <c r="AO394">
        <v>0</v>
      </c>
      <c r="AP394">
        <v>0</v>
      </c>
      <c r="AQ394">
        <v>0</v>
      </c>
      <c r="AR394">
        <v>0</v>
      </c>
      <c r="AS394">
        <v>0</v>
      </c>
      <c r="AT394">
        <v>0</v>
      </c>
      <c r="AU394">
        <v>0</v>
      </c>
      <c r="AV394">
        <v>0</v>
      </c>
      <c r="AW394">
        <v>0</v>
      </c>
      <c r="AX394">
        <v>0</v>
      </c>
      <c r="AY394">
        <v>0</v>
      </c>
      <c r="AZ394">
        <v>0</v>
      </c>
      <c r="BA394">
        <v>0</v>
      </c>
      <c r="BB394">
        <v>0</v>
      </c>
      <c r="BC394">
        <v>0</v>
      </c>
      <c r="BD394">
        <v>0</v>
      </c>
      <c r="BE394">
        <v>0</v>
      </c>
      <c r="BF394">
        <v>0</v>
      </c>
      <c r="BG394">
        <v>0</v>
      </c>
      <c r="BH394">
        <v>1</v>
      </c>
      <c r="BI394">
        <v>2.4</v>
      </c>
      <c r="BJ394">
        <v>1.6</v>
      </c>
      <c r="BK394">
        <v>2.5</v>
      </c>
      <c r="BL394" s="4">
        <v>63.06</v>
      </c>
      <c r="BM394" s="4">
        <v>9.4600000000000009</v>
      </c>
      <c r="BN394" s="4">
        <v>72.52</v>
      </c>
      <c r="BO394" s="4">
        <v>72.52</v>
      </c>
      <c r="BQ394" t="s">
        <v>147</v>
      </c>
      <c r="BR394" t="s">
        <v>84</v>
      </c>
      <c r="BS394" s="3">
        <v>43804</v>
      </c>
      <c r="BT394" s="5">
        <v>0.38263888888888892</v>
      </c>
      <c r="BU394" t="s">
        <v>848</v>
      </c>
      <c r="BV394" t="s">
        <v>86</v>
      </c>
      <c r="BY394">
        <v>8010.45</v>
      </c>
      <c r="CA394" t="s">
        <v>244</v>
      </c>
      <c r="CC394" t="s">
        <v>241</v>
      </c>
      <c r="CD394">
        <v>4126</v>
      </c>
      <c r="CE394" t="s">
        <v>96</v>
      </c>
      <c r="CF394" s="3">
        <v>43805</v>
      </c>
      <c r="CI394">
        <v>1</v>
      </c>
      <c r="CJ394">
        <v>1</v>
      </c>
      <c r="CK394">
        <v>21</v>
      </c>
      <c r="CL394" t="s">
        <v>89</v>
      </c>
    </row>
    <row r="395" spans="1:90">
      <c r="A395" t="s">
        <v>72</v>
      </c>
      <c r="B395" t="s">
        <v>73</v>
      </c>
      <c r="C395" t="s">
        <v>74</v>
      </c>
      <c r="E395" t="str">
        <f>"FES1162726712"</f>
        <v>FES1162726712</v>
      </c>
      <c r="F395" s="3">
        <v>43803</v>
      </c>
      <c r="G395">
        <v>202006</v>
      </c>
      <c r="H395" t="s">
        <v>75</v>
      </c>
      <c r="I395" t="s">
        <v>76</v>
      </c>
      <c r="J395" t="s">
        <v>77</v>
      </c>
      <c r="K395" t="s">
        <v>78</v>
      </c>
      <c r="L395" t="s">
        <v>849</v>
      </c>
      <c r="M395" t="s">
        <v>850</v>
      </c>
      <c r="N395" t="s">
        <v>851</v>
      </c>
      <c r="O395" t="s">
        <v>82</v>
      </c>
      <c r="P395" t="str">
        <f>"2170710136                    "</f>
        <v xml:space="preserve">2170710136                    </v>
      </c>
      <c r="Q395">
        <v>0</v>
      </c>
      <c r="R395">
        <v>0</v>
      </c>
      <c r="S395">
        <v>0</v>
      </c>
      <c r="T395">
        <v>0</v>
      </c>
      <c r="U395">
        <v>0</v>
      </c>
      <c r="V395">
        <v>0</v>
      </c>
      <c r="W395">
        <v>0</v>
      </c>
      <c r="X395">
        <v>0</v>
      </c>
      <c r="Y395">
        <v>0</v>
      </c>
      <c r="Z395">
        <v>0</v>
      </c>
      <c r="AA395">
        <v>0</v>
      </c>
      <c r="AB395">
        <v>0</v>
      </c>
      <c r="AC395">
        <v>0</v>
      </c>
      <c r="AD395">
        <v>0</v>
      </c>
      <c r="AE395">
        <v>0</v>
      </c>
      <c r="AF395">
        <v>0</v>
      </c>
      <c r="AG395">
        <v>0</v>
      </c>
      <c r="AH395">
        <v>0</v>
      </c>
      <c r="AI395">
        <v>0</v>
      </c>
      <c r="AJ395">
        <v>0</v>
      </c>
      <c r="AK395">
        <v>0</v>
      </c>
      <c r="AL395">
        <v>0</v>
      </c>
      <c r="AM395">
        <v>8.58</v>
      </c>
      <c r="AN395">
        <v>0</v>
      </c>
      <c r="AO395">
        <v>0</v>
      </c>
      <c r="AP395">
        <v>0</v>
      </c>
      <c r="AQ395">
        <v>0</v>
      </c>
      <c r="AR395">
        <v>0</v>
      </c>
      <c r="AS395">
        <v>0</v>
      </c>
      <c r="AT395">
        <v>0</v>
      </c>
      <c r="AU395">
        <v>0</v>
      </c>
      <c r="AV395">
        <v>0</v>
      </c>
      <c r="AW395">
        <v>0</v>
      </c>
      <c r="AX395">
        <v>0</v>
      </c>
      <c r="AY395">
        <v>0</v>
      </c>
      <c r="AZ395">
        <v>0</v>
      </c>
      <c r="BA395">
        <v>0</v>
      </c>
      <c r="BB395">
        <v>0</v>
      </c>
      <c r="BC395">
        <v>0</v>
      </c>
      <c r="BD395">
        <v>0</v>
      </c>
      <c r="BE395">
        <v>0</v>
      </c>
      <c r="BF395">
        <v>0</v>
      </c>
      <c r="BG395">
        <v>0</v>
      </c>
      <c r="BH395">
        <v>1</v>
      </c>
      <c r="BI395">
        <v>1.3</v>
      </c>
      <c r="BJ395">
        <v>1.3</v>
      </c>
      <c r="BK395">
        <v>1.5</v>
      </c>
      <c r="BL395" s="4">
        <v>50.45</v>
      </c>
      <c r="BM395" s="4">
        <v>7.57</v>
      </c>
      <c r="BN395" s="4">
        <v>58.02</v>
      </c>
      <c r="BO395" s="4">
        <v>58.02</v>
      </c>
      <c r="BQ395" t="s">
        <v>147</v>
      </c>
      <c r="BR395" t="s">
        <v>84</v>
      </c>
      <c r="BS395" s="3">
        <v>43804</v>
      </c>
      <c r="BT395" s="5">
        <v>0.49861111111111112</v>
      </c>
      <c r="BU395" t="s">
        <v>852</v>
      </c>
      <c r="BV395" t="s">
        <v>86</v>
      </c>
      <c r="BY395">
        <v>6289.52</v>
      </c>
      <c r="CA395" t="s">
        <v>853</v>
      </c>
      <c r="CC395" t="s">
        <v>850</v>
      </c>
      <c r="CD395">
        <v>3290</v>
      </c>
      <c r="CE395" t="s">
        <v>96</v>
      </c>
      <c r="CF395" s="3">
        <v>43805</v>
      </c>
      <c r="CI395">
        <v>1</v>
      </c>
      <c r="CJ395">
        <v>1</v>
      </c>
      <c r="CK395">
        <v>21</v>
      </c>
      <c r="CL395" t="s">
        <v>89</v>
      </c>
    </row>
    <row r="396" spans="1:90">
      <c r="A396" t="s">
        <v>72</v>
      </c>
      <c r="B396" t="s">
        <v>73</v>
      </c>
      <c r="C396" t="s">
        <v>74</v>
      </c>
      <c r="E396" t="str">
        <f>"FES1162726733"</f>
        <v>FES1162726733</v>
      </c>
      <c r="F396" s="3">
        <v>43803</v>
      </c>
      <c r="G396">
        <v>202006</v>
      </c>
      <c r="H396" t="s">
        <v>75</v>
      </c>
      <c r="I396" t="s">
        <v>76</v>
      </c>
      <c r="J396" t="s">
        <v>77</v>
      </c>
      <c r="K396" t="s">
        <v>78</v>
      </c>
      <c r="L396" t="s">
        <v>90</v>
      </c>
      <c r="M396" t="s">
        <v>91</v>
      </c>
      <c r="N396" t="s">
        <v>854</v>
      </c>
      <c r="O396" t="s">
        <v>82</v>
      </c>
      <c r="P396" t="str">
        <f>"2170720165                    "</f>
        <v xml:space="preserve">2170720165                    </v>
      </c>
      <c r="Q396">
        <v>0</v>
      </c>
      <c r="R396">
        <v>0</v>
      </c>
      <c r="S396">
        <v>0</v>
      </c>
      <c r="T396">
        <v>0</v>
      </c>
      <c r="U396">
        <v>0</v>
      </c>
      <c r="V396">
        <v>0</v>
      </c>
      <c r="W396">
        <v>0</v>
      </c>
      <c r="X396">
        <v>0</v>
      </c>
      <c r="Y396">
        <v>0</v>
      </c>
      <c r="Z396">
        <v>0</v>
      </c>
      <c r="AA396">
        <v>0</v>
      </c>
      <c r="AB396">
        <v>0</v>
      </c>
      <c r="AC396">
        <v>0</v>
      </c>
      <c r="AD396">
        <v>0</v>
      </c>
      <c r="AE396">
        <v>0</v>
      </c>
      <c r="AF396">
        <v>0</v>
      </c>
      <c r="AG396">
        <v>0</v>
      </c>
      <c r="AH396">
        <v>0</v>
      </c>
      <c r="AI396">
        <v>0</v>
      </c>
      <c r="AJ396">
        <v>0</v>
      </c>
      <c r="AK396">
        <v>0</v>
      </c>
      <c r="AL396">
        <v>0</v>
      </c>
      <c r="AM396">
        <v>8.58</v>
      </c>
      <c r="AN396">
        <v>0</v>
      </c>
      <c r="AO396">
        <v>0</v>
      </c>
      <c r="AP396">
        <v>0</v>
      </c>
      <c r="AQ396">
        <v>0</v>
      </c>
      <c r="AR396">
        <v>0</v>
      </c>
      <c r="AS396">
        <v>0</v>
      </c>
      <c r="AT396">
        <v>0</v>
      </c>
      <c r="AU396">
        <v>0</v>
      </c>
      <c r="AV396">
        <v>0</v>
      </c>
      <c r="AW396">
        <v>0</v>
      </c>
      <c r="AX396">
        <v>0</v>
      </c>
      <c r="AY396">
        <v>0</v>
      </c>
      <c r="AZ396">
        <v>0</v>
      </c>
      <c r="BA396">
        <v>0</v>
      </c>
      <c r="BB396">
        <v>0</v>
      </c>
      <c r="BC396">
        <v>0</v>
      </c>
      <c r="BD396">
        <v>0</v>
      </c>
      <c r="BE396">
        <v>0</v>
      </c>
      <c r="BF396">
        <v>0</v>
      </c>
      <c r="BG396">
        <v>0</v>
      </c>
      <c r="BH396">
        <v>1</v>
      </c>
      <c r="BI396">
        <v>1</v>
      </c>
      <c r="BJ396">
        <v>0.2</v>
      </c>
      <c r="BK396">
        <v>1</v>
      </c>
      <c r="BL396" s="4">
        <v>50.45</v>
      </c>
      <c r="BM396" s="4">
        <v>7.57</v>
      </c>
      <c r="BN396" s="4">
        <v>58.02</v>
      </c>
      <c r="BO396" s="4">
        <v>58.02</v>
      </c>
      <c r="BQ396" t="s">
        <v>172</v>
      </c>
      <c r="BR396" t="s">
        <v>84</v>
      </c>
      <c r="BS396" s="3">
        <v>43804</v>
      </c>
      <c r="BT396" s="5">
        <v>0.38541666666666669</v>
      </c>
      <c r="BU396" t="s">
        <v>855</v>
      </c>
      <c r="BV396" t="s">
        <v>86</v>
      </c>
      <c r="BY396">
        <v>1200</v>
      </c>
      <c r="CA396" t="s">
        <v>532</v>
      </c>
      <c r="CC396" t="s">
        <v>91</v>
      </c>
      <c r="CD396">
        <v>7405</v>
      </c>
      <c r="CE396" t="s">
        <v>88</v>
      </c>
      <c r="CF396" s="3">
        <v>43805</v>
      </c>
      <c r="CI396">
        <v>1</v>
      </c>
      <c r="CJ396">
        <v>1</v>
      </c>
      <c r="CK396">
        <v>21</v>
      </c>
      <c r="CL396" t="s">
        <v>89</v>
      </c>
    </row>
    <row r="397" spans="1:90">
      <c r="A397" t="s">
        <v>72</v>
      </c>
      <c r="B397" t="s">
        <v>73</v>
      </c>
      <c r="C397" t="s">
        <v>74</v>
      </c>
      <c r="E397" t="str">
        <f>"FES1162726686"</f>
        <v>FES1162726686</v>
      </c>
      <c r="F397" s="3">
        <v>43803</v>
      </c>
      <c r="G397">
        <v>202006</v>
      </c>
      <c r="H397" t="s">
        <v>75</v>
      </c>
      <c r="I397" t="s">
        <v>76</v>
      </c>
      <c r="J397" t="s">
        <v>77</v>
      </c>
      <c r="K397" t="s">
        <v>78</v>
      </c>
      <c r="L397" t="s">
        <v>90</v>
      </c>
      <c r="M397" t="s">
        <v>91</v>
      </c>
      <c r="N397" t="s">
        <v>856</v>
      </c>
      <c r="O397" t="s">
        <v>82</v>
      </c>
      <c r="P397" t="str">
        <f>"2170718107                    "</f>
        <v xml:space="preserve">2170718107                    </v>
      </c>
      <c r="Q397">
        <v>0</v>
      </c>
      <c r="R397">
        <v>0</v>
      </c>
      <c r="S397">
        <v>0</v>
      </c>
      <c r="T397">
        <v>0</v>
      </c>
      <c r="U397">
        <v>0</v>
      </c>
      <c r="V397">
        <v>0</v>
      </c>
      <c r="W397">
        <v>0</v>
      </c>
      <c r="X397">
        <v>0</v>
      </c>
      <c r="Y397">
        <v>0</v>
      </c>
      <c r="Z397">
        <v>0</v>
      </c>
      <c r="AA397">
        <v>0</v>
      </c>
      <c r="AB397">
        <v>0</v>
      </c>
      <c r="AC397">
        <v>0</v>
      </c>
      <c r="AD397">
        <v>0</v>
      </c>
      <c r="AE397">
        <v>0</v>
      </c>
      <c r="AF397">
        <v>0</v>
      </c>
      <c r="AG397">
        <v>0</v>
      </c>
      <c r="AH397">
        <v>0</v>
      </c>
      <c r="AI397">
        <v>0</v>
      </c>
      <c r="AJ397">
        <v>0</v>
      </c>
      <c r="AK397">
        <v>0</v>
      </c>
      <c r="AL397">
        <v>0</v>
      </c>
      <c r="AM397">
        <v>8.58</v>
      </c>
      <c r="AN397">
        <v>0</v>
      </c>
      <c r="AO397">
        <v>0</v>
      </c>
      <c r="AP397">
        <v>0</v>
      </c>
      <c r="AQ397">
        <v>0</v>
      </c>
      <c r="AR397">
        <v>0</v>
      </c>
      <c r="AS397">
        <v>0</v>
      </c>
      <c r="AT397">
        <v>0</v>
      </c>
      <c r="AU397">
        <v>0</v>
      </c>
      <c r="AV397">
        <v>0</v>
      </c>
      <c r="AW397">
        <v>0</v>
      </c>
      <c r="AX397">
        <v>0</v>
      </c>
      <c r="AY397">
        <v>0</v>
      </c>
      <c r="AZ397">
        <v>0</v>
      </c>
      <c r="BA397">
        <v>0</v>
      </c>
      <c r="BB397">
        <v>0</v>
      </c>
      <c r="BC397">
        <v>0</v>
      </c>
      <c r="BD397">
        <v>0</v>
      </c>
      <c r="BE397">
        <v>0</v>
      </c>
      <c r="BF397">
        <v>0</v>
      </c>
      <c r="BG397">
        <v>0</v>
      </c>
      <c r="BH397">
        <v>1</v>
      </c>
      <c r="BI397">
        <v>1</v>
      </c>
      <c r="BJ397">
        <v>0.2</v>
      </c>
      <c r="BK397">
        <v>1</v>
      </c>
      <c r="BL397" s="4">
        <v>50.45</v>
      </c>
      <c r="BM397" s="4">
        <v>7.57</v>
      </c>
      <c r="BN397" s="4">
        <v>58.02</v>
      </c>
      <c r="BO397" s="4">
        <v>58.02</v>
      </c>
      <c r="BQ397" t="s">
        <v>93</v>
      </c>
      <c r="BR397" t="s">
        <v>84</v>
      </c>
      <c r="BS397" s="3">
        <v>43804</v>
      </c>
      <c r="BT397" s="5">
        <v>0.39513888888888887</v>
      </c>
      <c r="BU397" t="s">
        <v>857</v>
      </c>
      <c r="BV397" t="s">
        <v>86</v>
      </c>
      <c r="BY397">
        <v>1200</v>
      </c>
      <c r="CA397" t="s">
        <v>209</v>
      </c>
      <c r="CC397" t="s">
        <v>91</v>
      </c>
      <c r="CD397">
        <v>7441</v>
      </c>
      <c r="CE397" t="s">
        <v>88</v>
      </c>
      <c r="CF397" s="3">
        <v>43805</v>
      </c>
      <c r="CI397">
        <v>1</v>
      </c>
      <c r="CJ397">
        <v>1</v>
      </c>
      <c r="CK397">
        <v>21</v>
      </c>
      <c r="CL397" t="s">
        <v>89</v>
      </c>
    </row>
    <row r="398" spans="1:90">
      <c r="A398" t="s">
        <v>72</v>
      </c>
      <c r="B398" t="s">
        <v>73</v>
      </c>
      <c r="C398" t="s">
        <v>74</v>
      </c>
      <c r="E398" t="str">
        <f>"FES1162726621"</f>
        <v>FES1162726621</v>
      </c>
      <c r="F398" s="3">
        <v>43803</v>
      </c>
      <c r="G398">
        <v>202006</v>
      </c>
      <c r="H398" t="s">
        <v>75</v>
      </c>
      <c r="I398" t="s">
        <v>76</v>
      </c>
      <c r="J398" t="s">
        <v>77</v>
      </c>
      <c r="K398" t="s">
        <v>78</v>
      </c>
      <c r="L398" t="s">
        <v>308</v>
      </c>
      <c r="M398" t="s">
        <v>308</v>
      </c>
      <c r="N398" t="s">
        <v>858</v>
      </c>
      <c r="O398" t="s">
        <v>82</v>
      </c>
      <c r="P398" t="str">
        <f>"2170720087                    "</f>
        <v xml:space="preserve">2170720087                    </v>
      </c>
      <c r="Q398">
        <v>0</v>
      </c>
      <c r="R398">
        <v>0</v>
      </c>
      <c r="S398">
        <v>0</v>
      </c>
      <c r="T398">
        <v>0</v>
      </c>
      <c r="U398">
        <v>0</v>
      </c>
      <c r="V398">
        <v>0</v>
      </c>
      <c r="W398">
        <v>0</v>
      </c>
      <c r="X398">
        <v>0</v>
      </c>
      <c r="Y398">
        <v>0</v>
      </c>
      <c r="Z398">
        <v>0</v>
      </c>
      <c r="AA398">
        <v>0</v>
      </c>
      <c r="AB398">
        <v>0</v>
      </c>
      <c r="AC398">
        <v>0</v>
      </c>
      <c r="AD398">
        <v>0</v>
      </c>
      <c r="AE398">
        <v>0</v>
      </c>
      <c r="AF398">
        <v>0</v>
      </c>
      <c r="AG398">
        <v>0</v>
      </c>
      <c r="AH398">
        <v>0</v>
      </c>
      <c r="AI398">
        <v>0</v>
      </c>
      <c r="AJ398">
        <v>0</v>
      </c>
      <c r="AK398">
        <v>0</v>
      </c>
      <c r="AL398">
        <v>0</v>
      </c>
      <c r="AM398">
        <v>16.63</v>
      </c>
      <c r="AN398">
        <v>0</v>
      </c>
      <c r="AO398">
        <v>0</v>
      </c>
      <c r="AP398">
        <v>0</v>
      </c>
      <c r="AQ398">
        <v>0</v>
      </c>
      <c r="AR398">
        <v>0</v>
      </c>
      <c r="AS398">
        <v>0</v>
      </c>
      <c r="AT398">
        <v>0</v>
      </c>
      <c r="AU398">
        <v>0</v>
      </c>
      <c r="AV398">
        <v>0</v>
      </c>
      <c r="AW398">
        <v>0</v>
      </c>
      <c r="AX398">
        <v>0</v>
      </c>
      <c r="AY398">
        <v>0</v>
      </c>
      <c r="AZ398">
        <v>0</v>
      </c>
      <c r="BA398">
        <v>0</v>
      </c>
      <c r="BB398">
        <v>0</v>
      </c>
      <c r="BC398">
        <v>0</v>
      </c>
      <c r="BD398">
        <v>0</v>
      </c>
      <c r="BE398">
        <v>0</v>
      </c>
      <c r="BF398">
        <v>0</v>
      </c>
      <c r="BG398">
        <v>0</v>
      </c>
      <c r="BH398">
        <v>1</v>
      </c>
      <c r="BI398">
        <v>1</v>
      </c>
      <c r="BJ398">
        <v>0.2</v>
      </c>
      <c r="BK398">
        <v>1</v>
      </c>
      <c r="BL398" s="4">
        <v>97.75</v>
      </c>
      <c r="BM398" s="4">
        <v>14.66</v>
      </c>
      <c r="BN398" s="4">
        <v>112.41</v>
      </c>
      <c r="BO398" s="4">
        <v>112.41</v>
      </c>
      <c r="BR398" t="s">
        <v>84</v>
      </c>
      <c r="BS398" s="3">
        <v>43804</v>
      </c>
      <c r="BT398" s="5">
        <v>0.48194444444444445</v>
      </c>
      <c r="BU398" t="s">
        <v>859</v>
      </c>
      <c r="BV398" t="s">
        <v>86</v>
      </c>
      <c r="BY398">
        <v>1200</v>
      </c>
      <c r="CA398" t="s">
        <v>311</v>
      </c>
      <c r="CC398" t="s">
        <v>308</v>
      </c>
      <c r="CD398">
        <v>7646</v>
      </c>
      <c r="CE398" t="s">
        <v>88</v>
      </c>
      <c r="CF398" s="3">
        <v>43805</v>
      </c>
      <c r="CI398">
        <v>1</v>
      </c>
      <c r="CJ398">
        <v>1</v>
      </c>
      <c r="CK398">
        <v>23</v>
      </c>
      <c r="CL398" t="s">
        <v>89</v>
      </c>
    </row>
    <row r="399" spans="1:90">
      <c r="A399" t="s">
        <v>72</v>
      </c>
      <c r="B399" t="s">
        <v>73</v>
      </c>
      <c r="C399" t="s">
        <v>74</v>
      </c>
      <c r="E399" t="str">
        <f>"FES1162726672"</f>
        <v>FES1162726672</v>
      </c>
      <c r="F399" s="3">
        <v>43803</v>
      </c>
      <c r="G399">
        <v>202006</v>
      </c>
      <c r="H399" t="s">
        <v>75</v>
      </c>
      <c r="I399" t="s">
        <v>76</v>
      </c>
      <c r="J399" t="s">
        <v>77</v>
      </c>
      <c r="K399" t="s">
        <v>78</v>
      </c>
      <c r="L399" t="s">
        <v>860</v>
      </c>
      <c r="M399" t="s">
        <v>861</v>
      </c>
      <c r="N399" t="s">
        <v>862</v>
      </c>
      <c r="O399" t="s">
        <v>82</v>
      </c>
      <c r="P399" t="str">
        <f>"2170718002                    "</f>
        <v xml:space="preserve">2170718002                    </v>
      </c>
      <c r="Q399">
        <v>0</v>
      </c>
      <c r="R399">
        <v>0</v>
      </c>
      <c r="S399">
        <v>0</v>
      </c>
      <c r="T399">
        <v>0</v>
      </c>
      <c r="U399">
        <v>0</v>
      </c>
      <c r="V399">
        <v>0</v>
      </c>
      <c r="W399">
        <v>0</v>
      </c>
      <c r="X399">
        <v>0</v>
      </c>
      <c r="Y399">
        <v>0</v>
      </c>
      <c r="Z399">
        <v>0</v>
      </c>
      <c r="AA399">
        <v>0</v>
      </c>
      <c r="AB399">
        <v>0</v>
      </c>
      <c r="AC399">
        <v>0</v>
      </c>
      <c r="AD399">
        <v>0</v>
      </c>
      <c r="AE399">
        <v>0</v>
      </c>
      <c r="AF399">
        <v>0</v>
      </c>
      <c r="AG399">
        <v>0</v>
      </c>
      <c r="AH399">
        <v>0</v>
      </c>
      <c r="AI399">
        <v>0</v>
      </c>
      <c r="AJ399">
        <v>0</v>
      </c>
      <c r="AK399">
        <v>0</v>
      </c>
      <c r="AL399">
        <v>0</v>
      </c>
      <c r="AM399">
        <v>19.559999999999999</v>
      </c>
      <c r="AN399">
        <v>0</v>
      </c>
      <c r="AO399">
        <v>0</v>
      </c>
      <c r="AP399">
        <v>0</v>
      </c>
      <c r="AQ399">
        <v>0</v>
      </c>
      <c r="AR399">
        <v>0</v>
      </c>
      <c r="AS399">
        <v>0</v>
      </c>
      <c r="AT399">
        <v>0</v>
      </c>
      <c r="AU399">
        <v>0</v>
      </c>
      <c r="AV399">
        <v>0</v>
      </c>
      <c r="AW399">
        <v>0</v>
      </c>
      <c r="AX399">
        <v>0</v>
      </c>
      <c r="AY399">
        <v>0</v>
      </c>
      <c r="AZ399">
        <v>0</v>
      </c>
      <c r="BA399">
        <v>0</v>
      </c>
      <c r="BB399">
        <v>0</v>
      </c>
      <c r="BC399">
        <v>0</v>
      </c>
      <c r="BD399">
        <v>0</v>
      </c>
      <c r="BE399">
        <v>0</v>
      </c>
      <c r="BF399">
        <v>0</v>
      </c>
      <c r="BG399">
        <v>0</v>
      </c>
      <c r="BH399">
        <v>1</v>
      </c>
      <c r="BI399">
        <v>9.8000000000000007</v>
      </c>
      <c r="BJ399">
        <v>1.7</v>
      </c>
      <c r="BK399">
        <v>10</v>
      </c>
      <c r="BL399" s="4">
        <v>114.99</v>
      </c>
      <c r="BM399" s="4">
        <v>17.25</v>
      </c>
      <c r="BN399" s="4">
        <v>132.24</v>
      </c>
      <c r="BO399" s="4">
        <v>132.24</v>
      </c>
      <c r="BQ399" t="s">
        <v>93</v>
      </c>
      <c r="BR399" t="s">
        <v>84</v>
      </c>
      <c r="BS399" s="3">
        <v>43804</v>
      </c>
      <c r="BT399" s="5">
        <v>0.35416666666666669</v>
      </c>
      <c r="BU399" t="s">
        <v>863</v>
      </c>
      <c r="BV399" t="s">
        <v>86</v>
      </c>
      <c r="BY399">
        <v>8381.9</v>
      </c>
      <c r="CC399" t="s">
        <v>861</v>
      </c>
      <c r="CD399">
        <v>2162</v>
      </c>
      <c r="CE399" t="s">
        <v>96</v>
      </c>
      <c r="CF399" s="3">
        <v>43805</v>
      </c>
      <c r="CI399">
        <v>1</v>
      </c>
      <c r="CJ399">
        <v>1</v>
      </c>
      <c r="CK399">
        <v>22</v>
      </c>
      <c r="CL399" t="s">
        <v>89</v>
      </c>
    </row>
    <row r="400" spans="1:90">
      <c r="A400" t="s">
        <v>72</v>
      </c>
      <c r="B400" t="s">
        <v>73</v>
      </c>
      <c r="C400" t="s">
        <v>74</v>
      </c>
      <c r="E400" t="str">
        <f>"FES1162726491"</f>
        <v>FES1162726491</v>
      </c>
      <c r="F400" s="3">
        <v>43803</v>
      </c>
      <c r="G400">
        <v>202006</v>
      </c>
      <c r="H400" t="s">
        <v>75</v>
      </c>
      <c r="I400" t="s">
        <v>76</v>
      </c>
      <c r="J400" t="s">
        <v>77</v>
      </c>
      <c r="K400" t="s">
        <v>78</v>
      </c>
      <c r="L400" t="s">
        <v>332</v>
      </c>
      <c r="M400" t="s">
        <v>333</v>
      </c>
      <c r="N400" t="s">
        <v>701</v>
      </c>
      <c r="O400" t="s">
        <v>82</v>
      </c>
      <c r="P400" t="str">
        <f>"2170719926                    "</f>
        <v xml:space="preserve">2170719926                    </v>
      </c>
      <c r="Q400">
        <v>0</v>
      </c>
      <c r="R400">
        <v>0</v>
      </c>
      <c r="S400">
        <v>0</v>
      </c>
      <c r="T400">
        <v>0</v>
      </c>
      <c r="U400">
        <v>0</v>
      </c>
      <c r="V400">
        <v>0</v>
      </c>
      <c r="W400">
        <v>0</v>
      </c>
      <c r="X400">
        <v>0</v>
      </c>
      <c r="Y400">
        <v>0</v>
      </c>
      <c r="Z400">
        <v>0</v>
      </c>
      <c r="AA400">
        <v>0</v>
      </c>
      <c r="AB400">
        <v>0</v>
      </c>
      <c r="AC400">
        <v>0</v>
      </c>
      <c r="AD400">
        <v>0</v>
      </c>
      <c r="AE400">
        <v>0</v>
      </c>
      <c r="AF400">
        <v>0</v>
      </c>
      <c r="AG400">
        <v>0</v>
      </c>
      <c r="AH400">
        <v>0</v>
      </c>
      <c r="AI400">
        <v>0</v>
      </c>
      <c r="AJ400">
        <v>0</v>
      </c>
      <c r="AK400">
        <v>0</v>
      </c>
      <c r="AL400">
        <v>0</v>
      </c>
      <c r="AM400">
        <v>21.17</v>
      </c>
      <c r="AN400">
        <v>0</v>
      </c>
      <c r="AO400">
        <v>0</v>
      </c>
      <c r="AP400">
        <v>0</v>
      </c>
      <c r="AQ400">
        <v>0</v>
      </c>
      <c r="AR400">
        <v>0</v>
      </c>
      <c r="AS400">
        <v>0</v>
      </c>
      <c r="AT400">
        <v>0</v>
      </c>
      <c r="AU400">
        <v>0</v>
      </c>
      <c r="AV400">
        <v>0</v>
      </c>
      <c r="AW400">
        <v>0</v>
      </c>
      <c r="AX400">
        <v>0</v>
      </c>
      <c r="AY400">
        <v>0</v>
      </c>
      <c r="AZ400">
        <v>0</v>
      </c>
      <c r="BA400">
        <v>0</v>
      </c>
      <c r="BB400">
        <v>0</v>
      </c>
      <c r="BC400">
        <v>0</v>
      </c>
      <c r="BD400">
        <v>0</v>
      </c>
      <c r="BE400">
        <v>0</v>
      </c>
      <c r="BF400">
        <v>0</v>
      </c>
      <c r="BG400">
        <v>0</v>
      </c>
      <c r="BH400">
        <v>1</v>
      </c>
      <c r="BI400">
        <v>8.9</v>
      </c>
      <c r="BJ400">
        <v>10.6</v>
      </c>
      <c r="BK400">
        <v>11</v>
      </c>
      <c r="BL400" s="4">
        <v>124.44</v>
      </c>
      <c r="BM400" s="4">
        <v>18.670000000000002</v>
      </c>
      <c r="BN400" s="4">
        <v>143.11000000000001</v>
      </c>
      <c r="BO400" s="4">
        <v>143.11000000000001</v>
      </c>
      <c r="BQ400" t="s">
        <v>93</v>
      </c>
      <c r="BR400" t="s">
        <v>84</v>
      </c>
      <c r="BS400" s="3">
        <v>43804</v>
      </c>
      <c r="BT400" s="5">
        <v>0.39652777777777781</v>
      </c>
      <c r="BU400" t="s">
        <v>625</v>
      </c>
      <c r="BV400" t="s">
        <v>86</v>
      </c>
      <c r="BY400">
        <v>53063.5</v>
      </c>
      <c r="CC400" t="s">
        <v>333</v>
      </c>
      <c r="CD400">
        <v>2094</v>
      </c>
      <c r="CE400" t="s">
        <v>116</v>
      </c>
      <c r="CF400" s="3">
        <v>43805</v>
      </c>
      <c r="CI400">
        <v>1</v>
      </c>
      <c r="CJ400">
        <v>1</v>
      </c>
      <c r="CK400">
        <v>22</v>
      </c>
      <c r="CL400" t="s">
        <v>89</v>
      </c>
    </row>
    <row r="401" spans="1:90">
      <c r="A401" t="s">
        <v>72</v>
      </c>
      <c r="B401" t="s">
        <v>73</v>
      </c>
      <c r="C401" t="s">
        <v>74</v>
      </c>
      <c r="E401" t="str">
        <f>"FES1162729030"</f>
        <v>FES1162729030</v>
      </c>
      <c r="F401" s="3">
        <v>43818</v>
      </c>
      <c r="G401">
        <v>202006</v>
      </c>
      <c r="H401" t="s">
        <v>75</v>
      </c>
      <c r="I401" t="s">
        <v>76</v>
      </c>
      <c r="J401" t="s">
        <v>77</v>
      </c>
      <c r="K401" t="s">
        <v>78</v>
      </c>
      <c r="L401" t="s">
        <v>667</v>
      </c>
      <c r="M401" t="s">
        <v>668</v>
      </c>
      <c r="N401" t="s">
        <v>733</v>
      </c>
      <c r="O401" t="s">
        <v>82</v>
      </c>
      <c r="P401" t="str">
        <f>"2170718009                    "</f>
        <v xml:space="preserve">2170718009                    </v>
      </c>
      <c r="Q401">
        <v>0</v>
      </c>
      <c r="R401">
        <v>0</v>
      </c>
      <c r="S401">
        <v>0</v>
      </c>
      <c r="T401">
        <v>0</v>
      </c>
      <c r="U401">
        <v>0</v>
      </c>
      <c r="V401">
        <v>0</v>
      </c>
      <c r="W401">
        <v>0</v>
      </c>
      <c r="X401">
        <v>0</v>
      </c>
      <c r="Y401">
        <v>0</v>
      </c>
      <c r="Z401">
        <v>0</v>
      </c>
      <c r="AA401">
        <v>0</v>
      </c>
      <c r="AB401">
        <v>0</v>
      </c>
      <c r="AC401">
        <v>0</v>
      </c>
      <c r="AD401">
        <v>0</v>
      </c>
      <c r="AE401">
        <v>0</v>
      </c>
      <c r="AF401">
        <v>0</v>
      </c>
      <c r="AG401">
        <v>0</v>
      </c>
      <c r="AH401">
        <v>0</v>
      </c>
      <c r="AI401">
        <v>0</v>
      </c>
      <c r="AJ401">
        <v>0</v>
      </c>
      <c r="AK401">
        <v>0</v>
      </c>
      <c r="AL401">
        <v>0</v>
      </c>
      <c r="AM401">
        <v>12.07</v>
      </c>
      <c r="AN401">
        <v>0</v>
      </c>
      <c r="AO401">
        <v>0</v>
      </c>
      <c r="AP401">
        <v>0</v>
      </c>
      <c r="AQ401">
        <v>0</v>
      </c>
      <c r="AR401">
        <v>0</v>
      </c>
      <c r="AS401">
        <v>0</v>
      </c>
      <c r="AT401">
        <v>0</v>
      </c>
      <c r="AU401">
        <v>0</v>
      </c>
      <c r="AV401">
        <v>0</v>
      </c>
      <c r="AW401">
        <v>0</v>
      </c>
      <c r="AX401">
        <v>0</v>
      </c>
      <c r="AY401">
        <v>0</v>
      </c>
      <c r="AZ401">
        <v>0</v>
      </c>
      <c r="BA401">
        <v>0</v>
      </c>
      <c r="BB401">
        <v>0</v>
      </c>
      <c r="BC401">
        <v>0</v>
      </c>
      <c r="BD401">
        <v>0</v>
      </c>
      <c r="BE401">
        <v>0</v>
      </c>
      <c r="BF401">
        <v>0</v>
      </c>
      <c r="BG401">
        <v>0</v>
      </c>
      <c r="BH401">
        <v>1</v>
      </c>
      <c r="BI401">
        <v>1.2</v>
      </c>
      <c r="BJ401">
        <v>1.5</v>
      </c>
      <c r="BK401">
        <v>1.5</v>
      </c>
      <c r="BL401" s="4">
        <v>70.95</v>
      </c>
      <c r="BM401" s="4">
        <v>10.64</v>
      </c>
      <c r="BN401" s="4">
        <v>81.59</v>
      </c>
      <c r="BO401" s="4">
        <v>81.59</v>
      </c>
      <c r="BQ401" t="s">
        <v>93</v>
      </c>
      <c r="BR401" t="s">
        <v>84</v>
      </c>
      <c r="BS401" s="3">
        <v>43819</v>
      </c>
      <c r="BT401" s="5">
        <v>0.33333333333333331</v>
      </c>
      <c r="BU401" t="s">
        <v>864</v>
      </c>
      <c r="BV401" t="s">
        <v>86</v>
      </c>
      <c r="BY401">
        <v>7517.47</v>
      </c>
      <c r="CC401" t="s">
        <v>668</v>
      </c>
      <c r="CD401">
        <v>1759</v>
      </c>
      <c r="CE401" t="s">
        <v>96</v>
      </c>
      <c r="CF401" s="3">
        <v>43822</v>
      </c>
      <c r="CI401">
        <v>1</v>
      </c>
      <c r="CJ401">
        <v>1</v>
      </c>
      <c r="CK401">
        <v>24</v>
      </c>
      <c r="CL401" t="s">
        <v>89</v>
      </c>
    </row>
    <row r="402" spans="1:90">
      <c r="A402" t="s">
        <v>72</v>
      </c>
      <c r="B402" t="s">
        <v>73</v>
      </c>
      <c r="C402" t="s">
        <v>74</v>
      </c>
      <c r="E402" t="str">
        <f>"FES1162726519"</f>
        <v>FES1162726519</v>
      </c>
      <c r="F402" s="3">
        <v>43803</v>
      </c>
      <c r="G402">
        <v>202006</v>
      </c>
      <c r="H402" t="s">
        <v>75</v>
      </c>
      <c r="I402" t="s">
        <v>76</v>
      </c>
      <c r="J402" t="s">
        <v>77</v>
      </c>
      <c r="K402" t="s">
        <v>78</v>
      </c>
      <c r="L402" t="s">
        <v>164</v>
      </c>
      <c r="M402" t="s">
        <v>165</v>
      </c>
      <c r="N402" t="s">
        <v>238</v>
      </c>
      <c r="O402" t="s">
        <v>82</v>
      </c>
      <c r="P402" t="str">
        <f>"2170719971                    "</f>
        <v xml:space="preserve">2170719971                    </v>
      </c>
      <c r="Q402">
        <v>0</v>
      </c>
      <c r="R402">
        <v>0</v>
      </c>
      <c r="S402">
        <v>0</v>
      </c>
      <c r="T402">
        <v>0</v>
      </c>
      <c r="U402">
        <v>0</v>
      </c>
      <c r="V402">
        <v>0</v>
      </c>
      <c r="W402">
        <v>0</v>
      </c>
      <c r="X402">
        <v>0</v>
      </c>
      <c r="Y402">
        <v>0</v>
      </c>
      <c r="Z402">
        <v>0</v>
      </c>
      <c r="AA402">
        <v>0</v>
      </c>
      <c r="AB402">
        <v>0</v>
      </c>
      <c r="AC402">
        <v>0</v>
      </c>
      <c r="AD402">
        <v>0</v>
      </c>
      <c r="AE402">
        <v>0</v>
      </c>
      <c r="AF402">
        <v>0</v>
      </c>
      <c r="AG402">
        <v>0</v>
      </c>
      <c r="AH402">
        <v>0</v>
      </c>
      <c r="AI402">
        <v>0</v>
      </c>
      <c r="AJ402">
        <v>0</v>
      </c>
      <c r="AK402">
        <v>0</v>
      </c>
      <c r="AL402">
        <v>0</v>
      </c>
      <c r="AM402">
        <v>32.17</v>
      </c>
      <c r="AN402">
        <v>0</v>
      </c>
      <c r="AO402">
        <v>0</v>
      </c>
      <c r="AP402">
        <v>0</v>
      </c>
      <c r="AQ402">
        <v>0</v>
      </c>
      <c r="AR402">
        <v>0</v>
      </c>
      <c r="AS402">
        <v>0</v>
      </c>
      <c r="AT402">
        <v>0</v>
      </c>
      <c r="AU402">
        <v>0</v>
      </c>
      <c r="AV402">
        <v>0</v>
      </c>
      <c r="AW402">
        <v>0</v>
      </c>
      <c r="AX402">
        <v>0</v>
      </c>
      <c r="AY402">
        <v>0</v>
      </c>
      <c r="AZ402">
        <v>0</v>
      </c>
      <c r="BA402">
        <v>0</v>
      </c>
      <c r="BB402">
        <v>0</v>
      </c>
      <c r="BC402">
        <v>0</v>
      </c>
      <c r="BD402">
        <v>0</v>
      </c>
      <c r="BE402">
        <v>0</v>
      </c>
      <c r="BF402">
        <v>0</v>
      </c>
      <c r="BG402">
        <v>0</v>
      </c>
      <c r="BH402">
        <v>1</v>
      </c>
      <c r="BI402">
        <v>5</v>
      </c>
      <c r="BJ402">
        <v>7.1</v>
      </c>
      <c r="BK402">
        <v>7.5</v>
      </c>
      <c r="BL402" s="4">
        <v>189.1</v>
      </c>
      <c r="BM402" s="4">
        <v>28.37</v>
      </c>
      <c r="BN402" s="4">
        <v>217.47</v>
      </c>
      <c r="BO402" s="4">
        <v>217.47</v>
      </c>
      <c r="BQ402" t="s">
        <v>147</v>
      </c>
      <c r="BR402" t="s">
        <v>84</v>
      </c>
      <c r="BS402" s="3">
        <v>43804</v>
      </c>
      <c r="BT402" s="5">
        <v>0.3756944444444445</v>
      </c>
      <c r="BU402" t="s">
        <v>791</v>
      </c>
      <c r="BV402" t="s">
        <v>86</v>
      </c>
      <c r="BY402">
        <v>35748.9</v>
      </c>
      <c r="BZ402" t="s">
        <v>27</v>
      </c>
      <c r="CA402" t="s">
        <v>168</v>
      </c>
      <c r="CC402" t="s">
        <v>165</v>
      </c>
      <c r="CD402">
        <v>5201</v>
      </c>
      <c r="CE402" t="s">
        <v>116</v>
      </c>
      <c r="CF402" s="3">
        <v>43808</v>
      </c>
      <c r="CI402">
        <v>1</v>
      </c>
      <c r="CJ402">
        <v>1</v>
      </c>
      <c r="CK402">
        <v>21</v>
      </c>
      <c r="CL402" t="s">
        <v>89</v>
      </c>
    </row>
    <row r="403" spans="1:90">
      <c r="A403" t="s">
        <v>72</v>
      </c>
      <c r="B403" t="s">
        <v>73</v>
      </c>
      <c r="C403" t="s">
        <v>74</v>
      </c>
      <c r="E403" t="str">
        <f>"FES1162726677"</f>
        <v>FES1162726677</v>
      </c>
      <c r="F403" s="3">
        <v>43803</v>
      </c>
      <c r="G403">
        <v>202006</v>
      </c>
      <c r="H403" t="s">
        <v>75</v>
      </c>
      <c r="I403" t="s">
        <v>76</v>
      </c>
      <c r="J403" t="s">
        <v>77</v>
      </c>
      <c r="K403" t="s">
        <v>78</v>
      </c>
      <c r="L403" t="s">
        <v>79</v>
      </c>
      <c r="M403" t="s">
        <v>80</v>
      </c>
      <c r="N403" t="s">
        <v>129</v>
      </c>
      <c r="O403" t="s">
        <v>82</v>
      </c>
      <c r="P403" t="str">
        <f>"2170718052                    "</f>
        <v xml:space="preserve">2170718052                    </v>
      </c>
      <c r="Q403">
        <v>0</v>
      </c>
      <c r="R403">
        <v>0</v>
      </c>
      <c r="S403">
        <v>0</v>
      </c>
      <c r="T403">
        <v>0</v>
      </c>
      <c r="U403">
        <v>0</v>
      </c>
      <c r="V403">
        <v>0</v>
      </c>
      <c r="W403">
        <v>0</v>
      </c>
      <c r="X403">
        <v>0</v>
      </c>
      <c r="Y403">
        <v>0</v>
      </c>
      <c r="Z403">
        <v>0</v>
      </c>
      <c r="AA403">
        <v>0</v>
      </c>
      <c r="AB403">
        <v>0</v>
      </c>
      <c r="AC403">
        <v>0</v>
      </c>
      <c r="AD403">
        <v>0</v>
      </c>
      <c r="AE403">
        <v>0</v>
      </c>
      <c r="AF403">
        <v>0</v>
      </c>
      <c r="AG403">
        <v>0</v>
      </c>
      <c r="AH403">
        <v>0</v>
      </c>
      <c r="AI403">
        <v>0</v>
      </c>
      <c r="AJ403">
        <v>0</v>
      </c>
      <c r="AK403">
        <v>0</v>
      </c>
      <c r="AL403">
        <v>0</v>
      </c>
      <c r="AM403">
        <v>8.58</v>
      </c>
      <c r="AN403">
        <v>0</v>
      </c>
      <c r="AO403">
        <v>0</v>
      </c>
      <c r="AP403">
        <v>0</v>
      </c>
      <c r="AQ403">
        <v>0</v>
      </c>
      <c r="AR403">
        <v>0</v>
      </c>
      <c r="AS403">
        <v>0</v>
      </c>
      <c r="AT403">
        <v>0</v>
      </c>
      <c r="AU403">
        <v>0</v>
      </c>
      <c r="AV403">
        <v>0</v>
      </c>
      <c r="AW403">
        <v>0</v>
      </c>
      <c r="AX403">
        <v>0</v>
      </c>
      <c r="AY403">
        <v>0</v>
      </c>
      <c r="AZ403">
        <v>0</v>
      </c>
      <c r="BA403">
        <v>0</v>
      </c>
      <c r="BB403">
        <v>0</v>
      </c>
      <c r="BC403">
        <v>0</v>
      </c>
      <c r="BD403">
        <v>0</v>
      </c>
      <c r="BE403">
        <v>0</v>
      </c>
      <c r="BF403">
        <v>0</v>
      </c>
      <c r="BG403">
        <v>0</v>
      </c>
      <c r="BH403">
        <v>1</v>
      </c>
      <c r="BI403">
        <v>2</v>
      </c>
      <c r="BJ403">
        <v>0.2</v>
      </c>
      <c r="BK403">
        <v>2</v>
      </c>
      <c r="BL403" s="4">
        <v>50.45</v>
      </c>
      <c r="BM403" s="4">
        <v>7.57</v>
      </c>
      <c r="BN403" s="4">
        <v>58.02</v>
      </c>
      <c r="BO403" s="4">
        <v>58.02</v>
      </c>
      <c r="BQ403" t="s">
        <v>147</v>
      </c>
      <c r="BR403" t="s">
        <v>84</v>
      </c>
      <c r="BS403" s="3">
        <v>43804</v>
      </c>
      <c r="BT403" s="5">
        <v>0.38194444444444442</v>
      </c>
      <c r="BU403" t="s">
        <v>638</v>
      </c>
      <c r="BV403" t="s">
        <v>86</v>
      </c>
      <c r="BY403">
        <v>1200</v>
      </c>
      <c r="CA403" t="s">
        <v>131</v>
      </c>
      <c r="CC403" t="s">
        <v>80</v>
      </c>
      <c r="CD403">
        <v>6001</v>
      </c>
      <c r="CE403" t="s">
        <v>88</v>
      </c>
      <c r="CF403" s="3">
        <v>43805</v>
      </c>
      <c r="CI403">
        <v>1</v>
      </c>
      <c r="CJ403">
        <v>1</v>
      </c>
      <c r="CK403">
        <v>21</v>
      </c>
      <c r="CL403" t="s">
        <v>89</v>
      </c>
    </row>
    <row r="404" spans="1:90">
      <c r="A404" t="s">
        <v>72</v>
      </c>
      <c r="B404" t="s">
        <v>73</v>
      </c>
      <c r="C404" t="s">
        <v>74</v>
      </c>
      <c r="E404" t="str">
        <f>"FES1162726729"</f>
        <v>FES1162726729</v>
      </c>
      <c r="F404" s="3">
        <v>43803</v>
      </c>
      <c r="G404">
        <v>202006</v>
      </c>
      <c r="H404" t="s">
        <v>75</v>
      </c>
      <c r="I404" t="s">
        <v>76</v>
      </c>
      <c r="J404" t="s">
        <v>77</v>
      </c>
      <c r="K404" t="s">
        <v>78</v>
      </c>
      <c r="L404" t="s">
        <v>308</v>
      </c>
      <c r="M404" t="s">
        <v>308</v>
      </c>
      <c r="N404" t="s">
        <v>585</v>
      </c>
      <c r="O404" t="s">
        <v>82</v>
      </c>
      <c r="P404" t="str">
        <f>"2170720162                    "</f>
        <v xml:space="preserve">2170720162                    </v>
      </c>
      <c r="Q404">
        <v>0</v>
      </c>
      <c r="R404">
        <v>0</v>
      </c>
      <c r="S404">
        <v>0</v>
      </c>
      <c r="T404">
        <v>0</v>
      </c>
      <c r="U404">
        <v>0</v>
      </c>
      <c r="V404">
        <v>0</v>
      </c>
      <c r="W404">
        <v>0</v>
      </c>
      <c r="X404">
        <v>0</v>
      </c>
      <c r="Y404">
        <v>0</v>
      </c>
      <c r="Z404">
        <v>0</v>
      </c>
      <c r="AA404">
        <v>0</v>
      </c>
      <c r="AB404">
        <v>0</v>
      </c>
      <c r="AC404">
        <v>0</v>
      </c>
      <c r="AD404">
        <v>0</v>
      </c>
      <c r="AE404">
        <v>0</v>
      </c>
      <c r="AF404">
        <v>0</v>
      </c>
      <c r="AG404">
        <v>0</v>
      </c>
      <c r="AH404">
        <v>0</v>
      </c>
      <c r="AI404">
        <v>0</v>
      </c>
      <c r="AJ404">
        <v>0</v>
      </c>
      <c r="AK404">
        <v>0</v>
      </c>
      <c r="AL404">
        <v>0</v>
      </c>
      <c r="AM404">
        <v>16.63</v>
      </c>
      <c r="AN404">
        <v>0</v>
      </c>
      <c r="AO404">
        <v>0</v>
      </c>
      <c r="AP404">
        <v>0</v>
      </c>
      <c r="AQ404">
        <v>0</v>
      </c>
      <c r="AR404">
        <v>0</v>
      </c>
      <c r="AS404">
        <v>0</v>
      </c>
      <c r="AT404">
        <v>0</v>
      </c>
      <c r="AU404">
        <v>0</v>
      </c>
      <c r="AV404">
        <v>0</v>
      </c>
      <c r="AW404">
        <v>0</v>
      </c>
      <c r="AX404">
        <v>0</v>
      </c>
      <c r="AY404">
        <v>0</v>
      </c>
      <c r="AZ404">
        <v>0</v>
      </c>
      <c r="BA404">
        <v>0</v>
      </c>
      <c r="BB404">
        <v>0</v>
      </c>
      <c r="BC404">
        <v>0</v>
      </c>
      <c r="BD404">
        <v>0</v>
      </c>
      <c r="BE404">
        <v>0</v>
      </c>
      <c r="BF404">
        <v>0</v>
      </c>
      <c r="BG404">
        <v>0</v>
      </c>
      <c r="BH404">
        <v>1</v>
      </c>
      <c r="BI404">
        <v>1</v>
      </c>
      <c r="BJ404">
        <v>0.2</v>
      </c>
      <c r="BK404">
        <v>1</v>
      </c>
      <c r="BL404" s="4">
        <v>97.75</v>
      </c>
      <c r="BM404" s="4">
        <v>14.66</v>
      </c>
      <c r="BN404" s="4">
        <v>112.41</v>
      </c>
      <c r="BO404" s="4">
        <v>112.41</v>
      </c>
      <c r="BQ404" t="s">
        <v>93</v>
      </c>
      <c r="BR404" t="s">
        <v>84</v>
      </c>
      <c r="BS404" s="3">
        <v>43804</v>
      </c>
      <c r="BT404" s="5">
        <v>0.45833333333333331</v>
      </c>
      <c r="BU404" t="s">
        <v>865</v>
      </c>
      <c r="BV404" t="s">
        <v>86</v>
      </c>
      <c r="BY404">
        <v>1200</v>
      </c>
      <c r="CA404" t="s">
        <v>311</v>
      </c>
      <c r="CC404" t="s">
        <v>308</v>
      </c>
      <c r="CD404">
        <v>7646</v>
      </c>
      <c r="CE404" t="s">
        <v>88</v>
      </c>
      <c r="CF404" s="3">
        <v>43805</v>
      </c>
      <c r="CI404">
        <v>1</v>
      </c>
      <c r="CJ404">
        <v>1</v>
      </c>
      <c r="CK404">
        <v>23</v>
      </c>
      <c r="CL404" t="s">
        <v>89</v>
      </c>
    </row>
    <row r="405" spans="1:90">
      <c r="A405" t="s">
        <v>72</v>
      </c>
      <c r="B405" t="s">
        <v>73</v>
      </c>
      <c r="C405" t="s">
        <v>74</v>
      </c>
      <c r="E405" t="str">
        <f>"FES1162726608"</f>
        <v>FES1162726608</v>
      </c>
      <c r="F405" s="3">
        <v>43803</v>
      </c>
      <c r="G405">
        <v>202006</v>
      </c>
      <c r="H405" t="s">
        <v>75</v>
      </c>
      <c r="I405" t="s">
        <v>76</v>
      </c>
      <c r="J405" t="s">
        <v>77</v>
      </c>
      <c r="K405" t="s">
        <v>78</v>
      </c>
      <c r="L405" t="s">
        <v>198</v>
      </c>
      <c r="M405" t="s">
        <v>199</v>
      </c>
      <c r="N405" t="s">
        <v>297</v>
      </c>
      <c r="O405" t="s">
        <v>82</v>
      </c>
      <c r="P405" t="str">
        <f>"217071200856                  "</f>
        <v xml:space="preserve">217071200856                  </v>
      </c>
      <c r="Q405">
        <v>0</v>
      </c>
      <c r="R405">
        <v>0</v>
      </c>
      <c r="S405">
        <v>0</v>
      </c>
      <c r="T405">
        <v>0</v>
      </c>
      <c r="U405">
        <v>0</v>
      </c>
      <c r="V405">
        <v>0</v>
      </c>
      <c r="W405">
        <v>0</v>
      </c>
      <c r="X405">
        <v>0</v>
      </c>
      <c r="Y405">
        <v>0</v>
      </c>
      <c r="Z405">
        <v>0</v>
      </c>
      <c r="AA405">
        <v>0</v>
      </c>
      <c r="AB405">
        <v>0</v>
      </c>
      <c r="AC405">
        <v>0</v>
      </c>
      <c r="AD405">
        <v>0</v>
      </c>
      <c r="AE405">
        <v>0</v>
      </c>
      <c r="AF405">
        <v>0</v>
      </c>
      <c r="AG405">
        <v>0</v>
      </c>
      <c r="AH405">
        <v>0</v>
      </c>
      <c r="AI405">
        <v>0</v>
      </c>
      <c r="AJ405">
        <v>0</v>
      </c>
      <c r="AK405">
        <v>0</v>
      </c>
      <c r="AL405">
        <v>0</v>
      </c>
      <c r="AM405">
        <v>21.45</v>
      </c>
      <c r="AN405">
        <v>0</v>
      </c>
      <c r="AO405">
        <v>0</v>
      </c>
      <c r="AP405">
        <v>0</v>
      </c>
      <c r="AQ405">
        <v>0</v>
      </c>
      <c r="AR405">
        <v>0</v>
      </c>
      <c r="AS405">
        <v>0</v>
      </c>
      <c r="AT405">
        <v>0</v>
      </c>
      <c r="AU405">
        <v>0</v>
      </c>
      <c r="AV405">
        <v>0</v>
      </c>
      <c r="AW405">
        <v>0</v>
      </c>
      <c r="AX405">
        <v>0</v>
      </c>
      <c r="AY405">
        <v>0</v>
      </c>
      <c r="AZ405">
        <v>0</v>
      </c>
      <c r="BA405">
        <v>0</v>
      </c>
      <c r="BB405">
        <v>0</v>
      </c>
      <c r="BC405">
        <v>0</v>
      </c>
      <c r="BD405">
        <v>0</v>
      </c>
      <c r="BE405">
        <v>0</v>
      </c>
      <c r="BF405">
        <v>0</v>
      </c>
      <c r="BG405">
        <v>0</v>
      </c>
      <c r="BH405">
        <v>1</v>
      </c>
      <c r="BI405">
        <v>5</v>
      </c>
      <c r="BJ405">
        <v>2</v>
      </c>
      <c r="BK405">
        <v>5</v>
      </c>
      <c r="BL405" s="4">
        <v>126.08</v>
      </c>
      <c r="BM405" s="4">
        <v>18.91</v>
      </c>
      <c r="BN405" s="4">
        <v>144.99</v>
      </c>
      <c r="BO405" s="4">
        <v>144.99</v>
      </c>
      <c r="BQ405" t="s">
        <v>172</v>
      </c>
      <c r="BR405" t="s">
        <v>84</v>
      </c>
      <c r="BS405" s="3">
        <v>43804</v>
      </c>
      <c r="BT405" s="5">
        <v>0.34375</v>
      </c>
      <c r="BU405" t="s">
        <v>542</v>
      </c>
      <c r="BV405" t="s">
        <v>86</v>
      </c>
      <c r="BY405">
        <v>9918</v>
      </c>
      <c r="BZ405" t="s">
        <v>27</v>
      </c>
      <c r="CA405" t="s">
        <v>299</v>
      </c>
      <c r="CC405" t="s">
        <v>199</v>
      </c>
      <c r="CD405">
        <v>4000</v>
      </c>
      <c r="CE405" t="s">
        <v>96</v>
      </c>
      <c r="CF405" s="3">
        <v>43808</v>
      </c>
      <c r="CI405">
        <v>1</v>
      </c>
      <c r="CJ405">
        <v>1</v>
      </c>
      <c r="CK405">
        <v>21</v>
      </c>
      <c r="CL405" t="s">
        <v>89</v>
      </c>
    </row>
    <row r="406" spans="1:90">
      <c r="A406" t="s">
        <v>72</v>
      </c>
      <c r="B406" t="s">
        <v>73</v>
      </c>
      <c r="C406" t="s">
        <v>74</v>
      </c>
      <c r="E406" t="str">
        <f>"FES1162726759"</f>
        <v>FES1162726759</v>
      </c>
      <c r="F406" s="3">
        <v>43803</v>
      </c>
      <c r="G406">
        <v>202006</v>
      </c>
      <c r="H406" t="s">
        <v>75</v>
      </c>
      <c r="I406" t="s">
        <v>76</v>
      </c>
      <c r="J406" t="s">
        <v>77</v>
      </c>
      <c r="K406" t="s">
        <v>78</v>
      </c>
      <c r="L406" t="s">
        <v>221</v>
      </c>
      <c r="M406" t="s">
        <v>222</v>
      </c>
      <c r="N406" t="s">
        <v>521</v>
      </c>
      <c r="O406" t="s">
        <v>82</v>
      </c>
      <c r="P406" t="str">
        <f>"21707120186                   "</f>
        <v xml:space="preserve">21707120186                   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  <c r="AA406">
        <v>0</v>
      </c>
      <c r="AB406">
        <v>0</v>
      </c>
      <c r="AC406">
        <v>0</v>
      </c>
      <c r="AD406">
        <v>0</v>
      </c>
      <c r="AE406">
        <v>0</v>
      </c>
      <c r="AF406">
        <v>0</v>
      </c>
      <c r="AG406">
        <v>0</v>
      </c>
      <c r="AH406">
        <v>0</v>
      </c>
      <c r="AI406">
        <v>0</v>
      </c>
      <c r="AJ406">
        <v>0</v>
      </c>
      <c r="AK406">
        <v>0</v>
      </c>
      <c r="AL406">
        <v>0</v>
      </c>
      <c r="AM406">
        <v>25.74</v>
      </c>
      <c r="AN406">
        <v>0</v>
      </c>
      <c r="AO406">
        <v>0</v>
      </c>
      <c r="AP406">
        <v>0</v>
      </c>
      <c r="AQ406">
        <v>0</v>
      </c>
      <c r="AR406">
        <v>0</v>
      </c>
      <c r="AS406">
        <v>0</v>
      </c>
      <c r="AT406">
        <v>0</v>
      </c>
      <c r="AU406">
        <v>0</v>
      </c>
      <c r="AV406">
        <v>0</v>
      </c>
      <c r="AW406">
        <v>0</v>
      </c>
      <c r="AX406">
        <v>0</v>
      </c>
      <c r="AY406">
        <v>0</v>
      </c>
      <c r="AZ406">
        <v>0</v>
      </c>
      <c r="BA406">
        <v>0</v>
      </c>
      <c r="BB406">
        <v>0</v>
      </c>
      <c r="BC406">
        <v>0</v>
      </c>
      <c r="BD406">
        <v>0</v>
      </c>
      <c r="BE406">
        <v>0</v>
      </c>
      <c r="BF406">
        <v>0</v>
      </c>
      <c r="BG406">
        <v>0</v>
      </c>
      <c r="BH406">
        <v>1</v>
      </c>
      <c r="BI406">
        <v>3.6</v>
      </c>
      <c r="BJ406">
        <v>5.8</v>
      </c>
      <c r="BK406">
        <v>6</v>
      </c>
      <c r="BL406" s="4">
        <v>151.29</v>
      </c>
      <c r="BM406" s="4">
        <v>22.69</v>
      </c>
      <c r="BN406" s="4">
        <v>173.98</v>
      </c>
      <c r="BO406" s="4">
        <v>173.98</v>
      </c>
      <c r="BQ406" t="s">
        <v>522</v>
      </c>
      <c r="BR406" t="s">
        <v>84</v>
      </c>
      <c r="BS406" s="3">
        <v>43804</v>
      </c>
      <c r="BT406" s="5">
        <v>0.39930555555555558</v>
      </c>
      <c r="BU406" t="s">
        <v>866</v>
      </c>
      <c r="BV406" t="s">
        <v>86</v>
      </c>
      <c r="BY406">
        <v>29014.02</v>
      </c>
      <c r="CA406" t="s">
        <v>225</v>
      </c>
      <c r="CC406" t="s">
        <v>222</v>
      </c>
      <c r="CD406">
        <v>3201</v>
      </c>
      <c r="CE406" t="s">
        <v>116</v>
      </c>
      <c r="CF406" s="3">
        <v>43805</v>
      </c>
      <c r="CI406">
        <v>1</v>
      </c>
      <c r="CJ406">
        <v>1</v>
      </c>
      <c r="CK406">
        <v>21</v>
      </c>
      <c r="CL406" t="s">
        <v>89</v>
      </c>
    </row>
    <row r="407" spans="1:90">
      <c r="A407" t="s">
        <v>72</v>
      </c>
      <c r="B407" t="s">
        <v>73</v>
      </c>
      <c r="C407" t="s">
        <v>74</v>
      </c>
      <c r="E407" t="str">
        <f>"FES1162726749"</f>
        <v>FES1162726749</v>
      </c>
      <c r="F407" s="3">
        <v>43803</v>
      </c>
      <c r="G407">
        <v>202006</v>
      </c>
      <c r="H407" t="s">
        <v>75</v>
      </c>
      <c r="I407" t="s">
        <v>76</v>
      </c>
      <c r="J407" t="s">
        <v>77</v>
      </c>
      <c r="K407" t="s">
        <v>78</v>
      </c>
      <c r="L407" t="s">
        <v>867</v>
      </c>
      <c r="M407" t="s">
        <v>868</v>
      </c>
      <c r="N407" t="s">
        <v>869</v>
      </c>
      <c r="O407" t="s">
        <v>82</v>
      </c>
      <c r="P407" t="str">
        <f>"2170720176                    "</f>
        <v xml:space="preserve">2170720176                    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0</v>
      </c>
      <c r="AA407">
        <v>0</v>
      </c>
      <c r="AB407">
        <v>0</v>
      </c>
      <c r="AC407">
        <v>0</v>
      </c>
      <c r="AD407">
        <v>0</v>
      </c>
      <c r="AE407">
        <v>0</v>
      </c>
      <c r="AF407">
        <v>0</v>
      </c>
      <c r="AG407">
        <v>0</v>
      </c>
      <c r="AH407">
        <v>0</v>
      </c>
      <c r="AI407">
        <v>0</v>
      </c>
      <c r="AJ407">
        <v>0</v>
      </c>
      <c r="AK407">
        <v>0</v>
      </c>
      <c r="AL407">
        <v>0</v>
      </c>
      <c r="AM407">
        <v>8.58</v>
      </c>
      <c r="AN407">
        <v>0</v>
      </c>
      <c r="AO407">
        <v>0</v>
      </c>
      <c r="AP407">
        <v>0</v>
      </c>
      <c r="AQ407">
        <v>0</v>
      </c>
      <c r="AR407">
        <v>0</v>
      </c>
      <c r="AS407">
        <v>0</v>
      </c>
      <c r="AT407">
        <v>0</v>
      </c>
      <c r="AU407">
        <v>0</v>
      </c>
      <c r="AV407">
        <v>0</v>
      </c>
      <c r="AW407">
        <v>0</v>
      </c>
      <c r="AX407">
        <v>0</v>
      </c>
      <c r="AY407">
        <v>0</v>
      </c>
      <c r="AZ407">
        <v>0</v>
      </c>
      <c r="BA407">
        <v>0</v>
      </c>
      <c r="BB407">
        <v>0</v>
      </c>
      <c r="BC407">
        <v>0</v>
      </c>
      <c r="BD407">
        <v>0</v>
      </c>
      <c r="BE407">
        <v>0</v>
      </c>
      <c r="BF407">
        <v>0</v>
      </c>
      <c r="BG407">
        <v>0</v>
      </c>
      <c r="BH407">
        <v>1</v>
      </c>
      <c r="BI407">
        <v>1</v>
      </c>
      <c r="BJ407">
        <v>0.2</v>
      </c>
      <c r="BK407">
        <v>1</v>
      </c>
      <c r="BL407" s="4">
        <v>50.45</v>
      </c>
      <c r="BM407" s="4">
        <v>7.57</v>
      </c>
      <c r="BN407" s="4">
        <v>58.02</v>
      </c>
      <c r="BO407" s="4">
        <v>58.02</v>
      </c>
      <c r="BR407" t="s">
        <v>84</v>
      </c>
      <c r="BS407" s="3">
        <v>43804</v>
      </c>
      <c r="BT407" s="5">
        <v>0.375</v>
      </c>
      <c r="BU407" t="s">
        <v>870</v>
      </c>
      <c r="BV407" t="s">
        <v>86</v>
      </c>
      <c r="BY407">
        <v>1200</v>
      </c>
      <c r="BZ407" t="s">
        <v>27</v>
      </c>
      <c r="CA407" t="s">
        <v>871</v>
      </c>
      <c r="CC407" t="s">
        <v>868</v>
      </c>
      <c r="CD407">
        <v>9300</v>
      </c>
      <c r="CE407" t="s">
        <v>88</v>
      </c>
      <c r="CF407" s="3">
        <v>43805</v>
      </c>
      <c r="CI407">
        <v>1</v>
      </c>
      <c r="CJ407">
        <v>1</v>
      </c>
      <c r="CK407">
        <v>21</v>
      </c>
      <c r="CL407" t="s">
        <v>89</v>
      </c>
    </row>
    <row r="408" spans="1:90">
      <c r="A408" t="s">
        <v>72</v>
      </c>
      <c r="B408" t="s">
        <v>73</v>
      </c>
      <c r="C408" t="s">
        <v>74</v>
      </c>
      <c r="E408" t="str">
        <f>"FES1162726680"</f>
        <v>FES1162726680</v>
      </c>
      <c r="F408" s="3">
        <v>43803</v>
      </c>
      <c r="G408">
        <v>202006</v>
      </c>
      <c r="H408" t="s">
        <v>75</v>
      </c>
      <c r="I408" t="s">
        <v>76</v>
      </c>
      <c r="J408" t="s">
        <v>77</v>
      </c>
      <c r="K408" t="s">
        <v>78</v>
      </c>
      <c r="L408" t="s">
        <v>491</v>
      </c>
      <c r="M408" t="s">
        <v>492</v>
      </c>
      <c r="N408" t="s">
        <v>872</v>
      </c>
      <c r="O408" t="s">
        <v>82</v>
      </c>
      <c r="P408" t="str">
        <f>"2170718069                    "</f>
        <v xml:space="preserve">2170718069                    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  <c r="AA408">
        <v>0</v>
      </c>
      <c r="AB408">
        <v>0</v>
      </c>
      <c r="AC408">
        <v>0</v>
      </c>
      <c r="AD408">
        <v>0</v>
      </c>
      <c r="AE408">
        <v>0</v>
      </c>
      <c r="AF408">
        <v>0</v>
      </c>
      <c r="AG408">
        <v>0</v>
      </c>
      <c r="AH408">
        <v>0</v>
      </c>
      <c r="AI408">
        <v>0</v>
      </c>
      <c r="AJ408">
        <v>0</v>
      </c>
      <c r="AK408">
        <v>0</v>
      </c>
      <c r="AL408">
        <v>0</v>
      </c>
      <c r="AM408">
        <v>11.53</v>
      </c>
      <c r="AN408">
        <v>0</v>
      </c>
      <c r="AO408">
        <v>0</v>
      </c>
      <c r="AP408">
        <v>0</v>
      </c>
      <c r="AQ408">
        <v>0</v>
      </c>
      <c r="AR408">
        <v>0</v>
      </c>
      <c r="AS408">
        <v>0</v>
      </c>
      <c r="AT408">
        <v>0</v>
      </c>
      <c r="AU408">
        <v>0</v>
      </c>
      <c r="AV408">
        <v>0</v>
      </c>
      <c r="AW408">
        <v>0</v>
      </c>
      <c r="AX408">
        <v>0</v>
      </c>
      <c r="AY408">
        <v>0</v>
      </c>
      <c r="AZ408">
        <v>0</v>
      </c>
      <c r="BA408">
        <v>0</v>
      </c>
      <c r="BB408">
        <v>0</v>
      </c>
      <c r="BC408">
        <v>0</v>
      </c>
      <c r="BD408">
        <v>0</v>
      </c>
      <c r="BE408">
        <v>0</v>
      </c>
      <c r="BF408">
        <v>0</v>
      </c>
      <c r="BG408">
        <v>0</v>
      </c>
      <c r="BH408">
        <v>1</v>
      </c>
      <c r="BI408">
        <v>5</v>
      </c>
      <c r="BJ408">
        <v>1.5</v>
      </c>
      <c r="BK408">
        <v>5</v>
      </c>
      <c r="BL408" s="4">
        <v>67.760000000000005</v>
      </c>
      <c r="BM408" s="4">
        <v>10.16</v>
      </c>
      <c r="BN408" s="4">
        <v>77.92</v>
      </c>
      <c r="BO408" s="4">
        <v>77.92</v>
      </c>
      <c r="BQ408" t="s">
        <v>93</v>
      </c>
      <c r="BR408" t="s">
        <v>84</v>
      </c>
      <c r="BS408" s="3">
        <v>43804</v>
      </c>
      <c r="BT408" s="5">
        <v>0.40277777777777773</v>
      </c>
      <c r="BU408" t="s">
        <v>873</v>
      </c>
      <c r="BV408" t="s">
        <v>86</v>
      </c>
      <c r="BY408">
        <v>7596.96</v>
      </c>
      <c r="CA408" t="s">
        <v>874</v>
      </c>
      <c r="CC408" t="s">
        <v>492</v>
      </c>
      <c r="CD408">
        <v>1734</v>
      </c>
      <c r="CE408" t="s">
        <v>96</v>
      </c>
      <c r="CF408" s="3">
        <v>43808</v>
      </c>
      <c r="CI408">
        <v>1</v>
      </c>
      <c r="CJ408">
        <v>1</v>
      </c>
      <c r="CK408">
        <v>22</v>
      </c>
      <c r="CL408" t="s">
        <v>89</v>
      </c>
    </row>
    <row r="409" spans="1:90">
      <c r="A409" t="s">
        <v>72</v>
      </c>
      <c r="B409" t="s">
        <v>73</v>
      </c>
      <c r="C409" t="s">
        <v>74</v>
      </c>
      <c r="E409" t="str">
        <f>"FES1162726743"</f>
        <v>FES1162726743</v>
      </c>
      <c r="F409" s="3">
        <v>43803</v>
      </c>
      <c r="G409">
        <v>202006</v>
      </c>
      <c r="H409" t="s">
        <v>75</v>
      </c>
      <c r="I409" t="s">
        <v>76</v>
      </c>
      <c r="J409" t="s">
        <v>77</v>
      </c>
      <c r="K409" t="s">
        <v>78</v>
      </c>
      <c r="L409" t="s">
        <v>90</v>
      </c>
      <c r="M409" t="s">
        <v>91</v>
      </c>
      <c r="N409" t="s">
        <v>875</v>
      </c>
      <c r="O409" t="s">
        <v>82</v>
      </c>
      <c r="P409" t="str">
        <f>"21707120169                   "</f>
        <v xml:space="preserve">21707120169                   </v>
      </c>
      <c r="Q409">
        <v>0</v>
      </c>
      <c r="R409">
        <v>0</v>
      </c>
      <c r="S409">
        <v>0</v>
      </c>
      <c r="T409">
        <v>0</v>
      </c>
      <c r="U409">
        <v>0</v>
      </c>
      <c r="V409">
        <v>0</v>
      </c>
      <c r="W409">
        <v>0</v>
      </c>
      <c r="X409">
        <v>0</v>
      </c>
      <c r="Y409">
        <v>0</v>
      </c>
      <c r="Z409">
        <v>0</v>
      </c>
      <c r="AA409">
        <v>0</v>
      </c>
      <c r="AB409">
        <v>0</v>
      </c>
      <c r="AC409">
        <v>0</v>
      </c>
      <c r="AD409">
        <v>0</v>
      </c>
      <c r="AE409">
        <v>0</v>
      </c>
      <c r="AF409">
        <v>0</v>
      </c>
      <c r="AG409">
        <v>0</v>
      </c>
      <c r="AH409">
        <v>0</v>
      </c>
      <c r="AI409">
        <v>0</v>
      </c>
      <c r="AJ409">
        <v>0</v>
      </c>
      <c r="AK409">
        <v>0</v>
      </c>
      <c r="AL409">
        <v>0</v>
      </c>
      <c r="AM409">
        <v>10.73</v>
      </c>
      <c r="AN409">
        <v>0</v>
      </c>
      <c r="AO409">
        <v>0</v>
      </c>
      <c r="AP409">
        <v>0</v>
      </c>
      <c r="AQ409">
        <v>0</v>
      </c>
      <c r="AR409">
        <v>0</v>
      </c>
      <c r="AS409">
        <v>0</v>
      </c>
      <c r="AT409">
        <v>0</v>
      </c>
      <c r="AU409">
        <v>0</v>
      </c>
      <c r="AV409">
        <v>0</v>
      </c>
      <c r="AW409">
        <v>0</v>
      </c>
      <c r="AX409">
        <v>0</v>
      </c>
      <c r="AY409">
        <v>0</v>
      </c>
      <c r="AZ409">
        <v>0</v>
      </c>
      <c r="BA409">
        <v>0</v>
      </c>
      <c r="BB409">
        <v>0</v>
      </c>
      <c r="BC409">
        <v>0</v>
      </c>
      <c r="BD409">
        <v>0</v>
      </c>
      <c r="BE409">
        <v>0</v>
      </c>
      <c r="BF409">
        <v>0</v>
      </c>
      <c r="BG409">
        <v>0</v>
      </c>
      <c r="BH409">
        <v>1</v>
      </c>
      <c r="BI409">
        <v>2.2999999999999998</v>
      </c>
      <c r="BJ409">
        <v>1.5</v>
      </c>
      <c r="BK409">
        <v>2.5</v>
      </c>
      <c r="BL409" s="4">
        <v>63.06</v>
      </c>
      <c r="BM409" s="4">
        <v>9.4600000000000009</v>
      </c>
      <c r="BN409" s="4">
        <v>72.52</v>
      </c>
      <c r="BO409" s="4">
        <v>72.52</v>
      </c>
      <c r="BQ409" t="s">
        <v>147</v>
      </c>
      <c r="BR409" t="s">
        <v>84</v>
      </c>
      <c r="BS409" s="3">
        <v>43804</v>
      </c>
      <c r="BT409" s="5">
        <v>0.37916666666666665</v>
      </c>
      <c r="BU409" t="s">
        <v>876</v>
      </c>
      <c r="BV409" t="s">
        <v>86</v>
      </c>
      <c r="BY409">
        <v>7346.46</v>
      </c>
      <c r="CA409" t="s">
        <v>809</v>
      </c>
      <c r="CC409" t="s">
        <v>91</v>
      </c>
      <c r="CD409">
        <v>7925</v>
      </c>
      <c r="CE409" t="s">
        <v>96</v>
      </c>
      <c r="CF409" s="3">
        <v>43805</v>
      </c>
      <c r="CI409">
        <v>1</v>
      </c>
      <c r="CJ409">
        <v>1</v>
      </c>
      <c r="CK409">
        <v>21</v>
      </c>
      <c r="CL409" t="s">
        <v>89</v>
      </c>
    </row>
    <row r="410" spans="1:90">
      <c r="A410" t="s">
        <v>72</v>
      </c>
      <c r="B410" t="s">
        <v>73</v>
      </c>
      <c r="C410" t="s">
        <v>74</v>
      </c>
      <c r="E410" t="str">
        <f>"FES1162726754"</f>
        <v>FES1162726754</v>
      </c>
      <c r="F410" s="3">
        <v>43803</v>
      </c>
      <c r="G410">
        <v>202006</v>
      </c>
      <c r="H410" t="s">
        <v>75</v>
      </c>
      <c r="I410" t="s">
        <v>76</v>
      </c>
      <c r="J410" t="s">
        <v>77</v>
      </c>
      <c r="K410" t="s">
        <v>78</v>
      </c>
      <c r="L410" t="s">
        <v>632</v>
      </c>
      <c r="M410" t="s">
        <v>633</v>
      </c>
      <c r="N410" t="s">
        <v>634</v>
      </c>
      <c r="O410" t="s">
        <v>82</v>
      </c>
      <c r="P410" t="str">
        <f>"2170720181                    "</f>
        <v xml:space="preserve">2170720181                    </v>
      </c>
      <c r="Q410">
        <v>0</v>
      </c>
      <c r="R410">
        <v>0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0</v>
      </c>
      <c r="AA410">
        <v>0</v>
      </c>
      <c r="AB410">
        <v>0</v>
      </c>
      <c r="AC410">
        <v>0</v>
      </c>
      <c r="AD410">
        <v>0</v>
      </c>
      <c r="AE410">
        <v>0</v>
      </c>
      <c r="AF410">
        <v>0</v>
      </c>
      <c r="AG410">
        <v>0</v>
      </c>
      <c r="AH410">
        <v>0</v>
      </c>
      <c r="AI410">
        <v>0</v>
      </c>
      <c r="AJ410">
        <v>0</v>
      </c>
      <c r="AK410">
        <v>0</v>
      </c>
      <c r="AL410">
        <v>0</v>
      </c>
      <c r="AM410">
        <v>6.71</v>
      </c>
      <c r="AN410">
        <v>0</v>
      </c>
      <c r="AO410">
        <v>0</v>
      </c>
      <c r="AP410">
        <v>0</v>
      </c>
      <c r="AQ410">
        <v>0</v>
      </c>
      <c r="AR410">
        <v>0</v>
      </c>
      <c r="AS410">
        <v>0</v>
      </c>
      <c r="AT410">
        <v>0</v>
      </c>
      <c r="AU410">
        <v>0</v>
      </c>
      <c r="AV410">
        <v>0</v>
      </c>
      <c r="AW410">
        <v>0</v>
      </c>
      <c r="AX410">
        <v>0</v>
      </c>
      <c r="AY410">
        <v>0</v>
      </c>
      <c r="AZ410">
        <v>0</v>
      </c>
      <c r="BA410">
        <v>0</v>
      </c>
      <c r="BB410">
        <v>0</v>
      </c>
      <c r="BC410">
        <v>0</v>
      </c>
      <c r="BD410">
        <v>0</v>
      </c>
      <c r="BE410">
        <v>0</v>
      </c>
      <c r="BF410">
        <v>0</v>
      </c>
      <c r="BG410">
        <v>0</v>
      </c>
      <c r="BH410">
        <v>1</v>
      </c>
      <c r="BI410">
        <v>1.1000000000000001</v>
      </c>
      <c r="BJ410">
        <v>0.8</v>
      </c>
      <c r="BK410">
        <v>1.5</v>
      </c>
      <c r="BL410" s="4">
        <v>39.42</v>
      </c>
      <c r="BM410" s="4">
        <v>5.91</v>
      </c>
      <c r="BN410" s="4">
        <v>45.33</v>
      </c>
      <c r="BO410" s="4">
        <v>45.33</v>
      </c>
      <c r="BQ410" t="s">
        <v>147</v>
      </c>
      <c r="BR410" t="s">
        <v>84</v>
      </c>
      <c r="BS410" s="3">
        <v>43804</v>
      </c>
      <c r="BT410" s="5">
        <v>0.34236111111111112</v>
      </c>
      <c r="BU410" t="s">
        <v>761</v>
      </c>
      <c r="BV410" t="s">
        <v>86</v>
      </c>
      <c r="BY410">
        <v>3950.12</v>
      </c>
      <c r="CC410" t="s">
        <v>633</v>
      </c>
      <c r="CD410">
        <v>1451</v>
      </c>
      <c r="CE410" t="s">
        <v>116</v>
      </c>
      <c r="CF410" s="3">
        <v>43805</v>
      </c>
      <c r="CI410">
        <v>1</v>
      </c>
      <c r="CJ410">
        <v>1</v>
      </c>
      <c r="CK410">
        <v>22</v>
      </c>
      <c r="CL410" t="s">
        <v>89</v>
      </c>
    </row>
    <row r="411" spans="1:90">
      <c r="A411" t="s">
        <v>72</v>
      </c>
      <c r="B411" t="s">
        <v>73</v>
      </c>
      <c r="C411" t="s">
        <v>74</v>
      </c>
      <c r="E411" t="str">
        <f>"FES1162726701"</f>
        <v>FES1162726701</v>
      </c>
      <c r="F411" s="3">
        <v>43803</v>
      </c>
      <c r="G411">
        <v>202006</v>
      </c>
      <c r="H411" t="s">
        <v>75</v>
      </c>
      <c r="I411" t="s">
        <v>76</v>
      </c>
      <c r="J411" t="s">
        <v>77</v>
      </c>
      <c r="K411" t="s">
        <v>78</v>
      </c>
      <c r="L411" t="s">
        <v>332</v>
      </c>
      <c r="M411" t="s">
        <v>333</v>
      </c>
      <c r="N411" t="s">
        <v>697</v>
      </c>
      <c r="O411" t="s">
        <v>82</v>
      </c>
      <c r="P411" t="str">
        <f>"2170719360                    "</f>
        <v xml:space="preserve">2170719360                    </v>
      </c>
      <c r="Q411">
        <v>0</v>
      </c>
      <c r="R411">
        <v>0</v>
      </c>
      <c r="S411">
        <v>0</v>
      </c>
      <c r="T411">
        <v>0</v>
      </c>
      <c r="U411">
        <v>0</v>
      </c>
      <c r="V411">
        <v>0</v>
      </c>
      <c r="W411">
        <v>0</v>
      </c>
      <c r="X411">
        <v>0</v>
      </c>
      <c r="Y411">
        <v>0</v>
      </c>
      <c r="Z411">
        <v>0</v>
      </c>
      <c r="AA411">
        <v>0</v>
      </c>
      <c r="AB411">
        <v>0</v>
      </c>
      <c r="AC411">
        <v>0</v>
      </c>
      <c r="AD411">
        <v>0</v>
      </c>
      <c r="AE411">
        <v>0</v>
      </c>
      <c r="AF411">
        <v>0</v>
      </c>
      <c r="AG411">
        <v>0</v>
      </c>
      <c r="AH411">
        <v>0</v>
      </c>
      <c r="AI411">
        <v>0</v>
      </c>
      <c r="AJ411">
        <v>0</v>
      </c>
      <c r="AK411">
        <v>0</v>
      </c>
      <c r="AL411">
        <v>0</v>
      </c>
      <c r="AM411">
        <v>6.71</v>
      </c>
      <c r="AN411">
        <v>0</v>
      </c>
      <c r="AO411">
        <v>0</v>
      </c>
      <c r="AP411">
        <v>0</v>
      </c>
      <c r="AQ411">
        <v>0</v>
      </c>
      <c r="AR411">
        <v>0</v>
      </c>
      <c r="AS411">
        <v>0</v>
      </c>
      <c r="AT411">
        <v>0</v>
      </c>
      <c r="AU411">
        <v>0</v>
      </c>
      <c r="AV411">
        <v>0</v>
      </c>
      <c r="AW411">
        <v>0</v>
      </c>
      <c r="AX411">
        <v>0</v>
      </c>
      <c r="AY411">
        <v>0</v>
      </c>
      <c r="AZ411">
        <v>0</v>
      </c>
      <c r="BA411">
        <v>0</v>
      </c>
      <c r="BB411">
        <v>0</v>
      </c>
      <c r="BC411">
        <v>0</v>
      </c>
      <c r="BD411">
        <v>0</v>
      </c>
      <c r="BE411">
        <v>0</v>
      </c>
      <c r="BF411">
        <v>0</v>
      </c>
      <c r="BG411">
        <v>0</v>
      </c>
      <c r="BH411">
        <v>1</v>
      </c>
      <c r="BI411">
        <v>0.9</v>
      </c>
      <c r="BJ411">
        <v>1.7</v>
      </c>
      <c r="BK411">
        <v>2</v>
      </c>
      <c r="BL411" s="4">
        <v>39.42</v>
      </c>
      <c r="BM411" s="4">
        <v>5.91</v>
      </c>
      <c r="BN411" s="4">
        <v>45.33</v>
      </c>
      <c r="BO411" s="4">
        <v>45.33</v>
      </c>
      <c r="BQ411" t="s">
        <v>698</v>
      </c>
      <c r="BR411" t="s">
        <v>84</v>
      </c>
      <c r="BS411" s="3">
        <v>43804</v>
      </c>
      <c r="BT411" s="5">
        <v>0.32361111111111113</v>
      </c>
      <c r="BU411" t="s">
        <v>877</v>
      </c>
      <c r="BV411" t="s">
        <v>86</v>
      </c>
      <c r="BY411">
        <v>8581.2999999999993</v>
      </c>
      <c r="CC411" t="s">
        <v>333</v>
      </c>
      <c r="CD411">
        <v>2094</v>
      </c>
      <c r="CE411" t="s">
        <v>96</v>
      </c>
      <c r="CF411" s="3">
        <v>43805</v>
      </c>
      <c r="CI411">
        <v>1</v>
      </c>
      <c r="CJ411">
        <v>1</v>
      </c>
      <c r="CK411">
        <v>22</v>
      </c>
      <c r="CL411" t="s">
        <v>89</v>
      </c>
    </row>
    <row r="412" spans="1:90">
      <c r="A412" t="s">
        <v>72</v>
      </c>
      <c r="B412" t="s">
        <v>73</v>
      </c>
      <c r="C412" t="s">
        <v>74</v>
      </c>
      <c r="E412" t="str">
        <f>"FES1162726775"</f>
        <v>FES1162726775</v>
      </c>
      <c r="F412" s="3">
        <v>43803</v>
      </c>
      <c r="G412">
        <v>202006</v>
      </c>
      <c r="H412" t="s">
        <v>75</v>
      </c>
      <c r="I412" t="s">
        <v>76</v>
      </c>
      <c r="J412" t="s">
        <v>77</v>
      </c>
      <c r="K412" t="s">
        <v>78</v>
      </c>
      <c r="L412" t="s">
        <v>169</v>
      </c>
      <c r="M412" t="s">
        <v>170</v>
      </c>
      <c r="N412" t="s">
        <v>878</v>
      </c>
      <c r="O412" t="s">
        <v>82</v>
      </c>
      <c r="P412" t="str">
        <f>"2170720218                    "</f>
        <v xml:space="preserve">2170720218                    </v>
      </c>
      <c r="Q412">
        <v>0</v>
      </c>
      <c r="R412">
        <v>0</v>
      </c>
      <c r="S412">
        <v>0</v>
      </c>
      <c r="T412">
        <v>0</v>
      </c>
      <c r="U412">
        <v>0</v>
      </c>
      <c r="V412">
        <v>0</v>
      </c>
      <c r="W412">
        <v>0</v>
      </c>
      <c r="X412">
        <v>0</v>
      </c>
      <c r="Y412">
        <v>0</v>
      </c>
      <c r="Z412">
        <v>0</v>
      </c>
      <c r="AA412">
        <v>0</v>
      </c>
      <c r="AB412">
        <v>0</v>
      </c>
      <c r="AC412">
        <v>0</v>
      </c>
      <c r="AD412">
        <v>0</v>
      </c>
      <c r="AE412">
        <v>0</v>
      </c>
      <c r="AF412">
        <v>0</v>
      </c>
      <c r="AG412">
        <v>0</v>
      </c>
      <c r="AH412">
        <v>0</v>
      </c>
      <c r="AI412">
        <v>0</v>
      </c>
      <c r="AJ412">
        <v>0</v>
      </c>
      <c r="AK412">
        <v>0</v>
      </c>
      <c r="AL412">
        <v>0</v>
      </c>
      <c r="AM412">
        <v>6.71</v>
      </c>
      <c r="AN412">
        <v>0</v>
      </c>
      <c r="AO412">
        <v>0</v>
      </c>
      <c r="AP412">
        <v>0</v>
      </c>
      <c r="AQ412">
        <v>0</v>
      </c>
      <c r="AR412">
        <v>0</v>
      </c>
      <c r="AS412">
        <v>0</v>
      </c>
      <c r="AT412">
        <v>0</v>
      </c>
      <c r="AU412">
        <v>0</v>
      </c>
      <c r="AV412">
        <v>0</v>
      </c>
      <c r="AW412">
        <v>0</v>
      </c>
      <c r="AX412">
        <v>0</v>
      </c>
      <c r="AY412">
        <v>0</v>
      </c>
      <c r="AZ412">
        <v>0</v>
      </c>
      <c r="BA412">
        <v>0</v>
      </c>
      <c r="BB412">
        <v>0</v>
      </c>
      <c r="BC412">
        <v>0</v>
      </c>
      <c r="BD412">
        <v>0</v>
      </c>
      <c r="BE412">
        <v>0</v>
      </c>
      <c r="BF412">
        <v>0</v>
      </c>
      <c r="BG412">
        <v>0</v>
      </c>
      <c r="BH412">
        <v>1</v>
      </c>
      <c r="BI412">
        <v>1</v>
      </c>
      <c r="BJ412">
        <v>0.2</v>
      </c>
      <c r="BK412">
        <v>1</v>
      </c>
      <c r="BL412" s="4">
        <v>39.42</v>
      </c>
      <c r="BM412" s="4">
        <v>5.91</v>
      </c>
      <c r="BN412" s="4">
        <v>45.33</v>
      </c>
      <c r="BO412" s="4">
        <v>45.33</v>
      </c>
      <c r="BR412" t="s">
        <v>84</v>
      </c>
      <c r="BS412" s="3">
        <v>43804</v>
      </c>
      <c r="BT412" s="5">
        <v>0.37777777777777777</v>
      </c>
      <c r="BU412" t="s">
        <v>879</v>
      </c>
      <c r="BV412" t="s">
        <v>86</v>
      </c>
      <c r="BY412">
        <v>1200</v>
      </c>
      <c r="CA412" t="s">
        <v>826</v>
      </c>
      <c r="CC412" t="s">
        <v>170</v>
      </c>
      <c r="CD412">
        <v>1460</v>
      </c>
      <c r="CE412" t="s">
        <v>88</v>
      </c>
      <c r="CF412" s="3">
        <v>43805</v>
      </c>
      <c r="CI412">
        <v>1</v>
      </c>
      <c r="CJ412">
        <v>1</v>
      </c>
      <c r="CK412">
        <v>22</v>
      </c>
      <c r="CL412" t="s">
        <v>89</v>
      </c>
    </row>
    <row r="413" spans="1:90">
      <c r="A413" t="s">
        <v>72</v>
      </c>
      <c r="B413" t="s">
        <v>73</v>
      </c>
      <c r="C413" t="s">
        <v>74</v>
      </c>
      <c r="E413" t="str">
        <f>"FES1162726636"</f>
        <v>FES1162726636</v>
      </c>
      <c r="F413" s="3">
        <v>43803</v>
      </c>
      <c r="G413">
        <v>202006</v>
      </c>
      <c r="H413" t="s">
        <v>75</v>
      </c>
      <c r="I413" t="s">
        <v>76</v>
      </c>
      <c r="J413" t="s">
        <v>77</v>
      </c>
      <c r="K413" t="s">
        <v>78</v>
      </c>
      <c r="L413" t="s">
        <v>491</v>
      </c>
      <c r="M413" t="s">
        <v>492</v>
      </c>
      <c r="N413" t="s">
        <v>880</v>
      </c>
      <c r="O413" t="s">
        <v>82</v>
      </c>
      <c r="P413" t="str">
        <f>"2170720115                    "</f>
        <v xml:space="preserve">2170720115                    </v>
      </c>
      <c r="Q413">
        <v>0</v>
      </c>
      <c r="R413">
        <v>0</v>
      </c>
      <c r="S413">
        <v>0</v>
      </c>
      <c r="T413">
        <v>0</v>
      </c>
      <c r="U413">
        <v>0</v>
      </c>
      <c r="V413">
        <v>0</v>
      </c>
      <c r="W413">
        <v>0</v>
      </c>
      <c r="X413">
        <v>0</v>
      </c>
      <c r="Y413">
        <v>0</v>
      </c>
      <c r="Z413">
        <v>0</v>
      </c>
      <c r="AA413">
        <v>0</v>
      </c>
      <c r="AB413">
        <v>0</v>
      </c>
      <c r="AC413">
        <v>0</v>
      </c>
      <c r="AD413">
        <v>0</v>
      </c>
      <c r="AE413">
        <v>0</v>
      </c>
      <c r="AF413">
        <v>0</v>
      </c>
      <c r="AG413">
        <v>0</v>
      </c>
      <c r="AH413">
        <v>0</v>
      </c>
      <c r="AI413">
        <v>0</v>
      </c>
      <c r="AJ413">
        <v>0</v>
      </c>
      <c r="AK413">
        <v>0</v>
      </c>
      <c r="AL413">
        <v>0</v>
      </c>
      <c r="AM413">
        <v>6.71</v>
      </c>
      <c r="AN413">
        <v>0</v>
      </c>
      <c r="AO413">
        <v>0</v>
      </c>
      <c r="AP413">
        <v>0</v>
      </c>
      <c r="AQ413">
        <v>0</v>
      </c>
      <c r="AR413">
        <v>0</v>
      </c>
      <c r="AS413">
        <v>0</v>
      </c>
      <c r="AT413">
        <v>0</v>
      </c>
      <c r="AU413">
        <v>0</v>
      </c>
      <c r="AV413">
        <v>0</v>
      </c>
      <c r="AW413">
        <v>0</v>
      </c>
      <c r="AX413">
        <v>0</v>
      </c>
      <c r="AY413">
        <v>0</v>
      </c>
      <c r="AZ413">
        <v>0</v>
      </c>
      <c r="BA413">
        <v>0</v>
      </c>
      <c r="BB413">
        <v>0</v>
      </c>
      <c r="BC413">
        <v>0</v>
      </c>
      <c r="BD413">
        <v>0</v>
      </c>
      <c r="BE413">
        <v>0</v>
      </c>
      <c r="BF413">
        <v>0</v>
      </c>
      <c r="BG413">
        <v>0</v>
      </c>
      <c r="BH413">
        <v>1</v>
      </c>
      <c r="BI413">
        <v>1</v>
      </c>
      <c r="BJ413">
        <v>0.2</v>
      </c>
      <c r="BK413">
        <v>1</v>
      </c>
      <c r="BL413" s="4">
        <v>39.42</v>
      </c>
      <c r="BM413" s="4">
        <v>5.91</v>
      </c>
      <c r="BN413" s="4">
        <v>45.33</v>
      </c>
      <c r="BO413" s="4">
        <v>45.33</v>
      </c>
      <c r="BQ413" t="s">
        <v>93</v>
      </c>
      <c r="BR413" t="s">
        <v>84</v>
      </c>
      <c r="BS413" s="3">
        <v>43804</v>
      </c>
      <c r="BT413" s="5">
        <v>0.34375</v>
      </c>
      <c r="BU413" t="s">
        <v>881</v>
      </c>
      <c r="BV413" t="s">
        <v>86</v>
      </c>
      <c r="BY413">
        <v>1200</v>
      </c>
      <c r="CC413" t="s">
        <v>492</v>
      </c>
      <c r="CD413">
        <v>1709</v>
      </c>
      <c r="CE413" t="s">
        <v>88</v>
      </c>
      <c r="CF413" s="3">
        <v>43805</v>
      </c>
      <c r="CI413">
        <v>1</v>
      </c>
      <c r="CJ413">
        <v>1</v>
      </c>
      <c r="CK413">
        <v>22</v>
      </c>
      <c r="CL413" t="s">
        <v>89</v>
      </c>
    </row>
    <row r="414" spans="1:90">
      <c r="A414" t="s">
        <v>72</v>
      </c>
      <c r="B414" t="s">
        <v>73</v>
      </c>
      <c r="C414" t="s">
        <v>74</v>
      </c>
      <c r="E414" t="str">
        <f>"FES1162726363"</f>
        <v>FES1162726363</v>
      </c>
      <c r="F414" s="3">
        <v>43803</v>
      </c>
      <c r="G414">
        <v>202006</v>
      </c>
      <c r="H414" t="s">
        <v>75</v>
      </c>
      <c r="I414" t="s">
        <v>76</v>
      </c>
      <c r="J414" t="s">
        <v>77</v>
      </c>
      <c r="K414" t="s">
        <v>78</v>
      </c>
      <c r="L414" t="s">
        <v>90</v>
      </c>
      <c r="M414" t="s">
        <v>91</v>
      </c>
      <c r="N414" t="s">
        <v>92</v>
      </c>
      <c r="O414" t="s">
        <v>82</v>
      </c>
      <c r="P414" t="str">
        <f>"2170719866                    "</f>
        <v xml:space="preserve">2170719866                    </v>
      </c>
      <c r="Q414">
        <v>0</v>
      </c>
      <c r="R414">
        <v>0</v>
      </c>
      <c r="S414">
        <v>0</v>
      </c>
      <c r="T414">
        <v>0</v>
      </c>
      <c r="U414">
        <v>0</v>
      </c>
      <c r="V414">
        <v>0</v>
      </c>
      <c r="W414">
        <v>0</v>
      </c>
      <c r="X414">
        <v>0</v>
      </c>
      <c r="Y414">
        <v>0</v>
      </c>
      <c r="Z414">
        <v>0</v>
      </c>
      <c r="AA414">
        <v>0</v>
      </c>
      <c r="AB414">
        <v>0</v>
      </c>
      <c r="AC414">
        <v>0</v>
      </c>
      <c r="AD414">
        <v>0</v>
      </c>
      <c r="AE414">
        <v>0</v>
      </c>
      <c r="AF414">
        <v>0</v>
      </c>
      <c r="AG414">
        <v>0</v>
      </c>
      <c r="AH414">
        <v>0</v>
      </c>
      <c r="AI414">
        <v>0</v>
      </c>
      <c r="AJ414">
        <v>0</v>
      </c>
      <c r="AK414">
        <v>0</v>
      </c>
      <c r="AL414">
        <v>0</v>
      </c>
      <c r="AM414">
        <v>12.87</v>
      </c>
      <c r="AN414">
        <v>0</v>
      </c>
      <c r="AO414">
        <v>0</v>
      </c>
      <c r="AP414">
        <v>0</v>
      </c>
      <c r="AQ414">
        <v>0</v>
      </c>
      <c r="AR414">
        <v>0</v>
      </c>
      <c r="AS414">
        <v>0</v>
      </c>
      <c r="AT414">
        <v>0</v>
      </c>
      <c r="AU414">
        <v>0</v>
      </c>
      <c r="AV414">
        <v>0</v>
      </c>
      <c r="AW414">
        <v>0</v>
      </c>
      <c r="AX414">
        <v>0</v>
      </c>
      <c r="AY414">
        <v>0</v>
      </c>
      <c r="AZ414">
        <v>0</v>
      </c>
      <c r="BA414">
        <v>0</v>
      </c>
      <c r="BB414">
        <v>0</v>
      </c>
      <c r="BC414">
        <v>0</v>
      </c>
      <c r="BD414">
        <v>0</v>
      </c>
      <c r="BE414">
        <v>0</v>
      </c>
      <c r="BF414">
        <v>0</v>
      </c>
      <c r="BG414">
        <v>0</v>
      </c>
      <c r="BH414">
        <v>1</v>
      </c>
      <c r="BI414">
        <v>1.5</v>
      </c>
      <c r="BJ414">
        <v>2.6</v>
      </c>
      <c r="BK414">
        <v>3</v>
      </c>
      <c r="BL414" s="4">
        <v>75.66</v>
      </c>
      <c r="BM414" s="4">
        <v>11.35</v>
      </c>
      <c r="BN414" s="4">
        <v>87.01</v>
      </c>
      <c r="BO414" s="4">
        <v>87.01</v>
      </c>
      <c r="BQ414" t="s">
        <v>93</v>
      </c>
      <c r="BR414" t="s">
        <v>84</v>
      </c>
      <c r="BS414" s="3">
        <v>43804</v>
      </c>
      <c r="BT414" s="5">
        <v>0.39166666666666666</v>
      </c>
      <c r="BU414" t="s">
        <v>882</v>
      </c>
      <c r="BV414" t="s">
        <v>86</v>
      </c>
      <c r="BY414">
        <v>13041.28</v>
      </c>
      <c r="CA414" t="s">
        <v>95</v>
      </c>
      <c r="CC414" t="s">
        <v>91</v>
      </c>
      <c r="CD414">
        <v>7764</v>
      </c>
      <c r="CE414" t="s">
        <v>116</v>
      </c>
      <c r="CF414" s="3">
        <v>43805</v>
      </c>
      <c r="CI414">
        <v>1</v>
      </c>
      <c r="CJ414">
        <v>1</v>
      </c>
      <c r="CK414">
        <v>21</v>
      </c>
      <c r="CL414" t="s">
        <v>89</v>
      </c>
    </row>
    <row r="415" spans="1:90">
      <c r="A415" t="s">
        <v>72</v>
      </c>
      <c r="B415" t="s">
        <v>73</v>
      </c>
      <c r="C415" t="s">
        <v>74</v>
      </c>
      <c r="E415" t="str">
        <f>"FES1162726689"</f>
        <v>FES1162726689</v>
      </c>
      <c r="F415" s="3">
        <v>43803</v>
      </c>
      <c r="G415">
        <v>202006</v>
      </c>
      <c r="H415" t="s">
        <v>75</v>
      </c>
      <c r="I415" t="s">
        <v>76</v>
      </c>
      <c r="J415" t="s">
        <v>77</v>
      </c>
      <c r="K415" t="s">
        <v>78</v>
      </c>
      <c r="L415" t="s">
        <v>632</v>
      </c>
      <c r="M415" t="s">
        <v>633</v>
      </c>
      <c r="N415" t="s">
        <v>883</v>
      </c>
      <c r="O415" t="s">
        <v>82</v>
      </c>
      <c r="P415" t="str">
        <f>"2170718118                    "</f>
        <v xml:space="preserve">2170718118                    </v>
      </c>
      <c r="Q415">
        <v>0</v>
      </c>
      <c r="R415">
        <v>0</v>
      </c>
      <c r="S415">
        <v>0</v>
      </c>
      <c r="T415">
        <v>0</v>
      </c>
      <c r="U415">
        <v>0</v>
      </c>
      <c r="V415">
        <v>0</v>
      </c>
      <c r="W415">
        <v>0</v>
      </c>
      <c r="X415">
        <v>0</v>
      </c>
      <c r="Y415">
        <v>0</v>
      </c>
      <c r="Z415">
        <v>0</v>
      </c>
      <c r="AA415">
        <v>0</v>
      </c>
      <c r="AB415">
        <v>0</v>
      </c>
      <c r="AC415">
        <v>0</v>
      </c>
      <c r="AD415">
        <v>0</v>
      </c>
      <c r="AE415">
        <v>0</v>
      </c>
      <c r="AF415">
        <v>0</v>
      </c>
      <c r="AG415">
        <v>0</v>
      </c>
      <c r="AH415">
        <v>0</v>
      </c>
      <c r="AI415">
        <v>0</v>
      </c>
      <c r="AJ415">
        <v>0</v>
      </c>
      <c r="AK415">
        <v>0</v>
      </c>
      <c r="AL415">
        <v>0</v>
      </c>
      <c r="AM415">
        <v>6.71</v>
      </c>
      <c r="AN415">
        <v>0</v>
      </c>
      <c r="AO415">
        <v>0</v>
      </c>
      <c r="AP415">
        <v>0</v>
      </c>
      <c r="AQ415">
        <v>0</v>
      </c>
      <c r="AR415">
        <v>0</v>
      </c>
      <c r="AS415">
        <v>0</v>
      </c>
      <c r="AT415">
        <v>0</v>
      </c>
      <c r="AU415">
        <v>0</v>
      </c>
      <c r="AV415">
        <v>0</v>
      </c>
      <c r="AW415">
        <v>0</v>
      </c>
      <c r="AX415">
        <v>0</v>
      </c>
      <c r="AY415">
        <v>0</v>
      </c>
      <c r="AZ415">
        <v>0</v>
      </c>
      <c r="BA415">
        <v>0</v>
      </c>
      <c r="BB415">
        <v>0</v>
      </c>
      <c r="BC415">
        <v>0</v>
      </c>
      <c r="BD415">
        <v>0</v>
      </c>
      <c r="BE415">
        <v>0</v>
      </c>
      <c r="BF415">
        <v>0</v>
      </c>
      <c r="BG415">
        <v>0</v>
      </c>
      <c r="BH415">
        <v>1</v>
      </c>
      <c r="BI415">
        <v>1</v>
      </c>
      <c r="BJ415">
        <v>0.2</v>
      </c>
      <c r="BK415">
        <v>1</v>
      </c>
      <c r="BL415" s="4">
        <v>39.42</v>
      </c>
      <c r="BM415" s="4">
        <v>5.91</v>
      </c>
      <c r="BN415" s="4">
        <v>45.33</v>
      </c>
      <c r="BO415" s="4">
        <v>45.33</v>
      </c>
      <c r="BQ415" t="s">
        <v>256</v>
      </c>
      <c r="BR415" t="s">
        <v>84</v>
      </c>
      <c r="BS415" s="3">
        <v>43804</v>
      </c>
      <c r="BT415" s="5">
        <v>0.38263888888888892</v>
      </c>
      <c r="BU415" t="s">
        <v>884</v>
      </c>
      <c r="BV415" t="s">
        <v>86</v>
      </c>
      <c r="BY415">
        <v>1200</v>
      </c>
      <c r="CC415" t="s">
        <v>633</v>
      </c>
      <c r="CD415">
        <v>1451</v>
      </c>
      <c r="CE415" t="s">
        <v>88</v>
      </c>
      <c r="CF415" s="3">
        <v>43805</v>
      </c>
      <c r="CI415">
        <v>1</v>
      </c>
      <c r="CJ415">
        <v>1</v>
      </c>
      <c r="CK415">
        <v>22</v>
      </c>
      <c r="CL415" t="s">
        <v>89</v>
      </c>
    </row>
    <row r="416" spans="1:90">
      <c r="A416" t="s">
        <v>72</v>
      </c>
      <c r="B416" t="s">
        <v>73</v>
      </c>
      <c r="C416" t="s">
        <v>74</v>
      </c>
      <c r="E416" t="str">
        <f>"FES1162726564"</f>
        <v>FES1162726564</v>
      </c>
      <c r="F416" s="3">
        <v>43803</v>
      </c>
      <c r="G416">
        <v>202006</v>
      </c>
      <c r="H416" t="s">
        <v>75</v>
      </c>
      <c r="I416" t="s">
        <v>76</v>
      </c>
      <c r="J416" t="s">
        <v>77</v>
      </c>
      <c r="K416" t="s">
        <v>78</v>
      </c>
      <c r="L416" t="s">
        <v>169</v>
      </c>
      <c r="M416" t="s">
        <v>170</v>
      </c>
      <c r="N416" t="s">
        <v>171</v>
      </c>
      <c r="O416" t="s">
        <v>82</v>
      </c>
      <c r="P416" t="str">
        <f>"2170720044                    "</f>
        <v xml:space="preserve">2170720044                    </v>
      </c>
      <c r="Q416">
        <v>0</v>
      </c>
      <c r="R416">
        <v>0</v>
      </c>
      <c r="S416">
        <v>0</v>
      </c>
      <c r="T416">
        <v>0</v>
      </c>
      <c r="U416">
        <v>0</v>
      </c>
      <c r="V416">
        <v>0</v>
      </c>
      <c r="W416">
        <v>0</v>
      </c>
      <c r="X416">
        <v>0</v>
      </c>
      <c r="Y416">
        <v>0</v>
      </c>
      <c r="Z416">
        <v>0</v>
      </c>
      <c r="AA416">
        <v>0</v>
      </c>
      <c r="AB416">
        <v>0</v>
      </c>
      <c r="AC416">
        <v>0</v>
      </c>
      <c r="AD416">
        <v>0</v>
      </c>
      <c r="AE416">
        <v>0</v>
      </c>
      <c r="AF416">
        <v>0</v>
      </c>
      <c r="AG416">
        <v>0</v>
      </c>
      <c r="AH416">
        <v>0</v>
      </c>
      <c r="AI416">
        <v>0</v>
      </c>
      <c r="AJ416">
        <v>0</v>
      </c>
      <c r="AK416">
        <v>0</v>
      </c>
      <c r="AL416">
        <v>0</v>
      </c>
      <c r="AM416">
        <v>6.71</v>
      </c>
      <c r="AN416">
        <v>0</v>
      </c>
      <c r="AO416">
        <v>0</v>
      </c>
      <c r="AP416">
        <v>0</v>
      </c>
      <c r="AQ416">
        <v>0</v>
      </c>
      <c r="AR416">
        <v>0</v>
      </c>
      <c r="AS416">
        <v>0</v>
      </c>
      <c r="AT416">
        <v>0</v>
      </c>
      <c r="AU416">
        <v>0</v>
      </c>
      <c r="AV416">
        <v>0</v>
      </c>
      <c r="AW416">
        <v>0</v>
      </c>
      <c r="AX416">
        <v>0</v>
      </c>
      <c r="AY416">
        <v>0</v>
      </c>
      <c r="AZ416">
        <v>0</v>
      </c>
      <c r="BA416">
        <v>0</v>
      </c>
      <c r="BB416">
        <v>0</v>
      </c>
      <c r="BC416">
        <v>0</v>
      </c>
      <c r="BD416">
        <v>0</v>
      </c>
      <c r="BE416">
        <v>0</v>
      </c>
      <c r="BF416">
        <v>0</v>
      </c>
      <c r="BG416">
        <v>0</v>
      </c>
      <c r="BH416">
        <v>1</v>
      </c>
      <c r="BI416">
        <v>1</v>
      </c>
      <c r="BJ416">
        <v>0.2</v>
      </c>
      <c r="BK416">
        <v>1</v>
      </c>
      <c r="BL416" s="4">
        <v>39.42</v>
      </c>
      <c r="BM416" s="4">
        <v>5.91</v>
      </c>
      <c r="BN416" s="4">
        <v>45.33</v>
      </c>
      <c r="BO416" s="4">
        <v>45.33</v>
      </c>
      <c r="BQ416" t="s">
        <v>172</v>
      </c>
      <c r="BR416" t="s">
        <v>84</v>
      </c>
      <c r="BS416" s="3">
        <v>43804</v>
      </c>
      <c r="BT416" s="5">
        <v>0.25763888888888892</v>
      </c>
      <c r="BU416" t="s">
        <v>885</v>
      </c>
      <c r="BV416" t="s">
        <v>86</v>
      </c>
      <c r="BY416">
        <v>1200</v>
      </c>
      <c r="CA416" t="s">
        <v>826</v>
      </c>
      <c r="CC416" t="s">
        <v>170</v>
      </c>
      <c r="CD416">
        <v>1459</v>
      </c>
      <c r="CE416" t="s">
        <v>88</v>
      </c>
      <c r="CF416" s="3">
        <v>43805</v>
      </c>
      <c r="CI416">
        <v>1</v>
      </c>
      <c r="CJ416">
        <v>1</v>
      </c>
      <c r="CK416">
        <v>22</v>
      </c>
      <c r="CL416" t="s">
        <v>89</v>
      </c>
    </row>
    <row r="417" spans="1:90">
      <c r="A417" t="s">
        <v>72</v>
      </c>
      <c r="B417" t="s">
        <v>73</v>
      </c>
      <c r="C417" t="s">
        <v>74</v>
      </c>
      <c r="E417" t="str">
        <f>"FES1162726522"</f>
        <v>FES1162726522</v>
      </c>
      <c r="F417" s="3">
        <v>43803</v>
      </c>
      <c r="G417">
        <v>202006</v>
      </c>
      <c r="H417" t="s">
        <v>75</v>
      </c>
      <c r="I417" t="s">
        <v>76</v>
      </c>
      <c r="J417" t="s">
        <v>77</v>
      </c>
      <c r="K417" t="s">
        <v>78</v>
      </c>
      <c r="L417" t="s">
        <v>714</v>
      </c>
      <c r="M417" t="s">
        <v>715</v>
      </c>
      <c r="N417" t="s">
        <v>886</v>
      </c>
      <c r="O417" t="s">
        <v>82</v>
      </c>
      <c r="P417" t="str">
        <f>"2170719975                    "</f>
        <v xml:space="preserve">2170719975                    </v>
      </c>
      <c r="Q417">
        <v>0</v>
      </c>
      <c r="R417">
        <v>0</v>
      </c>
      <c r="S417">
        <v>0</v>
      </c>
      <c r="T417">
        <v>0</v>
      </c>
      <c r="U417">
        <v>0</v>
      </c>
      <c r="V417">
        <v>0</v>
      </c>
      <c r="W417">
        <v>0</v>
      </c>
      <c r="X417">
        <v>0</v>
      </c>
      <c r="Y417">
        <v>0</v>
      </c>
      <c r="Z417">
        <v>0</v>
      </c>
      <c r="AA417">
        <v>0</v>
      </c>
      <c r="AB417">
        <v>0</v>
      </c>
      <c r="AC417">
        <v>0</v>
      </c>
      <c r="AD417">
        <v>0</v>
      </c>
      <c r="AE417">
        <v>0</v>
      </c>
      <c r="AF417">
        <v>0</v>
      </c>
      <c r="AG417">
        <v>0</v>
      </c>
      <c r="AH417">
        <v>0</v>
      </c>
      <c r="AI417">
        <v>0</v>
      </c>
      <c r="AJ417">
        <v>0</v>
      </c>
      <c r="AK417">
        <v>0</v>
      </c>
      <c r="AL417">
        <v>0</v>
      </c>
      <c r="AM417">
        <v>9.92</v>
      </c>
      <c r="AN417">
        <v>0</v>
      </c>
      <c r="AO417">
        <v>0</v>
      </c>
      <c r="AP417">
        <v>0</v>
      </c>
      <c r="AQ417">
        <v>0</v>
      </c>
      <c r="AR417">
        <v>0</v>
      </c>
      <c r="AS417">
        <v>0</v>
      </c>
      <c r="AT417">
        <v>0</v>
      </c>
      <c r="AU417">
        <v>0</v>
      </c>
      <c r="AV417">
        <v>0</v>
      </c>
      <c r="AW417">
        <v>0</v>
      </c>
      <c r="AX417">
        <v>0</v>
      </c>
      <c r="AY417">
        <v>0</v>
      </c>
      <c r="AZ417">
        <v>0</v>
      </c>
      <c r="BA417">
        <v>0</v>
      </c>
      <c r="BB417">
        <v>0</v>
      </c>
      <c r="BC417">
        <v>0</v>
      </c>
      <c r="BD417">
        <v>0</v>
      </c>
      <c r="BE417">
        <v>0</v>
      </c>
      <c r="BF417">
        <v>0</v>
      </c>
      <c r="BG417">
        <v>0</v>
      </c>
      <c r="BH417">
        <v>1</v>
      </c>
      <c r="BI417">
        <v>4</v>
      </c>
      <c r="BJ417">
        <v>0.2</v>
      </c>
      <c r="BK417">
        <v>4</v>
      </c>
      <c r="BL417" s="4">
        <v>58.31</v>
      </c>
      <c r="BM417" s="4">
        <v>8.75</v>
      </c>
      <c r="BN417" s="4">
        <v>67.06</v>
      </c>
      <c r="BO417" s="4">
        <v>67.06</v>
      </c>
      <c r="BR417" t="s">
        <v>84</v>
      </c>
      <c r="BS417" s="3">
        <v>43804</v>
      </c>
      <c r="BT417" s="5">
        <v>0.33333333333333331</v>
      </c>
      <c r="BU417" t="s">
        <v>887</v>
      </c>
      <c r="BV417" t="s">
        <v>86</v>
      </c>
      <c r="BY417">
        <v>1200</v>
      </c>
      <c r="CC417" t="s">
        <v>715</v>
      </c>
      <c r="CD417">
        <v>1559</v>
      </c>
      <c r="CE417" t="s">
        <v>88</v>
      </c>
      <c r="CF417" s="3">
        <v>43805</v>
      </c>
      <c r="CI417">
        <v>1</v>
      </c>
      <c r="CJ417">
        <v>1</v>
      </c>
      <c r="CK417">
        <v>22</v>
      </c>
      <c r="CL417" t="s">
        <v>89</v>
      </c>
    </row>
    <row r="418" spans="1:90">
      <c r="A418" t="s">
        <v>72</v>
      </c>
      <c r="B418" t="s">
        <v>73</v>
      </c>
      <c r="C418" t="s">
        <v>74</v>
      </c>
      <c r="E418" t="str">
        <f>"FES1162726390"</f>
        <v>FES1162726390</v>
      </c>
      <c r="F418" s="3">
        <v>43803</v>
      </c>
      <c r="G418">
        <v>202006</v>
      </c>
      <c r="H418" t="s">
        <v>75</v>
      </c>
      <c r="I418" t="s">
        <v>76</v>
      </c>
      <c r="J418" t="s">
        <v>77</v>
      </c>
      <c r="K418" t="s">
        <v>78</v>
      </c>
      <c r="L418" t="s">
        <v>396</v>
      </c>
      <c r="M418" t="s">
        <v>397</v>
      </c>
      <c r="N418" t="s">
        <v>551</v>
      </c>
      <c r="O418" t="s">
        <v>82</v>
      </c>
      <c r="P418" t="str">
        <f>"2170718562                    "</f>
        <v xml:space="preserve">2170718562                    </v>
      </c>
      <c r="Q418">
        <v>0</v>
      </c>
      <c r="R418">
        <v>0</v>
      </c>
      <c r="S418">
        <v>0</v>
      </c>
      <c r="T418">
        <v>0</v>
      </c>
      <c r="U418">
        <v>0</v>
      </c>
      <c r="V418">
        <v>0</v>
      </c>
      <c r="W418">
        <v>0</v>
      </c>
      <c r="X418">
        <v>0</v>
      </c>
      <c r="Y418">
        <v>0</v>
      </c>
      <c r="Z418">
        <v>0</v>
      </c>
      <c r="AA418">
        <v>0</v>
      </c>
      <c r="AB418">
        <v>0</v>
      </c>
      <c r="AC418">
        <v>0</v>
      </c>
      <c r="AD418">
        <v>0</v>
      </c>
      <c r="AE418">
        <v>0</v>
      </c>
      <c r="AF418">
        <v>0</v>
      </c>
      <c r="AG418">
        <v>0</v>
      </c>
      <c r="AH418">
        <v>0</v>
      </c>
      <c r="AI418">
        <v>0</v>
      </c>
      <c r="AJ418">
        <v>0</v>
      </c>
      <c r="AK418">
        <v>0</v>
      </c>
      <c r="AL418">
        <v>0</v>
      </c>
      <c r="AM418">
        <v>31.65</v>
      </c>
      <c r="AN418">
        <v>0</v>
      </c>
      <c r="AO418">
        <v>0</v>
      </c>
      <c r="AP418">
        <v>0</v>
      </c>
      <c r="AQ418">
        <v>0</v>
      </c>
      <c r="AR418">
        <v>0</v>
      </c>
      <c r="AS418">
        <v>0</v>
      </c>
      <c r="AT418">
        <v>0</v>
      </c>
      <c r="AU418">
        <v>0</v>
      </c>
      <c r="AV418">
        <v>0</v>
      </c>
      <c r="AW418">
        <v>0</v>
      </c>
      <c r="AX418">
        <v>0</v>
      </c>
      <c r="AY418">
        <v>0</v>
      </c>
      <c r="AZ418">
        <v>0</v>
      </c>
      <c r="BA418">
        <v>0</v>
      </c>
      <c r="BB418">
        <v>0</v>
      </c>
      <c r="BC418">
        <v>0</v>
      </c>
      <c r="BD418">
        <v>0</v>
      </c>
      <c r="BE418">
        <v>0</v>
      </c>
      <c r="BF418">
        <v>0</v>
      </c>
      <c r="BG418">
        <v>0</v>
      </c>
      <c r="BH418">
        <v>1</v>
      </c>
      <c r="BI418">
        <v>2.8</v>
      </c>
      <c r="BJ418">
        <v>3.9</v>
      </c>
      <c r="BK418">
        <v>4</v>
      </c>
      <c r="BL418" s="4">
        <v>186.05</v>
      </c>
      <c r="BM418" s="4">
        <v>27.91</v>
      </c>
      <c r="BN418" s="4">
        <v>213.96</v>
      </c>
      <c r="BO418" s="4">
        <v>213.96</v>
      </c>
      <c r="BQ418" t="s">
        <v>552</v>
      </c>
      <c r="BR418" t="s">
        <v>84</v>
      </c>
      <c r="BS418" s="3">
        <v>43804</v>
      </c>
      <c r="BT418" s="5">
        <v>0.50416666666666665</v>
      </c>
      <c r="BU418" t="s">
        <v>888</v>
      </c>
      <c r="BV418" t="s">
        <v>86</v>
      </c>
      <c r="BY418">
        <v>19675.419999999998</v>
      </c>
      <c r="CA418" t="s">
        <v>889</v>
      </c>
      <c r="CC418" t="s">
        <v>397</v>
      </c>
      <c r="CD418">
        <v>7130</v>
      </c>
      <c r="CE418" t="s">
        <v>116</v>
      </c>
      <c r="CF418" s="3">
        <v>43805</v>
      </c>
      <c r="CI418">
        <v>1</v>
      </c>
      <c r="CJ418">
        <v>1</v>
      </c>
      <c r="CK418">
        <v>23</v>
      </c>
      <c r="CL418" t="s">
        <v>89</v>
      </c>
    </row>
    <row r="419" spans="1:90">
      <c r="A419" t="s">
        <v>72</v>
      </c>
      <c r="B419" t="s">
        <v>73</v>
      </c>
      <c r="C419" t="s">
        <v>74</v>
      </c>
      <c r="E419" t="str">
        <f>"FES1162726507"</f>
        <v>FES1162726507</v>
      </c>
      <c r="F419" s="3">
        <v>43803</v>
      </c>
      <c r="G419">
        <v>202006</v>
      </c>
      <c r="H419" t="s">
        <v>75</v>
      </c>
      <c r="I419" t="s">
        <v>76</v>
      </c>
      <c r="J419" t="s">
        <v>77</v>
      </c>
      <c r="K419" t="s">
        <v>78</v>
      </c>
      <c r="L419" t="s">
        <v>169</v>
      </c>
      <c r="M419" t="s">
        <v>170</v>
      </c>
      <c r="N419" t="s">
        <v>890</v>
      </c>
      <c r="O419" t="s">
        <v>82</v>
      </c>
      <c r="P419" t="str">
        <f>"2170718706                    "</f>
        <v xml:space="preserve">2170718706                    </v>
      </c>
      <c r="Q419">
        <v>0</v>
      </c>
      <c r="R419">
        <v>0</v>
      </c>
      <c r="S419">
        <v>0</v>
      </c>
      <c r="T419">
        <v>0</v>
      </c>
      <c r="U419">
        <v>0</v>
      </c>
      <c r="V419">
        <v>0</v>
      </c>
      <c r="W419">
        <v>0</v>
      </c>
      <c r="X419">
        <v>0</v>
      </c>
      <c r="Y419">
        <v>0</v>
      </c>
      <c r="Z419">
        <v>0</v>
      </c>
      <c r="AA419">
        <v>0</v>
      </c>
      <c r="AB419">
        <v>0</v>
      </c>
      <c r="AC419">
        <v>0</v>
      </c>
      <c r="AD419">
        <v>0</v>
      </c>
      <c r="AE419">
        <v>0</v>
      </c>
      <c r="AF419">
        <v>0</v>
      </c>
      <c r="AG419">
        <v>0</v>
      </c>
      <c r="AH419">
        <v>0</v>
      </c>
      <c r="AI419">
        <v>0</v>
      </c>
      <c r="AJ419">
        <v>0</v>
      </c>
      <c r="AK419">
        <v>0</v>
      </c>
      <c r="AL419">
        <v>0</v>
      </c>
      <c r="AM419">
        <v>6.71</v>
      </c>
      <c r="AN419">
        <v>0</v>
      </c>
      <c r="AO419">
        <v>0</v>
      </c>
      <c r="AP419">
        <v>0</v>
      </c>
      <c r="AQ419">
        <v>0</v>
      </c>
      <c r="AR419">
        <v>0</v>
      </c>
      <c r="AS419">
        <v>0</v>
      </c>
      <c r="AT419">
        <v>0</v>
      </c>
      <c r="AU419">
        <v>0</v>
      </c>
      <c r="AV419">
        <v>0</v>
      </c>
      <c r="AW419">
        <v>0</v>
      </c>
      <c r="AX419">
        <v>0</v>
      </c>
      <c r="AY419">
        <v>0</v>
      </c>
      <c r="AZ419">
        <v>0</v>
      </c>
      <c r="BA419">
        <v>0</v>
      </c>
      <c r="BB419">
        <v>0</v>
      </c>
      <c r="BC419">
        <v>0</v>
      </c>
      <c r="BD419">
        <v>0</v>
      </c>
      <c r="BE419">
        <v>0</v>
      </c>
      <c r="BF419">
        <v>0</v>
      </c>
      <c r="BG419">
        <v>0</v>
      </c>
      <c r="BH419">
        <v>1</v>
      </c>
      <c r="BI419">
        <v>1</v>
      </c>
      <c r="BJ419">
        <v>0.2</v>
      </c>
      <c r="BK419">
        <v>1</v>
      </c>
      <c r="BL419" s="4">
        <v>39.42</v>
      </c>
      <c r="BM419" s="4">
        <v>5.91</v>
      </c>
      <c r="BN419" s="4">
        <v>45.33</v>
      </c>
      <c r="BO419" s="4">
        <v>45.33</v>
      </c>
      <c r="BQ419" t="s">
        <v>891</v>
      </c>
      <c r="BR419" t="s">
        <v>84</v>
      </c>
      <c r="BS419" s="3">
        <v>43804</v>
      </c>
      <c r="BT419" s="5">
        <v>0.4201388888888889</v>
      </c>
      <c r="BU419" t="s">
        <v>892</v>
      </c>
      <c r="BV419" t="s">
        <v>86</v>
      </c>
      <c r="BY419">
        <v>1200</v>
      </c>
      <c r="CC419" t="s">
        <v>170</v>
      </c>
      <c r="CD419">
        <v>1459</v>
      </c>
      <c r="CE419" t="s">
        <v>88</v>
      </c>
      <c r="CF419" s="3">
        <v>43805</v>
      </c>
      <c r="CI419">
        <v>1</v>
      </c>
      <c r="CJ419">
        <v>1</v>
      </c>
      <c r="CK419">
        <v>22</v>
      </c>
      <c r="CL419" t="s">
        <v>89</v>
      </c>
    </row>
    <row r="420" spans="1:90">
      <c r="A420" t="s">
        <v>72</v>
      </c>
      <c r="B420" t="s">
        <v>73</v>
      </c>
      <c r="C420" t="s">
        <v>74</v>
      </c>
      <c r="E420" t="str">
        <f>"FES1162726598"</f>
        <v>FES1162726598</v>
      </c>
      <c r="F420" s="3">
        <v>43803</v>
      </c>
      <c r="G420">
        <v>202006</v>
      </c>
      <c r="H420" t="s">
        <v>75</v>
      </c>
      <c r="I420" t="s">
        <v>76</v>
      </c>
      <c r="J420" t="s">
        <v>77</v>
      </c>
      <c r="K420" t="s">
        <v>78</v>
      </c>
      <c r="L420" t="s">
        <v>169</v>
      </c>
      <c r="M420" t="s">
        <v>170</v>
      </c>
      <c r="N420" t="s">
        <v>171</v>
      </c>
      <c r="O420" t="s">
        <v>82</v>
      </c>
      <c r="P420" t="str">
        <f>"2170720076                    "</f>
        <v xml:space="preserve">2170720076                    </v>
      </c>
      <c r="Q420">
        <v>0</v>
      </c>
      <c r="R420">
        <v>0</v>
      </c>
      <c r="S420">
        <v>0</v>
      </c>
      <c r="T420">
        <v>0</v>
      </c>
      <c r="U420">
        <v>0</v>
      </c>
      <c r="V420">
        <v>0</v>
      </c>
      <c r="W420">
        <v>0</v>
      </c>
      <c r="X420">
        <v>0</v>
      </c>
      <c r="Y420">
        <v>0</v>
      </c>
      <c r="Z420">
        <v>0</v>
      </c>
      <c r="AA420">
        <v>0</v>
      </c>
      <c r="AB420">
        <v>0</v>
      </c>
      <c r="AC420">
        <v>0</v>
      </c>
      <c r="AD420">
        <v>0</v>
      </c>
      <c r="AE420">
        <v>0</v>
      </c>
      <c r="AF420">
        <v>0</v>
      </c>
      <c r="AG420">
        <v>0</v>
      </c>
      <c r="AH420">
        <v>0</v>
      </c>
      <c r="AI420">
        <v>0</v>
      </c>
      <c r="AJ420">
        <v>0</v>
      </c>
      <c r="AK420">
        <v>0</v>
      </c>
      <c r="AL420">
        <v>0</v>
      </c>
      <c r="AM420">
        <v>6.71</v>
      </c>
      <c r="AN420">
        <v>0</v>
      </c>
      <c r="AO420">
        <v>0</v>
      </c>
      <c r="AP420">
        <v>0</v>
      </c>
      <c r="AQ420">
        <v>0</v>
      </c>
      <c r="AR420">
        <v>0</v>
      </c>
      <c r="AS420">
        <v>0</v>
      </c>
      <c r="AT420">
        <v>0</v>
      </c>
      <c r="AU420">
        <v>0</v>
      </c>
      <c r="AV420">
        <v>0</v>
      </c>
      <c r="AW420">
        <v>0</v>
      </c>
      <c r="AX420">
        <v>0</v>
      </c>
      <c r="AY420">
        <v>0</v>
      </c>
      <c r="AZ420">
        <v>0</v>
      </c>
      <c r="BA420">
        <v>0</v>
      </c>
      <c r="BB420">
        <v>0</v>
      </c>
      <c r="BC420">
        <v>0</v>
      </c>
      <c r="BD420">
        <v>0</v>
      </c>
      <c r="BE420">
        <v>0</v>
      </c>
      <c r="BF420">
        <v>0</v>
      </c>
      <c r="BG420">
        <v>0</v>
      </c>
      <c r="BH420">
        <v>1</v>
      </c>
      <c r="BI420">
        <v>1</v>
      </c>
      <c r="BJ420">
        <v>0.2</v>
      </c>
      <c r="BK420">
        <v>1</v>
      </c>
      <c r="BL420" s="4">
        <v>39.42</v>
      </c>
      <c r="BM420" s="4">
        <v>5.91</v>
      </c>
      <c r="BN420" s="4">
        <v>45.33</v>
      </c>
      <c r="BO420" s="4">
        <v>45.33</v>
      </c>
      <c r="BQ420" t="s">
        <v>172</v>
      </c>
      <c r="BR420" t="s">
        <v>84</v>
      </c>
      <c r="BS420" s="3">
        <v>43804</v>
      </c>
      <c r="BT420" s="5">
        <v>0.25694444444444448</v>
      </c>
      <c r="BU420" t="s">
        <v>885</v>
      </c>
      <c r="BV420" t="s">
        <v>86</v>
      </c>
      <c r="BY420">
        <v>1200</v>
      </c>
      <c r="CA420" t="s">
        <v>826</v>
      </c>
      <c r="CC420" t="s">
        <v>170</v>
      </c>
      <c r="CD420">
        <v>1459</v>
      </c>
      <c r="CE420" t="s">
        <v>88</v>
      </c>
      <c r="CF420" s="3">
        <v>43805</v>
      </c>
      <c r="CI420">
        <v>1</v>
      </c>
      <c r="CJ420">
        <v>1</v>
      </c>
      <c r="CK420">
        <v>22</v>
      </c>
      <c r="CL420" t="s">
        <v>89</v>
      </c>
    </row>
    <row r="421" spans="1:90">
      <c r="A421" t="s">
        <v>72</v>
      </c>
      <c r="B421" t="s">
        <v>73</v>
      </c>
      <c r="C421" t="s">
        <v>74</v>
      </c>
      <c r="E421" t="str">
        <f>"FES1162726597"</f>
        <v>FES1162726597</v>
      </c>
      <c r="F421" s="3">
        <v>43803</v>
      </c>
      <c r="G421">
        <v>202006</v>
      </c>
      <c r="H421" t="s">
        <v>75</v>
      </c>
      <c r="I421" t="s">
        <v>76</v>
      </c>
      <c r="J421" t="s">
        <v>77</v>
      </c>
      <c r="K421" t="s">
        <v>78</v>
      </c>
      <c r="L421" t="s">
        <v>169</v>
      </c>
      <c r="M421" t="s">
        <v>170</v>
      </c>
      <c r="N421" t="s">
        <v>171</v>
      </c>
      <c r="O421" t="s">
        <v>82</v>
      </c>
      <c r="P421" t="str">
        <f>"2170720075                    "</f>
        <v xml:space="preserve">2170720075                    </v>
      </c>
      <c r="Q421">
        <v>0</v>
      </c>
      <c r="R421">
        <v>0</v>
      </c>
      <c r="S421">
        <v>0</v>
      </c>
      <c r="T421">
        <v>0</v>
      </c>
      <c r="U421">
        <v>0</v>
      </c>
      <c r="V421">
        <v>0</v>
      </c>
      <c r="W421">
        <v>0</v>
      </c>
      <c r="X421">
        <v>0</v>
      </c>
      <c r="Y421">
        <v>0</v>
      </c>
      <c r="Z421">
        <v>0</v>
      </c>
      <c r="AA421">
        <v>0</v>
      </c>
      <c r="AB421">
        <v>0</v>
      </c>
      <c r="AC421">
        <v>0</v>
      </c>
      <c r="AD421">
        <v>0</v>
      </c>
      <c r="AE421">
        <v>0</v>
      </c>
      <c r="AF421">
        <v>0</v>
      </c>
      <c r="AG421">
        <v>0</v>
      </c>
      <c r="AH421">
        <v>0</v>
      </c>
      <c r="AI421">
        <v>0</v>
      </c>
      <c r="AJ421">
        <v>0</v>
      </c>
      <c r="AK421">
        <v>0</v>
      </c>
      <c r="AL421">
        <v>0</v>
      </c>
      <c r="AM421">
        <v>6.71</v>
      </c>
      <c r="AN421">
        <v>0</v>
      </c>
      <c r="AO421">
        <v>0</v>
      </c>
      <c r="AP421">
        <v>0</v>
      </c>
      <c r="AQ421">
        <v>0</v>
      </c>
      <c r="AR421">
        <v>0</v>
      </c>
      <c r="AS421">
        <v>0</v>
      </c>
      <c r="AT421">
        <v>0</v>
      </c>
      <c r="AU421">
        <v>0</v>
      </c>
      <c r="AV421">
        <v>0</v>
      </c>
      <c r="AW421">
        <v>0</v>
      </c>
      <c r="AX421">
        <v>0</v>
      </c>
      <c r="AY421">
        <v>0</v>
      </c>
      <c r="AZ421">
        <v>0</v>
      </c>
      <c r="BA421">
        <v>0</v>
      </c>
      <c r="BB421">
        <v>0</v>
      </c>
      <c r="BC421">
        <v>0</v>
      </c>
      <c r="BD421">
        <v>0</v>
      </c>
      <c r="BE421">
        <v>0</v>
      </c>
      <c r="BF421">
        <v>0</v>
      </c>
      <c r="BG421">
        <v>0</v>
      </c>
      <c r="BH421">
        <v>1</v>
      </c>
      <c r="BI421">
        <v>1</v>
      </c>
      <c r="BJ421">
        <v>0.2</v>
      </c>
      <c r="BK421">
        <v>1</v>
      </c>
      <c r="BL421" s="4">
        <v>39.42</v>
      </c>
      <c r="BM421" s="4">
        <v>5.91</v>
      </c>
      <c r="BN421" s="4">
        <v>45.33</v>
      </c>
      <c r="BO421" s="4">
        <v>45.33</v>
      </c>
      <c r="BQ421" t="s">
        <v>172</v>
      </c>
      <c r="BR421" t="s">
        <v>84</v>
      </c>
      <c r="BS421" s="3">
        <v>43804</v>
      </c>
      <c r="BT421" s="5">
        <v>0.25833333333333336</v>
      </c>
      <c r="BU421" t="s">
        <v>885</v>
      </c>
      <c r="BV421" t="s">
        <v>86</v>
      </c>
      <c r="BY421">
        <v>1200</v>
      </c>
      <c r="CA421" t="s">
        <v>826</v>
      </c>
      <c r="CC421" t="s">
        <v>170</v>
      </c>
      <c r="CD421">
        <v>1459</v>
      </c>
      <c r="CE421" t="s">
        <v>88</v>
      </c>
      <c r="CF421" s="3">
        <v>43805</v>
      </c>
      <c r="CI421">
        <v>1</v>
      </c>
      <c r="CJ421">
        <v>1</v>
      </c>
      <c r="CK421">
        <v>22</v>
      </c>
      <c r="CL421" t="s">
        <v>89</v>
      </c>
    </row>
    <row r="422" spans="1:90">
      <c r="A422" t="s">
        <v>72</v>
      </c>
      <c r="B422" t="s">
        <v>73</v>
      </c>
      <c r="C422" t="s">
        <v>74</v>
      </c>
      <c r="E422" t="str">
        <f>"FES1162726405"</f>
        <v>FES1162726405</v>
      </c>
      <c r="F422" s="3">
        <v>43803</v>
      </c>
      <c r="G422">
        <v>202006</v>
      </c>
      <c r="H422" t="s">
        <v>75</v>
      </c>
      <c r="I422" t="s">
        <v>76</v>
      </c>
      <c r="J422" t="s">
        <v>77</v>
      </c>
      <c r="K422" t="s">
        <v>78</v>
      </c>
      <c r="L422" t="s">
        <v>308</v>
      </c>
      <c r="M422" t="s">
        <v>308</v>
      </c>
      <c r="N422" t="s">
        <v>755</v>
      </c>
      <c r="O422" t="s">
        <v>82</v>
      </c>
      <c r="P422" t="str">
        <f>"2170719210                    "</f>
        <v xml:space="preserve">2170719210                    </v>
      </c>
      <c r="Q422">
        <v>0</v>
      </c>
      <c r="R422">
        <v>0</v>
      </c>
      <c r="S422">
        <v>0</v>
      </c>
      <c r="T422">
        <v>0</v>
      </c>
      <c r="U422">
        <v>0</v>
      </c>
      <c r="V422">
        <v>0</v>
      </c>
      <c r="W422">
        <v>0</v>
      </c>
      <c r="X422">
        <v>0</v>
      </c>
      <c r="Y422">
        <v>0</v>
      </c>
      <c r="Z422">
        <v>0</v>
      </c>
      <c r="AA422">
        <v>0</v>
      </c>
      <c r="AB422">
        <v>0</v>
      </c>
      <c r="AC422">
        <v>0</v>
      </c>
      <c r="AD422">
        <v>0</v>
      </c>
      <c r="AE422">
        <v>0</v>
      </c>
      <c r="AF422">
        <v>0</v>
      </c>
      <c r="AG422">
        <v>0</v>
      </c>
      <c r="AH422">
        <v>0</v>
      </c>
      <c r="AI422">
        <v>0</v>
      </c>
      <c r="AJ422">
        <v>0</v>
      </c>
      <c r="AK422">
        <v>0</v>
      </c>
      <c r="AL422">
        <v>0</v>
      </c>
      <c r="AM422">
        <v>16.63</v>
      </c>
      <c r="AN422">
        <v>0</v>
      </c>
      <c r="AO422">
        <v>0</v>
      </c>
      <c r="AP422">
        <v>0</v>
      </c>
      <c r="AQ422">
        <v>0</v>
      </c>
      <c r="AR422">
        <v>0</v>
      </c>
      <c r="AS422">
        <v>0</v>
      </c>
      <c r="AT422">
        <v>0</v>
      </c>
      <c r="AU422">
        <v>0</v>
      </c>
      <c r="AV422">
        <v>0</v>
      </c>
      <c r="AW422">
        <v>0</v>
      </c>
      <c r="AX422">
        <v>0</v>
      </c>
      <c r="AY422">
        <v>0</v>
      </c>
      <c r="AZ422">
        <v>0</v>
      </c>
      <c r="BA422">
        <v>0</v>
      </c>
      <c r="BB422">
        <v>0</v>
      </c>
      <c r="BC422">
        <v>0</v>
      </c>
      <c r="BD422">
        <v>0</v>
      </c>
      <c r="BE422">
        <v>0</v>
      </c>
      <c r="BF422">
        <v>0</v>
      </c>
      <c r="BG422">
        <v>0</v>
      </c>
      <c r="BH422">
        <v>1</v>
      </c>
      <c r="BI422">
        <v>1</v>
      </c>
      <c r="BJ422">
        <v>0.2</v>
      </c>
      <c r="BK422">
        <v>1</v>
      </c>
      <c r="BL422" s="4">
        <v>97.75</v>
      </c>
      <c r="BM422" s="4">
        <v>14.66</v>
      </c>
      <c r="BN422" s="4">
        <v>112.41</v>
      </c>
      <c r="BO422" s="4">
        <v>112.41</v>
      </c>
      <c r="BQ422" t="s">
        <v>147</v>
      </c>
      <c r="BR422" t="s">
        <v>84</v>
      </c>
      <c r="BS422" s="3">
        <v>43804</v>
      </c>
      <c r="BT422" s="5">
        <v>0.46666666666666662</v>
      </c>
      <c r="BU422" t="s">
        <v>893</v>
      </c>
      <c r="BV422" t="s">
        <v>86</v>
      </c>
      <c r="BY422">
        <v>1200</v>
      </c>
      <c r="CA422" t="s">
        <v>311</v>
      </c>
      <c r="CC422" t="s">
        <v>308</v>
      </c>
      <c r="CD422">
        <v>7646</v>
      </c>
      <c r="CE422" t="s">
        <v>88</v>
      </c>
      <c r="CF422" s="3">
        <v>43805</v>
      </c>
      <c r="CI422">
        <v>1</v>
      </c>
      <c r="CJ422">
        <v>1</v>
      </c>
      <c r="CK422">
        <v>23</v>
      </c>
      <c r="CL422" t="s">
        <v>89</v>
      </c>
    </row>
    <row r="423" spans="1:90">
      <c r="A423" t="s">
        <v>72</v>
      </c>
      <c r="B423" t="s">
        <v>73</v>
      </c>
      <c r="C423" t="s">
        <v>74</v>
      </c>
      <c r="E423" t="str">
        <f>"FES1162726395"</f>
        <v>FES1162726395</v>
      </c>
      <c r="F423" s="3">
        <v>43803</v>
      </c>
      <c r="G423">
        <v>202006</v>
      </c>
      <c r="H423" t="s">
        <v>75</v>
      </c>
      <c r="I423" t="s">
        <v>76</v>
      </c>
      <c r="J423" t="s">
        <v>77</v>
      </c>
      <c r="K423" t="s">
        <v>78</v>
      </c>
      <c r="L423" t="s">
        <v>258</v>
      </c>
      <c r="M423" t="s">
        <v>259</v>
      </c>
      <c r="N423" t="s">
        <v>689</v>
      </c>
      <c r="O423" t="s">
        <v>82</v>
      </c>
      <c r="P423" t="str">
        <f>"2170718856                    "</f>
        <v xml:space="preserve">2170718856                    </v>
      </c>
      <c r="Q423">
        <v>0</v>
      </c>
      <c r="R423">
        <v>0</v>
      </c>
      <c r="S423">
        <v>0</v>
      </c>
      <c r="T423">
        <v>0</v>
      </c>
      <c r="U423">
        <v>0</v>
      </c>
      <c r="V423">
        <v>0</v>
      </c>
      <c r="W423">
        <v>0</v>
      </c>
      <c r="X423">
        <v>0</v>
      </c>
      <c r="Y423">
        <v>0</v>
      </c>
      <c r="Z423">
        <v>0</v>
      </c>
      <c r="AA423">
        <v>0</v>
      </c>
      <c r="AB423">
        <v>0</v>
      </c>
      <c r="AC423">
        <v>0</v>
      </c>
      <c r="AD423">
        <v>0</v>
      </c>
      <c r="AE423">
        <v>0</v>
      </c>
      <c r="AF423">
        <v>0</v>
      </c>
      <c r="AG423">
        <v>0</v>
      </c>
      <c r="AH423">
        <v>0</v>
      </c>
      <c r="AI423">
        <v>0</v>
      </c>
      <c r="AJ423">
        <v>0</v>
      </c>
      <c r="AK423">
        <v>0</v>
      </c>
      <c r="AL423">
        <v>0</v>
      </c>
      <c r="AM423">
        <v>8.58</v>
      </c>
      <c r="AN423">
        <v>0</v>
      </c>
      <c r="AO423">
        <v>0</v>
      </c>
      <c r="AP423">
        <v>0</v>
      </c>
      <c r="AQ423">
        <v>0</v>
      </c>
      <c r="AR423">
        <v>0</v>
      </c>
      <c r="AS423">
        <v>0</v>
      </c>
      <c r="AT423">
        <v>0</v>
      </c>
      <c r="AU423">
        <v>0</v>
      </c>
      <c r="AV423">
        <v>0</v>
      </c>
      <c r="AW423">
        <v>0</v>
      </c>
      <c r="AX423">
        <v>0</v>
      </c>
      <c r="AY423">
        <v>0</v>
      </c>
      <c r="AZ423">
        <v>0</v>
      </c>
      <c r="BA423">
        <v>0</v>
      </c>
      <c r="BB423">
        <v>0</v>
      </c>
      <c r="BC423">
        <v>0</v>
      </c>
      <c r="BD423">
        <v>0</v>
      </c>
      <c r="BE423">
        <v>0</v>
      </c>
      <c r="BF423">
        <v>0</v>
      </c>
      <c r="BG423">
        <v>0</v>
      </c>
      <c r="BH423">
        <v>1</v>
      </c>
      <c r="BI423">
        <v>1</v>
      </c>
      <c r="BJ423">
        <v>0.2</v>
      </c>
      <c r="BK423">
        <v>1</v>
      </c>
      <c r="BL423" s="4">
        <v>50.45</v>
      </c>
      <c r="BM423" s="4">
        <v>7.57</v>
      </c>
      <c r="BN423" s="4">
        <v>58.02</v>
      </c>
      <c r="BO423" s="4">
        <v>58.02</v>
      </c>
      <c r="BQ423" t="s">
        <v>690</v>
      </c>
      <c r="BR423" t="s">
        <v>84</v>
      </c>
      <c r="BS423" s="3">
        <v>43804</v>
      </c>
      <c r="BT423" s="5">
        <v>0.47916666666666669</v>
      </c>
      <c r="BU423" t="s">
        <v>691</v>
      </c>
      <c r="BV423" t="s">
        <v>86</v>
      </c>
      <c r="BY423">
        <v>1200</v>
      </c>
      <c r="CA423" t="s">
        <v>693</v>
      </c>
      <c r="CC423" t="s">
        <v>259</v>
      </c>
      <c r="CD423">
        <v>7599</v>
      </c>
      <c r="CE423" t="s">
        <v>88</v>
      </c>
      <c r="CF423" s="3">
        <v>43805</v>
      </c>
      <c r="CI423">
        <v>1</v>
      </c>
      <c r="CJ423">
        <v>1</v>
      </c>
      <c r="CK423">
        <v>21</v>
      </c>
      <c r="CL423" t="s">
        <v>89</v>
      </c>
    </row>
    <row r="424" spans="1:90">
      <c r="A424" t="s">
        <v>72</v>
      </c>
      <c r="B424" t="s">
        <v>73</v>
      </c>
      <c r="C424" t="s">
        <v>74</v>
      </c>
      <c r="E424" t="str">
        <f>"FES1162726353"</f>
        <v>FES1162726353</v>
      </c>
      <c r="F424" s="3">
        <v>43803</v>
      </c>
      <c r="G424">
        <v>202006</v>
      </c>
      <c r="H424" t="s">
        <v>75</v>
      </c>
      <c r="I424" t="s">
        <v>76</v>
      </c>
      <c r="J424" t="s">
        <v>77</v>
      </c>
      <c r="K424" t="s">
        <v>78</v>
      </c>
      <c r="L424" t="s">
        <v>90</v>
      </c>
      <c r="M424" t="s">
        <v>91</v>
      </c>
      <c r="N424" t="s">
        <v>295</v>
      </c>
      <c r="O424" t="s">
        <v>82</v>
      </c>
      <c r="P424" t="str">
        <f>"2170719851                    "</f>
        <v xml:space="preserve">2170719851                    </v>
      </c>
      <c r="Q424">
        <v>0</v>
      </c>
      <c r="R424">
        <v>0</v>
      </c>
      <c r="S424">
        <v>0</v>
      </c>
      <c r="T424">
        <v>0</v>
      </c>
      <c r="U424">
        <v>0</v>
      </c>
      <c r="V424">
        <v>0</v>
      </c>
      <c r="W424">
        <v>0</v>
      </c>
      <c r="X424">
        <v>0</v>
      </c>
      <c r="Y424">
        <v>0</v>
      </c>
      <c r="Z424">
        <v>0</v>
      </c>
      <c r="AA424">
        <v>0</v>
      </c>
      <c r="AB424">
        <v>0</v>
      </c>
      <c r="AC424">
        <v>0</v>
      </c>
      <c r="AD424">
        <v>0</v>
      </c>
      <c r="AE424">
        <v>0</v>
      </c>
      <c r="AF424">
        <v>0</v>
      </c>
      <c r="AG424">
        <v>0</v>
      </c>
      <c r="AH424">
        <v>0</v>
      </c>
      <c r="AI424">
        <v>0</v>
      </c>
      <c r="AJ424">
        <v>0</v>
      </c>
      <c r="AK424">
        <v>0</v>
      </c>
      <c r="AL424">
        <v>0</v>
      </c>
      <c r="AM424">
        <v>8.58</v>
      </c>
      <c r="AN424">
        <v>0</v>
      </c>
      <c r="AO424">
        <v>0</v>
      </c>
      <c r="AP424">
        <v>0</v>
      </c>
      <c r="AQ424">
        <v>0</v>
      </c>
      <c r="AR424">
        <v>0</v>
      </c>
      <c r="AS424">
        <v>0</v>
      </c>
      <c r="AT424">
        <v>0</v>
      </c>
      <c r="AU424">
        <v>0</v>
      </c>
      <c r="AV424">
        <v>0</v>
      </c>
      <c r="AW424">
        <v>0</v>
      </c>
      <c r="AX424">
        <v>0</v>
      </c>
      <c r="AY424">
        <v>0</v>
      </c>
      <c r="AZ424">
        <v>0</v>
      </c>
      <c r="BA424">
        <v>0</v>
      </c>
      <c r="BB424">
        <v>0</v>
      </c>
      <c r="BC424">
        <v>0</v>
      </c>
      <c r="BD424">
        <v>0</v>
      </c>
      <c r="BE424">
        <v>0</v>
      </c>
      <c r="BF424">
        <v>0</v>
      </c>
      <c r="BG424">
        <v>0</v>
      </c>
      <c r="BH424">
        <v>1</v>
      </c>
      <c r="BI424">
        <v>1</v>
      </c>
      <c r="BJ424">
        <v>0.2</v>
      </c>
      <c r="BK424">
        <v>1</v>
      </c>
      <c r="BL424" s="4">
        <v>50.45</v>
      </c>
      <c r="BM424" s="4">
        <v>7.57</v>
      </c>
      <c r="BN424" s="4">
        <v>58.02</v>
      </c>
      <c r="BO424" s="4">
        <v>58.02</v>
      </c>
      <c r="BQ424" t="s">
        <v>147</v>
      </c>
      <c r="BR424" t="s">
        <v>84</v>
      </c>
      <c r="BS424" s="3">
        <v>43804</v>
      </c>
      <c r="BT424" s="5">
        <v>0.39097222222222222</v>
      </c>
      <c r="BU424" t="s">
        <v>894</v>
      </c>
      <c r="BV424" t="s">
        <v>86</v>
      </c>
      <c r="BY424">
        <v>1200</v>
      </c>
      <c r="CA424" t="s">
        <v>563</v>
      </c>
      <c r="CC424" t="s">
        <v>91</v>
      </c>
      <c r="CD424">
        <v>7460</v>
      </c>
      <c r="CE424" t="s">
        <v>88</v>
      </c>
      <c r="CF424" s="3">
        <v>43805</v>
      </c>
      <c r="CI424">
        <v>1</v>
      </c>
      <c r="CJ424">
        <v>1</v>
      </c>
      <c r="CK424">
        <v>21</v>
      </c>
      <c r="CL424" t="s">
        <v>89</v>
      </c>
    </row>
    <row r="425" spans="1:90">
      <c r="A425" t="s">
        <v>72</v>
      </c>
      <c r="B425" t="s">
        <v>73</v>
      </c>
      <c r="C425" t="s">
        <v>74</v>
      </c>
      <c r="E425" t="str">
        <f>"FES1162726525"</f>
        <v>FES1162726525</v>
      </c>
      <c r="F425" s="3">
        <v>43803</v>
      </c>
      <c r="G425">
        <v>202006</v>
      </c>
      <c r="H425" t="s">
        <v>75</v>
      </c>
      <c r="I425" t="s">
        <v>76</v>
      </c>
      <c r="J425" t="s">
        <v>77</v>
      </c>
      <c r="K425" t="s">
        <v>78</v>
      </c>
      <c r="L425" t="s">
        <v>151</v>
      </c>
      <c r="M425" t="s">
        <v>102</v>
      </c>
      <c r="N425" t="s">
        <v>895</v>
      </c>
      <c r="O425" t="s">
        <v>82</v>
      </c>
      <c r="P425" t="str">
        <f>"2170719978                    "</f>
        <v xml:space="preserve">2170719978                    </v>
      </c>
      <c r="Q425">
        <v>0</v>
      </c>
      <c r="R425">
        <v>0</v>
      </c>
      <c r="S425">
        <v>0</v>
      </c>
      <c r="T425">
        <v>0</v>
      </c>
      <c r="U425">
        <v>0</v>
      </c>
      <c r="V425">
        <v>0</v>
      </c>
      <c r="W425">
        <v>0</v>
      </c>
      <c r="X425">
        <v>0</v>
      </c>
      <c r="Y425">
        <v>0</v>
      </c>
      <c r="Z425">
        <v>0</v>
      </c>
      <c r="AA425">
        <v>0</v>
      </c>
      <c r="AB425">
        <v>0</v>
      </c>
      <c r="AC425">
        <v>0</v>
      </c>
      <c r="AD425">
        <v>0</v>
      </c>
      <c r="AE425">
        <v>0</v>
      </c>
      <c r="AF425">
        <v>0</v>
      </c>
      <c r="AG425">
        <v>0</v>
      </c>
      <c r="AH425">
        <v>0</v>
      </c>
      <c r="AI425">
        <v>0</v>
      </c>
      <c r="AJ425">
        <v>0</v>
      </c>
      <c r="AK425">
        <v>0</v>
      </c>
      <c r="AL425">
        <v>0</v>
      </c>
      <c r="AM425">
        <v>8.58</v>
      </c>
      <c r="AN425">
        <v>0</v>
      </c>
      <c r="AO425">
        <v>0</v>
      </c>
      <c r="AP425">
        <v>0</v>
      </c>
      <c r="AQ425">
        <v>0</v>
      </c>
      <c r="AR425">
        <v>0</v>
      </c>
      <c r="AS425">
        <v>0</v>
      </c>
      <c r="AT425">
        <v>0</v>
      </c>
      <c r="AU425">
        <v>0</v>
      </c>
      <c r="AV425">
        <v>0</v>
      </c>
      <c r="AW425">
        <v>0</v>
      </c>
      <c r="AX425">
        <v>0</v>
      </c>
      <c r="AY425">
        <v>0</v>
      </c>
      <c r="AZ425">
        <v>0</v>
      </c>
      <c r="BA425">
        <v>0</v>
      </c>
      <c r="BB425">
        <v>0</v>
      </c>
      <c r="BC425">
        <v>0</v>
      </c>
      <c r="BD425">
        <v>0</v>
      </c>
      <c r="BE425">
        <v>0</v>
      </c>
      <c r="BF425">
        <v>0</v>
      </c>
      <c r="BG425">
        <v>0</v>
      </c>
      <c r="BH425">
        <v>1</v>
      </c>
      <c r="BI425">
        <v>1</v>
      </c>
      <c r="BJ425">
        <v>0.2</v>
      </c>
      <c r="BK425">
        <v>1</v>
      </c>
      <c r="BL425" s="4">
        <v>50.45</v>
      </c>
      <c r="BM425" s="4">
        <v>7.57</v>
      </c>
      <c r="BN425" s="4">
        <v>58.02</v>
      </c>
      <c r="BO425" s="4">
        <v>58.02</v>
      </c>
      <c r="BQ425" t="s">
        <v>896</v>
      </c>
      <c r="BR425" t="s">
        <v>84</v>
      </c>
      <c r="BS425" s="3">
        <v>43804</v>
      </c>
      <c r="BT425" s="5">
        <v>0.3888888888888889</v>
      </c>
      <c r="BU425" t="s">
        <v>897</v>
      </c>
      <c r="BV425" t="s">
        <v>86</v>
      </c>
      <c r="BY425">
        <v>1200</v>
      </c>
      <c r="CA425" t="s">
        <v>328</v>
      </c>
      <c r="CC425" t="s">
        <v>102</v>
      </c>
      <c r="CD425">
        <v>184</v>
      </c>
      <c r="CE425" t="s">
        <v>88</v>
      </c>
      <c r="CF425" s="3">
        <v>43805</v>
      </c>
      <c r="CI425">
        <v>1</v>
      </c>
      <c r="CJ425">
        <v>1</v>
      </c>
      <c r="CK425">
        <v>21</v>
      </c>
      <c r="CL425" t="s">
        <v>89</v>
      </c>
    </row>
    <row r="426" spans="1:90">
      <c r="A426" t="s">
        <v>72</v>
      </c>
      <c r="B426" t="s">
        <v>73</v>
      </c>
      <c r="C426" t="s">
        <v>74</v>
      </c>
      <c r="E426" t="str">
        <f>"FES1162726384"</f>
        <v>FES1162726384</v>
      </c>
      <c r="F426" s="3">
        <v>43803</v>
      </c>
      <c r="G426">
        <v>202006</v>
      </c>
      <c r="H426" t="s">
        <v>75</v>
      </c>
      <c r="I426" t="s">
        <v>76</v>
      </c>
      <c r="J426" t="s">
        <v>77</v>
      </c>
      <c r="K426" t="s">
        <v>78</v>
      </c>
      <c r="L426" t="s">
        <v>186</v>
      </c>
      <c r="M426" t="s">
        <v>187</v>
      </c>
      <c r="N426" t="s">
        <v>188</v>
      </c>
      <c r="O426" t="s">
        <v>82</v>
      </c>
      <c r="P426" t="str">
        <f>"2170717863                    "</f>
        <v xml:space="preserve">2170717863                    </v>
      </c>
      <c r="Q426">
        <v>0</v>
      </c>
      <c r="R426">
        <v>0</v>
      </c>
      <c r="S426">
        <v>0</v>
      </c>
      <c r="T426">
        <v>0</v>
      </c>
      <c r="U426">
        <v>0</v>
      </c>
      <c r="V426">
        <v>0</v>
      </c>
      <c r="W426">
        <v>0</v>
      </c>
      <c r="X426">
        <v>0</v>
      </c>
      <c r="Y426">
        <v>0</v>
      </c>
      <c r="Z426">
        <v>0</v>
      </c>
      <c r="AA426">
        <v>0</v>
      </c>
      <c r="AB426">
        <v>0</v>
      </c>
      <c r="AC426">
        <v>0</v>
      </c>
      <c r="AD426">
        <v>0</v>
      </c>
      <c r="AE426">
        <v>0</v>
      </c>
      <c r="AF426">
        <v>0</v>
      </c>
      <c r="AG426">
        <v>0</v>
      </c>
      <c r="AH426">
        <v>0</v>
      </c>
      <c r="AI426">
        <v>0</v>
      </c>
      <c r="AJ426">
        <v>0</v>
      </c>
      <c r="AK426">
        <v>0</v>
      </c>
      <c r="AL426">
        <v>0</v>
      </c>
      <c r="AM426">
        <v>16.63</v>
      </c>
      <c r="AN426">
        <v>0</v>
      </c>
      <c r="AO426">
        <v>0</v>
      </c>
      <c r="AP426">
        <v>0</v>
      </c>
      <c r="AQ426">
        <v>0</v>
      </c>
      <c r="AR426">
        <v>0</v>
      </c>
      <c r="AS426">
        <v>0</v>
      </c>
      <c r="AT426">
        <v>0</v>
      </c>
      <c r="AU426">
        <v>0</v>
      </c>
      <c r="AV426">
        <v>0</v>
      </c>
      <c r="AW426">
        <v>0</v>
      </c>
      <c r="AX426">
        <v>0</v>
      </c>
      <c r="AY426">
        <v>0</v>
      </c>
      <c r="AZ426">
        <v>0</v>
      </c>
      <c r="BA426">
        <v>0</v>
      </c>
      <c r="BB426">
        <v>0</v>
      </c>
      <c r="BC426">
        <v>0</v>
      </c>
      <c r="BD426">
        <v>0</v>
      </c>
      <c r="BE426">
        <v>0</v>
      </c>
      <c r="BF426">
        <v>0</v>
      </c>
      <c r="BG426">
        <v>0</v>
      </c>
      <c r="BH426">
        <v>1</v>
      </c>
      <c r="BI426">
        <v>1</v>
      </c>
      <c r="BJ426">
        <v>0.2</v>
      </c>
      <c r="BK426">
        <v>1</v>
      </c>
      <c r="BL426" s="4">
        <v>97.75</v>
      </c>
      <c r="BM426" s="4">
        <v>14.66</v>
      </c>
      <c r="BN426" s="4">
        <v>112.41</v>
      </c>
      <c r="BO426" s="4">
        <v>112.41</v>
      </c>
      <c r="BQ426" t="s">
        <v>93</v>
      </c>
      <c r="BR426" t="s">
        <v>84</v>
      </c>
      <c r="BS426" s="3">
        <v>43805</v>
      </c>
      <c r="BT426" s="5">
        <v>0.39930555555555558</v>
      </c>
      <c r="BU426" t="s">
        <v>898</v>
      </c>
      <c r="BV426" t="s">
        <v>86</v>
      </c>
      <c r="BY426">
        <v>1200</v>
      </c>
      <c r="CA426" t="s">
        <v>190</v>
      </c>
      <c r="CC426" t="s">
        <v>187</v>
      </c>
      <c r="CD426">
        <v>6849</v>
      </c>
      <c r="CE426" t="s">
        <v>88</v>
      </c>
      <c r="CF426" s="3">
        <v>43808</v>
      </c>
      <c r="CI426">
        <v>3</v>
      </c>
      <c r="CJ426">
        <v>2</v>
      </c>
      <c r="CK426">
        <v>23</v>
      </c>
      <c r="CL426" t="s">
        <v>89</v>
      </c>
    </row>
    <row r="427" spans="1:90">
      <c r="A427" t="s">
        <v>72</v>
      </c>
      <c r="B427" t="s">
        <v>73</v>
      </c>
      <c r="C427" t="s">
        <v>74</v>
      </c>
      <c r="E427" t="str">
        <f>"FES1162726512"</f>
        <v>FES1162726512</v>
      </c>
      <c r="F427" s="3">
        <v>43803</v>
      </c>
      <c r="G427">
        <v>202006</v>
      </c>
      <c r="H427" t="s">
        <v>75</v>
      </c>
      <c r="I427" t="s">
        <v>76</v>
      </c>
      <c r="J427" t="s">
        <v>77</v>
      </c>
      <c r="K427" t="s">
        <v>78</v>
      </c>
      <c r="L427" t="s">
        <v>151</v>
      </c>
      <c r="M427" t="s">
        <v>102</v>
      </c>
      <c r="N427" t="s">
        <v>683</v>
      </c>
      <c r="O427" t="s">
        <v>82</v>
      </c>
      <c r="P427" t="str">
        <f>"2170719963                    "</f>
        <v xml:space="preserve">2170719963                    </v>
      </c>
      <c r="Q427">
        <v>0</v>
      </c>
      <c r="R427">
        <v>0</v>
      </c>
      <c r="S427">
        <v>0</v>
      </c>
      <c r="T427">
        <v>0</v>
      </c>
      <c r="U427">
        <v>0</v>
      </c>
      <c r="V427">
        <v>0</v>
      </c>
      <c r="W427">
        <v>0</v>
      </c>
      <c r="X427">
        <v>0</v>
      </c>
      <c r="Y427">
        <v>0</v>
      </c>
      <c r="Z427">
        <v>0</v>
      </c>
      <c r="AA427">
        <v>0</v>
      </c>
      <c r="AB427">
        <v>0</v>
      </c>
      <c r="AC427">
        <v>0</v>
      </c>
      <c r="AD427">
        <v>0</v>
      </c>
      <c r="AE427">
        <v>0</v>
      </c>
      <c r="AF427">
        <v>0</v>
      </c>
      <c r="AG427">
        <v>0</v>
      </c>
      <c r="AH427">
        <v>0</v>
      </c>
      <c r="AI427">
        <v>0</v>
      </c>
      <c r="AJ427">
        <v>0</v>
      </c>
      <c r="AK427">
        <v>0</v>
      </c>
      <c r="AL427">
        <v>0</v>
      </c>
      <c r="AM427">
        <v>8.58</v>
      </c>
      <c r="AN427">
        <v>0</v>
      </c>
      <c r="AO427">
        <v>0</v>
      </c>
      <c r="AP427">
        <v>0</v>
      </c>
      <c r="AQ427">
        <v>0</v>
      </c>
      <c r="AR427">
        <v>0</v>
      </c>
      <c r="AS427">
        <v>0</v>
      </c>
      <c r="AT427">
        <v>0</v>
      </c>
      <c r="AU427">
        <v>0</v>
      </c>
      <c r="AV427">
        <v>0</v>
      </c>
      <c r="AW427">
        <v>0</v>
      </c>
      <c r="AX427">
        <v>0</v>
      </c>
      <c r="AY427">
        <v>0</v>
      </c>
      <c r="AZ427">
        <v>0</v>
      </c>
      <c r="BA427">
        <v>0</v>
      </c>
      <c r="BB427">
        <v>0</v>
      </c>
      <c r="BC427">
        <v>0</v>
      </c>
      <c r="BD427">
        <v>0</v>
      </c>
      <c r="BE427">
        <v>0</v>
      </c>
      <c r="BF427">
        <v>0</v>
      </c>
      <c r="BG427">
        <v>0</v>
      </c>
      <c r="BH427">
        <v>1</v>
      </c>
      <c r="BI427">
        <v>1.4</v>
      </c>
      <c r="BJ427">
        <v>1.2</v>
      </c>
      <c r="BK427">
        <v>1.5</v>
      </c>
      <c r="BL427" s="4">
        <v>50.45</v>
      </c>
      <c r="BM427" s="4">
        <v>7.57</v>
      </c>
      <c r="BN427" s="4">
        <v>58.02</v>
      </c>
      <c r="BO427" s="4">
        <v>58.02</v>
      </c>
      <c r="BQ427" t="s">
        <v>684</v>
      </c>
      <c r="BR427" t="s">
        <v>84</v>
      </c>
      <c r="BS427" s="3">
        <v>43804</v>
      </c>
      <c r="BT427" s="5">
        <v>0.40972222222222227</v>
      </c>
      <c r="BU427" t="s">
        <v>800</v>
      </c>
      <c r="BV427" t="s">
        <v>86</v>
      </c>
      <c r="BY427">
        <v>6192.01</v>
      </c>
      <c r="CC427" t="s">
        <v>102</v>
      </c>
      <c r="CD427">
        <v>200</v>
      </c>
      <c r="CE427" t="s">
        <v>96</v>
      </c>
      <c r="CF427" s="3">
        <v>43805</v>
      </c>
      <c r="CI427">
        <v>1</v>
      </c>
      <c r="CJ427">
        <v>1</v>
      </c>
      <c r="CK427">
        <v>21</v>
      </c>
      <c r="CL427" t="s">
        <v>89</v>
      </c>
    </row>
    <row r="428" spans="1:90">
      <c r="A428" t="s">
        <v>72</v>
      </c>
      <c r="B428" t="s">
        <v>73</v>
      </c>
      <c r="C428" t="s">
        <v>74</v>
      </c>
      <c r="E428" t="str">
        <f>"FES1162726508"</f>
        <v>FES1162726508</v>
      </c>
      <c r="F428" s="3">
        <v>43803</v>
      </c>
      <c r="G428">
        <v>202006</v>
      </c>
      <c r="H428" t="s">
        <v>75</v>
      </c>
      <c r="I428" t="s">
        <v>76</v>
      </c>
      <c r="J428" t="s">
        <v>77</v>
      </c>
      <c r="K428" t="s">
        <v>78</v>
      </c>
      <c r="L428" t="s">
        <v>169</v>
      </c>
      <c r="M428" t="s">
        <v>170</v>
      </c>
      <c r="N428" t="s">
        <v>890</v>
      </c>
      <c r="O428" t="s">
        <v>82</v>
      </c>
      <c r="P428" t="str">
        <f>"2170719958                    "</f>
        <v xml:space="preserve">2170719958                    </v>
      </c>
      <c r="Q428">
        <v>0</v>
      </c>
      <c r="R428">
        <v>0</v>
      </c>
      <c r="S428">
        <v>0</v>
      </c>
      <c r="T428">
        <v>0</v>
      </c>
      <c r="U428">
        <v>0</v>
      </c>
      <c r="V428">
        <v>0</v>
      </c>
      <c r="W428">
        <v>0</v>
      </c>
      <c r="X428">
        <v>0</v>
      </c>
      <c r="Y428">
        <v>0</v>
      </c>
      <c r="Z428">
        <v>0</v>
      </c>
      <c r="AA428">
        <v>0</v>
      </c>
      <c r="AB428">
        <v>0</v>
      </c>
      <c r="AC428">
        <v>0</v>
      </c>
      <c r="AD428">
        <v>0</v>
      </c>
      <c r="AE428">
        <v>0</v>
      </c>
      <c r="AF428">
        <v>0</v>
      </c>
      <c r="AG428">
        <v>0</v>
      </c>
      <c r="AH428">
        <v>0</v>
      </c>
      <c r="AI428">
        <v>0</v>
      </c>
      <c r="AJ428">
        <v>0</v>
      </c>
      <c r="AK428">
        <v>0</v>
      </c>
      <c r="AL428">
        <v>0</v>
      </c>
      <c r="AM428">
        <v>9.92</v>
      </c>
      <c r="AN428">
        <v>0</v>
      </c>
      <c r="AO428">
        <v>0</v>
      </c>
      <c r="AP428">
        <v>0</v>
      </c>
      <c r="AQ428">
        <v>0</v>
      </c>
      <c r="AR428">
        <v>0</v>
      </c>
      <c r="AS428">
        <v>0</v>
      </c>
      <c r="AT428">
        <v>0</v>
      </c>
      <c r="AU428">
        <v>0</v>
      </c>
      <c r="AV428">
        <v>0</v>
      </c>
      <c r="AW428">
        <v>0</v>
      </c>
      <c r="AX428">
        <v>0</v>
      </c>
      <c r="AY428">
        <v>0</v>
      </c>
      <c r="AZ428">
        <v>0</v>
      </c>
      <c r="BA428">
        <v>0</v>
      </c>
      <c r="BB428">
        <v>0</v>
      </c>
      <c r="BC428">
        <v>0</v>
      </c>
      <c r="BD428">
        <v>0</v>
      </c>
      <c r="BE428">
        <v>0</v>
      </c>
      <c r="BF428">
        <v>0</v>
      </c>
      <c r="BG428">
        <v>0</v>
      </c>
      <c r="BH428">
        <v>1</v>
      </c>
      <c r="BI428">
        <v>2</v>
      </c>
      <c r="BJ428">
        <v>4</v>
      </c>
      <c r="BK428">
        <v>4</v>
      </c>
      <c r="BL428" s="4">
        <v>58.31</v>
      </c>
      <c r="BM428" s="4">
        <v>8.75</v>
      </c>
      <c r="BN428" s="4">
        <v>67.06</v>
      </c>
      <c r="BO428" s="4">
        <v>67.06</v>
      </c>
      <c r="BQ428" t="s">
        <v>891</v>
      </c>
      <c r="BR428" t="s">
        <v>84</v>
      </c>
      <c r="BS428" s="3">
        <v>43804</v>
      </c>
      <c r="BT428" s="5">
        <v>0.4201388888888889</v>
      </c>
      <c r="BU428" t="s">
        <v>899</v>
      </c>
      <c r="BV428" t="s">
        <v>86</v>
      </c>
      <c r="BY428">
        <v>20056.400000000001</v>
      </c>
      <c r="CC428" t="s">
        <v>170</v>
      </c>
      <c r="CD428">
        <v>1459</v>
      </c>
      <c r="CE428" t="s">
        <v>116</v>
      </c>
      <c r="CF428" s="3">
        <v>43805</v>
      </c>
      <c r="CI428">
        <v>1</v>
      </c>
      <c r="CJ428">
        <v>1</v>
      </c>
      <c r="CK428">
        <v>22</v>
      </c>
      <c r="CL428" t="s">
        <v>89</v>
      </c>
    </row>
    <row r="429" spans="1:90">
      <c r="A429" t="s">
        <v>72</v>
      </c>
      <c r="B429" t="s">
        <v>73</v>
      </c>
      <c r="C429" t="s">
        <v>74</v>
      </c>
      <c r="E429" t="str">
        <f>"FES1162726444"</f>
        <v>FES1162726444</v>
      </c>
      <c r="F429" s="3">
        <v>43803</v>
      </c>
      <c r="G429">
        <v>202006</v>
      </c>
      <c r="H429" t="s">
        <v>75</v>
      </c>
      <c r="I429" t="s">
        <v>76</v>
      </c>
      <c r="J429" t="s">
        <v>77</v>
      </c>
      <c r="K429" t="s">
        <v>78</v>
      </c>
      <c r="L429" t="s">
        <v>90</v>
      </c>
      <c r="M429" t="s">
        <v>91</v>
      </c>
      <c r="N429" t="s">
        <v>900</v>
      </c>
      <c r="O429" t="s">
        <v>82</v>
      </c>
      <c r="P429" t="str">
        <f>"2170719847                    "</f>
        <v xml:space="preserve">2170719847                    </v>
      </c>
      <c r="Q429">
        <v>0</v>
      </c>
      <c r="R429">
        <v>0</v>
      </c>
      <c r="S429">
        <v>0</v>
      </c>
      <c r="T429">
        <v>0</v>
      </c>
      <c r="U429">
        <v>0</v>
      </c>
      <c r="V429">
        <v>0</v>
      </c>
      <c r="W429">
        <v>0</v>
      </c>
      <c r="X429">
        <v>0</v>
      </c>
      <c r="Y429">
        <v>0</v>
      </c>
      <c r="Z429">
        <v>0</v>
      </c>
      <c r="AA429">
        <v>0</v>
      </c>
      <c r="AB429">
        <v>0</v>
      </c>
      <c r="AC429">
        <v>0</v>
      </c>
      <c r="AD429">
        <v>0</v>
      </c>
      <c r="AE429">
        <v>0</v>
      </c>
      <c r="AF429">
        <v>0</v>
      </c>
      <c r="AG429">
        <v>0</v>
      </c>
      <c r="AH429">
        <v>0</v>
      </c>
      <c r="AI429">
        <v>0</v>
      </c>
      <c r="AJ429">
        <v>0</v>
      </c>
      <c r="AK429">
        <v>0</v>
      </c>
      <c r="AL429">
        <v>0</v>
      </c>
      <c r="AM429">
        <v>25.74</v>
      </c>
      <c r="AN429">
        <v>0</v>
      </c>
      <c r="AO429">
        <v>0</v>
      </c>
      <c r="AP429">
        <v>0</v>
      </c>
      <c r="AQ429">
        <v>0</v>
      </c>
      <c r="AR429">
        <v>0</v>
      </c>
      <c r="AS429">
        <v>0</v>
      </c>
      <c r="AT429">
        <v>0</v>
      </c>
      <c r="AU429">
        <v>0</v>
      </c>
      <c r="AV429">
        <v>0</v>
      </c>
      <c r="AW429">
        <v>0</v>
      </c>
      <c r="AX429">
        <v>0</v>
      </c>
      <c r="AY429">
        <v>0</v>
      </c>
      <c r="AZ429">
        <v>0</v>
      </c>
      <c r="BA429">
        <v>0</v>
      </c>
      <c r="BB429">
        <v>0</v>
      </c>
      <c r="BC429">
        <v>0</v>
      </c>
      <c r="BD429">
        <v>0</v>
      </c>
      <c r="BE429">
        <v>0</v>
      </c>
      <c r="BF429">
        <v>0</v>
      </c>
      <c r="BG429">
        <v>0</v>
      </c>
      <c r="BH429">
        <v>1</v>
      </c>
      <c r="BI429">
        <v>3.1</v>
      </c>
      <c r="BJ429">
        <v>5.6</v>
      </c>
      <c r="BK429">
        <v>6</v>
      </c>
      <c r="BL429" s="4">
        <v>151.29</v>
      </c>
      <c r="BM429" s="4">
        <v>22.69</v>
      </c>
      <c r="BN429" s="4">
        <v>173.98</v>
      </c>
      <c r="BO429" s="4">
        <v>173.98</v>
      </c>
      <c r="BQ429" t="s">
        <v>93</v>
      </c>
      <c r="BR429" t="s">
        <v>84</v>
      </c>
      <c r="BS429" s="3">
        <v>43804</v>
      </c>
      <c r="BT429" s="5">
        <v>0.36944444444444446</v>
      </c>
      <c r="BU429" t="s">
        <v>901</v>
      </c>
      <c r="BV429" t="s">
        <v>86</v>
      </c>
      <c r="BY429">
        <v>28201.32</v>
      </c>
      <c r="CA429" t="s">
        <v>753</v>
      </c>
      <c r="CC429" t="s">
        <v>91</v>
      </c>
      <c r="CD429">
        <v>7500</v>
      </c>
      <c r="CE429" t="s">
        <v>116</v>
      </c>
      <c r="CF429" s="3">
        <v>43805</v>
      </c>
      <c r="CI429">
        <v>1</v>
      </c>
      <c r="CJ429">
        <v>1</v>
      </c>
      <c r="CK429">
        <v>21</v>
      </c>
      <c r="CL429" t="s">
        <v>89</v>
      </c>
    </row>
    <row r="430" spans="1:90">
      <c r="A430" t="s">
        <v>72</v>
      </c>
      <c r="B430" t="s">
        <v>73</v>
      </c>
      <c r="C430" t="s">
        <v>74</v>
      </c>
      <c r="E430" t="str">
        <f>"FES1162726590"</f>
        <v>FES1162726590</v>
      </c>
      <c r="F430" s="3">
        <v>43803</v>
      </c>
      <c r="G430">
        <v>202006</v>
      </c>
      <c r="H430" t="s">
        <v>75</v>
      </c>
      <c r="I430" t="s">
        <v>76</v>
      </c>
      <c r="J430" t="s">
        <v>77</v>
      </c>
      <c r="K430" t="s">
        <v>78</v>
      </c>
      <c r="L430" t="s">
        <v>117</v>
      </c>
      <c r="M430" t="s">
        <v>118</v>
      </c>
      <c r="N430" t="s">
        <v>902</v>
      </c>
      <c r="O430" t="s">
        <v>82</v>
      </c>
      <c r="P430" t="str">
        <f>"2170710067                    "</f>
        <v xml:space="preserve">2170710067                    </v>
      </c>
      <c r="Q430">
        <v>0</v>
      </c>
      <c r="R430">
        <v>0</v>
      </c>
      <c r="S430">
        <v>0</v>
      </c>
      <c r="T430">
        <v>0</v>
      </c>
      <c r="U430">
        <v>0</v>
      </c>
      <c r="V430">
        <v>0</v>
      </c>
      <c r="W430">
        <v>0</v>
      </c>
      <c r="X430">
        <v>0</v>
      </c>
      <c r="Y430">
        <v>0</v>
      </c>
      <c r="Z430">
        <v>0</v>
      </c>
      <c r="AA430">
        <v>0</v>
      </c>
      <c r="AB430">
        <v>0</v>
      </c>
      <c r="AC430">
        <v>0</v>
      </c>
      <c r="AD430">
        <v>0</v>
      </c>
      <c r="AE430">
        <v>0</v>
      </c>
      <c r="AF430">
        <v>0</v>
      </c>
      <c r="AG430">
        <v>0</v>
      </c>
      <c r="AH430">
        <v>0</v>
      </c>
      <c r="AI430">
        <v>0</v>
      </c>
      <c r="AJ430">
        <v>0</v>
      </c>
      <c r="AK430">
        <v>0</v>
      </c>
      <c r="AL430">
        <v>0</v>
      </c>
      <c r="AM430">
        <v>12.33</v>
      </c>
      <c r="AN430">
        <v>0</v>
      </c>
      <c r="AO430">
        <v>0</v>
      </c>
      <c r="AP430">
        <v>0</v>
      </c>
      <c r="AQ430">
        <v>0</v>
      </c>
      <c r="AR430">
        <v>0</v>
      </c>
      <c r="AS430">
        <v>0</v>
      </c>
      <c r="AT430">
        <v>0</v>
      </c>
      <c r="AU430">
        <v>0</v>
      </c>
      <c r="AV430">
        <v>0</v>
      </c>
      <c r="AW430">
        <v>0</v>
      </c>
      <c r="AX430">
        <v>0</v>
      </c>
      <c r="AY430">
        <v>0</v>
      </c>
      <c r="AZ430">
        <v>0</v>
      </c>
      <c r="BA430">
        <v>0</v>
      </c>
      <c r="BB430">
        <v>0</v>
      </c>
      <c r="BC430">
        <v>0</v>
      </c>
      <c r="BD430">
        <v>0</v>
      </c>
      <c r="BE430">
        <v>0</v>
      </c>
      <c r="BF430">
        <v>0</v>
      </c>
      <c r="BG430">
        <v>0</v>
      </c>
      <c r="BH430">
        <v>1</v>
      </c>
      <c r="BI430">
        <v>5.3</v>
      </c>
      <c r="BJ430">
        <v>3.2</v>
      </c>
      <c r="BK430">
        <v>5.5</v>
      </c>
      <c r="BL430" s="4">
        <v>72.48</v>
      </c>
      <c r="BM430" s="4">
        <v>10.87</v>
      </c>
      <c r="BN430" s="4">
        <v>83.35</v>
      </c>
      <c r="BO430" s="4">
        <v>83.35</v>
      </c>
      <c r="BQ430" t="s">
        <v>903</v>
      </c>
      <c r="BR430" t="s">
        <v>84</v>
      </c>
      <c r="BS430" s="3">
        <v>43804</v>
      </c>
      <c r="BT430" s="5">
        <v>0.35416666666666669</v>
      </c>
      <c r="BU430" t="s">
        <v>904</v>
      </c>
      <c r="BV430" t="s">
        <v>86</v>
      </c>
      <c r="BY430">
        <v>16096.8</v>
      </c>
      <c r="CA430" t="s">
        <v>905</v>
      </c>
      <c r="CC430" t="s">
        <v>118</v>
      </c>
      <c r="CD430">
        <v>1541</v>
      </c>
      <c r="CE430" t="s">
        <v>96</v>
      </c>
      <c r="CF430" s="3">
        <v>43805</v>
      </c>
      <c r="CI430">
        <v>1</v>
      </c>
      <c r="CJ430">
        <v>1</v>
      </c>
      <c r="CK430">
        <v>22</v>
      </c>
      <c r="CL430" t="s">
        <v>89</v>
      </c>
    </row>
    <row r="431" spans="1:90">
      <c r="A431" t="s">
        <v>72</v>
      </c>
      <c r="B431" t="s">
        <v>73</v>
      </c>
      <c r="C431" t="s">
        <v>74</v>
      </c>
      <c r="E431" t="str">
        <f>"FES1162726623"</f>
        <v>FES1162726623</v>
      </c>
      <c r="F431" s="3">
        <v>43803</v>
      </c>
      <c r="G431">
        <v>202006</v>
      </c>
      <c r="H431" t="s">
        <v>75</v>
      </c>
      <c r="I431" t="s">
        <v>76</v>
      </c>
      <c r="J431" t="s">
        <v>77</v>
      </c>
      <c r="K431" t="s">
        <v>78</v>
      </c>
      <c r="L431" t="s">
        <v>714</v>
      </c>
      <c r="M431" t="s">
        <v>715</v>
      </c>
      <c r="N431" t="s">
        <v>716</v>
      </c>
      <c r="O431" t="s">
        <v>82</v>
      </c>
      <c r="P431" t="str">
        <f>"217071201058                  "</f>
        <v xml:space="preserve">217071201058                  </v>
      </c>
      <c r="Q431">
        <v>0</v>
      </c>
      <c r="R431">
        <v>0</v>
      </c>
      <c r="S431">
        <v>0</v>
      </c>
      <c r="T431">
        <v>0</v>
      </c>
      <c r="U431">
        <v>0</v>
      </c>
      <c r="V431">
        <v>0</v>
      </c>
      <c r="W431">
        <v>0</v>
      </c>
      <c r="X431">
        <v>0</v>
      </c>
      <c r="Y431">
        <v>0</v>
      </c>
      <c r="Z431">
        <v>0</v>
      </c>
      <c r="AA431">
        <v>0</v>
      </c>
      <c r="AB431">
        <v>0</v>
      </c>
      <c r="AC431">
        <v>0</v>
      </c>
      <c r="AD431">
        <v>0</v>
      </c>
      <c r="AE431">
        <v>0</v>
      </c>
      <c r="AF431">
        <v>0</v>
      </c>
      <c r="AG431">
        <v>0</v>
      </c>
      <c r="AH431">
        <v>0</v>
      </c>
      <c r="AI431">
        <v>0</v>
      </c>
      <c r="AJ431">
        <v>0</v>
      </c>
      <c r="AK431">
        <v>0</v>
      </c>
      <c r="AL431">
        <v>0</v>
      </c>
      <c r="AM431">
        <v>11.53</v>
      </c>
      <c r="AN431">
        <v>0</v>
      </c>
      <c r="AO431">
        <v>0</v>
      </c>
      <c r="AP431">
        <v>0</v>
      </c>
      <c r="AQ431">
        <v>0</v>
      </c>
      <c r="AR431">
        <v>0</v>
      </c>
      <c r="AS431">
        <v>0</v>
      </c>
      <c r="AT431">
        <v>0</v>
      </c>
      <c r="AU431">
        <v>0</v>
      </c>
      <c r="AV431">
        <v>0</v>
      </c>
      <c r="AW431">
        <v>0</v>
      </c>
      <c r="AX431">
        <v>0</v>
      </c>
      <c r="AY431">
        <v>0</v>
      </c>
      <c r="AZ431">
        <v>0</v>
      </c>
      <c r="BA431">
        <v>0</v>
      </c>
      <c r="BB431">
        <v>0</v>
      </c>
      <c r="BC431">
        <v>0</v>
      </c>
      <c r="BD431">
        <v>0</v>
      </c>
      <c r="BE431">
        <v>0</v>
      </c>
      <c r="BF431">
        <v>0</v>
      </c>
      <c r="BG431">
        <v>0</v>
      </c>
      <c r="BH431">
        <v>1</v>
      </c>
      <c r="BI431">
        <v>4.2</v>
      </c>
      <c r="BJ431">
        <v>4.9000000000000004</v>
      </c>
      <c r="BK431">
        <v>5</v>
      </c>
      <c r="BL431" s="4">
        <v>67.760000000000005</v>
      </c>
      <c r="BM431" s="4">
        <v>10.16</v>
      </c>
      <c r="BN431" s="4">
        <v>77.92</v>
      </c>
      <c r="BO431" s="4">
        <v>77.92</v>
      </c>
      <c r="BQ431" t="s">
        <v>135</v>
      </c>
      <c r="BR431" t="s">
        <v>84</v>
      </c>
      <c r="BS431" s="3">
        <v>43804</v>
      </c>
      <c r="BT431" s="5">
        <v>0.33333333333333331</v>
      </c>
      <c r="BU431" t="s">
        <v>906</v>
      </c>
      <c r="BV431" t="s">
        <v>86</v>
      </c>
      <c r="BY431">
        <v>24404.080000000002</v>
      </c>
      <c r="CC431" t="s">
        <v>715</v>
      </c>
      <c r="CD431">
        <v>1559</v>
      </c>
      <c r="CE431" t="s">
        <v>116</v>
      </c>
      <c r="CF431" s="3">
        <v>43805</v>
      </c>
      <c r="CI431">
        <v>1</v>
      </c>
      <c r="CJ431">
        <v>1</v>
      </c>
      <c r="CK431">
        <v>22</v>
      </c>
      <c r="CL431" t="s">
        <v>89</v>
      </c>
    </row>
    <row r="432" spans="1:90">
      <c r="A432" t="s">
        <v>72</v>
      </c>
      <c r="B432" t="s">
        <v>73</v>
      </c>
      <c r="C432" t="s">
        <v>74</v>
      </c>
      <c r="E432" t="str">
        <f>"FES1162726666"</f>
        <v>FES1162726666</v>
      </c>
      <c r="F432" s="3">
        <v>43803</v>
      </c>
      <c r="G432">
        <v>202006</v>
      </c>
      <c r="H432" t="s">
        <v>75</v>
      </c>
      <c r="I432" t="s">
        <v>76</v>
      </c>
      <c r="J432" t="s">
        <v>77</v>
      </c>
      <c r="K432" t="s">
        <v>78</v>
      </c>
      <c r="L432" t="s">
        <v>860</v>
      </c>
      <c r="M432" t="s">
        <v>861</v>
      </c>
      <c r="N432" t="s">
        <v>907</v>
      </c>
      <c r="O432" t="s">
        <v>82</v>
      </c>
      <c r="P432" t="str">
        <f>"2170717905                    "</f>
        <v xml:space="preserve">2170717905                    </v>
      </c>
      <c r="Q432">
        <v>0</v>
      </c>
      <c r="R432">
        <v>0</v>
      </c>
      <c r="S432">
        <v>0</v>
      </c>
      <c r="T432">
        <v>0</v>
      </c>
      <c r="U432">
        <v>0</v>
      </c>
      <c r="V432">
        <v>0</v>
      </c>
      <c r="W432">
        <v>0</v>
      </c>
      <c r="X432">
        <v>0</v>
      </c>
      <c r="Y432">
        <v>0</v>
      </c>
      <c r="Z432">
        <v>0</v>
      </c>
      <c r="AA432">
        <v>0</v>
      </c>
      <c r="AB432">
        <v>0</v>
      </c>
      <c r="AC432">
        <v>0</v>
      </c>
      <c r="AD432">
        <v>0</v>
      </c>
      <c r="AE432">
        <v>0</v>
      </c>
      <c r="AF432">
        <v>0</v>
      </c>
      <c r="AG432">
        <v>0</v>
      </c>
      <c r="AH432">
        <v>0</v>
      </c>
      <c r="AI432">
        <v>0</v>
      </c>
      <c r="AJ432">
        <v>0</v>
      </c>
      <c r="AK432">
        <v>0</v>
      </c>
      <c r="AL432">
        <v>0</v>
      </c>
      <c r="AM432">
        <v>8.31</v>
      </c>
      <c r="AN432">
        <v>0</v>
      </c>
      <c r="AO432">
        <v>0</v>
      </c>
      <c r="AP432">
        <v>0</v>
      </c>
      <c r="AQ432">
        <v>0</v>
      </c>
      <c r="AR432">
        <v>0</v>
      </c>
      <c r="AS432">
        <v>0</v>
      </c>
      <c r="AT432">
        <v>0</v>
      </c>
      <c r="AU432">
        <v>0</v>
      </c>
      <c r="AV432">
        <v>0</v>
      </c>
      <c r="AW432">
        <v>0</v>
      </c>
      <c r="AX432">
        <v>0</v>
      </c>
      <c r="AY432">
        <v>0</v>
      </c>
      <c r="AZ432">
        <v>0</v>
      </c>
      <c r="BA432">
        <v>0</v>
      </c>
      <c r="BB432">
        <v>0</v>
      </c>
      <c r="BC432">
        <v>0</v>
      </c>
      <c r="BD432">
        <v>0</v>
      </c>
      <c r="BE432">
        <v>0</v>
      </c>
      <c r="BF432">
        <v>0</v>
      </c>
      <c r="BG432">
        <v>0</v>
      </c>
      <c r="BH432">
        <v>1</v>
      </c>
      <c r="BI432">
        <v>2.8</v>
      </c>
      <c r="BJ432">
        <v>0.9</v>
      </c>
      <c r="BK432">
        <v>3</v>
      </c>
      <c r="BL432" s="4">
        <v>48.86</v>
      </c>
      <c r="BM432" s="4">
        <v>7.33</v>
      </c>
      <c r="BN432" s="4">
        <v>56.19</v>
      </c>
      <c r="BO432" s="4">
        <v>56.19</v>
      </c>
      <c r="BR432" t="s">
        <v>84</v>
      </c>
      <c r="BS432" s="3">
        <v>43804</v>
      </c>
      <c r="BT432" s="5">
        <v>0.31944444444444448</v>
      </c>
      <c r="BU432" t="s">
        <v>908</v>
      </c>
      <c r="BV432" t="s">
        <v>86</v>
      </c>
      <c r="BY432">
        <v>4311.3599999999997</v>
      </c>
      <c r="CA432" t="s">
        <v>344</v>
      </c>
      <c r="CC432" t="s">
        <v>861</v>
      </c>
      <c r="CD432">
        <v>2194</v>
      </c>
      <c r="CE432" t="s">
        <v>96</v>
      </c>
      <c r="CF432" s="3">
        <v>43805</v>
      </c>
      <c r="CI432">
        <v>1</v>
      </c>
      <c r="CJ432">
        <v>1</v>
      </c>
      <c r="CK432">
        <v>22</v>
      </c>
      <c r="CL432" t="s">
        <v>89</v>
      </c>
    </row>
    <row r="433" spans="1:90">
      <c r="A433" t="s">
        <v>72</v>
      </c>
      <c r="B433" t="s">
        <v>73</v>
      </c>
      <c r="C433" t="s">
        <v>74</v>
      </c>
      <c r="E433" t="str">
        <f>"FES1162726685"</f>
        <v>FES1162726685</v>
      </c>
      <c r="F433" s="3">
        <v>43803</v>
      </c>
      <c r="G433">
        <v>202006</v>
      </c>
      <c r="H433" t="s">
        <v>75</v>
      </c>
      <c r="I433" t="s">
        <v>76</v>
      </c>
      <c r="J433" t="s">
        <v>77</v>
      </c>
      <c r="K433" t="s">
        <v>78</v>
      </c>
      <c r="L433" t="s">
        <v>138</v>
      </c>
      <c r="M433" t="s">
        <v>139</v>
      </c>
      <c r="N433" t="s">
        <v>909</v>
      </c>
      <c r="O433" t="s">
        <v>82</v>
      </c>
      <c r="P433" t="str">
        <f>"2170718104                    "</f>
        <v xml:space="preserve">2170718104                    </v>
      </c>
      <c r="Q433">
        <v>0</v>
      </c>
      <c r="R433">
        <v>0</v>
      </c>
      <c r="S433">
        <v>0</v>
      </c>
      <c r="T433">
        <v>0</v>
      </c>
      <c r="U433">
        <v>0</v>
      </c>
      <c r="V433">
        <v>0</v>
      </c>
      <c r="W433">
        <v>0</v>
      </c>
      <c r="X433">
        <v>0</v>
      </c>
      <c r="Y433">
        <v>0</v>
      </c>
      <c r="Z433">
        <v>0</v>
      </c>
      <c r="AA433">
        <v>0</v>
      </c>
      <c r="AB433">
        <v>0</v>
      </c>
      <c r="AC433">
        <v>0</v>
      </c>
      <c r="AD433">
        <v>0</v>
      </c>
      <c r="AE433">
        <v>0</v>
      </c>
      <c r="AF433">
        <v>0</v>
      </c>
      <c r="AG433">
        <v>0</v>
      </c>
      <c r="AH433">
        <v>0</v>
      </c>
      <c r="AI433">
        <v>0</v>
      </c>
      <c r="AJ433">
        <v>0</v>
      </c>
      <c r="AK433">
        <v>0</v>
      </c>
      <c r="AL433">
        <v>0</v>
      </c>
      <c r="AM433">
        <v>6.71</v>
      </c>
      <c r="AN433">
        <v>0</v>
      </c>
      <c r="AO433">
        <v>0</v>
      </c>
      <c r="AP433">
        <v>0</v>
      </c>
      <c r="AQ433">
        <v>0</v>
      </c>
      <c r="AR433">
        <v>0</v>
      </c>
      <c r="AS433">
        <v>0</v>
      </c>
      <c r="AT433">
        <v>0</v>
      </c>
      <c r="AU433">
        <v>0</v>
      </c>
      <c r="AV433">
        <v>0</v>
      </c>
      <c r="AW433">
        <v>0</v>
      </c>
      <c r="AX433">
        <v>0</v>
      </c>
      <c r="AY433">
        <v>0</v>
      </c>
      <c r="AZ433">
        <v>0</v>
      </c>
      <c r="BA433">
        <v>0</v>
      </c>
      <c r="BB433">
        <v>0</v>
      </c>
      <c r="BC433">
        <v>0</v>
      </c>
      <c r="BD433">
        <v>0</v>
      </c>
      <c r="BE433">
        <v>0</v>
      </c>
      <c r="BF433">
        <v>0</v>
      </c>
      <c r="BG433">
        <v>0</v>
      </c>
      <c r="BH433">
        <v>1</v>
      </c>
      <c r="BI433">
        <v>1.1000000000000001</v>
      </c>
      <c r="BJ433">
        <v>1.7</v>
      </c>
      <c r="BK433">
        <v>2</v>
      </c>
      <c r="BL433" s="4">
        <v>39.42</v>
      </c>
      <c r="BM433" s="4">
        <v>5.91</v>
      </c>
      <c r="BN433" s="4">
        <v>45.33</v>
      </c>
      <c r="BO433" s="4">
        <v>45.33</v>
      </c>
      <c r="BQ433" t="s">
        <v>910</v>
      </c>
      <c r="BR433" t="s">
        <v>84</v>
      </c>
      <c r="BS433" s="3">
        <v>43804</v>
      </c>
      <c r="BT433" s="5">
        <v>0.3125</v>
      </c>
      <c r="BU433" t="s">
        <v>911</v>
      </c>
      <c r="BV433" t="s">
        <v>86</v>
      </c>
      <c r="BY433">
        <v>8270.2199999999993</v>
      </c>
      <c r="CA433" t="s">
        <v>912</v>
      </c>
      <c r="CC433" t="s">
        <v>139</v>
      </c>
      <c r="CD433">
        <v>1401</v>
      </c>
      <c r="CE433" t="s">
        <v>96</v>
      </c>
      <c r="CF433" s="3">
        <v>43808</v>
      </c>
      <c r="CI433">
        <v>1</v>
      </c>
      <c r="CJ433">
        <v>1</v>
      </c>
      <c r="CK433">
        <v>22</v>
      </c>
      <c r="CL433" t="s">
        <v>89</v>
      </c>
    </row>
    <row r="434" spans="1:90">
      <c r="A434" t="s">
        <v>72</v>
      </c>
      <c r="B434" t="s">
        <v>73</v>
      </c>
      <c r="C434" t="s">
        <v>74</v>
      </c>
      <c r="E434" t="str">
        <f>"FES1162726751"</f>
        <v>FES1162726751</v>
      </c>
      <c r="F434" s="3">
        <v>43803</v>
      </c>
      <c r="G434">
        <v>202006</v>
      </c>
      <c r="H434" t="s">
        <v>75</v>
      </c>
      <c r="I434" t="s">
        <v>76</v>
      </c>
      <c r="J434" t="s">
        <v>77</v>
      </c>
      <c r="K434" t="s">
        <v>78</v>
      </c>
      <c r="L434" t="s">
        <v>396</v>
      </c>
      <c r="M434" t="s">
        <v>397</v>
      </c>
      <c r="N434" t="s">
        <v>913</v>
      </c>
      <c r="O434" t="s">
        <v>82</v>
      </c>
      <c r="P434" t="str">
        <f>"2170719577                    "</f>
        <v xml:space="preserve">2170719577                    </v>
      </c>
      <c r="Q434">
        <v>0</v>
      </c>
      <c r="R434">
        <v>0</v>
      </c>
      <c r="S434">
        <v>0</v>
      </c>
      <c r="T434">
        <v>0</v>
      </c>
      <c r="U434">
        <v>0</v>
      </c>
      <c r="V434">
        <v>0</v>
      </c>
      <c r="W434">
        <v>0</v>
      </c>
      <c r="X434">
        <v>0</v>
      </c>
      <c r="Y434">
        <v>0</v>
      </c>
      <c r="Z434">
        <v>0</v>
      </c>
      <c r="AA434">
        <v>0</v>
      </c>
      <c r="AB434">
        <v>0</v>
      </c>
      <c r="AC434">
        <v>0</v>
      </c>
      <c r="AD434">
        <v>0</v>
      </c>
      <c r="AE434">
        <v>0</v>
      </c>
      <c r="AF434">
        <v>0</v>
      </c>
      <c r="AG434">
        <v>0</v>
      </c>
      <c r="AH434">
        <v>0</v>
      </c>
      <c r="AI434">
        <v>0</v>
      </c>
      <c r="AJ434">
        <v>0</v>
      </c>
      <c r="AK434">
        <v>0</v>
      </c>
      <c r="AL434">
        <v>0</v>
      </c>
      <c r="AM434">
        <v>24.14</v>
      </c>
      <c r="AN434">
        <v>0</v>
      </c>
      <c r="AO434">
        <v>0</v>
      </c>
      <c r="AP434">
        <v>0</v>
      </c>
      <c r="AQ434">
        <v>0</v>
      </c>
      <c r="AR434">
        <v>0</v>
      </c>
      <c r="AS434">
        <v>0</v>
      </c>
      <c r="AT434">
        <v>0</v>
      </c>
      <c r="AU434">
        <v>0</v>
      </c>
      <c r="AV434">
        <v>0</v>
      </c>
      <c r="AW434">
        <v>0</v>
      </c>
      <c r="AX434">
        <v>0</v>
      </c>
      <c r="AY434">
        <v>0</v>
      </c>
      <c r="AZ434">
        <v>0</v>
      </c>
      <c r="BA434">
        <v>0</v>
      </c>
      <c r="BB434">
        <v>0</v>
      </c>
      <c r="BC434">
        <v>0</v>
      </c>
      <c r="BD434">
        <v>0</v>
      </c>
      <c r="BE434">
        <v>0</v>
      </c>
      <c r="BF434">
        <v>0</v>
      </c>
      <c r="BG434">
        <v>0</v>
      </c>
      <c r="BH434">
        <v>1</v>
      </c>
      <c r="BI434">
        <v>1.5</v>
      </c>
      <c r="BJ434">
        <v>2.7</v>
      </c>
      <c r="BK434">
        <v>3</v>
      </c>
      <c r="BL434" s="4">
        <v>141.9</v>
      </c>
      <c r="BM434" s="4">
        <v>21.29</v>
      </c>
      <c r="BN434" s="4">
        <v>163.19</v>
      </c>
      <c r="BO434" s="4">
        <v>163.19</v>
      </c>
      <c r="BQ434" t="s">
        <v>147</v>
      </c>
      <c r="BR434" t="s">
        <v>84</v>
      </c>
      <c r="BS434" s="3">
        <v>43804</v>
      </c>
      <c r="BT434" s="5">
        <v>0.49583333333333335</v>
      </c>
      <c r="BU434" t="s">
        <v>914</v>
      </c>
      <c r="BV434" t="s">
        <v>86</v>
      </c>
      <c r="BY434">
        <v>13441.36</v>
      </c>
      <c r="CA434" t="s">
        <v>889</v>
      </c>
      <c r="CC434" t="s">
        <v>397</v>
      </c>
      <c r="CD434">
        <v>7130</v>
      </c>
      <c r="CE434" t="s">
        <v>116</v>
      </c>
      <c r="CF434" s="3">
        <v>43805</v>
      </c>
      <c r="CI434">
        <v>1</v>
      </c>
      <c r="CJ434">
        <v>1</v>
      </c>
      <c r="CK434">
        <v>23</v>
      </c>
      <c r="CL434" t="s">
        <v>89</v>
      </c>
    </row>
    <row r="435" spans="1:90">
      <c r="A435" t="s">
        <v>72</v>
      </c>
      <c r="B435" t="s">
        <v>73</v>
      </c>
      <c r="C435" t="s">
        <v>74</v>
      </c>
      <c r="E435" t="str">
        <f>"FES1162726678"</f>
        <v>FES1162726678</v>
      </c>
      <c r="F435" s="3">
        <v>43803</v>
      </c>
      <c r="G435">
        <v>202006</v>
      </c>
      <c r="H435" t="s">
        <v>75</v>
      </c>
      <c r="I435" t="s">
        <v>76</v>
      </c>
      <c r="J435" t="s">
        <v>77</v>
      </c>
      <c r="K435" t="s">
        <v>78</v>
      </c>
      <c r="L435" t="s">
        <v>90</v>
      </c>
      <c r="M435" t="s">
        <v>91</v>
      </c>
      <c r="N435" t="s">
        <v>915</v>
      </c>
      <c r="O435" t="s">
        <v>82</v>
      </c>
      <c r="P435" t="str">
        <f>"217071857                     "</f>
        <v xml:space="preserve">217071857                     </v>
      </c>
      <c r="Q435">
        <v>0</v>
      </c>
      <c r="R435">
        <v>0</v>
      </c>
      <c r="S435">
        <v>0</v>
      </c>
      <c r="T435">
        <v>0</v>
      </c>
      <c r="U435">
        <v>0</v>
      </c>
      <c r="V435">
        <v>0</v>
      </c>
      <c r="W435">
        <v>0</v>
      </c>
      <c r="X435">
        <v>0</v>
      </c>
      <c r="Y435">
        <v>0</v>
      </c>
      <c r="Z435">
        <v>0</v>
      </c>
      <c r="AA435">
        <v>0</v>
      </c>
      <c r="AB435">
        <v>0</v>
      </c>
      <c r="AC435">
        <v>0</v>
      </c>
      <c r="AD435">
        <v>0</v>
      </c>
      <c r="AE435">
        <v>0</v>
      </c>
      <c r="AF435">
        <v>0</v>
      </c>
      <c r="AG435">
        <v>0</v>
      </c>
      <c r="AH435">
        <v>0</v>
      </c>
      <c r="AI435">
        <v>0</v>
      </c>
      <c r="AJ435">
        <v>0</v>
      </c>
      <c r="AK435">
        <v>0</v>
      </c>
      <c r="AL435">
        <v>0</v>
      </c>
      <c r="AM435">
        <v>8.58</v>
      </c>
      <c r="AN435">
        <v>0</v>
      </c>
      <c r="AO435">
        <v>0</v>
      </c>
      <c r="AP435">
        <v>0</v>
      </c>
      <c r="AQ435">
        <v>0</v>
      </c>
      <c r="AR435">
        <v>0</v>
      </c>
      <c r="AS435">
        <v>0</v>
      </c>
      <c r="AT435">
        <v>0</v>
      </c>
      <c r="AU435">
        <v>0</v>
      </c>
      <c r="AV435">
        <v>0</v>
      </c>
      <c r="AW435">
        <v>0</v>
      </c>
      <c r="AX435">
        <v>0</v>
      </c>
      <c r="AY435">
        <v>0</v>
      </c>
      <c r="AZ435">
        <v>0</v>
      </c>
      <c r="BA435">
        <v>0</v>
      </c>
      <c r="BB435">
        <v>0</v>
      </c>
      <c r="BC435">
        <v>0</v>
      </c>
      <c r="BD435">
        <v>0</v>
      </c>
      <c r="BE435">
        <v>0</v>
      </c>
      <c r="BF435">
        <v>0</v>
      </c>
      <c r="BG435">
        <v>0</v>
      </c>
      <c r="BH435">
        <v>1</v>
      </c>
      <c r="BI435">
        <v>1.2</v>
      </c>
      <c r="BJ435">
        <v>1</v>
      </c>
      <c r="BK435">
        <v>1.5</v>
      </c>
      <c r="BL435" s="4">
        <v>50.45</v>
      </c>
      <c r="BM435" s="4">
        <v>7.57</v>
      </c>
      <c r="BN435" s="4">
        <v>58.02</v>
      </c>
      <c r="BO435" s="4">
        <v>58.02</v>
      </c>
      <c r="BQ435" t="s">
        <v>93</v>
      </c>
      <c r="BR435" t="s">
        <v>84</v>
      </c>
      <c r="BS435" s="3">
        <v>43804</v>
      </c>
      <c r="BT435" s="5">
        <v>0.4604166666666667</v>
      </c>
      <c r="BU435" t="s">
        <v>916</v>
      </c>
      <c r="BV435" t="s">
        <v>86</v>
      </c>
      <c r="BY435">
        <v>4911.3</v>
      </c>
      <c r="CA435" t="s">
        <v>917</v>
      </c>
      <c r="CC435" t="s">
        <v>91</v>
      </c>
      <c r="CD435">
        <v>7975</v>
      </c>
      <c r="CE435" t="s">
        <v>96</v>
      </c>
      <c r="CF435" s="3">
        <v>43805</v>
      </c>
      <c r="CI435">
        <v>1</v>
      </c>
      <c r="CJ435">
        <v>1</v>
      </c>
      <c r="CK435">
        <v>21</v>
      </c>
      <c r="CL435" t="s">
        <v>89</v>
      </c>
    </row>
    <row r="436" spans="1:90">
      <c r="A436" t="s">
        <v>72</v>
      </c>
      <c r="B436" t="s">
        <v>73</v>
      </c>
      <c r="C436" t="s">
        <v>74</v>
      </c>
      <c r="E436" t="str">
        <f>"FES1162726660"</f>
        <v>FES1162726660</v>
      </c>
      <c r="F436" s="3">
        <v>43803</v>
      </c>
      <c r="G436">
        <v>202006</v>
      </c>
      <c r="H436" t="s">
        <v>75</v>
      </c>
      <c r="I436" t="s">
        <v>76</v>
      </c>
      <c r="J436" t="s">
        <v>77</v>
      </c>
      <c r="K436" t="s">
        <v>78</v>
      </c>
      <c r="L436" t="s">
        <v>90</v>
      </c>
      <c r="M436" t="s">
        <v>91</v>
      </c>
      <c r="N436" t="s">
        <v>207</v>
      </c>
      <c r="O436" t="s">
        <v>82</v>
      </c>
      <c r="P436" t="str">
        <f>"2170716316                    "</f>
        <v xml:space="preserve">2170716316                    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0</v>
      </c>
      <c r="Y436">
        <v>0</v>
      </c>
      <c r="Z436">
        <v>0</v>
      </c>
      <c r="AA436">
        <v>0</v>
      </c>
      <c r="AB436">
        <v>0</v>
      </c>
      <c r="AC436">
        <v>0</v>
      </c>
      <c r="AD436">
        <v>0</v>
      </c>
      <c r="AE436">
        <v>0</v>
      </c>
      <c r="AF436">
        <v>0</v>
      </c>
      <c r="AG436">
        <v>0</v>
      </c>
      <c r="AH436">
        <v>0</v>
      </c>
      <c r="AI436">
        <v>0</v>
      </c>
      <c r="AJ436">
        <v>0</v>
      </c>
      <c r="AK436">
        <v>0</v>
      </c>
      <c r="AL436">
        <v>0</v>
      </c>
      <c r="AM436">
        <v>30.03</v>
      </c>
      <c r="AN436">
        <v>0</v>
      </c>
      <c r="AO436">
        <v>0</v>
      </c>
      <c r="AP436">
        <v>0</v>
      </c>
      <c r="AQ436">
        <v>0</v>
      </c>
      <c r="AR436">
        <v>0</v>
      </c>
      <c r="AS436">
        <v>0</v>
      </c>
      <c r="AT436">
        <v>0</v>
      </c>
      <c r="AU436">
        <v>0</v>
      </c>
      <c r="AV436">
        <v>0</v>
      </c>
      <c r="AW436">
        <v>0</v>
      </c>
      <c r="AX436">
        <v>0</v>
      </c>
      <c r="AY436">
        <v>0</v>
      </c>
      <c r="AZ436">
        <v>0</v>
      </c>
      <c r="BA436">
        <v>0</v>
      </c>
      <c r="BB436">
        <v>0</v>
      </c>
      <c r="BC436">
        <v>0</v>
      </c>
      <c r="BD436">
        <v>0</v>
      </c>
      <c r="BE436">
        <v>0</v>
      </c>
      <c r="BF436">
        <v>0</v>
      </c>
      <c r="BG436">
        <v>0</v>
      </c>
      <c r="BH436">
        <v>1</v>
      </c>
      <c r="BI436">
        <v>7</v>
      </c>
      <c r="BJ436">
        <v>2</v>
      </c>
      <c r="BK436">
        <v>7</v>
      </c>
      <c r="BL436" s="4">
        <v>176.5</v>
      </c>
      <c r="BM436" s="4">
        <v>26.48</v>
      </c>
      <c r="BN436" s="4">
        <v>202.98</v>
      </c>
      <c r="BO436" s="4">
        <v>202.98</v>
      </c>
      <c r="BQ436" t="s">
        <v>147</v>
      </c>
      <c r="BR436" t="s">
        <v>84</v>
      </c>
      <c r="BS436" s="3">
        <v>43804</v>
      </c>
      <c r="BT436" s="5">
        <v>0.3611111111111111</v>
      </c>
      <c r="BU436" t="s">
        <v>349</v>
      </c>
      <c r="BV436" t="s">
        <v>86</v>
      </c>
      <c r="BY436">
        <v>9918</v>
      </c>
      <c r="CA436" t="s">
        <v>209</v>
      </c>
      <c r="CC436" t="s">
        <v>91</v>
      </c>
      <c r="CD436">
        <v>7441</v>
      </c>
      <c r="CE436" t="s">
        <v>96</v>
      </c>
      <c r="CF436" s="3">
        <v>43805</v>
      </c>
      <c r="CI436">
        <v>1</v>
      </c>
      <c r="CJ436">
        <v>1</v>
      </c>
      <c r="CK436">
        <v>21</v>
      </c>
      <c r="CL436" t="s">
        <v>89</v>
      </c>
    </row>
    <row r="437" spans="1:90">
      <c r="A437" t="s">
        <v>72</v>
      </c>
      <c r="B437" t="s">
        <v>73</v>
      </c>
      <c r="C437" t="s">
        <v>74</v>
      </c>
      <c r="E437" t="str">
        <f>"FES1162726619"</f>
        <v>FES1162726619</v>
      </c>
      <c r="F437" s="3">
        <v>43803</v>
      </c>
      <c r="G437">
        <v>202006</v>
      </c>
      <c r="H437" t="s">
        <v>75</v>
      </c>
      <c r="I437" t="s">
        <v>76</v>
      </c>
      <c r="J437" t="s">
        <v>77</v>
      </c>
      <c r="K437" t="s">
        <v>78</v>
      </c>
      <c r="L437" t="s">
        <v>90</v>
      </c>
      <c r="M437" t="s">
        <v>91</v>
      </c>
      <c r="N437" t="s">
        <v>918</v>
      </c>
      <c r="O437" t="s">
        <v>82</v>
      </c>
      <c r="P437" t="str">
        <f>"2170720102                    "</f>
        <v xml:space="preserve">2170720102                    </v>
      </c>
      <c r="Q437">
        <v>0</v>
      </c>
      <c r="R437">
        <v>0</v>
      </c>
      <c r="S437">
        <v>0</v>
      </c>
      <c r="T437">
        <v>0</v>
      </c>
      <c r="U437">
        <v>0</v>
      </c>
      <c r="V437">
        <v>0</v>
      </c>
      <c r="W437">
        <v>0</v>
      </c>
      <c r="X437">
        <v>0</v>
      </c>
      <c r="Y437">
        <v>0</v>
      </c>
      <c r="Z437">
        <v>0</v>
      </c>
      <c r="AA437">
        <v>0</v>
      </c>
      <c r="AB437">
        <v>0</v>
      </c>
      <c r="AC437">
        <v>0</v>
      </c>
      <c r="AD437">
        <v>0</v>
      </c>
      <c r="AE437">
        <v>0</v>
      </c>
      <c r="AF437">
        <v>0</v>
      </c>
      <c r="AG437">
        <v>0</v>
      </c>
      <c r="AH437">
        <v>0</v>
      </c>
      <c r="AI437">
        <v>0</v>
      </c>
      <c r="AJ437">
        <v>0</v>
      </c>
      <c r="AK437">
        <v>0</v>
      </c>
      <c r="AL437">
        <v>0</v>
      </c>
      <c r="AM437">
        <v>47.18</v>
      </c>
      <c r="AN437">
        <v>0</v>
      </c>
      <c r="AO437">
        <v>0</v>
      </c>
      <c r="AP437">
        <v>0</v>
      </c>
      <c r="AQ437">
        <v>0</v>
      </c>
      <c r="AR437">
        <v>0</v>
      </c>
      <c r="AS437">
        <v>0</v>
      </c>
      <c r="AT437">
        <v>0</v>
      </c>
      <c r="AU437">
        <v>0</v>
      </c>
      <c r="AV437">
        <v>0</v>
      </c>
      <c r="AW437">
        <v>0</v>
      </c>
      <c r="AX437">
        <v>0</v>
      </c>
      <c r="AY437">
        <v>0</v>
      </c>
      <c r="AZ437">
        <v>0</v>
      </c>
      <c r="BA437">
        <v>0</v>
      </c>
      <c r="BB437">
        <v>0</v>
      </c>
      <c r="BC437">
        <v>0</v>
      </c>
      <c r="BD437">
        <v>0</v>
      </c>
      <c r="BE437">
        <v>0</v>
      </c>
      <c r="BF437">
        <v>0</v>
      </c>
      <c r="BG437">
        <v>0</v>
      </c>
      <c r="BH437">
        <v>1</v>
      </c>
      <c r="BI437">
        <v>11</v>
      </c>
      <c r="BJ437">
        <v>3.1</v>
      </c>
      <c r="BK437">
        <v>11</v>
      </c>
      <c r="BL437" s="4">
        <v>277.33</v>
      </c>
      <c r="BM437" s="4">
        <v>41.6</v>
      </c>
      <c r="BN437" s="4">
        <v>318.93</v>
      </c>
      <c r="BO437" s="4">
        <v>318.93</v>
      </c>
      <c r="BQ437" t="s">
        <v>919</v>
      </c>
      <c r="BR437" t="s">
        <v>84</v>
      </c>
      <c r="BS437" s="3">
        <v>43804</v>
      </c>
      <c r="BT437" s="5">
        <v>0.34791666666666665</v>
      </c>
      <c r="BU437" t="s">
        <v>920</v>
      </c>
      <c r="BV437" t="s">
        <v>86</v>
      </c>
      <c r="BY437">
        <v>15577.23</v>
      </c>
      <c r="CA437" t="s">
        <v>539</v>
      </c>
      <c r="CC437" t="s">
        <v>91</v>
      </c>
      <c r="CD437">
        <v>7530</v>
      </c>
      <c r="CE437" t="s">
        <v>96</v>
      </c>
      <c r="CF437" s="3">
        <v>43805</v>
      </c>
      <c r="CI437">
        <v>1</v>
      </c>
      <c r="CJ437">
        <v>1</v>
      </c>
      <c r="CK437">
        <v>21</v>
      </c>
      <c r="CL437" t="s">
        <v>89</v>
      </c>
    </row>
    <row r="438" spans="1:90">
      <c r="A438" t="s">
        <v>72</v>
      </c>
      <c r="B438" t="s">
        <v>73</v>
      </c>
      <c r="C438" t="s">
        <v>74</v>
      </c>
      <c r="E438" t="str">
        <f>"FES1162726661"</f>
        <v>FES1162726661</v>
      </c>
      <c r="F438" s="3">
        <v>43803</v>
      </c>
      <c r="G438">
        <v>202006</v>
      </c>
      <c r="H438" t="s">
        <v>75</v>
      </c>
      <c r="I438" t="s">
        <v>76</v>
      </c>
      <c r="J438" t="s">
        <v>77</v>
      </c>
      <c r="K438" t="s">
        <v>78</v>
      </c>
      <c r="L438" t="s">
        <v>75</v>
      </c>
      <c r="M438" t="s">
        <v>76</v>
      </c>
      <c r="N438" t="s">
        <v>289</v>
      </c>
      <c r="O438" t="s">
        <v>82</v>
      </c>
      <c r="P438" t="str">
        <f>"2170716406                    "</f>
        <v xml:space="preserve">2170716406                    </v>
      </c>
      <c r="Q438">
        <v>0</v>
      </c>
      <c r="R438">
        <v>0</v>
      </c>
      <c r="S438">
        <v>0</v>
      </c>
      <c r="T438">
        <v>0</v>
      </c>
      <c r="U438">
        <v>0</v>
      </c>
      <c r="V438">
        <v>0</v>
      </c>
      <c r="W438">
        <v>0</v>
      </c>
      <c r="X438">
        <v>0</v>
      </c>
      <c r="Y438">
        <v>0</v>
      </c>
      <c r="Z438">
        <v>0</v>
      </c>
      <c r="AA438">
        <v>0</v>
      </c>
      <c r="AB438">
        <v>0</v>
      </c>
      <c r="AC438">
        <v>0</v>
      </c>
      <c r="AD438">
        <v>0</v>
      </c>
      <c r="AE438">
        <v>0</v>
      </c>
      <c r="AF438">
        <v>0</v>
      </c>
      <c r="AG438">
        <v>0</v>
      </c>
      <c r="AH438">
        <v>0</v>
      </c>
      <c r="AI438">
        <v>0</v>
      </c>
      <c r="AJ438">
        <v>0</v>
      </c>
      <c r="AK438">
        <v>0</v>
      </c>
      <c r="AL438">
        <v>0</v>
      </c>
      <c r="AM438">
        <v>6.71</v>
      </c>
      <c r="AN438">
        <v>0</v>
      </c>
      <c r="AO438">
        <v>0</v>
      </c>
      <c r="AP438">
        <v>0</v>
      </c>
      <c r="AQ438">
        <v>0</v>
      </c>
      <c r="AR438">
        <v>0</v>
      </c>
      <c r="AS438">
        <v>0</v>
      </c>
      <c r="AT438">
        <v>0</v>
      </c>
      <c r="AU438">
        <v>0</v>
      </c>
      <c r="AV438">
        <v>0</v>
      </c>
      <c r="AW438">
        <v>0</v>
      </c>
      <c r="AX438">
        <v>0</v>
      </c>
      <c r="AY438">
        <v>0</v>
      </c>
      <c r="AZ438">
        <v>0</v>
      </c>
      <c r="BA438">
        <v>0</v>
      </c>
      <c r="BB438">
        <v>0</v>
      </c>
      <c r="BC438">
        <v>0</v>
      </c>
      <c r="BD438">
        <v>0</v>
      </c>
      <c r="BE438">
        <v>0</v>
      </c>
      <c r="BF438">
        <v>0</v>
      </c>
      <c r="BG438">
        <v>0</v>
      </c>
      <c r="BH438">
        <v>1</v>
      </c>
      <c r="BI438">
        <v>1.8</v>
      </c>
      <c r="BJ438">
        <v>1</v>
      </c>
      <c r="BK438">
        <v>2</v>
      </c>
      <c r="BL438" s="4">
        <v>39.42</v>
      </c>
      <c r="BM438" s="4">
        <v>5.91</v>
      </c>
      <c r="BN438" s="4">
        <v>45.33</v>
      </c>
      <c r="BO438" s="4">
        <v>45.33</v>
      </c>
      <c r="BQ438" t="s">
        <v>290</v>
      </c>
      <c r="BR438" t="s">
        <v>84</v>
      </c>
      <c r="BS438" s="3">
        <v>43804</v>
      </c>
      <c r="BT438" s="5">
        <v>0.32291666666666669</v>
      </c>
      <c r="BU438" t="s">
        <v>921</v>
      </c>
      <c r="BV438" t="s">
        <v>86</v>
      </c>
      <c r="BY438">
        <v>4968.99</v>
      </c>
      <c r="CA438" t="s">
        <v>746</v>
      </c>
      <c r="CC438" t="s">
        <v>76</v>
      </c>
      <c r="CD438">
        <v>1601</v>
      </c>
      <c r="CE438" t="s">
        <v>116</v>
      </c>
      <c r="CF438" s="3">
        <v>43808</v>
      </c>
      <c r="CI438">
        <v>1</v>
      </c>
      <c r="CJ438">
        <v>1</v>
      </c>
      <c r="CK438">
        <v>22</v>
      </c>
      <c r="CL438" t="s">
        <v>89</v>
      </c>
    </row>
    <row r="439" spans="1:90">
      <c r="A439" t="s">
        <v>72</v>
      </c>
      <c r="B439" t="s">
        <v>73</v>
      </c>
      <c r="C439" t="s">
        <v>74</v>
      </c>
      <c r="E439" t="str">
        <f>"FES1162726603"</f>
        <v>FES1162726603</v>
      </c>
      <c r="F439" s="3">
        <v>43803</v>
      </c>
      <c r="G439">
        <v>202006</v>
      </c>
      <c r="H439" t="s">
        <v>75</v>
      </c>
      <c r="I439" t="s">
        <v>76</v>
      </c>
      <c r="J439" t="s">
        <v>77</v>
      </c>
      <c r="K439" t="s">
        <v>78</v>
      </c>
      <c r="L439" t="s">
        <v>138</v>
      </c>
      <c r="M439" t="s">
        <v>139</v>
      </c>
      <c r="N439" t="s">
        <v>922</v>
      </c>
      <c r="O439" t="s">
        <v>82</v>
      </c>
      <c r="P439" t="str">
        <f>"2170718567                    "</f>
        <v xml:space="preserve">2170718567                    </v>
      </c>
      <c r="Q439">
        <v>0</v>
      </c>
      <c r="R439">
        <v>0</v>
      </c>
      <c r="S439">
        <v>0</v>
      </c>
      <c r="T439">
        <v>0</v>
      </c>
      <c r="U439">
        <v>0</v>
      </c>
      <c r="V439">
        <v>0</v>
      </c>
      <c r="W439">
        <v>0</v>
      </c>
      <c r="X439">
        <v>0</v>
      </c>
      <c r="Y439">
        <v>0</v>
      </c>
      <c r="Z439">
        <v>0</v>
      </c>
      <c r="AA439">
        <v>0</v>
      </c>
      <c r="AB439">
        <v>0</v>
      </c>
      <c r="AC439">
        <v>0</v>
      </c>
      <c r="AD439">
        <v>0</v>
      </c>
      <c r="AE439">
        <v>0</v>
      </c>
      <c r="AF439">
        <v>0</v>
      </c>
      <c r="AG439">
        <v>0</v>
      </c>
      <c r="AH439">
        <v>0</v>
      </c>
      <c r="AI439">
        <v>0</v>
      </c>
      <c r="AJ439">
        <v>0</v>
      </c>
      <c r="AK439">
        <v>0</v>
      </c>
      <c r="AL439">
        <v>0</v>
      </c>
      <c r="AM439">
        <v>10.72</v>
      </c>
      <c r="AN439">
        <v>0</v>
      </c>
      <c r="AO439">
        <v>0</v>
      </c>
      <c r="AP439">
        <v>0</v>
      </c>
      <c r="AQ439">
        <v>0</v>
      </c>
      <c r="AR439">
        <v>0</v>
      </c>
      <c r="AS439">
        <v>0</v>
      </c>
      <c r="AT439">
        <v>0</v>
      </c>
      <c r="AU439">
        <v>0</v>
      </c>
      <c r="AV439">
        <v>0</v>
      </c>
      <c r="AW439">
        <v>0</v>
      </c>
      <c r="AX439">
        <v>0</v>
      </c>
      <c r="AY439">
        <v>0</v>
      </c>
      <c r="AZ439">
        <v>0</v>
      </c>
      <c r="BA439">
        <v>0</v>
      </c>
      <c r="BB439">
        <v>0</v>
      </c>
      <c r="BC439">
        <v>0</v>
      </c>
      <c r="BD439">
        <v>0</v>
      </c>
      <c r="BE439">
        <v>0</v>
      </c>
      <c r="BF439">
        <v>0</v>
      </c>
      <c r="BG439">
        <v>0</v>
      </c>
      <c r="BH439">
        <v>1</v>
      </c>
      <c r="BI439">
        <v>4.5</v>
      </c>
      <c r="BJ439">
        <v>2.2999999999999998</v>
      </c>
      <c r="BK439">
        <v>4.5</v>
      </c>
      <c r="BL439" s="4">
        <v>63.03</v>
      </c>
      <c r="BM439" s="4">
        <v>9.4499999999999993</v>
      </c>
      <c r="BN439" s="4">
        <v>72.48</v>
      </c>
      <c r="BO439" s="4">
        <v>72.48</v>
      </c>
      <c r="BQ439" t="s">
        <v>923</v>
      </c>
      <c r="BR439" t="s">
        <v>84</v>
      </c>
      <c r="BS439" s="3">
        <v>43804</v>
      </c>
      <c r="BT439" s="5">
        <v>0.4201388888888889</v>
      </c>
      <c r="BU439" t="s">
        <v>924</v>
      </c>
      <c r="BV439" t="s">
        <v>86</v>
      </c>
      <c r="BY439">
        <v>11313.79</v>
      </c>
      <c r="CA439" t="s">
        <v>344</v>
      </c>
      <c r="CC439" t="s">
        <v>139</v>
      </c>
      <c r="CD439">
        <v>1422</v>
      </c>
      <c r="CE439" t="s">
        <v>116</v>
      </c>
      <c r="CF439" s="3">
        <v>43805</v>
      </c>
      <c r="CI439">
        <v>1</v>
      </c>
      <c r="CJ439">
        <v>1</v>
      </c>
      <c r="CK439">
        <v>22</v>
      </c>
      <c r="CL439" t="s">
        <v>89</v>
      </c>
    </row>
    <row r="440" spans="1:90">
      <c r="A440" t="s">
        <v>72</v>
      </c>
      <c r="B440" t="s">
        <v>73</v>
      </c>
      <c r="C440" t="s">
        <v>74</v>
      </c>
      <c r="E440" t="str">
        <f>"FES1162726548"</f>
        <v>FES1162726548</v>
      </c>
      <c r="F440" s="3">
        <v>43803</v>
      </c>
      <c r="G440">
        <v>202006</v>
      </c>
      <c r="H440" t="s">
        <v>75</v>
      </c>
      <c r="I440" t="s">
        <v>76</v>
      </c>
      <c r="J440" t="s">
        <v>77</v>
      </c>
      <c r="K440" t="s">
        <v>78</v>
      </c>
      <c r="L440" t="s">
        <v>332</v>
      </c>
      <c r="M440" t="s">
        <v>333</v>
      </c>
      <c r="N440" t="s">
        <v>701</v>
      </c>
      <c r="O440" t="s">
        <v>82</v>
      </c>
      <c r="P440" t="str">
        <f>"2170720016                    "</f>
        <v xml:space="preserve">2170720016                    </v>
      </c>
      <c r="Q440">
        <v>0</v>
      </c>
      <c r="R440">
        <v>0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0</v>
      </c>
      <c r="AA440">
        <v>0</v>
      </c>
      <c r="AB440">
        <v>0</v>
      </c>
      <c r="AC440">
        <v>0</v>
      </c>
      <c r="AD440">
        <v>0</v>
      </c>
      <c r="AE440">
        <v>0</v>
      </c>
      <c r="AF440">
        <v>0</v>
      </c>
      <c r="AG440">
        <v>0</v>
      </c>
      <c r="AH440">
        <v>0</v>
      </c>
      <c r="AI440">
        <v>0</v>
      </c>
      <c r="AJ440">
        <v>0</v>
      </c>
      <c r="AK440">
        <v>0</v>
      </c>
      <c r="AL440">
        <v>0</v>
      </c>
      <c r="AM440">
        <v>6.71</v>
      </c>
      <c r="AN440">
        <v>0</v>
      </c>
      <c r="AO440">
        <v>0</v>
      </c>
      <c r="AP440">
        <v>0</v>
      </c>
      <c r="AQ440">
        <v>0</v>
      </c>
      <c r="AR440">
        <v>0</v>
      </c>
      <c r="AS440">
        <v>0</v>
      </c>
      <c r="AT440">
        <v>0</v>
      </c>
      <c r="AU440">
        <v>0</v>
      </c>
      <c r="AV440">
        <v>0</v>
      </c>
      <c r="AW440">
        <v>0</v>
      </c>
      <c r="AX440">
        <v>0</v>
      </c>
      <c r="AY440">
        <v>0</v>
      </c>
      <c r="AZ440">
        <v>0</v>
      </c>
      <c r="BA440">
        <v>0</v>
      </c>
      <c r="BB440">
        <v>0</v>
      </c>
      <c r="BC440">
        <v>0</v>
      </c>
      <c r="BD440">
        <v>0</v>
      </c>
      <c r="BE440">
        <v>0</v>
      </c>
      <c r="BF440">
        <v>0</v>
      </c>
      <c r="BG440">
        <v>0</v>
      </c>
      <c r="BH440">
        <v>1</v>
      </c>
      <c r="BI440">
        <v>1.1000000000000001</v>
      </c>
      <c r="BJ440">
        <v>1.2</v>
      </c>
      <c r="BK440">
        <v>1.5</v>
      </c>
      <c r="BL440" s="4">
        <v>39.42</v>
      </c>
      <c r="BM440" s="4">
        <v>5.91</v>
      </c>
      <c r="BN440" s="4">
        <v>45.33</v>
      </c>
      <c r="BO440" s="4">
        <v>45.33</v>
      </c>
      <c r="BQ440" t="s">
        <v>93</v>
      </c>
      <c r="BR440" t="s">
        <v>84</v>
      </c>
      <c r="BS440" s="3">
        <v>43804</v>
      </c>
      <c r="BT440" s="5">
        <v>0.39513888888888887</v>
      </c>
      <c r="BU440" t="s">
        <v>810</v>
      </c>
      <c r="BV440" t="s">
        <v>86</v>
      </c>
      <c r="BY440">
        <v>6060.33</v>
      </c>
      <c r="CC440" t="s">
        <v>333</v>
      </c>
      <c r="CD440">
        <v>2094</v>
      </c>
      <c r="CE440" t="s">
        <v>96</v>
      </c>
      <c r="CF440" s="3">
        <v>43805</v>
      </c>
      <c r="CI440">
        <v>1</v>
      </c>
      <c r="CJ440">
        <v>1</v>
      </c>
      <c r="CK440">
        <v>22</v>
      </c>
      <c r="CL440" t="s">
        <v>89</v>
      </c>
    </row>
    <row r="441" spans="1:90">
      <c r="A441" t="s">
        <v>72</v>
      </c>
      <c r="B441" t="s">
        <v>73</v>
      </c>
      <c r="C441" t="s">
        <v>74</v>
      </c>
      <c r="E441" t="str">
        <f>"FES1162726375"</f>
        <v>FES1162726375</v>
      </c>
      <c r="F441" s="3">
        <v>43803</v>
      </c>
      <c r="G441">
        <v>202006</v>
      </c>
      <c r="H441" t="s">
        <v>75</v>
      </c>
      <c r="I441" t="s">
        <v>76</v>
      </c>
      <c r="J441" t="s">
        <v>77</v>
      </c>
      <c r="K441" t="s">
        <v>78</v>
      </c>
      <c r="L441" t="s">
        <v>138</v>
      </c>
      <c r="M441" t="s">
        <v>139</v>
      </c>
      <c r="N441" t="s">
        <v>234</v>
      </c>
      <c r="O441" t="s">
        <v>82</v>
      </c>
      <c r="P441" t="str">
        <f>"2170716545                    "</f>
        <v xml:space="preserve">2170716545                    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0</v>
      </c>
      <c r="W441">
        <v>0</v>
      </c>
      <c r="X441">
        <v>0</v>
      </c>
      <c r="Y441">
        <v>0</v>
      </c>
      <c r="Z441">
        <v>0</v>
      </c>
      <c r="AA441">
        <v>0</v>
      </c>
      <c r="AB441">
        <v>0</v>
      </c>
      <c r="AC441">
        <v>0</v>
      </c>
      <c r="AD441">
        <v>0</v>
      </c>
      <c r="AE441">
        <v>0</v>
      </c>
      <c r="AF441">
        <v>0</v>
      </c>
      <c r="AG441">
        <v>0</v>
      </c>
      <c r="AH441">
        <v>0</v>
      </c>
      <c r="AI441">
        <v>0</v>
      </c>
      <c r="AJ441">
        <v>0</v>
      </c>
      <c r="AK441">
        <v>0</v>
      </c>
      <c r="AL441">
        <v>0</v>
      </c>
      <c r="AM441">
        <v>20.37</v>
      </c>
      <c r="AN441">
        <v>0</v>
      </c>
      <c r="AO441">
        <v>0</v>
      </c>
      <c r="AP441">
        <v>0</v>
      </c>
      <c r="AQ441">
        <v>0</v>
      </c>
      <c r="AR441">
        <v>0</v>
      </c>
      <c r="AS441">
        <v>0</v>
      </c>
      <c r="AT441">
        <v>0</v>
      </c>
      <c r="AU441">
        <v>0</v>
      </c>
      <c r="AV441">
        <v>0</v>
      </c>
      <c r="AW441">
        <v>0</v>
      </c>
      <c r="AX441">
        <v>0</v>
      </c>
      <c r="AY441">
        <v>0</v>
      </c>
      <c r="AZ441">
        <v>0</v>
      </c>
      <c r="BA441">
        <v>0</v>
      </c>
      <c r="BB441">
        <v>0</v>
      </c>
      <c r="BC441">
        <v>0</v>
      </c>
      <c r="BD441">
        <v>0</v>
      </c>
      <c r="BE441">
        <v>0</v>
      </c>
      <c r="BF441">
        <v>0</v>
      </c>
      <c r="BG441">
        <v>0</v>
      </c>
      <c r="BH441">
        <v>1</v>
      </c>
      <c r="BI441">
        <v>10.199999999999999</v>
      </c>
      <c r="BJ441">
        <v>5.6</v>
      </c>
      <c r="BK441">
        <v>10.5</v>
      </c>
      <c r="BL441" s="4">
        <v>119.72</v>
      </c>
      <c r="BM441" s="4">
        <v>17.96</v>
      </c>
      <c r="BN441" s="4">
        <v>137.68</v>
      </c>
      <c r="BO441" s="4">
        <v>137.68</v>
      </c>
      <c r="BQ441" t="s">
        <v>147</v>
      </c>
      <c r="BR441" t="s">
        <v>84</v>
      </c>
      <c r="BS441" s="3">
        <v>43804</v>
      </c>
      <c r="BT441" s="5">
        <v>0.43263888888888885</v>
      </c>
      <c r="BU441" t="s">
        <v>925</v>
      </c>
      <c r="BV441" t="s">
        <v>86</v>
      </c>
      <c r="BY441">
        <v>28156.74</v>
      </c>
      <c r="CA441" t="s">
        <v>912</v>
      </c>
      <c r="CC441" t="s">
        <v>139</v>
      </c>
      <c r="CD441">
        <v>1401</v>
      </c>
      <c r="CE441" t="s">
        <v>116</v>
      </c>
      <c r="CF441" s="3">
        <v>43808</v>
      </c>
      <c r="CI441">
        <v>1</v>
      </c>
      <c r="CJ441">
        <v>1</v>
      </c>
      <c r="CK441">
        <v>22</v>
      </c>
      <c r="CL441" t="s">
        <v>89</v>
      </c>
    </row>
    <row r="442" spans="1:90">
      <c r="A442" t="s">
        <v>72</v>
      </c>
      <c r="B442" t="s">
        <v>73</v>
      </c>
      <c r="C442" t="s">
        <v>74</v>
      </c>
      <c r="E442" t="str">
        <f>"FES178431219"</f>
        <v>FES178431219</v>
      </c>
      <c r="F442" s="3">
        <v>43803</v>
      </c>
      <c r="G442">
        <v>202006</v>
      </c>
      <c r="H442" t="s">
        <v>75</v>
      </c>
      <c r="I442" t="s">
        <v>76</v>
      </c>
      <c r="J442" t="s">
        <v>77</v>
      </c>
      <c r="K442" t="s">
        <v>78</v>
      </c>
      <c r="L442" t="s">
        <v>213</v>
      </c>
      <c r="M442" t="s">
        <v>214</v>
      </c>
      <c r="N442" t="s">
        <v>598</v>
      </c>
      <c r="O442" t="s">
        <v>82</v>
      </c>
      <c r="P442" t="str">
        <f>"2170719630                    "</f>
        <v xml:space="preserve">2170719630                    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  <c r="AA442">
        <v>0</v>
      </c>
      <c r="AB442">
        <v>0</v>
      </c>
      <c r="AC442">
        <v>0</v>
      </c>
      <c r="AD442">
        <v>0</v>
      </c>
      <c r="AE442">
        <v>0</v>
      </c>
      <c r="AF442">
        <v>0</v>
      </c>
      <c r="AG442">
        <v>0</v>
      </c>
      <c r="AH442">
        <v>0</v>
      </c>
      <c r="AI442">
        <v>0</v>
      </c>
      <c r="AJ442">
        <v>0</v>
      </c>
      <c r="AK442">
        <v>0</v>
      </c>
      <c r="AL442">
        <v>0</v>
      </c>
      <c r="AM442">
        <v>12.87</v>
      </c>
      <c r="AN442">
        <v>0</v>
      </c>
      <c r="AO442">
        <v>0</v>
      </c>
      <c r="AP442">
        <v>0</v>
      </c>
      <c r="AQ442">
        <v>0</v>
      </c>
      <c r="AR442">
        <v>0</v>
      </c>
      <c r="AS442">
        <v>0</v>
      </c>
      <c r="AT442">
        <v>0</v>
      </c>
      <c r="AU442">
        <v>0</v>
      </c>
      <c r="AV442">
        <v>0</v>
      </c>
      <c r="AW442">
        <v>0</v>
      </c>
      <c r="AX442">
        <v>0</v>
      </c>
      <c r="AY442">
        <v>0</v>
      </c>
      <c r="AZ442">
        <v>0</v>
      </c>
      <c r="BA442">
        <v>0</v>
      </c>
      <c r="BB442">
        <v>0</v>
      </c>
      <c r="BC442">
        <v>0</v>
      </c>
      <c r="BD442">
        <v>0</v>
      </c>
      <c r="BE442">
        <v>0</v>
      </c>
      <c r="BF442">
        <v>0</v>
      </c>
      <c r="BG442">
        <v>0</v>
      </c>
      <c r="BH442">
        <v>1</v>
      </c>
      <c r="BI442">
        <v>3</v>
      </c>
      <c r="BJ442">
        <v>1.5</v>
      </c>
      <c r="BK442">
        <v>3</v>
      </c>
      <c r="BL442" s="4">
        <v>75.66</v>
      </c>
      <c r="BM442" s="4">
        <v>11.35</v>
      </c>
      <c r="BN442" s="4">
        <v>87.01</v>
      </c>
      <c r="BO442" s="4">
        <v>87.01</v>
      </c>
      <c r="BQ442" t="s">
        <v>147</v>
      </c>
      <c r="BR442" t="s">
        <v>84</v>
      </c>
      <c r="BS442" s="3">
        <v>43804</v>
      </c>
      <c r="BT442" s="5">
        <v>0.33958333333333335</v>
      </c>
      <c r="BU442" t="s">
        <v>926</v>
      </c>
      <c r="BV442" t="s">
        <v>86</v>
      </c>
      <c r="BY442">
        <v>7555.46</v>
      </c>
      <c r="CA442" t="s">
        <v>99</v>
      </c>
      <c r="CC442" t="s">
        <v>214</v>
      </c>
      <c r="CD442">
        <v>6229</v>
      </c>
      <c r="CE442" t="s">
        <v>96</v>
      </c>
      <c r="CI442">
        <v>1</v>
      </c>
      <c r="CJ442">
        <v>1</v>
      </c>
      <c r="CK442">
        <v>21</v>
      </c>
      <c r="CL442" t="s">
        <v>89</v>
      </c>
    </row>
    <row r="443" spans="1:90">
      <c r="A443" t="s">
        <v>72</v>
      </c>
      <c r="B443" t="s">
        <v>73</v>
      </c>
      <c r="C443" t="s">
        <v>74</v>
      </c>
      <c r="E443" t="str">
        <f>"FES1162726502"</f>
        <v>FES1162726502</v>
      </c>
      <c r="F443" s="3">
        <v>43803</v>
      </c>
      <c r="G443">
        <v>202006</v>
      </c>
      <c r="H443" t="s">
        <v>75</v>
      </c>
      <c r="I443" t="s">
        <v>76</v>
      </c>
      <c r="J443" t="s">
        <v>77</v>
      </c>
      <c r="K443" t="s">
        <v>78</v>
      </c>
      <c r="L443" t="s">
        <v>79</v>
      </c>
      <c r="M443" t="s">
        <v>80</v>
      </c>
      <c r="N443" t="s">
        <v>300</v>
      </c>
      <c r="O443" t="s">
        <v>82</v>
      </c>
      <c r="P443" t="str">
        <f>"2170719948                    "</f>
        <v xml:space="preserve">2170719948                    </v>
      </c>
      <c r="Q443">
        <v>0</v>
      </c>
      <c r="R443">
        <v>0</v>
      </c>
      <c r="S443">
        <v>0</v>
      </c>
      <c r="T443">
        <v>0</v>
      </c>
      <c r="U443">
        <v>0</v>
      </c>
      <c r="V443">
        <v>0</v>
      </c>
      <c r="W443">
        <v>0</v>
      </c>
      <c r="X443">
        <v>0</v>
      </c>
      <c r="Y443">
        <v>0</v>
      </c>
      <c r="Z443">
        <v>0</v>
      </c>
      <c r="AA443">
        <v>0</v>
      </c>
      <c r="AB443">
        <v>0</v>
      </c>
      <c r="AC443">
        <v>0</v>
      </c>
      <c r="AD443">
        <v>0</v>
      </c>
      <c r="AE443">
        <v>0</v>
      </c>
      <c r="AF443">
        <v>0</v>
      </c>
      <c r="AG443">
        <v>0</v>
      </c>
      <c r="AH443">
        <v>0</v>
      </c>
      <c r="AI443">
        <v>0</v>
      </c>
      <c r="AJ443">
        <v>0</v>
      </c>
      <c r="AK443">
        <v>0</v>
      </c>
      <c r="AL443">
        <v>0</v>
      </c>
      <c r="AM443">
        <v>21.45</v>
      </c>
      <c r="AN443">
        <v>0</v>
      </c>
      <c r="AO443">
        <v>0</v>
      </c>
      <c r="AP443">
        <v>0</v>
      </c>
      <c r="AQ443">
        <v>0</v>
      </c>
      <c r="AR443">
        <v>0</v>
      </c>
      <c r="AS443">
        <v>0</v>
      </c>
      <c r="AT443">
        <v>0</v>
      </c>
      <c r="AU443">
        <v>0</v>
      </c>
      <c r="AV443">
        <v>0</v>
      </c>
      <c r="AW443">
        <v>0</v>
      </c>
      <c r="AX443">
        <v>0</v>
      </c>
      <c r="AY443">
        <v>0</v>
      </c>
      <c r="AZ443">
        <v>0</v>
      </c>
      <c r="BA443">
        <v>0</v>
      </c>
      <c r="BB443">
        <v>0</v>
      </c>
      <c r="BC443">
        <v>0</v>
      </c>
      <c r="BD443">
        <v>0</v>
      </c>
      <c r="BE443">
        <v>0</v>
      </c>
      <c r="BF443">
        <v>0</v>
      </c>
      <c r="BG443">
        <v>0</v>
      </c>
      <c r="BH443">
        <v>1</v>
      </c>
      <c r="BI443">
        <v>5</v>
      </c>
      <c r="BJ443">
        <v>1.6</v>
      </c>
      <c r="BK443">
        <v>5</v>
      </c>
      <c r="BL443" s="4">
        <v>126.08</v>
      </c>
      <c r="BM443" s="4">
        <v>18.91</v>
      </c>
      <c r="BN443" s="4">
        <v>144.99</v>
      </c>
      <c r="BO443" s="4">
        <v>144.99</v>
      </c>
      <c r="BQ443" t="s">
        <v>147</v>
      </c>
      <c r="BR443" t="s">
        <v>84</v>
      </c>
      <c r="BS443" s="3">
        <v>43804</v>
      </c>
      <c r="BT443" s="5">
        <v>0.41666666666666669</v>
      </c>
      <c r="BU443" t="s">
        <v>403</v>
      </c>
      <c r="BV443" t="s">
        <v>86</v>
      </c>
      <c r="BY443">
        <v>8164.8</v>
      </c>
      <c r="BZ443" t="s">
        <v>27</v>
      </c>
      <c r="CA443" t="s">
        <v>99</v>
      </c>
      <c r="CC443" t="s">
        <v>80</v>
      </c>
      <c r="CD443">
        <v>6001</v>
      </c>
      <c r="CE443" t="s">
        <v>96</v>
      </c>
      <c r="CF443" s="3">
        <v>43805</v>
      </c>
      <c r="CI443">
        <v>1</v>
      </c>
      <c r="CJ443">
        <v>1</v>
      </c>
      <c r="CK443">
        <v>21</v>
      </c>
      <c r="CL443" t="s">
        <v>89</v>
      </c>
    </row>
    <row r="444" spans="1:90">
      <c r="A444" t="s">
        <v>72</v>
      </c>
      <c r="B444" t="s">
        <v>73</v>
      </c>
      <c r="C444" t="s">
        <v>74</v>
      </c>
      <c r="E444" t="str">
        <f>"FES1162726546"</f>
        <v>FES1162726546</v>
      </c>
      <c r="F444" s="3">
        <v>43803</v>
      </c>
      <c r="G444">
        <v>202006</v>
      </c>
      <c r="H444" t="s">
        <v>75</v>
      </c>
      <c r="I444" t="s">
        <v>76</v>
      </c>
      <c r="J444" t="s">
        <v>77</v>
      </c>
      <c r="K444" t="s">
        <v>78</v>
      </c>
      <c r="L444" t="s">
        <v>79</v>
      </c>
      <c r="M444" t="s">
        <v>80</v>
      </c>
      <c r="N444" t="s">
        <v>300</v>
      </c>
      <c r="O444" t="s">
        <v>82</v>
      </c>
      <c r="P444" t="str">
        <f>"217070200014                  "</f>
        <v xml:space="preserve">217070200014                  </v>
      </c>
      <c r="Q444">
        <v>0</v>
      </c>
      <c r="R444">
        <v>0</v>
      </c>
      <c r="S444">
        <v>0</v>
      </c>
      <c r="T444">
        <v>0</v>
      </c>
      <c r="U444">
        <v>0</v>
      </c>
      <c r="V444">
        <v>0</v>
      </c>
      <c r="W444">
        <v>0</v>
      </c>
      <c r="X444">
        <v>0</v>
      </c>
      <c r="Y444">
        <v>0</v>
      </c>
      <c r="Z444">
        <v>0</v>
      </c>
      <c r="AA444">
        <v>0</v>
      </c>
      <c r="AB444">
        <v>0</v>
      </c>
      <c r="AC444">
        <v>0</v>
      </c>
      <c r="AD444">
        <v>0</v>
      </c>
      <c r="AE444">
        <v>0</v>
      </c>
      <c r="AF444">
        <v>0</v>
      </c>
      <c r="AG444">
        <v>0</v>
      </c>
      <c r="AH444">
        <v>0</v>
      </c>
      <c r="AI444">
        <v>0</v>
      </c>
      <c r="AJ444">
        <v>0</v>
      </c>
      <c r="AK444">
        <v>0</v>
      </c>
      <c r="AL444">
        <v>0</v>
      </c>
      <c r="AM444">
        <v>19.3</v>
      </c>
      <c r="AN444">
        <v>0</v>
      </c>
      <c r="AO444">
        <v>0</v>
      </c>
      <c r="AP444">
        <v>0</v>
      </c>
      <c r="AQ444">
        <v>0</v>
      </c>
      <c r="AR444">
        <v>0</v>
      </c>
      <c r="AS444">
        <v>0</v>
      </c>
      <c r="AT444">
        <v>0</v>
      </c>
      <c r="AU444">
        <v>0</v>
      </c>
      <c r="AV444">
        <v>0</v>
      </c>
      <c r="AW444">
        <v>0</v>
      </c>
      <c r="AX444">
        <v>0</v>
      </c>
      <c r="AY444">
        <v>0</v>
      </c>
      <c r="AZ444">
        <v>0</v>
      </c>
      <c r="BA444">
        <v>0</v>
      </c>
      <c r="BB444">
        <v>0</v>
      </c>
      <c r="BC444">
        <v>0</v>
      </c>
      <c r="BD444">
        <v>0</v>
      </c>
      <c r="BE444">
        <v>0</v>
      </c>
      <c r="BF444">
        <v>0</v>
      </c>
      <c r="BG444">
        <v>0</v>
      </c>
      <c r="BH444">
        <v>1</v>
      </c>
      <c r="BI444">
        <v>2.2000000000000002</v>
      </c>
      <c r="BJ444">
        <v>4.2</v>
      </c>
      <c r="BK444">
        <v>4.5</v>
      </c>
      <c r="BL444" s="4">
        <v>113.47</v>
      </c>
      <c r="BM444" s="4">
        <v>17.02</v>
      </c>
      <c r="BN444" s="4">
        <v>130.49</v>
      </c>
      <c r="BO444" s="4">
        <v>130.49</v>
      </c>
      <c r="BQ444" t="s">
        <v>147</v>
      </c>
      <c r="BR444" t="s">
        <v>84</v>
      </c>
      <c r="BS444" s="3">
        <v>43804</v>
      </c>
      <c r="BT444" s="5">
        <v>0.41666666666666669</v>
      </c>
      <c r="BU444" t="s">
        <v>403</v>
      </c>
      <c r="BV444" t="s">
        <v>86</v>
      </c>
      <c r="BY444">
        <v>20921.189999999999</v>
      </c>
      <c r="BZ444" t="s">
        <v>27</v>
      </c>
      <c r="CA444" t="s">
        <v>99</v>
      </c>
      <c r="CC444" t="s">
        <v>80</v>
      </c>
      <c r="CD444">
        <v>6001</v>
      </c>
      <c r="CE444" t="s">
        <v>116</v>
      </c>
      <c r="CF444" s="3">
        <v>43805</v>
      </c>
      <c r="CI444">
        <v>1</v>
      </c>
      <c r="CJ444">
        <v>1</v>
      </c>
      <c r="CK444">
        <v>21</v>
      </c>
      <c r="CL444" t="s">
        <v>89</v>
      </c>
    </row>
    <row r="445" spans="1:90">
      <c r="A445" t="s">
        <v>72</v>
      </c>
      <c r="B445" t="s">
        <v>73</v>
      </c>
      <c r="C445" t="s">
        <v>74</v>
      </c>
      <c r="E445" t="str">
        <f>"FES1162726516"</f>
        <v>FES1162726516</v>
      </c>
      <c r="F445" s="3">
        <v>43803</v>
      </c>
      <c r="G445">
        <v>202006</v>
      </c>
      <c r="H445" t="s">
        <v>75</v>
      </c>
      <c r="I445" t="s">
        <v>76</v>
      </c>
      <c r="J445" t="s">
        <v>77</v>
      </c>
      <c r="K445" t="s">
        <v>78</v>
      </c>
      <c r="L445" t="s">
        <v>169</v>
      </c>
      <c r="M445" t="s">
        <v>170</v>
      </c>
      <c r="N445" t="s">
        <v>772</v>
      </c>
      <c r="O445" t="s">
        <v>82</v>
      </c>
      <c r="P445" t="str">
        <f>"2170719966                    "</f>
        <v xml:space="preserve">2170719966                    </v>
      </c>
      <c r="Q445">
        <v>0</v>
      </c>
      <c r="R445">
        <v>0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0</v>
      </c>
      <c r="Y445">
        <v>0</v>
      </c>
      <c r="Z445">
        <v>0</v>
      </c>
      <c r="AA445">
        <v>0</v>
      </c>
      <c r="AB445">
        <v>0</v>
      </c>
      <c r="AC445">
        <v>0</v>
      </c>
      <c r="AD445">
        <v>0</v>
      </c>
      <c r="AE445">
        <v>0</v>
      </c>
      <c r="AF445">
        <v>0</v>
      </c>
      <c r="AG445">
        <v>0</v>
      </c>
      <c r="AH445">
        <v>0</v>
      </c>
      <c r="AI445">
        <v>0</v>
      </c>
      <c r="AJ445">
        <v>0</v>
      </c>
      <c r="AK445">
        <v>0</v>
      </c>
      <c r="AL445">
        <v>0</v>
      </c>
      <c r="AM445">
        <v>6.71</v>
      </c>
      <c r="AN445">
        <v>0</v>
      </c>
      <c r="AO445">
        <v>0</v>
      </c>
      <c r="AP445">
        <v>0</v>
      </c>
      <c r="AQ445">
        <v>0</v>
      </c>
      <c r="AR445">
        <v>0</v>
      </c>
      <c r="AS445">
        <v>0</v>
      </c>
      <c r="AT445">
        <v>0</v>
      </c>
      <c r="AU445">
        <v>0</v>
      </c>
      <c r="AV445">
        <v>0</v>
      </c>
      <c r="AW445">
        <v>0</v>
      </c>
      <c r="AX445">
        <v>0</v>
      </c>
      <c r="AY445">
        <v>0</v>
      </c>
      <c r="AZ445">
        <v>0</v>
      </c>
      <c r="BA445">
        <v>0</v>
      </c>
      <c r="BB445">
        <v>0</v>
      </c>
      <c r="BC445">
        <v>0</v>
      </c>
      <c r="BD445">
        <v>0</v>
      </c>
      <c r="BE445">
        <v>0</v>
      </c>
      <c r="BF445">
        <v>0</v>
      </c>
      <c r="BG445">
        <v>0</v>
      </c>
      <c r="BH445">
        <v>1</v>
      </c>
      <c r="BI445">
        <v>2</v>
      </c>
      <c r="BJ445">
        <v>0.2</v>
      </c>
      <c r="BK445">
        <v>2</v>
      </c>
      <c r="BL445" s="4">
        <v>39.42</v>
      </c>
      <c r="BM445" s="4">
        <v>5.91</v>
      </c>
      <c r="BN445" s="4">
        <v>45.33</v>
      </c>
      <c r="BO445" s="4">
        <v>45.33</v>
      </c>
      <c r="BQ445" t="s">
        <v>147</v>
      </c>
      <c r="BR445" t="s">
        <v>84</v>
      </c>
      <c r="BS445" s="3">
        <v>43804</v>
      </c>
      <c r="BT445" s="5">
        <v>0.33333333333333331</v>
      </c>
      <c r="BU445" t="s">
        <v>789</v>
      </c>
      <c r="BV445" t="s">
        <v>86</v>
      </c>
      <c r="BY445">
        <v>1200</v>
      </c>
      <c r="CC445" t="s">
        <v>170</v>
      </c>
      <c r="CD445">
        <v>1459</v>
      </c>
      <c r="CE445" t="s">
        <v>88</v>
      </c>
      <c r="CF445" s="3">
        <v>43805</v>
      </c>
      <c r="CI445">
        <v>1</v>
      </c>
      <c r="CJ445">
        <v>1</v>
      </c>
      <c r="CK445">
        <v>22</v>
      </c>
      <c r="CL445" t="s">
        <v>89</v>
      </c>
    </row>
    <row r="446" spans="1:90">
      <c r="A446" t="s">
        <v>72</v>
      </c>
      <c r="B446" t="s">
        <v>73</v>
      </c>
      <c r="C446" t="s">
        <v>74</v>
      </c>
      <c r="E446" t="str">
        <f>"FES1162726435"</f>
        <v>FES1162726435</v>
      </c>
      <c r="F446" s="3">
        <v>43803</v>
      </c>
      <c r="G446">
        <v>202006</v>
      </c>
      <c r="H446" t="s">
        <v>75</v>
      </c>
      <c r="I446" t="s">
        <v>76</v>
      </c>
      <c r="J446" t="s">
        <v>77</v>
      </c>
      <c r="K446" t="s">
        <v>78</v>
      </c>
      <c r="L446" t="s">
        <v>90</v>
      </c>
      <c r="M446" t="s">
        <v>91</v>
      </c>
      <c r="N446" t="s">
        <v>927</v>
      </c>
      <c r="O446" t="s">
        <v>82</v>
      </c>
      <c r="P446" t="str">
        <f>"2170719734                    "</f>
        <v xml:space="preserve">2170719734                    </v>
      </c>
      <c r="Q446">
        <v>0</v>
      </c>
      <c r="R446">
        <v>0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0</v>
      </c>
      <c r="AA446">
        <v>0</v>
      </c>
      <c r="AB446">
        <v>0</v>
      </c>
      <c r="AC446">
        <v>0</v>
      </c>
      <c r="AD446">
        <v>0</v>
      </c>
      <c r="AE446">
        <v>0</v>
      </c>
      <c r="AF446">
        <v>0</v>
      </c>
      <c r="AG446">
        <v>0</v>
      </c>
      <c r="AH446">
        <v>0</v>
      </c>
      <c r="AI446">
        <v>0</v>
      </c>
      <c r="AJ446">
        <v>0</v>
      </c>
      <c r="AK446">
        <v>0</v>
      </c>
      <c r="AL446">
        <v>0</v>
      </c>
      <c r="AM446">
        <v>45.04</v>
      </c>
      <c r="AN446">
        <v>0</v>
      </c>
      <c r="AO446">
        <v>0</v>
      </c>
      <c r="AP446">
        <v>0</v>
      </c>
      <c r="AQ446">
        <v>0</v>
      </c>
      <c r="AR446">
        <v>0</v>
      </c>
      <c r="AS446">
        <v>0</v>
      </c>
      <c r="AT446">
        <v>0</v>
      </c>
      <c r="AU446">
        <v>0</v>
      </c>
      <c r="AV446">
        <v>0</v>
      </c>
      <c r="AW446">
        <v>0</v>
      </c>
      <c r="AX446">
        <v>0</v>
      </c>
      <c r="AY446">
        <v>0</v>
      </c>
      <c r="AZ446">
        <v>0</v>
      </c>
      <c r="BA446">
        <v>0</v>
      </c>
      <c r="BB446">
        <v>0</v>
      </c>
      <c r="BC446">
        <v>0</v>
      </c>
      <c r="BD446">
        <v>0</v>
      </c>
      <c r="BE446">
        <v>0</v>
      </c>
      <c r="BF446">
        <v>0</v>
      </c>
      <c r="BG446">
        <v>0</v>
      </c>
      <c r="BH446">
        <v>1</v>
      </c>
      <c r="BI446">
        <v>7.6</v>
      </c>
      <c r="BJ446">
        <v>10.1</v>
      </c>
      <c r="BK446">
        <v>10.5</v>
      </c>
      <c r="BL446" s="4">
        <v>264.73</v>
      </c>
      <c r="BM446" s="4">
        <v>39.71</v>
      </c>
      <c r="BN446" s="4">
        <v>304.44</v>
      </c>
      <c r="BO446" s="4">
        <v>304.44</v>
      </c>
      <c r="BQ446" t="s">
        <v>93</v>
      </c>
      <c r="BR446" t="s">
        <v>84</v>
      </c>
      <c r="BS446" s="3">
        <v>43804</v>
      </c>
      <c r="BT446" s="5">
        <v>0.4375</v>
      </c>
      <c r="BU446" t="s">
        <v>928</v>
      </c>
      <c r="BV446" t="s">
        <v>86</v>
      </c>
      <c r="BY446">
        <v>50621.11</v>
      </c>
      <c r="CA446" t="s">
        <v>929</v>
      </c>
      <c r="CC446" t="s">
        <v>91</v>
      </c>
      <c r="CD446">
        <v>7800</v>
      </c>
      <c r="CE446" t="s">
        <v>116</v>
      </c>
      <c r="CF446" s="3">
        <v>43805</v>
      </c>
      <c r="CI446">
        <v>1</v>
      </c>
      <c r="CJ446">
        <v>1</v>
      </c>
      <c r="CK446">
        <v>21</v>
      </c>
      <c r="CL446" t="s">
        <v>89</v>
      </c>
    </row>
    <row r="447" spans="1:90">
      <c r="A447" t="s">
        <v>72</v>
      </c>
      <c r="B447" t="s">
        <v>73</v>
      </c>
      <c r="C447" t="s">
        <v>74</v>
      </c>
      <c r="E447" t="str">
        <f>"FES1162726710"</f>
        <v>FES1162726710</v>
      </c>
      <c r="F447" s="3">
        <v>43803</v>
      </c>
      <c r="G447">
        <v>202006</v>
      </c>
      <c r="H447" t="s">
        <v>75</v>
      </c>
      <c r="I447" t="s">
        <v>76</v>
      </c>
      <c r="J447" t="s">
        <v>77</v>
      </c>
      <c r="K447" t="s">
        <v>78</v>
      </c>
      <c r="L447" t="s">
        <v>308</v>
      </c>
      <c r="M447" t="s">
        <v>308</v>
      </c>
      <c r="N447" t="s">
        <v>755</v>
      </c>
      <c r="O447" t="s">
        <v>82</v>
      </c>
      <c r="P447" t="str">
        <f>"2170720132                    "</f>
        <v xml:space="preserve">2170720132                    </v>
      </c>
      <c r="Q447">
        <v>0</v>
      </c>
      <c r="R447">
        <v>0</v>
      </c>
      <c r="S447">
        <v>0</v>
      </c>
      <c r="T447">
        <v>0</v>
      </c>
      <c r="U447">
        <v>0</v>
      </c>
      <c r="V447">
        <v>0</v>
      </c>
      <c r="W447">
        <v>0</v>
      </c>
      <c r="X447">
        <v>0</v>
      </c>
      <c r="Y447">
        <v>0</v>
      </c>
      <c r="Z447">
        <v>0</v>
      </c>
      <c r="AA447">
        <v>0</v>
      </c>
      <c r="AB447">
        <v>0</v>
      </c>
      <c r="AC447">
        <v>0</v>
      </c>
      <c r="AD447">
        <v>0</v>
      </c>
      <c r="AE447">
        <v>0</v>
      </c>
      <c r="AF447">
        <v>0</v>
      </c>
      <c r="AG447">
        <v>0</v>
      </c>
      <c r="AH447">
        <v>0</v>
      </c>
      <c r="AI447">
        <v>0</v>
      </c>
      <c r="AJ447">
        <v>0</v>
      </c>
      <c r="AK447">
        <v>0</v>
      </c>
      <c r="AL447">
        <v>0</v>
      </c>
      <c r="AM447">
        <v>16.63</v>
      </c>
      <c r="AN447">
        <v>0</v>
      </c>
      <c r="AO447">
        <v>0</v>
      </c>
      <c r="AP447">
        <v>0</v>
      </c>
      <c r="AQ447">
        <v>0</v>
      </c>
      <c r="AR447">
        <v>0</v>
      </c>
      <c r="AS447">
        <v>0</v>
      </c>
      <c r="AT447">
        <v>0</v>
      </c>
      <c r="AU447">
        <v>0</v>
      </c>
      <c r="AV447">
        <v>0</v>
      </c>
      <c r="AW447">
        <v>0</v>
      </c>
      <c r="AX447">
        <v>0</v>
      </c>
      <c r="AY447">
        <v>0</v>
      </c>
      <c r="AZ447">
        <v>0</v>
      </c>
      <c r="BA447">
        <v>0</v>
      </c>
      <c r="BB447">
        <v>0</v>
      </c>
      <c r="BC447">
        <v>0</v>
      </c>
      <c r="BD447">
        <v>0</v>
      </c>
      <c r="BE447">
        <v>0</v>
      </c>
      <c r="BF447">
        <v>0</v>
      </c>
      <c r="BG447">
        <v>0</v>
      </c>
      <c r="BH447">
        <v>1</v>
      </c>
      <c r="BI447">
        <v>1.4</v>
      </c>
      <c r="BJ447">
        <v>1.8</v>
      </c>
      <c r="BK447">
        <v>2</v>
      </c>
      <c r="BL447" s="4">
        <v>97.75</v>
      </c>
      <c r="BM447" s="4">
        <v>14.66</v>
      </c>
      <c r="BN447" s="4">
        <v>112.41</v>
      </c>
      <c r="BO447" s="4">
        <v>112.41</v>
      </c>
      <c r="BQ447" t="s">
        <v>147</v>
      </c>
      <c r="BR447" t="s">
        <v>84</v>
      </c>
      <c r="BS447" s="3">
        <v>43804</v>
      </c>
      <c r="BT447" s="5">
        <v>0.46666666666666662</v>
      </c>
      <c r="BU447" t="s">
        <v>893</v>
      </c>
      <c r="BV447" t="s">
        <v>86</v>
      </c>
      <c r="BY447">
        <v>8941.6200000000008</v>
      </c>
      <c r="CA447" t="s">
        <v>311</v>
      </c>
      <c r="CC447" t="s">
        <v>308</v>
      </c>
      <c r="CD447">
        <v>7646</v>
      </c>
      <c r="CE447" t="s">
        <v>116</v>
      </c>
      <c r="CF447" s="3">
        <v>43805</v>
      </c>
      <c r="CI447">
        <v>1</v>
      </c>
      <c r="CJ447">
        <v>1</v>
      </c>
      <c r="CK447">
        <v>23</v>
      </c>
      <c r="CL447" t="s">
        <v>89</v>
      </c>
    </row>
    <row r="448" spans="1:90">
      <c r="A448" t="s">
        <v>72</v>
      </c>
      <c r="B448" t="s">
        <v>73</v>
      </c>
      <c r="C448" t="s">
        <v>74</v>
      </c>
      <c r="E448" t="str">
        <f>"FES1162726650"</f>
        <v>FES1162726650</v>
      </c>
      <c r="F448" s="3">
        <v>43803</v>
      </c>
      <c r="G448">
        <v>202006</v>
      </c>
      <c r="H448" t="s">
        <v>75</v>
      </c>
      <c r="I448" t="s">
        <v>76</v>
      </c>
      <c r="J448" t="s">
        <v>77</v>
      </c>
      <c r="K448" t="s">
        <v>78</v>
      </c>
      <c r="L448" t="s">
        <v>446</v>
      </c>
      <c r="M448" t="s">
        <v>447</v>
      </c>
      <c r="N448" t="s">
        <v>930</v>
      </c>
      <c r="O448" t="s">
        <v>82</v>
      </c>
      <c r="P448" t="str">
        <f>"2170713312                    "</f>
        <v xml:space="preserve">2170713312                    </v>
      </c>
      <c r="Q448">
        <v>0</v>
      </c>
      <c r="R448">
        <v>0</v>
      </c>
      <c r="S448">
        <v>0</v>
      </c>
      <c r="T448">
        <v>0</v>
      </c>
      <c r="U448">
        <v>0</v>
      </c>
      <c r="V448">
        <v>0</v>
      </c>
      <c r="W448">
        <v>0</v>
      </c>
      <c r="X448">
        <v>0</v>
      </c>
      <c r="Y448">
        <v>0</v>
      </c>
      <c r="Z448">
        <v>0</v>
      </c>
      <c r="AA448">
        <v>0</v>
      </c>
      <c r="AB448">
        <v>0</v>
      </c>
      <c r="AC448">
        <v>0</v>
      </c>
      <c r="AD448">
        <v>0</v>
      </c>
      <c r="AE448">
        <v>0</v>
      </c>
      <c r="AF448">
        <v>0</v>
      </c>
      <c r="AG448">
        <v>0</v>
      </c>
      <c r="AH448">
        <v>0</v>
      </c>
      <c r="AI448">
        <v>0</v>
      </c>
      <c r="AJ448">
        <v>0</v>
      </c>
      <c r="AK448">
        <v>0</v>
      </c>
      <c r="AL448">
        <v>0</v>
      </c>
      <c r="AM448">
        <v>10.73</v>
      </c>
      <c r="AN448">
        <v>0</v>
      </c>
      <c r="AO448">
        <v>0</v>
      </c>
      <c r="AP448">
        <v>0</v>
      </c>
      <c r="AQ448">
        <v>0</v>
      </c>
      <c r="AR448">
        <v>0</v>
      </c>
      <c r="AS448">
        <v>0</v>
      </c>
      <c r="AT448">
        <v>0</v>
      </c>
      <c r="AU448">
        <v>0</v>
      </c>
      <c r="AV448">
        <v>0</v>
      </c>
      <c r="AW448">
        <v>0</v>
      </c>
      <c r="AX448">
        <v>0</v>
      </c>
      <c r="AY448">
        <v>0</v>
      </c>
      <c r="AZ448">
        <v>0</v>
      </c>
      <c r="BA448">
        <v>0</v>
      </c>
      <c r="BB448">
        <v>0</v>
      </c>
      <c r="BC448">
        <v>0</v>
      </c>
      <c r="BD448">
        <v>0</v>
      </c>
      <c r="BE448">
        <v>0</v>
      </c>
      <c r="BF448">
        <v>0</v>
      </c>
      <c r="BG448">
        <v>0</v>
      </c>
      <c r="BH448">
        <v>1</v>
      </c>
      <c r="BI448">
        <v>2.4</v>
      </c>
      <c r="BJ448">
        <v>2.1</v>
      </c>
      <c r="BK448">
        <v>2.5</v>
      </c>
      <c r="BL448" s="4">
        <v>63.06</v>
      </c>
      <c r="BM448" s="4">
        <v>9.4600000000000009</v>
      </c>
      <c r="BN448" s="4">
        <v>72.52</v>
      </c>
      <c r="BO448" s="4">
        <v>72.52</v>
      </c>
      <c r="BQ448" t="s">
        <v>931</v>
      </c>
      <c r="BR448" t="s">
        <v>84</v>
      </c>
      <c r="BS448" s="3">
        <v>43804</v>
      </c>
      <c r="BT448" s="5">
        <v>0.39583333333333331</v>
      </c>
      <c r="BU448" t="s">
        <v>830</v>
      </c>
      <c r="BV448" t="s">
        <v>86</v>
      </c>
      <c r="BY448">
        <v>10681.34</v>
      </c>
      <c r="CA448" t="s">
        <v>212</v>
      </c>
      <c r="CC448" t="s">
        <v>447</v>
      </c>
      <c r="CD448">
        <v>4133</v>
      </c>
      <c r="CE448" t="s">
        <v>116</v>
      </c>
      <c r="CF448" s="3">
        <v>43805</v>
      </c>
      <c r="CI448">
        <v>1</v>
      </c>
      <c r="CJ448">
        <v>1</v>
      </c>
      <c r="CK448">
        <v>21</v>
      </c>
      <c r="CL448" t="s">
        <v>89</v>
      </c>
    </row>
    <row r="449" spans="1:90">
      <c r="A449" t="s">
        <v>72</v>
      </c>
      <c r="B449" t="s">
        <v>73</v>
      </c>
      <c r="C449" t="s">
        <v>74</v>
      </c>
      <c r="E449" t="str">
        <f>"FES1162726728"</f>
        <v>FES1162726728</v>
      </c>
      <c r="F449" s="3">
        <v>43803</v>
      </c>
      <c r="G449">
        <v>202006</v>
      </c>
      <c r="H449" t="s">
        <v>75</v>
      </c>
      <c r="I449" t="s">
        <v>76</v>
      </c>
      <c r="J449" t="s">
        <v>77</v>
      </c>
      <c r="K449" t="s">
        <v>78</v>
      </c>
      <c r="L449" t="s">
        <v>198</v>
      </c>
      <c r="M449" t="s">
        <v>199</v>
      </c>
      <c r="N449" t="s">
        <v>297</v>
      </c>
      <c r="O449" t="s">
        <v>82</v>
      </c>
      <c r="P449" t="str">
        <f>"2170720160                    "</f>
        <v xml:space="preserve">2170720160                    </v>
      </c>
      <c r="Q449">
        <v>0</v>
      </c>
      <c r="R449">
        <v>0</v>
      </c>
      <c r="S449">
        <v>0</v>
      </c>
      <c r="T449">
        <v>0</v>
      </c>
      <c r="U449">
        <v>0</v>
      </c>
      <c r="V449">
        <v>0</v>
      </c>
      <c r="W449">
        <v>0</v>
      </c>
      <c r="X449">
        <v>0</v>
      </c>
      <c r="Y449">
        <v>0</v>
      </c>
      <c r="Z449">
        <v>0</v>
      </c>
      <c r="AA449">
        <v>0</v>
      </c>
      <c r="AB449">
        <v>0</v>
      </c>
      <c r="AC449">
        <v>0</v>
      </c>
      <c r="AD449">
        <v>0</v>
      </c>
      <c r="AE449">
        <v>0</v>
      </c>
      <c r="AF449">
        <v>0</v>
      </c>
      <c r="AG449">
        <v>0</v>
      </c>
      <c r="AH449">
        <v>0</v>
      </c>
      <c r="AI449">
        <v>0</v>
      </c>
      <c r="AJ449">
        <v>0</v>
      </c>
      <c r="AK449">
        <v>0</v>
      </c>
      <c r="AL449">
        <v>0</v>
      </c>
      <c r="AM449">
        <v>21.45</v>
      </c>
      <c r="AN449">
        <v>0</v>
      </c>
      <c r="AO449">
        <v>0</v>
      </c>
      <c r="AP449">
        <v>0</v>
      </c>
      <c r="AQ449">
        <v>0</v>
      </c>
      <c r="AR449">
        <v>0</v>
      </c>
      <c r="AS449">
        <v>0</v>
      </c>
      <c r="AT449">
        <v>0</v>
      </c>
      <c r="AU449">
        <v>0</v>
      </c>
      <c r="AV449">
        <v>0</v>
      </c>
      <c r="AW449">
        <v>0</v>
      </c>
      <c r="AX449">
        <v>0</v>
      </c>
      <c r="AY449">
        <v>0</v>
      </c>
      <c r="AZ449">
        <v>0</v>
      </c>
      <c r="BA449">
        <v>0</v>
      </c>
      <c r="BB449">
        <v>0</v>
      </c>
      <c r="BC449">
        <v>0</v>
      </c>
      <c r="BD449">
        <v>0</v>
      </c>
      <c r="BE449">
        <v>0</v>
      </c>
      <c r="BF449">
        <v>0</v>
      </c>
      <c r="BG449">
        <v>0</v>
      </c>
      <c r="BH449">
        <v>1</v>
      </c>
      <c r="BI449">
        <v>5</v>
      </c>
      <c r="BJ449">
        <v>1.5</v>
      </c>
      <c r="BK449">
        <v>5</v>
      </c>
      <c r="BL449" s="4">
        <v>126.08</v>
      </c>
      <c r="BM449" s="4">
        <v>18.91</v>
      </c>
      <c r="BN449" s="4">
        <v>144.99</v>
      </c>
      <c r="BO449" s="4">
        <v>144.99</v>
      </c>
      <c r="BQ449" t="s">
        <v>172</v>
      </c>
      <c r="BR449" t="s">
        <v>84</v>
      </c>
      <c r="BS449" s="3">
        <v>43804</v>
      </c>
      <c r="BT449" s="5">
        <v>0.34375</v>
      </c>
      <c r="BU449" t="s">
        <v>542</v>
      </c>
      <c r="BV449" t="s">
        <v>86</v>
      </c>
      <c r="BY449">
        <v>7475.24</v>
      </c>
      <c r="BZ449" t="s">
        <v>27</v>
      </c>
      <c r="CA449" t="s">
        <v>299</v>
      </c>
      <c r="CC449" t="s">
        <v>199</v>
      </c>
      <c r="CD449">
        <v>4000</v>
      </c>
      <c r="CE449" t="s">
        <v>96</v>
      </c>
      <c r="CF449" s="3">
        <v>43808</v>
      </c>
      <c r="CI449">
        <v>1</v>
      </c>
      <c r="CJ449">
        <v>1</v>
      </c>
      <c r="CK449">
        <v>21</v>
      </c>
      <c r="CL449" t="s">
        <v>89</v>
      </c>
    </row>
    <row r="450" spans="1:90">
      <c r="A450" t="s">
        <v>72</v>
      </c>
      <c r="B450" t="s">
        <v>73</v>
      </c>
      <c r="C450" t="s">
        <v>74</v>
      </c>
      <c r="E450" t="str">
        <f>"FES1162726613"</f>
        <v>FES1162726613</v>
      </c>
      <c r="F450" s="3">
        <v>43803</v>
      </c>
      <c r="G450">
        <v>202006</v>
      </c>
      <c r="H450" t="s">
        <v>75</v>
      </c>
      <c r="I450" t="s">
        <v>76</v>
      </c>
      <c r="J450" t="s">
        <v>77</v>
      </c>
      <c r="K450" t="s">
        <v>78</v>
      </c>
      <c r="L450" t="s">
        <v>221</v>
      </c>
      <c r="M450" t="s">
        <v>222</v>
      </c>
      <c r="N450" t="s">
        <v>236</v>
      </c>
      <c r="O450" t="s">
        <v>82</v>
      </c>
      <c r="P450" t="str">
        <f>"21707100089                   "</f>
        <v xml:space="preserve">21707100089                   </v>
      </c>
      <c r="Q450">
        <v>0</v>
      </c>
      <c r="R450">
        <v>0</v>
      </c>
      <c r="S450">
        <v>0</v>
      </c>
      <c r="T450">
        <v>0</v>
      </c>
      <c r="U450">
        <v>0</v>
      </c>
      <c r="V450">
        <v>0</v>
      </c>
      <c r="W450">
        <v>0</v>
      </c>
      <c r="X450">
        <v>0</v>
      </c>
      <c r="Y450">
        <v>0</v>
      </c>
      <c r="Z450">
        <v>0</v>
      </c>
      <c r="AA450">
        <v>0</v>
      </c>
      <c r="AB450">
        <v>0</v>
      </c>
      <c r="AC450">
        <v>0</v>
      </c>
      <c r="AD450">
        <v>0</v>
      </c>
      <c r="AE450">
        <v>0</v>
      </c>
      <c r="AF450">
        <v>0</v>
      </c>
      <c r="AG450">
        <v>0</v>
      </c>
      <c r="AH450">
        <v>0</v>
      </c>
      <c r="AI450">
        <v>0</v>
      </c>
      <c r="AJ450">
        <v>0</v>
      </c>
      <c r="AK450">
        <v>0</v>
      </c>
      <c r="AL450">
        <v>0</v>
      </c>
      <c r="AM450">
        <v>8.58</v>
      </c>
      <c r="AN450">
        <v>0</v>
      </c>
      <c r="AO450">
        <v>0</v>
      </c>
      <c r="AP450">
        <v>0</v>
      </c>
      <c r="AQ450">
        <v>0</v>
      </c>
      <c r="AR450">
        <v>0</v>
      </c>
      <c r="AS450">
        <v>0</v>
      </c>
      <c r="AT450">
        <v>0</v>
      </c>
      <c r="AU450">
        <v>0</v>
      </c>
      <c r="AV450">
        <v>0</v>
      </c>
      <c r="AW450">
        <v>0</v>
      </c>
      <c r="AX450">
        <v>0</v>
      </c>
      <c r="AY450">
        <v>0</v>
      </c>
      <c r="AZ450">
        <v>0</v>
      </c>
      <c r="BA450">
        <v>0</v>
      </c>
      <c r="BB450">
        <v>0</v>
      </c>
      <c r="BC450">
        <v>0</v>
      </c>
      <c r="BD450">
        <v>0</v>
      </c>
      <c r="BE450">
        <v>0</v>
      </c>
      <c r="BF450">
        <v>0</v>
      </c>
      <c r="BG450">
        <v>0</v>
      </c>
      <c r="BH450">
        <v>1</v>
      </c>
      <c r="BI450">
        <v>1.9</v>
      </c>
      <c r="BJ450">
        <v>1.1000000000000001</v>
      </c>
      <c r="BK450">
        <v>2</v>
      </c>
      <c r="BL450" s="4">
        <v>50.45</v>
      </c>
      <c r="BM450" s="4">
        <v>7.57</v>
      </c>
      <c r="BN450" s="4">
        <v>58.02</v>
      </c>
      <c r="BO450" s="4">
        <v>58.02</v>
      </c>
      <c r="BQ450" t="s">
        <v>93</v>
      </c>
      <c r="BR450" t="s">
        <v>84</v>
      </c>
      <c r="BS450" s="3">
        <v>43804</v>
      </c>
      <c r="BT450" s="5">
        <v>0.39930555555555558</v>
      </c>
      <c r="BU450" t="s">
        <v>932</v>
      </c>
      <c r="BV450" t="s">
        <v>86</v>
      </c>
      <c r="BY450">
        <v>5283.4</v>
      </c>
      <c r="CA450" t="s">
        <v>225</v>
      </c>
      <c r="CC450" t="s">
        <v>222</v>
      </c>
      <c r="CD450">
        <v>3212</v>
      </c>
      <c r="CE450" t="s">
        <v>96</v>
      </c>
      <c r="CF450" s="3">
        <v>43805</v>
      </c>
      <c r="CI450">
        <v>1</v>
      </c>
      <c r="CJ450">
        <v>1</v>
      </c>
      <c r="CK450">
        <v>21</v>
      </c>
      <c r="CL450" t="s">
        <v>89</v>
      </c>
    </row>
    <row r="451" spans="1:90">
      <c r="A451" t="s">
        <v>72</v>
      </c>
      <c r="B451" t="s">
        <v>73</v>
      </c>
      <c r="C451" t="s">
        <v>74</v>
      </c>
      <c r="E451" t="str">
        <f>"FES1162726734"</f>
        <v>FES1162726734</v>
      </c>
      <c r="F451" s="3">
        <v>43803</v>
      </c>
      <c r="G451">
        <v>202006</v>
      </c>
      <c r="H451" t="s">
        <v>75</v>
      </c>
      <c r="I451" t="s">
        <v>76</v>
      </c>
      <c r="J451" t="s">
        <v>77</v>
      </c>
      <c r="K451" t="s">
        <v>78</v>
      </c>
      <c r="L451" t="s">
        <v>90</v>
      </c>
      <c r="M451" t="s">
        <v>91</v>
      </c>
      <c r="N451" t="s">
        <v>389</v>
      </c>
      <c r="O451" t="s">
        <v>82</v>
      </c>
      <c r="P451" t="str">
        <f>"2170720164                    "</f>
        <v xml:space="preserve">2170720164                    </v>
      </c>
      <c r="Q451">
        <v>0</v>
      </c>
      <c r="R451">
        <v>0</v>
      </c>
      <c r="S451">
        <v>0</v>
      </c>
      <c r="T451">
        <v>0</v>
      </c>
      <c r="U451">
        <v>0</v>
      </c>
      <c r="V451">
        <v>0</v>
      </c>
      <c r="W451">
        <v>0</v>
      </c>
      <c r="X451">
        <v>0</v>
      </c>
      <c r="Y451">
        <v>0</v>
      </c>
      <c r="Z451">
        <v>0</v>
      </c>
      <c r="AA451">
        <v>0</v>
      </c>
      <c r="AB451">
        <v>0</v>
      </c>
      <c r="AC451">
        <v>0</v>
      </c>
      <c r="AD451">
        <v>0</v>
      </c>
      <c r="AE451">
        <v>0</v>
      </c>
      <c r="AF451">
        <v>0</v>
      </c>
      <c r="AG451">
        <v>0</v>
      </c>
      <c r="AH451">
        <v>0</v>
      </c>
      <c r="AI451">
        <v>0</v>
      </c>
      <c r="AJ451">
        <v>0</v>
      </c>
      <c r="AK451">
        <v>0</v>
      </c>
      <c r="AL451">
        <v>0</v>
      </c>
      <c r="AM451">
        <v>8.58</v>
      </c>
      <c r="AN451">
        <v>0</v>
      </c>
      <c r="AO451">
        <v>0</v>
      </c>
      <c r="AP451">
        <v>0</v>
      </c>
      <c r="AQ451">
        <v>0</v>
      </c>
      <c r="AR451">
        <v>0</v>
      </c>
      <c r="AS451">
        <v>0</v>
      </c>
      <c r="AT451">
        <v>0</v>
      </c>
      <c r="AU451">
        <v>0</v>
      </c>
      <c r="AV451">
        <v>0</v>
      </c>
      <c r="AW451">
        <v>0</v>
      </c>
      <c r="AX451">
        <v>0</v>
      </c>
      <c r="AY451">
        <v>0</v>
      </c>
      <c r="AZ451">
        <v>0</v>
      </c>
      <c r="BA451">
        <v>0</v>
      </c>
      <c r="BB451">
        <v>0</v>
      </c>
      <c r="BC451">
        <v>0</v>
      </c>
      <c r="BD451">
        <v>0</v>
      </c>
      <c r="BE451">
        <v>0</v>
      </c>
      <c r="BF451">
        <v>0</v>
      </c>
      <c r="BG451">
        <v>0</v>
      </c>
      <c r="BH451">
        <v>1</v>
      </c>
      <c r="BI451">
        <v>1</v>
      </c>
      <c r="BJ451">
        <v>0.2</v>
      </c>
      <c r="BK451">
        <v>1</v>
      </c>
      <c r="BL451" s="4">
        <v>50.45</v>
      </c>
      <c r="BM451" s="4">
        <v>7.57</v>
      </c>
      <c r="BN451" s="4">
        <v>58.02</v>
      </c>
      <c r="BO451" s="4">
        <v>58.02</v>
      </c>
      <c r="BQ451" t="s">
        <v>390</v>
      </c>
      <c r="BR451" t="s">
        <v>84</v>
      </c>
      <c r="BS451" s="3">
        <v>43804</v>
      </c>
      <c r="BT451" s="5">
        <v>0.31666666666666665</v>
      </c>
      <c r="BU451" t="s">
        <v>933</v>
      </c>
      <c r="BV451" t="s">
        <v>86</v>
      </c>
      <c r="BY451">
        <v>1200</v>
      </c>
      <c r="CA451" t="s">
        <v>112</v>
      </c>
      <c r="CC451" t="s">
        <v>91</v>
      </c>
      <c r="CD451">
        <v>7405</v>
      </c>
      <c r="CE451" t="s">
        <v>88</v>
      </c>
      <c r="CF451" s="3">
        <v>43805</v>
      </c>
      <c r="CI451">
        <v>1</v>
      </c>
      <c r="CJ451">
        <v>1</v>
      </c>
      <c r="CK451">
        <v>21</v>
      </c>
      <c r="CL451" t="s">
        <v>89</v>
      </c>
    </row>
    <row r="452" spans="1:90">
      <c r="A452" t="s">
        <v>72</v>
      </c>
      <c r="B452" t="s">
        <v>73</v>
      </c>
      <c r="C452" t="s">
        <v>74</v>
      </c>
      <c r="E452" t="str">
        <f>"FES1162726668"</f>
        <v>FES1162726668</v>
      </c>
      <c r="F452" s="3">
        <v>43803</v>
      </c>
      <c r="G452">
        <v>202006</v>
      </c>
      <c r="H452" t="s">
        <v>75</v>
      </c>
      <c r="I452" t="s">
        <v>76</v>
      </c>
      <c r="J452" t="s">
        <v>77</v>
      </c>
      <c r="K452" t="s">
        <v>78</v>
      </c>
      <c r="L452" t="s">
        <v>79</v>
      </c>
      <c r="M452" t="s">
        <v>80</v>
      </c>
      <c r="N452" t="s">
        <v>934</v>
      </c>
      <c r="O452" t="s">
        <v>82</v>
      </c>
      <c r="P452" t="str">
        <f>"2170717921                    "</f>
        <v xml:space="preserve">2170717921                    </v>
      </c>
      <c r="Q452">
        <v>0</v>
      </c>
      <c r="R452">
        <v>0</v>
      </c>
      <c r="S452">
        <v>0</v>
      </c>
      <c r="T452">
        <v>0</v>
      </c>
      <c r="U452">
        <v>0</v>
      </c>
      <c r="V452">
        <v>0</v>
      </c>
      <c r="W452">
        <v>0</v>
      </c>
      <c r="X452">
        <v>0</v>
      </c>
      <c r="Y452">
        <v>0</v>
      </c>
      <c r="Z452">
        <v>0</v>
      </c>
      <c r="AA452">
        <v>0</v>
      </c>
      <c r="AB452">
        <v>0</v>
      </c>
      <c r="AC452">
        <v>0</v>
      </c>
      <c r="AD452">
        <v>0</v>
      </c>
      <c r="AE452">
        <v>0</v>
      </c>
      <c r="AF452">
        <v>0</v>
      </c>
      <c r="AG452">
        <v>0</v>
      </c>
      <c r="AH452">
        <v>0</v>
      </c>
      <c r="AI452">
        <v>0</v>
      </c>
      <c r="AJ452">
        <v>0</v>
      </c>
      <c r="AK452">
        <v>0</v>
      </c>
      <c r="AL452">
        <v>0</v>
      </c>
      <c r="AM452">
        <v>8.58</v>
      </c>
      <c r="AN452">
        <v>0</v>
      </c>
      <c r="AO452">
        <v>0</v>
      </c>
      <c r="AP452">
        <v>0</v>
      </c>
      <c r="AQ452">
        <v>0</v>
      </c>
      <c r="AR452">
        <v>0</v>
      </c>
      <c r="AS452">
        <v>0</v>
      </c>
      <c r="AT452">
        <v>0</v>
      </c>
      <c r="AU452">
        <v>0</v>
      </c>
      <c r="AV452">
        <v>0</v>
      </c>
      <c r="AW452">
        <v>0</v>
      </c>
      <c r="AX452">
        <v>0</v>
      </c>
      <c r="AY452">
        <v>0</v>
      </c>
      <c r="AZ452">
        <v>0</v>
      </c>
      <c r="BA452">
        <v>0</v>
      </c>
      <c r="BB452">
        <v>0</v>
      </c>
      <c r="BC452">
        <v>0</v>
      </c>
      <c r="BD452">
        <v>0</v>
      </c>
      <c r="BE452">
        <v>0</v>
      </c>
      <c r="BF452">
        <v>0</v>
      </c>
      <c r="BG452">
        <v>0</v>
      </c>
      <c r="BH452">
        <v>1</v>
      </c>
      <c r="BI452">
        <v>1</v>
      </c>
      <c r="BJ452">
        <v>0.2</v>
      </c>
      <c r="BK452">
        <v>1</v>
      </c>
      <c r="BL452" s="4">
        <v>50.45</v>
      </c>
      <c r="BM452" s="4">
        <v>7.57</v>
      </c>
      <c r="BN452" s="4">
        <v>58.02</v>
      </c>
      <c r="BO452" s="4">
        <v>58.02</v>
      </c>
      <c r="BQ452" t="s">
        <v>93</v>
      </c>
      <c r="BR452" t="s">
        <v>84</v>
      </c>
      <c r="BS452" s="3">
        <v>43804</v>
      </c>
      <c r="BT452" s="5">
        <v>0.35625000000000001</v>
      </c>
      <c r="BU452" t="s">
        <v>935</v>
      </c>
      <c r="BV452" t="s">
        <v>86</v>
      </c>
      <c r="BY452">
        <v>1200</v>
      </c>
      <c r="CA452" t="s">
        <v>131</v>
      </c>
      <c r="CC452" t="s">
        <v>80</v>
      </c>
      <c r="CD452">
        <v>6001</v>
      </c>
      <c r="CE452" t="s">
        <v>88</v>
      </c>
      <c r="CF452" s="3">
        <v>43805</v>
      </c>
      <c r="CI452">
        <v>1</v>
      </c>
      <c r="CJ452">
        <v>1</v>
      </c>
      <c r="CK452">
        <v>21</v>
      </c>
      <c r="CL452" t="s">
        <v>89</v>
      </c>
    </row>
    <row r="453" spans="1:90">
      <c r="A453" t="s">
        <v>72</v>
      </c>
      <c r="B453" t="s">
        <v>73</v>
      </c>
      <c r="C453" t="s">
        <v>74</v>
      </c>
      <c r="E453" t="str">
        <f>"FES1162726579"</f>
        <v>FES1162726579</v>
      </c>
      <c r="F453" s="3">
        <v>43803</v>
      </c>
      <c r="G453">
        <v>202006</v>
      </c>
      <c r="H453" t="s">
        <v>75</v>
      </c>
      <c r="I453" t="s">
        <v>76</v>
      </c>
      <c r="J453" t="s">
        <v>77</v>
      </c>
      <c r="K453" t="s">
        <v>78</v>
      </c>
      <c r="L453" t="s">
        <v>186</v>
      </c>
      <c r="M453" t="s">
        <v>187</v>
      </c>
      <c r="N453" t="s">
        <v>936</v>
      </c>
      <c r="O453" t="s">
        <v>82</v>
      </c>
      <c r="P453" t="str">
        <f>"2170720049                    "</f>
        <v xml:space="preserve">2170720049                    </v>
      </c>
      <c r="Q453">
        <v>0</v>
      </c>
      <c r="R453">
        <v>0</v>
      </c>
      <c r="S453">
        <v>0</v>
      </c>
      <c r="T453">
        <v>0</v>
      </c>
      <c r="U453">
        <v>0</v>
      </c>
      <c r="V453">
        <v>0</v>
      </c>
      <c r="W453">
        <v>0</v>
      </c>
      <c r="X453">
        <v>0</v>
      </c>
      <c r="Y453">
        <v>0</v>
      </c>
      <c r="Z453">
        <v>0</v>
      </c>
      <c r="AA453">
        <v>0</v>
      </c>
      <c r="AB453">
        <v>0</v>
      </c>
      <c r="AC453">
        <v>0</v>
      </c>
      <c r="AD453">
        <v>0</v>
      </c>
      <c r="AE453">
        <v>0</v>
      </c>
      <c r="AF453">
        <v>0</v>
      </c>
      <c r="AG453">
        <v>0</v>
      </c>
      <c r="AH453">
        <v>0</v>
      </c>
      <c r="AI453">
        <v>0</v>
      </c>
      <c r="AJ453">
        <v>0</v>
      </c>
      <c r="AK453">
        <v>0</v>
      </c>
      <c r="AL453">
        <v>0</v>
      </c>
      <c r="AM453">
        <v>16.63</v>
      </c>
      <c r="AN453">
        <v>0</v>
      </c>
      <c r="AO453">
        <v>0</v>
      </c>
      <c r="AP453">
        <v>0</v>
      </c>
      <c r="AQ453">
        <v>0</v>
      </c>
      <c r="AR453">
        <v>0</v>
      </c>
      <c r="AS453">
        <v>0</v>
      </c>
      <c r="AT453">
        <v>0</v>
      </c>
      <c r="AU453">
        <v>0</v>
      </c>
      <c r="AV453">
        <v>0</v>
      </c>
      <c r="AW453">
        <v>0</v>
      </c>
      <c r="AX453">
        <v>0</v>
      </c>
      <c r="AY453">
        <v>0</v>
      </c>
      <c r="AZ453">
        <v>0</v>
      </c>
      <c r="BA453">
        <v>0</v>
      </c>
      <c r="BB453">
        <v>0</v>
      </c>
      <c r="BC453">
        <v>0</v>
      </c>
      <c r="BD453">
        <v>0</v>
      </c>
      <c r="BE453">
        <v>0</v>
      </c>
      <c r="BF453">
        <v>0</v>
      </c>
      <c r="BG453">
        <v>0</v>
      </c>
      <c r="BH453">
        <v>1</v>
      </c>
      <c r="BI453">
        <v>1</v>
      </c>
      <c r="BJ453">
        <v>0.2</v>
      </c>
      <c r="BK453">
        <v>1</v>
      </c>
      <c r="BL453" s="4">
        <v>97.75</v>
      </c>
      <c r="BM453" s="4">
        <v>14.66</v>
      </c>
      <c r="BN453" s="4">
        <v>112.41</v>
      </c>
      <c r="BO453" s="4">
        <v>112.41</v>
      </c>
      <c r="BR453" t="s">
        <v>84</v>
      </c>
      <c r="BS453" s="3">
        <v>43805</v>
      </c>
      <c r="BT453" s="5">
        <v>0.54791666666666672</v>
      </c>
      <c r="BU453" t="s">
        <v>937</v>
      </c>
      <c r="BV453" t="s">
        <v>86</v>
      </c>
      <c r="BY453">
        <v>1200</v>
      </c>
      <c r="CA453" t="s">
        <v>190</v>
      </c>
      <c r="CC453" t="s">
        <v>187</v>
      </c>
      <c r="CD453">
        <v>6850</v>
      </c>
      <c r="CE453" t="s">
        <v>88</v>
      </c>
      <c r="CF453" s="3">
        <v>43808</v>
      </c>
      <c r="CI453">
        <v>3</v>
      </c>
      <c r="CJ453">
        <v>2</v>
      </c>
      <c r="CK453">
        <v>23</v>
      </c>
      <c r="CL453" t="s">
        <v>89</v>
      </c>
    </row>
    <row r="454" spans="1:90">
      <c r="A454" t="s">
        <v>72</v>
      </c>
      <c r="B454" t="s">
        <v>73</v>
      </c>
      <c r="C454" t="s">
        <v>74</v>
      </c>
      <c r="E454" t="str">
        <f>"FES1162726566"</f>
        <v>FES1162726566</v>
      </c>
      <c r="F454" s="3">
        <v>43803</v>
      </c>
      <c r="G454">
        <v>202006</v>
      </c>
      <c r="H454" t="s">
        <v>75</v>
      </c>
      <c r="I454" t="s">
        <v>76</v>
      </c>
      <c r="J454" t="s">
        <v>77</v>
      </c>
      <c r="K454" t="s">
        <v>78</v>
      </c>
      <c r="L454" t="s">
        <v>332</v>
      </c>
      <c r="M454" t="s">
        <v>333</v>
      </c>
      <c r="N454" t="s">
        <v>938</v>
      </c>
      <c r="O454" t="s">
        <v>82</v>
      </c>
      <c r="P454" t="str">
        <f>"2170720048                    "</f>
        <v xml:space="preserve">2170720048                    </v>
      </c>
      <c r="Q454">
        <v>0</v>
      </c>
      <c r="R454">
        <v>0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0</v>
      </c>
      <c r="Y454">
        <v>0</v>
      </c>
      <c r="Z454">
        <v>0</v>
      </c>
      <c r="AA454">
        <v>0</v>
      </c>
      <c r="AB454">
        <v>0</v>
      </c>
      <c r="AC454">
        <v>0</v>
      </c>
      <c r="AD454">
        <v>0</v>
      </c>
      <c r="AE454">
        <v>0</v>
      </c>
      <c r="AF454">
        <v>0</v>
      </c>
      <c r="AG454">
        <v>0</v>
      </c>
      <c r="AH454">
        <v>0</v>
      </c>
      <c r="AI454">
        <v>0</v>
      </c>
      <c r="AJ454">
        <v>0</v>
      </c>
      <c r="AK454">
        <v>0</v>
      </c>
      <c r="AL454">
        <v>0</v>
      </c>
      <c r="AM454">
        <v>6.71</v>
      </c>
      <c r="AN454">
        <v>0</v>
      </c>
      <c r="AO454">
        <v>0</v>
      </c>
      <c r="AP454">
        <v>0</v>
      </c>
      <c r="AQ454">
        <v>0</v>
      </c>
      <c r="AR454">
        <v>0</v>
      </c>
      <c r="AS454">
        <v>0</v>
      </c>
      <c r="AT454">
        <v>0</v>
      </c>
      <c r="AU454">
        <v>0</v>
      </c>
      <c r="AV454">
        <v>0</v>
      </c>
      <c r="AW454">
        <v>0</v>
      </c>
      <c r="AX454">
        <v>0</v>
      </c>
      <c r="AY454">
        <v>0</v>
      </c>
      <c r="AZ454">
        <v>0</v>
      </c>
      <c r="BA454">
        <v>0</v>
      </c>
      <c r="BB454">
        <v>0</v>
      </c>
      <c r="BC454">
        <v>0</v>
      </c>
      <c r="BD454">
        <v>0</v>
      </c>
      <c r="BE454">
        <v>0</v>
      </c>
      <c r="BF454">
        <v>0</v>
      </c>
      <c r="BG454">
        <v>0</v>
      </c>
      <c r="BH454">
        <v>1</v>
      </c>
      <c r="BI454">
        <v>1</v>
      </c>
      <c r="BJ454">
        <v>0.2</v>
      </c>
      <c r="BK454">
        <v>1</v>
      </c>
      <c r="BL454" s="4">
        <v>39.42</v>
      </c>
      <c r="BM454" s="4">
        <v>5.91</v>
      </c>
      <c r="BN454" s="4">
        <v>45.33</v>
      </c>
      <c r="BO454" s="4">
        <v>45.33</v>
      </c>
      <c r="BQ454" t="s">
        <v>147</v>
      </c>
      <c r="BR454" t="s">
        <v>84</v>
      </c>
      <c r="BS454" s="3">
        <v>43804</v>
      </c>
      <c r="BT454" s="5">
        <v>0.42708333333333331</v>
      </c>
      <c r="BU454" t="s">
        <v>939</v>
      </c>
      <c r="BV454" t="s">
        <v>86</v>
      </c>
      <c r="BY454">
        <v>1200</v>
      </c>
      <c r="CC454" t="s">
        <v>333</v>
      </c>
      <c r="CD454">
        <v>2013</v>
      </c>
      <c r="CE454" t="s">
        <v>88</v>
      </c>
      <c r="CF454" s="3">
        <v>43808</v>
      </c>
      <c r="CI454">
        <v>1</v>
      </c>
      <c r="CJ454">
        <v>1</v>
      </c>
      <c r="CK454">
        <v>22</v>
      </c>
      <c r="CL454" t="s">
        <v>89</v>
      </c>
    </row>
    <row r="455" spans="1:90">
      <c r="A455" t="s">
        <v>72</v>
      </c>
      <c r="B455" t="s">
        <v>73</v>
      </c>
      <c r="C455" t="s">
        <v>74</v>
      </c>
      <c r="E455" t="str">
        <f>"FES1162726704"</f>
        <v>FES1162726704</v>
      </c>
      <c r="F455" s="3">
        <v>43803</v>
      </c>
      <c r="G455">
        <v>202006</v>
      </c>
      <c r="H455" t="s">
        <v>75</v>
      </c>
      <c r="I455" t="s">
        <v>76</v>
      </c>
      <c r="J455" t="s">
        <v>77</v>
      </c>
      <c r="K455" t="s">
        <v>78</v>
      </c>
      <c r="L455" t="s">
        <v>198</v>
      </c>
      <c r="M455" t="s">
        <v>199</v>
      </c>
      <c r="N455" t="s">
        <v>292</v>
      </c>
      <c r="O455" t="s">
        <v>82</v>
      </c>
      <c r="P455" t="str">
        <f>"2170719802                    "</f>
        <v xml:space="preserve">2170719802                    </v>
      </c>
      <c r="Q455">
        <v>0</v>
      </c>
      <c r="R455">
        <v>0</v>
      </c>
      <c r="S455">
        <v>0</v>
      </c>
      <c r="T455">
        <v>0</v>
      </c>
      <c r="U455">
        <v>0</v>
      </c>
      <c r="V455">
        <v>0</v>
      </c>
      <c r="W455">
        <v>0</v>
      </c>
      <c r="X455">
        <v>0</v>
      </c>
      <c r="Y455">
        <v>0</v>
      </c>
      <c r="Z455">
        <v>0</v>
      </c>
      <c r="AA455">
        <v>0</v>
      </c>
      <c r="AB455">
        <v>0</v>
      </c>
      <c r="AC455">
        <v>0</v>
      </c>
      <c r="AD455">
        <v>0</v>
      </c>
      <c r="AE455">
        <v>0</v>
      </c>
      <c r="AF455">
        <v>0</v>
      </c>
      <c r="AG455">
        <v>0</v>
      </c>
      <c r="AH455">
        <v>0</v>
      </c>
      <c r="AI455">
        <v>0</v>
      </c>
      <c r="AJ455">
        <v>0</v>
      </c>
      <c r="AK455">
        <v>0</v>
      </c>
      <c r="AL455">
        <v>0</v>
      </c>
      <c r="AM455">
        <v>8.58</v>
      </c>
      <c r="AN455">
        <v>0</v>
      </c>
      <c r="AO455">
        <v>0</v>
      </c>
      <c r="AP455">
        <v>0</v>
      </c>
      <c r="AQ455">
        <v>0</v>
      </c>
      <c r="AR455">
        <v>0</v>
      </c>
      <c r="AS455">
        <v>0</v>
      </c>
      <c r="AT455">
        <v>0</v>
      </c>
      <c r="AU455">
        <v>0</v>
      </c>
      <c r="AV455">
        <v>0</v>
      </c>
      <c r="AW455">
        <v>0</v>
      </c>
      <c r="AX455">
        <v>0</v>
      </c>
      <c r="AY455">
        <v>0</v>
      </c>
      <c r="AZ455">
        <v>0</v>
      </c>
      <c r="BA455">
        <v>0</v>
      </c>
      <c r="BB455">
        <v>0</v>
      </c>
      <c r="BC455">
        <v>0</v>
      </c>
      <c r="BD455">
        <v>0</v>
      </c>
      <c r="BE455">
        <v>0</v>
      </c>
      <c r="BF455">
        <v>0</v>
      </c>
      <c r="BG455">
        <v>0</v>
      </c>
      <c r="BH455">
        <v>1</v>
      </c>
      <c r="BI455">
        <v>1</v>
      </c>
      <c r="BJ455">
        <v>0.2</v>
      </c>
      <c r="BK455">
        <v>1</v>
      </c>
      <c r="BL455" s="4">
        <v>50.45</v>
      </c>
      <c r="BM455" s="4">
        <v>7.57</v>
      </c>
      <c r="BN455" s="4">
        <v>58.02</v>
      </c>
      <c r="BO455" s="4">
        <v>58.02</v>
      </c>
      <c r="BR455" t="s">
        <v>84</v>
      </c>
      <c r="BS455" s="3">
        <v>43804</v>
      </c>
      <c r="BT455" s="5">
        <v>0.39583333333333331</v>
      </c>
      <c r="BU455" t="s">
        <v>801</v>
      </c>
      <c r="BV455" t="s">
        <v>86</v>
      </c>
      <c r="BY455">
        <v>1200</v>
      </c>
      <c r="BZ455" t="s">
        <v>27</v>
      </c>
      <c r="CA455" t="s">
        <v>294</v>
      </c>
      <c r="CC455" t="s">
        <v>199</v>
      </c>
      <c r="CD455">
        <v>4094</v>
      </c>
      <c r="CE455" t="s">
        <v>88</v>
      </c>
      <c r="CF455" s="3">
        <v>43805</v>
      </c>
      <c r="CI455">
        <v>1</v>
      </c>
      <c r="CJ455">
        <v>1</v>
      </c>
      <c r="CK455">
        <v>21</v>
      </c>
      <c r="CL455" t="s">
        <v>89</v>
      </c>
    </row>
    <row r="456" spans="1:90">
      <c r="A456" t="s">
        <v>72</v>
      </c>
      <c r="B456" t="s">
        <v>73</v>
      </c>
      <c r="C456" t="s">
        <v>74</v>
      </c>
      <c r="E456" t="str">
        <f>"FES1162726495"</f>
        <v>FES1162726495</v>
      </c>
      <c r="F456" s="3">
        <v>43803</v>
      </c>
      <c r="G456">
        <v>202006</v>
      </c>
      <c r="H456" t="s">
        <v>75</v>
      </c>
      <c r="I456" t="s">
        <v>76</v>
      </c>
      <c r="J456" t="s">
        <v>77</v>
      </c>
      <c r="K456" t="s">
        <v>78</v>
      </c>
      <c r="L456" t="s">
        <v>90</v>
      </c>
      <c r="M456" t="s">
        <v>91</v>
      </c>
      <c r="N456" t="s">
        <v>548</v>
      </c>
      <c r="O456" t="s">
        <v>82</v>
      </c>
      <c r="P456" t="str">
        <f>"2170719932                    "</f>
        <v xml:space="preserve">2170719932                    </v>
      </c>
      <c r="Q456">
        <v>0</v>
      </c>
      <c r="R456">
        <v>0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0</v>
      </c>
      <c r="Y456">
        <v>0</v>
      </c>
      <c r="Z456">
        <v>0</v>
      </c>
      <c r="AA456">
        <v>0</v>
      </c>
      <c r="AB456">
        <v>0</v>
      </c>
      <c r="AC456">
        <v>0</v>
      </c>
      <c r="AD456">
        <v>0</v>
      </c>
      <c r="AE456">
        <v>0</v>
      </c>
      <c r="AF456">
        <v>0</v>
      </c>
      <c r="AG456">
        <v>0</v>
      </c>
      <c r="AH456">
        <v>0</v>
      </c>
      <c r="AI456">
        <v>0</v>
      </c>
      <c r="AJ456">
        <v>0</v>
      </c>
      <c r="AK456">
        <v>0</v>
      </c>
      <c r="AL456">
        <v>0</v>
      </c>
      <c r="AM456">
        <v>15.02</v>
      </c>
      <c r="AN456">
        <v>0</v>
      </c>
      <c r="AO456">
        <v>0</v>
      </c>
      <c r="AP456">
        <v>0</v>
      </c>
      <c r="AQ456">
        <v>0</v>
      </c>
      <c r="AR456">
        <v>0</v>
      </c>
      <c r="AS456">
        <v>0</v>
      </c>
      <c r="AT456">
        <v>0</v>
      </c>
      <c r="AU456">
        <v>0</v>
      </c>
      <c r="AV456">
        <v>0</v>
      </c>
      <c r="AW456">
        <v>0</v>
      </c>
      <c r="AX456">
        <v>0</v>
      </c>
      <c r="AY456">
        <v>0</v>
      </c>
      <c r="AZ456">
        <v>0</v>
      </c>
      <c r="BA456">
        <v>0</v>
      </c>
      <c r="BB456">
        <v>0</v>
      </c>
      <c r="BC456">
        <v>0</v>
      </c>
      <c r="BD456">
        <v>0</v>
      </c>
      <c r="BE456">
        <v>0</v>
      </c>
      <c r="BF456">
        <v>0</v>
      </c>
      <c r="BG456">
        <v>0</v>
      </c>
      <c r="BH456">
        <v>1</v>
      </c>
      <c r="BI456">
        <v>1.9</v>
      </c>
      <c r="BJ456">
        <v>3.5</v>
      </c>
      <c r="BK456">
        <v>3.5</v>
      </c>
      <c r="BL456" s="4">
        <v>88.27</v>
      </c>
      <c r="BM456" s="4">
        <v>13.24</v>
      </c>
      <c r="BN456" s="4">
        <v>101.51</v>
      </c>
      <c r="BO456" s="4">
        <v>101.51</v>
      </c>
      <c r="BQ456" t="s">
        <v>147</v>
      </c>
      <c r="BR456" t="s">
        <v>84</v>
      </c>
      <c r="BS456" s="3">
        <v>43804</v>
      </c>
      <c r="BT456" s="5">
        <v>0.32013888888888892</v>
      </c>
      <c r="BU456" t="s">
        <v>817</v>
      </c>
      <c r="BV456" t="s">
        <v>86</v>
      </c>
      <c r="BY456">
        <v>17614.52</v>
      </c>
      <c r="CA456" t="s">
        <v>818</v>
      </c>
      <c r="CC456" t="s">
        <v>91</v>
      </c>
      <c r="CD456">
        <v>7530</v>
      </c>
      <c r="CE456" t="s">
        <v>116</v>
      </c>
      <c r="CF456" s="3">
        <v>43805</v>
      </c>
      <c r="CI456">
        <v>1</v>
      </c>
      <c r="CJ456">
        <v>1</v>
      </c>
      <c r="CK456">
        <v>21</v>
      </c>
      <c r="CL456" t="s">
        <v>89</v>
      </c>
    </row>
    <row r="457" spans="1:90">
      <c r="A457" t="s">
        <v>72</v>
      </c>
      <c r="B457" t="s">
        <v>73</v>
      </c>
      <c r="C457" t="s">
        <v>74</v>
      </c>
      <c r="E457" t="str">
        <f>"FES1162726730"</f>
        <v>FES1162726730</v>
      </c>
      <c r="F457" s="3">
        <v>43803</v>
      </c>
      <c r="G457">
        <v>202006</v>
      </c>
      <c r="H457" t="s">
        <v>75</v>
      </c>
      <c r="I457" t="s">
        <v>76</v>
      </c>
      <c r="J457" t="s">
        <v>77</v>
      </c>
      <c r="K457" t="s">
        <v>78</v>
      </c>
      <c r="L457" t="s">
        <v>198</v>
      </c>
      <c r="M457" t="s">
        <v>199</v>
      </c>
      <c r="N457" t="s">
        <v>292</v>
      </c>
      <c r="O457" t="s">
        <v>82</v>
      </c>
      <c r="P457" t="str">
        <f>"2170720155                    "</f>
        <v xml:space="preserve">2170720155                    </v>
      </c>
      <c r="Q457">
        <v>0</v>
      </c>
      <c r="R457">
        <v>0</v>
      </c>
      <c r="S457">
        <v>0</v>
      </c>
      <c r="T457">
        <v>0</v>
      </c>
      <c r="U457">
        <v>0</v>
      </c>
      <c r="V457">
        <v>0</v>
      </c>
      <c r="W457">
        <v>0</v>
      </c>
      <c r="X457">
        <v>0</v>
      </c>
      <c r="Y457">
        <v>0</v>
      </c>
      <c r="Z457">
        <v>0</v>
      </c>
      <c r="AA457">
        <v>0</v>
      </c>
      <c r="AB457">
        <v>0</v>
      </c>
      <c r="AC457">
        <v>0</v>
      </c>
      <c r="AD457">
        <v>0</v>
      </c>
      <c r="AE457">
        <v>0</v>
      </c>
      <c r="AF457">
        <v>0</v>
      </c>
      <c r="AG457">
        <v>0</v>
      </c>
      <c r="AH457">
        <v>0</v>
      </c>
      <c r="AI457">
        <v>0</v>
      </c>
      <c r="AJ457">
        <v>0</v>
      </c>
      <c r="AK457">
        <v>0</v>
      </c>
      <c r="AL457">
        <v>0</v>
      </c>
      <c r="AM457">
        <v>8.58</v>
      </c>
      <c r="AN457">
        <v>0</v>
      </c>
      <c r="AO457">
        <v>0</v>
      </c>
      <c r="AP457">
        <v>0</v>
      </c>
      <c r="AQ457">
        <v>0</v>
      </c>
      <c r="AR457">
        <v>0</v>
      </c>
      <c r="AS457">
        <v>0</v>
      </c>
      <c r="AT457">
        <v>0</v>
      </c>
      <c r="AU457">
        <v>0</v>
      </c>
      <c r="AV457">
        <v>0</v>
      </c>
      <c r="AW457">
        <v>0</v>
      </c>
      <c r="AX457">
        <v>0</v>
      </c>
      <c r="AY457">
        <v>0</v>
      </c>
      <c r="AZ457">
        <v>0</v>
      </c>
      <c r="BA457">
        <v>0</v>
      </c>
      <c r="BB457">
        <v>0</v>
      </c>
      <c r="BC457">
        <v>0</v>
      </c>
      <c r="BD457">
        <v>0</v>
      </c>
      <c r="BE457">
        <v>0</v>
      </c>
      <c r="BF457">
        <v>0</v>
      </c>
      <c r="BG457">
        <v>0</v>
      </c>
      <c r="BH457">
        <v>1</v>
      </c>
      <c r="BI457">
        <v>1</v>
      </c>
      <c r="BJ457">
        <v>0.2</v>
      </c>
      <c r="BK457">
        <v>1</v>
      </c>
      <c r="BL457" s="4">
        <v>50.45</v>
      </c>
      <c r="BM457" s="4">
        <v>7.57</v>
      </c>
      <c r="BN457" s="4">
        <v>58.02</v>
      </c>
      <c r="BO457" s="4">
        <v>58.02</v>
      </c>
      <c r="BQ457" t="s">
        <v>93</v>
      </c>
      <c r="BR457" t="s">
        <v>84</v>
      </c>
      <c r="BS457" s="3">
        <v>43804</v>
      </c>
      <c r="BT457" s="5">
        <v>0.35138888888888892</v>
      </c>
      <c r="BU457" t="s">
        <v>940</v>
      </c>
      <c r="BV457" t="s">
        <v>86</v>
      </c>
      <c r="BY457">
        <v>1200</v>
      </c>
      <c r="CA457" t="s">
        <v>941</v>
      </c>
      <c r="CC457" t="s">
        <v>199</v>
      </c>
      <c r="CD457">
        <v>4052</v>
      </c>
      <c r="CE457" t="s">
        <v>88</v>
      </c>
      <c r="CF457" s="3">
        <v>43805</v>
      </c>
      <c r="CI457">
        <v>1</v>
      </c>
      <c r="CJ457">
        <v>1</v>
      </c>
      <c r="CK457">
        <v>21</v>
      </c>
      <c r="CL457" t="s">
        <v>89</v>
      </c>
    </row>
    <row r="458" spans="1:90">
      <c r="A458" t="s">
        <v>72</v>
      </c>
      <c r="B458" t="s">
        <v>73</v>
      </c>
      <c r="C458" t="s">
        <v>74</v>
      </c>
      <c r="E458" t="str">
        <f>"FES1162726602"</f>
        <v>FES1162726602</v>
      </c>
      <c r="F458" s="3">
        <v>43803</v>
      </c>
      <c r="G458">
        <v>202006</v>
      </c>
      <c r="H458" t="s">
        <v>75</v>
      </c>
      <c r="I458" t="s">
        <v>76</v>
      </c>
      <c r="J458" t="s">
        <v>77</v>
      </c>
      <c r="K458" t="s">
        <v>78</v>
      </c>
      <c r="L458" t="s">
        <v>169</v>
      </c>
      <c r="M458" t="s">
        <v>170</v>
      </c>
      <c r="N458" t="s">
        <v>171</v>
      </c>
      <c r="O458" t="s">
        <v>82</v>
      </c>
      <c r="P458" t="str">
        <f>"2170720082                    "</f>
        <v xml:space="preserve">2170720082                    </v>
      </c>
      <c r="Q458">
        <v>0</v>
      </c>
      <c r="R458">
        <v>0</v>
      </c>
      <c r="S458">
        <v>0</v>
      </c>
      <c r="T458">
        <v>0</v>
      </c>
      <c r="U458">
        <v>0</v>
      </c>
      <c r="V458">
        <v>0</v>
      </c>
      <c r="W458">
        <v>0</v>
      </c>
      <c r="X458">
        <v>0</v>
      </c>
      <c r="Y458">
        <v>0</v>
      </c>
      <c r="Z458">
        <v>0</v>
      </c>
      <c r="AA458">
        <v>0</v>
      </c>
      <c r="AB458">
        <v>0</v>
      </c>
      <c r="AC458">
        <v>0</v>
      </c>
      <c r="AD458">
        <v>0</v>
      </c>
      <c r="AE458">
        <v>0</v>
      </c>
      <c r="AF458">
        <v>0</v>
      </c>
      <c r="AG458">
        <v>0</v>
      </c>
      <c r="AH458">
        <v>0</v>
      </c>
      <c r="AI458">
        <v>0</v>
      </c>
      <c r="AJ458">
        <v>0</v>
      </c>
      <c r="AK458">
        <v>0</v>
      </c>
      <c r="AL458">
        <v>0</v>
      </c>
      <c r="AM458">
        <v>6.71</v>
      </c>
      <c r="AN458">
        <v>0</v>
      </c>
      <c r="AO458">
        <v>0</v>
      </c>
      <c r="AP458">
        <v>0</v>
      </c>
      <c r="AQ458">
        <v>0</v>
      </c>
      <c r="AR458">
        <v>0</v>
      </c>
      <c r="AS458">
        <v>0</v>
      </c>
      <c r="AT458">
        <v>0</v>
      </c>
      <c r="AU458">
        <v>0</v>
      </c>
      <c r="AV458">
        <v>0</v>
      </c>
      <c r="AW458">
        <v>0</v>
      </c>
      <c r="AX458">
        <v>0</v>
      </c>
      <c r="AY458">
        <v>0</v>
      </c>
      <c r="AZ458">
        <v>0</v>
      </c>
      <c r="BA458">
        <v>0</v>
      </c>
      <c r="BB458">
        <v>0</v>
      </c>
      <c r="BC458">
        <v>0</v>
      </c>
      <c r="BD458">
        <v>0</v>
      </c>
      <c r="BE458">
        <v>0</v>
      </c>
      <c r="BF458">
        <v>0</v>
      </c>
      <c r="BG458">
        <v>0</v>
      </c>
      <c r="BH458">
        <v>1</v>
      </c>
      <c r="BI458">
        <v>1</v>
      </c>
      <c r="BJ458">
        <v>0.2</v>
      </c>
      <c r="BK458">
        <v>1</v>
      </c>
      <c r="BL458" s="4">
        <v>39.42</v>
      </c>
      <c r="BM458" s="4">
        <v>5.91</v>
      </c>
      <c r="BN458" s="4">
        <v>45.33</v>
      </c>
      <c r="BO458" s="4">
        <v>45.33</v>
      </c>
      <c r="BQ458" t="s">
        <v>942</v>
      </c>
      <c r="BR458" t="s">
        <v>84</v>
      </c>
      <c r="BS458" s="3">
        <v>43804</v>
      </c>
      <c r="BT458" s="5">
        <v>0.25694444444444448</v>
      </c>
      <c r="BU458" t="s">
        <v>885</v>
      </c>
      <c r="BV458" t="s">
        <v>86</v>
      </c>
      <c r="BY458">
        <v>1200</v>
      </c>
      <c r="CA458" t="s">
        <v>826</v>
      </c>
      <c r="CC458" t="s">
        <v>170</v>
      </c>
      <c r="CD458">
        <v>1459</v>
      </c>
      <c r="CE458" t="s">
        <v>88</v>
      </c>
      <c r="CF458" s="3">
        <v>43805</v>
      </c>
      <c r="CI458">
        <v>1</v>
      </c>
      <c r="CJ458">
        <v>1</v>
      </c>
      <c r="CK458">
        <v>22</v>
      </c>
      <c r="CL458" t="s">
        <v>89</v>
      </c>
    </row>
    <row r="459" spans="1:90">
      <c r="A459" t="s">
        <v>72</v>
      </c>
      <c r="B459" t="s">
        <v>73</v>
      </c>
      <c r="C459" t="s">
        <v>74</v>
      </c>
      <c r="E459" t="str">
        <f>"FES1162726592"</f>
        <v>FES1162726592</v>
      </c>
      <c r="F459" s="3">
        <v>43803</v>
      </c>
      <c r="G459">
        <v>202006</v>
      </c>
      <c r="H459" t="s">
        <v>75</v>
      </c>
      <c r="I459" t="s">
        <v>76</v>
      </c>
      <c r="J459" t="s">
        <v>77</v>
      </c>
      <c r="K459" t="s">
        <v>78</v>
      </c>
      <c r="L459" t="s">
        <v>90</v>
      </c>
      <c r="M459" t="s">
        <v>91</v>
      </c>
      <c r="N459" t="s">
        <v>535</v>
      </c>
      <c r="O459" t="s">
        <v>82</v>
      </c>
      <c r="P459" t="str">
        <f>"2170720070                    "</f>
        <v xml:space="preserve">2170720070                    </v>
      </c>
      <c r="Q459">
        <v>0</v>
      </c>
      <c r="R459">
        <v>0</v>
      </c>
      <c r="S459">
        <v>0</v>
      </c>
      <c r="T459">
        <v>0</v>
      </c>
      <c r="U459">
        <v>0</v>
      </c>
      <c r="V459">
        <v>0</v>
      </c>
      <c r="W459">
        <v>0</v>
      </c>
      <c r="X459">
        <v>0</v>
      </c>
      <c r="Y459">
        <v>0</v>
      </c>
      <c r="Z459">
        <v>0</v>
      </c>
      <c r="AA459">
        <v>0</v>
      </c>
      <c r="AB459">
        <v>0</v>
      </c>
      <c r="AC459">
        <v>0</v>
      </c>
      <c r="AD459">
        <v>0</v>
      </c>
      <c r="AE459">
        <v>0</v>
      </c>
      <c r="AF459">
        <v>0</v>
      </c>
      <c r="AG459">
        <v>0</v>
      </c>
      <c r="AH459">
        <v>0</v>
      </c>
      <c r="AI459">
        <v>0</v>
      </c>
      <c r="AJ459">
        <v>0</v>
      </c>
      <c r="AK459">
        <v>0</v>
      </c>
      <c r="AL459">
        <v>0</v>
      </c>
      <c r="AM459">
        <v>8.58</v>
      </c>
      <c r="AN459">
        <v>0</v>
      </c>
      <c r="AO459">
        <v>0</v>
      </c>
      <c r="AP459">
        <v>0</v>
      </c>
      <c r="AQ459">
        <v>0</v>
      </c>
      <c r="AR459">
        <v>0</v>
      </c>
      <c r="AS459">
        <v>0</v>
      </c>
      <c r="AT459">
        <v>0</v>
      </c>
      <c r="AU459">
        <v>0</v>
      </c>
      <c r="AV459">
        <v>0</v>
      </c>
      <c r="AW459">
        <v>0</v>
      </c>
      <c r="AX459">
        <v>0</v>
      </c>
      <c r="AY459">
        <v>0</v>
      </c>
      <c r="AZ459">
        <v>0</v>
      </c>
      <c r="BA459">
        <v>0</v>
      </c>
      <c r="BB459">
        <v>0</v>
      </c>
      <c r="BC459">
        <v>0</v>
      </c>
      <c r="BD459">
        <v>0</v>
      </c>
      <c r="BE459">
        <v>0</v>
      </c>
      <c r="BF459">
        <v>0</v>
      </c>
      <c r="BG459">
        <v>0</v>
      </c>
      <c r="BH459">
        <v>1</v>
      </c>
      <c r="BI459">
        <v>1</v>
      </c>
      <c r="BJ459">
        <v>0.2</v>
      </c>
      <c r="BK459">
        <v>1</v>
      </c>
      <c r="BL459" s="4">
        <v>50.45</v>
      </c>
      <c r="BM459" s="4">
        <v>7.57</v>
      </c>
      <c r="BN459" s="4">
        <v>58.02</v>
      </c>
      <c r="BO459" s="4">
        <v>58.02</v>
      </c>
      <c r="BQ459" t="s">
        <v>147</v>
      </c>
      <c r="BR459" t="s">
        <v>84</v>
      </c>
      <c r="BS459" s="3">
        <v>43804</v>
      </c>
      <c r="BT459" s="5">
        <v>0.40972222222222227</v>
      </c>
      <c r="BU459" t="s">
        <v>819</v>
      </c>
      <c r="BV459" t="s">
        <v>86</v>
      </c>
      <c r="BY459">
        <v>1200</v>
      </c>
      <c r="CA459" t="s">
        <v>209</v>
      </c>
      <c r="CC459" t="s">
        <v>91</v>
      </c>
      <c r="CD459">
        <v>7441</v>
      </c>
      <c r="CE459" t="s">
        <v>88</v>
      </c>
      <c r="CF459" s="3">
        <v>43805</v>
      </c>
      <c r="CI459">
        <v>1</v>
      </c>
      <c r="CJ459">
        <v>1</v>
      </c>
      <c r="CK459">
        <v>21</v>
      </c>
      <c r="CL459" t="s">
        <v>89</v>
      </c>
    </row>
    <row r="460" spans="1:90">
      <c r="A460" t="s">
        <v>72</v>
      </c>
      <c r="B460" t="s">
        <v>73</v>
      </c>
      <c r="C460" t="s">
        <v>74</v>
      </c>
      <c r="E460" t="str">
        <f>"FES1162726605"</f>
        <v>FES1162726605</v>
      </c>
      <c r="F460" s="3">
        <v>43803</v>
      </c>
      <c r="G460">
        <v>202006</v>
      </c>
      <c r="H460" t="s">
        <v>75</v>
      </c>
      <c r="I460" t="s">
        <v>76</v>
      </c>
      <c r="J460" t="s">
        <v>77</v>
      </c>
      <c r="K460" t="s">
        <v>78</v>
      </c>
      <c r="L460" t="s">
        <v>308</v>
      </c>
      <c r="M460" t="s">
        <v>308</v>
      </c>
      <c r="N460" t="s">
        <v>755</v>
      </c>
      <c r="O460" t="s">
        <v>82</v>
      </c>
      <c r="P460" t="str">
        <f>"2170719210                    "</f>
        <v xml:space="preserve">2170719210                    </v>
      </c>
      <c r="Q460">
        <v>0</v>
      </c>
      <c r="R460">
        <v>0</v>
      </c>
      <c r="S460">
        <v>0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0</v>
      </c>
      <c r="Z460">
        <v>0</v>
      </c>
      <c r="AA460">
        <v>0</v>
      </c>
      <c r="AB460">
        <v>0</v>
      </c>
      <c r="AC460">
        <v>0</v>
      </c>
      <c r="AD460">
        <v>0</v>
      </c>
      <c r="AE460">
        <v>0</v>
      </c>
      <c r="AF460">
        <v>0</v>
      </c>
      <c r="AG460">
        <v>0</v>
      </c>
      <c r="AH460">
        <v>0</v>
      </c>
      <c r="AI460">
        <v>0</v>
      </c>
      <c r="AJ460">
        <v>0</v>
      </c>
      <c r="AK460">
        <v>0</v>
      </c>
      <c r="AL460">
        <v>0</v>
      </c>
      <c r="AM460">
        <v>16.63</v>
      </c>
      <c r="AN460">
        <v>0</v>
      </c>
      <c r="AO460">
        <v>0</v>
      </c>
      <c r="AP460">
        <v>0</v>
      </c>
      <c r="AQ460">
        <v>0</v>
      </c>
      <c r="AR460">
        <v>0</v>
      </c>
      <c r="AS460">
        <v>0</v>
      </c>
      <c r="AT460">
        <v>0</v>
      </c>
      <c r="AU460">
        <v>0</v>
      </c>
      <c r="AV460">
        <v>0</v>
      </c>
      <c r="AW460">
        <v>0</v>
      </c>
      <c r="AX460">
        <v>0</v>
      </c>
      <c r="AY460">
        <v>0</v>
      </c>
      <c r="AZ460">
        <v>0</v>
      </c>
      <c r="BA460">
        <v>0</v>
      </c>
      <c r="BB460">
        <v>0</v>
      </c>
      <c r="BC460">
        <v>0</v>
      </c>
      <c r="BD460">
        <v>0</v>
      </c>
      <c r="BE460">
        <v>0</v>
      </c>
      <c r="BF460">
        <v>0</v>
      </c>
      <c r="BG460">
        <v>0</v>
      </c>
      <c r="BH460">
        <v>1</v>
      </c>
      <c r="BI460">
        <v>1</v>
      </c>
      <c r="BJ460">
        <v>0.2</v>
      </c>
      <c r="BK460">
        <v>1</v>
      </c>
      <c r="BL460" s="4">
        <v>97.75</v>
      </c>
      <c r="BM460" s="4">
        <v>14.66</v>
      </c>
      <c r="BN460" s="4">
        <v>112.41</v>
      </c>
      <c r="BO460" s="4">
        <v>112.41</v>
      </c>
      <c r="BQ460" t="s">
        <v>147</v>
      </c>
      <c r="BR460" t="s">
        <v>84</v>
      </c>
      <c r="BS460" s="3">
        <v>43804</v>
      </c>
      <c r="BT460" s="5">
        <v>0.46666666666666662</v>
      </c>
      <c r="BU460" t="s">
        <v>893</v>
      </c>
      <c r="BV460" t="s">
        <v>86</v>
      </c>
      <c r="BY460">
        <v>1200</v>
      </c>
      <c r="CA460" t="s">
        <v>311</v>
      </c>
      <c r="CC460" t="s">
        <v>308</v>
      </c>
      <c r="CD460">
        <v>7646</v>
      </c>
      <c r="CE460" t="s">
        <v>88</v>
      </c>
      <c r="CF460" s="3">
        <v>43805</v>
      </c>
      <c r="CI460">
        <v>1</v>
      </c>
      <c r="CJ460">
        <v>1</v>
      </c>
      <c r="CK460">
        <v>23</v>
      </c>
      <c r="CL460" t="s">
        <v>89</v>
      </c>
    </row>
    <row r="461" spans="1:90">
      <c r="A461" t="s">
        <v>72</v>
      </c>
      <c r="B461" t="s">
        <v>73</v>
      </c>
      <c r="C461" t="s">
        <v>74</v>
      </c>
      <c r="E461" t="str">
        <f>"FES1162726624"</f>
        <v>FES1162726624</v>
      </c>
      <c r="F461" s="3">
        <v>43803</v>
      </c>
      <c r="G461">
        <v>202006</v>
      </c>
      <c r="H461" t="s">
        <v>75</v>
      </c>
      <c r="I461" t="s">
        <v>76</v>
      </c>
      <c r="J461" t="s">
        <v>77</v>
      </c>
      <c r="K461" t="s">
        <v>78</v>
      </c>
      <c r="L461" t="s">
        <v>90</v>
      </c>
      <c r="M461" t="s">
        <v>91</v>
      </c>
      <c r="N461" t="s">
        <v>110</v>
      </c>
      <c r="O461" t="s">
        <v>82</v>
      </c>
      <c r="P461" t="str">
        <f>"2170720106                    "</f>
        <v xml:space="preserve">2170720106                    </v>
      </c>
      <c r="Q461">
        <v>0</v>
      </c>
      <c r="R461">
        <v>0</v>
      </c>
      <c r="S461">
        <v>0</v>
      </c>
      <c r="T461">
        <v>0</v>
      </c>
      <c r="U461">
        <v>0</v>
      </c>
      <c r="V461">
        <v>0</v>
      </c>
      <c r="W461">
        <v>0</v>
      </c>
      <c r="X461">
        <v>0</v>
      </c>
      <c r="Y461">
        <v>0</v>
      </c>
      <c r="Z461">
        <v>0</v>
      </c>
      <c r="AA461">
        <v>0</v>
      </c>
      <c r="AB461">
        <v>0</v>
      </c>
      <c r="AC461">
        <v>0</v>
      </c>
      <c r="AD461">
        <v>0</v>
      </c>
      <c r="AE461">
        <v>0</v>
      </c>
      <c r="AF461">
        <v>0</v>
      </c>
      <c r="AG461">
        <v>0</v>
      </c>
      <c r="AH461">
        <v>0</v>
      </c>
      <c r="AI461">
        <v>0</v>
      </c>
      <c r="AJ461">
        <v>0</v>
      </c>
      <c r="AK461">
        <v>0</v>
      </c>
      <c r="AL461">
        <v>0</v>
      </c>
      <c r="AM461">
        <v>8.58</v>
      </c>
      <c r="AN461">
        <v>0</v>
      </c>
      <c r="AO461">
        <v>0</v>
      </c>
      <c r="AP461">
        <v>0</v>
      </c>
      <c r="AQ461">
        <v>0</v>
      </c>
      <c r="AR461">
        <v>0</v>
      </c>
      <c r="AS461">
        <v>0</v>
      </c>
      <c r="AT461">
        <v>0</v>
      </c>
      <c r="AU461">
        <v>0</v>
      </c>
      <c r="AV461">
        <v>0</v>
      </c>
      <c r="AW461">
        <v>0</v>
      </c>
      <c r="AX461">
        <v>0</v>
      </c>
      <c r="AY461">
        <v>0</v>
      </c>
      <c r="AZ461">
        <v>0</v>
      </c>
      <c r="BA461">
        <v>0</v>
      </c>
      <c r="BB461">
        <v>0</v>
      </c>
      <c r="BC461">
        <v>0</v>
      </c>
      <c r="BD461">
        <v>0</v>
      </c>
      <c r="BE461">
        <v>0</v>
      </c>
      <c r="BF461">
        <v>0</v>
      </c>
      <c r="BG461">
        <v>0</v>
      </c>
      <c r="BH461">
        <v>1</v>
      </c>
      <c r="BI461">
        <v>1</v>
      </c>
      <c r="BJ461">
        <v>0.2</v>
      </c>
      <c r="BK461">
        <v>1</v>
      </c>
      <c r="BL461" s="4">
        <v>50.45</v>
      </c>
      <c r="BM461" s="4">
        <v>7.57</v>
      </c>
      <c r="BN461" s="4">
        <v>58.02</v>
      </c>
      <c r="BO461" s="4">
        <v>58.02</v>
      </c>
      <c r="BQ461" t="s">
        <v>147</v>
      </c>
      <c r="BR461" t="s">
        <v>84</v>
      </c>
      <c r="BS461" s="3">
        <v>43804</v>
      </c>
      <c r="BT461" s="5">
        <v>0.34166666666666662</v>
      </c>
      <c r="BU461" t="s">
        <v>764</v>
      </c>
      <c r="BV461" t="s">
        <v>86</v>
      </c>
      <c r="BY461">
        <v>1200</v>
      </c>
      <c r="CA461" t="s">
        <v>112</v>
      </c>
      <c r="CC461" t="s">
        <v>91</v>
      </c>
      <c r="CD461">
        <v>7405</v>
      </c>
      <c r="CE461" t="s">
        <v>88</v>
      </c>
      <c r="CF461" s="3">
        <v>43805</v>
      </c>
      <c r="CI461">
        <v>1</v>
      </c>
      <c r="CJ461">
        <v>1</v>
      </c>
      <c r="CK461">
        <v>21</v>
      </c>
      <c r="CL461" t="s">
        <v>89</v>
      </c>
    </row>
    <row r="462" spans="1:90">
      <c r="A462" t="s">
        <v>72</v>
      </c>
      <c r="B462" t="s">
        <v>73</v>
      </c>
      <c r="C462" t="s">
        <v>74</v>
      </c>
      <c r="E462" t="str">
        <f>"FES1162726539"</f>
        <v>FES1162726539</v>
      </c>
      <c r="F462" s="3">
        <v>43803</v>
      </c>
      <c r="G462">
        <v>202006</v>
      </c>
      <c r="H462" t="s">
        <v>75</v>
      </c>
      <c r="I462" t="s">
        <v>76</v>
      </c>
      <c r="J462" t="s">
        <v>77</v>
      </c>
      <c r="K462" t="s">
        <v>78</v>
      </c>
      <c r="L462" t="s">
        <v>90</v>
      </c>
      <c r="M462" t="s">
        <v>91</v>
      </c>
      <c r="N462" t="s">
        <v>561</v>
      </c>
      <c r="O462" t="s">
        <v>82</v>
      </c>
      <c r="P462" t="str">
        <f>"2170720000                    "</f>
        <v xml:space="preserve">2170720000                    </v>
      </c>
      <c r="Q462">
        <v>0</v>
      </c>
      <c r="R462">
        <v>0</v>
      </c>
      <c r="S462">
        <v>0</v>
      </c>
      <c r="T462">
        <v>0</v>
      </c>
      <c r="U462">
        <v>0</v>
      </c>
      <c r="V462">
        <v>0</v>
      </c>
      <c r="W462">
        <v>0</v>
      </c>
      <c r="X462">
        <v>0</v>
      </c>
      <c r="Y462">
        <v>0</v>
      </c>
      <c r="Z462">
        <v>0</v>
      </c>
      <c r="AA462">
        <v>0</v>
      </c>
      <c r="AB462">
        <v>0</v>
      </c>
      <c r="AC462">
        <v>0</v>
      </c>
      <c r="AD462">
        <v>0</v>
      </c>
      <c r="AE462">
        <v>0</v>
      </c>
      <c r="AF462">
        <v>0</v>
      </c>
      <c r="AG462">
        <v>0</v>
      </c>
      <c r="AH462">
        <v>0</v>
      </c>
      <c r="AI462">
        <v>0</v>
      </c>
      <c r="AJ462">
        <v>0</v>
      </c>
      <c r="AK462">
        <v>0</v>
      </c>
      <c r="AL462">
        <v>0</v>
      </c>
      <c r="AM462">
        <v>8.58</v>
      </c>
      <c r="AN462">
        <v>0</v>
      </c>
      <c r="AO462">
        <v>0</v>
      </c>
      <c r="AP462">
        <v>0</v>
      </c>
      <c r="AQ462">
        <v>0</v>
      </c>
      <c r="AR462">
        <v>0</v>
      </c>
      <c r="AS462">
        <v>0</v>
      </c>
      <c r="AT462">
        <v>0</v>
      </c>
      <c r="AU462">
        <v>0</v>
      </c>
      <c r="AV462">
        <v>0</v>
      </c>
      <c r="AW462">
        <v>0</v>
      </c>
      <c r="AX462">
        <v>0</v>
      </c>
      <c r="AY462">
        <v>0</v>
      </c>
      <c r="AZ462">
        <v>0</v>
      </c>
      <c r="BA462">
        <v>0</v>
      </c>
      <c r="BB462">
        <v>0</v>
      </c>
      <c r="BC462">
        <v>0</v>
      </c>
      <c r="BD462">
        <v>0</v>
      </c>
      <c r="BE462">
        <v>0</v>
      </c>
      <c r="BF462">
        <v>0</v>
      </c>
      <c r="BG462">
        <v>0</v>
      </c>
      <c r="BH462">
        <v>1</v>
      </c>
      <c r="BI462">
        <v>1</v>
      </c>
      <c r="BJ462">
        <v>0.2</v>
      </c>
      <c r="BK462">
        <v>1</v>
      </c>
      <c r="BL462" s="4">
        <v>50.45</v>
      </c>
      <c r="BM462" s="4">
        <v>7.57</v>
      </c>
      <c r="BN462" s="4">
        <v>58.02</v>
      </c>
      <c r="BO462" s="4">
        <v>58.02</v>
      </c>
      <c r="BQ462" t="s">
        <v>172</v>
      </c>
      <c r="BR462" t="s">
        <v>84</v>
      </c>
      <c r="BS462" s="3">
        <v>43804</v>
      </c>
      <c r="BT462" s="5">
        <v>0.34166666666666662</v>
      </c>
      <c r="BU462" t="s">
        <v>943</v>
      </c>
      <c r="BV462" t="s">
        <v>86</v>
      </c>
      <c r="BY462">
        <v>1200</v>
      </c>
      <c r="CA462" t="s">
        <v>563</v>
      </c>
      <c r="CC462" t="s">
        <v>91</v>
      </c>
      <c r="CD462">
        <v>7460</v>
      </c>
      <c r="CE462" t="s">
        <v>88</v>
      </c>
      <c r="CF462" s="3">
        <v>43805</v>
      </c>
      <c r="CI462">
        <v>1</v>
      </c>
      <c r="CJ462">
        <v>1</v>
      </c>
      <c r="CK462">
        <v>21</v>
      </c>
      <c r="CL462" t="s">
        <v>89</v>
      </c>
    </row>
    <row r="463" spans="1:90">
      <c r="A463" t="s">
        <v>72</v>
      </c>
      <c r="B463" t="s">
        <v>73</v>
      </c>
      <c r="C463" t="s">
        <v>74</v>
      </c>
      <c r="E463" t="str">
        <f>"FES1162726562"</f>
        <v>FES1162726562</v>
      </c>
      <c r="F463" s="3">
        <v>43803</v>
      </c>
      <c r="G463">
        <v>202006</v>
      </c>
      <c r="H463" t="s">
        <v>75</v>
      </c>
      <c r="I463" t="s">
        <v>76</v>
      </c>
      <c r="J463" t="s">
        <v>77</v>
      </c>
      <c r="K463" t="s">
        <v>78</v>
      </c>
      <c r="L463" t="s">
        <v>186</v>
      </c>
      <c r="M463" t="s">
        <v>187</v>
      </c>
      <c r="N463" t="s">
        <v>266</v>
      </c>
      <c r="O463" t="s">
        <v>82</v>
      </c>
      <c r="P463" t="str">
        <f>"2170720038                    "</f>
        <v xml:space="preserve">2170720038                    </v>
      </c>
      <c r="Q463">
        <v>0</v>
      </c>
      <c r="R463">
        <v>0</v>
      </c>
      <c r="S463">
        <v>0</v>
      </c>
      <c r="T463">
        <v>0</v>
      </c>
      <c r="U463">
        <v>0</v>
      </c>
      <c r="V463">
        <v>0</v>
      </c>
      <c r="W463">
        <v>0</v>
      </c>
      <c r="X463">
        <v>0</v>
      </c>
      <c r="Y463">
        <v>0</v>
      </c>
      <c r="Z463">
        <v>0</v>
      </c>
      <c r="AA463">
        <v>0</v>
      </c>
      <c r="AB463">
        <v>0</v>
      </c>
      <c r="AC463">
        <v>0</v>
      </c>
      <c r="AD463">
        <v>0</v>
      </c>
      <c r="AE463">
        <v>0</v>
      </c>
      <c r="AF463">
        <v>0</v>
      </c>
      <c r="AG463">
        <v>0</v>
      </c>
      <c r="AH463">
        <v>0</v>
      </c>
      <c r="AI463">
        <v>0</v>
      </c>
      <c r="AJ463">
        <v>0</v>
      </c>
      <c r="AK463">
        <v>0</v>
      </c>
      <c r="AL463">
        <v>0</v>
      </c>
      <c r="AM463">
        <v>16.63</v>
      </c>
      <c r="AN463">
        <v>0</v>
      </c>
      <c r="AO463">
        <v>0</v>
      </c>
      <c r="AP463">
        <v>0</v>
      </c>
      <c r="AQ463">
        <v>0</v>
      </c>
      <c r="AR463">
        <v>0</v>
      </c>
      <c r="AS463">
        <v>0</v>
      </c>
      <c r="AT463">
        <v>0</v>
      </c>
      <c r="AU463">
        <v>0</v>
      </c>
      <c r="AV463">
        <v>0</v>
      </c>
      <c r="AW463">
        <v>0</v>
      </c>
      <c r="AX463">
        <v>0</v>
      </c>
      <c r="AY463">
        <v>0</v>
      </c>
      <c r="AZ463">
        <v>0</v>
      </c>
      <c r="BA463">
        <v>0</v>
      </c>
      <c r="BB463">
        <v>0</v>
      </c>
      <c r="BC463">
        <v>0</v>
      </c>
      <c r="BD463">
        <v>0</v>
      </c>
      <c r="BE463">
        <v>0</v>
      </c>
      <c r="BF463">
        <v>0</v>
      </c>
      <c r="BG463">
        <v>0</v>
      </c>
      <c r="BH463">
        <v>1</v>
      </c>
      <c r="BI463">
        <v>1</v>
      </c>
      <c r="BJ463">
        <v>0.2</v>
      </c>
      <c r="BK463">
        <v>1</v>
      </c>
      <c r="BL463" s="4">
        <v>97.75</v>
      </c>
      <c r="BM463" s="4">
        <v>14.66</v>
      </c>
      <c r="BN463" s="4">
        <v>112.41</v>
      </c>
      <c r="BO463" s="4">
        <v>112.41</v>
      </c>
      <c r="BQ463" t="s">
        <v>135</v>
      </c>
      <c r="BR463" t="s">
        <v>84</v>
      </c>
      <c r="BS463" s="3">
        <v>43805</v>
      </c>
      <c r="BT463" s="5">
        <v>0.40763888888888888</v>
      </c>
      <c r="BU463" t="s">
        <v>944</v>
      </c>
      <c r="BV463" t="s">
        <v>86</v>
      </c>
      <c r="BY463">
        <v>1200</v>
      </c>
      <c r="CA463" t="s">
        <v>190</v>
      </c>
      <c r="CC463" t="s">
        <v>187</v>
      </c>
      <c r="CD463">
        <v>6850</v>
      </c>
      <c r="CE463" t="s">
        <v>88</v>
      </c>
      <c r="CF463" s="3">
        <v>43808</v>
      </c>
      <c r="CI463">
        <v>3</v>
      </c>
      <c r="CJ463">
        <v>2</v>
      </c>
      <c r="CK463">
        <v>23</v>
      </c>
      <c r="CL463" t="s">
        <v>89</v>
      </c>
    </row>
    <row r="464" spans="1:90">
      <c r="A464" t="s">
        <v>72</v>
      </c>
      <c r="B464" t="s">
        <v>73</v>
      </c>
      <c r="C464" t="s">
        <v>74</v>
      </c>
      <c r="E464" t="str">
        <f>"FES1162726658"</f>
        <v>FES1162726658</v>
      </c>
      <c r="F464" s="3">
        <v>43803</v>
      </c>
      <c r="G464">
        <v>202006</v>
      </c>
      <c r="H464" t="s">
        <v>75</v>
      </c>
      <c r="I464" t="s">
        <v>76</v>
      </c>
      <c r="J464" t="s">
        <v>77</v>
      </c>
      <c r="K464" t="s">
        <v>78</v>
      </c>
      <c r="L464" t="s">
        <v>671</v>
      </c>
      <c r="M464" t="s">
        <v>672</v>
      </c>
      <c r="N464" t="s">
        <v>639</v>
      </c>
      <c r="O464" t="s">
        <v>82</v>
      </c>
      <c r="P464" t="str">
        <f>"2170715738                    "</f>
        <v xml:space="preserve">2170715738                    </v>
      </c>
      <c r="Q464">
        <v>0</v>
      </c>
      <c r="R464">
        <v>0</v>
      </c>
      <c r="S464">
        <v>0</v>
      </c>
      <c r="T464">
        <v>0</v>
      </c>
      <c r="U464">
        <v>0</v>
      </c>
      <c r="V464">
        <v>0</v>
      </c>
      <c r="W464">
        <v>0</v>
      </c>
      <c r="X464">
        <v>0</v>
      </c>
      <c r="Y464">
        <v>0</v>
      </c>
      <c r="Z464">
        <v>0</v>
      </c>
      <c r="AA464">
        <v>0</v>
      </c>
      <c r="AB464">
        <v>0</v>
      </c>
      <c r="AC464">
        <v>0</v>
      </c>
      <c r="AD464">
        <v>0</v>
      </c>
      <c r="AE464">
        <v>0</v>
      </c>
      <c r="AF464">
        <v>0</v>
      </c>
      <c r="AG464">
        <v>0</v>
      </c>
      <c r="AH464">
        <v>0</v>
      </c>
      <c r="AI464">
        <v>0</v>
      </c>
      <c r="AJ464">
        <v>0</v>
      </c>
      <c r="AK464">
        <v>0</v>
      </c>
      <c r="AL464">
        <v>0</v>
      </c>
      <c r="AM464">
        <v>16.63</v>
      </c>
      <c r="AN464">
        <v>0</v>
      </c>
      <c r="AO464">
        <v>0</v>
      </c>
      <c r="AP464">
        <v>0</v>
      </c>
      <c r="AQ464">
        <v>0</v>
      </c>
      <c r="AR464">
        <v>0</v>
      </c>
      <c r="AS464">
        <v>0</v>
      </c>
      <c r="AT464">
        <v>0</v>
      </c>
      <c r="AU464">
        <v>0</v>
      </c>
      <c r="AV464">
        <v>0</v>
      </c>
      <c r="AW464">
        <v>0</v>
      </c>
      <c r="AX464">
        <v>0</v>
      </c>
      <c r="AY464">
        <v>0</v>
      </c>
      <c r="AZ464">
        <v>0</v>
      </c>
      <c r="BA464">
        <v>0</v>
      </c>
      <c r="BB464">
        <v>0</v>
      </c>
      <c r="BC464">
        <v>0</v>
      </c>
      <c r="BD464">
        <v>0</v>
      </c>
      <c r="BE464">
        <v>0</v>
      </c>
      <c r="BF464">
        <v>0</v>
      </c>
      <c r="BG464">
        <v>0</v>
      </c>
      <c r="BH464">
        <v>1</v>
      </c>
      <c r="BI464">
        <v>1</v>
      </c>
      <c r="BJ464">
        <v>0.2</v>
      </c>
      <c r="BK464">
        <v>1</v>
      </c>
      <c r="BL464" s="4">
        <v>97.75</v>
      </c>
      <c r="BM464" s="4">
        <v>14.66</v>
      </c>
      <c r="BN464" s="4">
        <v>112.41</v>
      </c>
      <c r="BO464" s="4">
        <v>112.41</v>
      </c>
      <c r="BQ464" t="s">
        <v>93</v>
      </c>
      <c r="BR464" t="s">
        <v>84</v>
      </c>
      <c r="BS464" s="3">
        <v>43804</v>
      </c>
      <c r="BT464" s="5">
        <v>0.4375</v>
      </c>
      <c r="BU464" t="s">
        <v>945</v>
      </c>
      <c r="BV464" t="s">
        <v>86</v>
      </c>
      <c r="BY464">
        <v>1200</v>
      </c>
      <c r="CA464" t="s">
        <v>946</v>
      </c>
      <c r="CC464" t="s">
        <v>672</v>
      </c>
      <c r="CD464">
        <v>1911</v>
      </c>
      <c r="CE464" t="s">
        <v>88</v>
      </c>
      <c r="CF464" s="3">
        <v>43805</v>
      </c>
      <c r="CI464">
        <v>1</v>
      </c>
      <c r="CJ464">
        <v>1</v>
      </c>
      <c r="CK464">
        <v>23</v>
      </c>
      <c r="CL464" t="s">
        <v>89</v>
      </c>
    </row>
    <row r="465" spans="1:90">
      <c r="A465" t="s">
        <v>72</v>
      </c>
      <c r="B465" t="s">
        <v>73</v>
      </c>
      <c r="C465" t="s">
        <v>74</v>
      </c>
      <c r="E465" t="str">
        <f>"FES1162726649"</f>
        <v>FES1162726649</v>
      </c>
      <c r="F465" s="3">
        <v>43803</v>
      </c>
      <c r="G465">
        <v>202006</v>
      </c>
      <c r="H465" t="s">
        <v>75</v>
      </c>
      <c r="I465" t="s">
        <v>76</v>
      </c>
      <c r="J465" t="s">
        <v>77</v>
      </c>
      <c r="K465" t="s">
        <v>78</v>
      </c>
      <c r="L465" t="s">
        <v>169</v>
      </c>
      <c r="M465" t="s">
        <v>170</v>
      </c>
      <c r="N465" t="s">
        <v>171</v>
      </c>
      <c r="O465" t="s">
        <v>82</v>
      </c>
      <c r="P465" t="str">
        <f>"2170712831                    "</f>
        <v xml:space="preserve">2170712831                    </v>
      </c>
      <c r="Q465">
        <v>0</v>
      </c>
      <c r="R465">
        <v>0</v>
      </c>
      <c r="S465">
        <v>0</v>
      </c>
      <c r="T465">
        <v>0</v>
      </c>
      <c r="U465">
        <v>0</v>
      </c>
      <c r="V465">
        <v>0</v>
      </c>
      <c r="W465">
        <v>0</v>
      </c>
      <c r="X465">
        <v>0</v>
      </c>
      <c r="Y465">
        <v>0</v>
      </c>
      <c r="Z465">
        <v>0</v>
      </c>
      <c r="AA465">
        <v>0</v>
      </c>
      <c r="AB465">
        <v>0</v>
      </c>
      <c r="AC465">
        <v>0</v>
      </c>
      <c r="AD465">
        <v>0</v>
      </c>
      <c r="AE465">
        <v>0</v>
      </c>
      <c r="AF465">
        <v>0</v>
      </c>
      <c r="AG465">
        <v>0</v>
      </c>
      <c r="AH465">
        <v>0</v>
      </c>
      <c r="AI465">
        <v>0</v>
      </c>
      <c r="AJ465">
        <v>0</v>
      </c>
      <c r="AK465">
        <v>0</v>
      </c>
      <c r="AL465">
        <v>0</v>
      </c>
      <c r="AM465">
        <v>6.71</v>
      </c>
      <c r="AN465">
        <v>0</v>
      </c>
      <c r="AO465">
        <v>0</v>
      </c>
      <c r="AP465">
        <v>0</v>
      </c>
      <c r="AQ465">
        <v>0</v>
      </c>
      <c r="AR465">
        <v>0</v>
      </c>
      <c r="AS465">
        <v>0</v>
      </c>
      <c r="AT465">
        <v>0</v>
      </c>
      <c r="AU465">
        <v>0</v>
      </c>
      <c r="AV465">
        <v>0</v>
      </c>
      <c r="AW465">
        <v>0</v>
      </c>
      <c r="AX465">
        <v>0</v>
      </c>
      <c r="AY465">
        <v>0</v>
      </c>
      <c r="AZ465">
        <v>0</v>
      </c>
      <c r="BA465">
        <v>0</v>
      </c>
      <c r="BB465">
        <v>0</v>
      </c>
      <c r="BC465">
        <v>0</v>
      </c>
      <c r="BD465">
        <v>0</v>
      </c>
      <c r="BE465">
        <v>0</v>
      </c>
      <c r="BF465">
        <v>0</v>
      </c>
      <c r="BG465">
        <v>0</v>
      </c>
      <c r="BH465">
        <v>1</v>
      </c>
      <c r="BI465">
        <v>1</v>
      </c>
      <c r="BJ465">
        <v>0.2</v>
      </c>
      <c r="BK465">
        <v>1</v>
      </c>
      <c r="BL465" s="4">
        <v>39.42</v>
      </c>
      <c r="BM465" s="4">
        <v>5.91</v>
      </c>
      <c r="BN465" s="4">
        <v>45.33</v>
      </c>
      <c r="BO465" s="4">
        <v>45.33</v>
      </c>
      <c r="BQ465" t="s">
        <v>172</v>
      </c>
      <c r="BR465" t="s">
        <v>84</v>
      </c>
      <c r="BS465" s="3">
        <v>43804</v>
      </c>
      <c r="BT465" s="5">
        <v>0.25833333333333336</v>
      </c>
      <c r="BU465" t="s">
        <v>885</v>
      </c>
      <c r="BV465" t="s">
        <v>86</v>
      </c>
      <c r="BY465">
        <v>1200</v>
      </c>
      <c r="CA465" t="s">
        <v>826</v>
      </c>
      <c r="CC465" t="s">
        <v>170</v>
      </c>
      <c r="CD465">
        <v>1459</v>
      </c>
      <c r="CE465" t="s">
        <v>88</v>
      </c>
      <c r="CF465" s="3">
        <v>43805</v>
      </c>
      <c r="CI465">
        <v>1</v>
      </c>
      <c r="CJ465">
        <v>1</v>
      </c>
      <c r="CK465">
        <v>22</v>
      </c>
      <c r="CL465" t="s">
        <v>89</v>
      </c>
    </row>
    <row r="466" spans="1:90">
      <c r="A466" t="s">
        <v>72</v>
      </c>
      <c r="B466" t="s">
        <v>73</v>
      </c>
      <c r="C466" t="s">
        <v>74</v>
      </c>
      <c r="E466" t="str">
        <f>"FES1162726697"</f>
        <v>FES1162726697</v>
      </c>
      <c r="F466" s="3">
        <v>43803</v>
      </c>
      <c r="G466">
        <v>202006</v>
      </c>
      <c r="H466" t="s">
        <v>75</v>
      </c>
      <c r="I466" t="s">
        <v>76</v>
      </c>
      <c r="J466" t="s">
        <v>77</v>
      </c>
      <c r="K466" t="s">
        <v>78</v>
      </c>
      <c r="L466" t="s">
        <v>169</v>
      </c>
      <c r="M466" t="s">
        <v>170</v>
      </c>
      <c r="N466" t="s">
        <v>947</v>
      </c>
      <c r="O466" t="s">
        <v>82</v>
      </c>
      <c r="P466" t="str">
        <f>"2170718778                    "</f>
        <v xml:space="preserve">2170718778                    </v>
      </c>
      <c r="Q466">
        <v>0</v>
      </c>
      <c r="R466">
        <v>0</v>
      </c>
      <c r="S466">
        <v>0</v>
      </c>
      <c r="T466">
        <v>0</v>
      </c>
      <c r="U466">
        <v>0</v>
      </c>
      <c r="V466">
        <v>0</v>
      </c>
      <c r="W466">
        <v>0</v>
      </c>
      <c r="X466">
        <v>0</v>
      </c>
      <c r="Y466">
        <v>0</v>
      </c>
      <c r="Z466">
        <v>0</v>
      </c>
      <c r="AA466">
        <v>0</v>
      </c>
      <c r="AB466">
        <v>0</v>
      </c>
      <c r="AC466">
        <v>0</v>
      </c>
      <c r="AD466">
        <v>0</v>
      </c>
      <c r="AE466">
        <v>0</v>
      </c>
      <c r="AF466">
        <v>0</v>
      </c>
      <c r="AG466">
        <v>0</v>
      </c>
      <c r="AH466">
        <v>0</v>
      </c>
      <c r="AI466">
        <v>0</v>
      </c>
      <c r="AJ466">
        <v>0</v>
      </c>
      <c r="AK466">
        <v>0</v>
      </c>
      <c r="AL466">
        <v>0</v>
      </c>
      <c r="AM466">
        <v>6.71</v>
      </c>
      <c r="AN466">
        <v>0</v>
      </c>
      <c r="AO466">
        <v>0</v>
      </c>
      <c r="AP466">
        <v>0</v>
      </c>
      <c r="AQ466">
        <v>0</v>
      </c>
      <c r="AR466">
        <v>0</v>
      </c>
      <c r="AS466">
        <v>0</v>
      </c>
      <c r="AT466">
        <v>0</v>
      </c>
      <c r="AU466">
        <v>0</v>
      </c>
      <c r="AV466">
        <v>0</v>
      </c>
      <c r="AW466">
        <v>0</v>
      </c>
      <c r="AX466">
        <v>0</v>
      </c>
      <c r="AY466">
        <v>0</v>
      </c>
      <c r="AZ466">
        <v>0</v>
      </c>
      <c r="BA466">
        <v>0</v>
      </c>
      <c r="BB466">
        <v>0</v>
      </c>
      <c r="BC466">
        <v>0</v>
      </c>
      <c r="BD466">
        <v>0</v>
      </c>
      <c r="BE466">
        <v>0</v>
      </c>
      <c r="BF466">
        <v>0</v>
      </c>
      <c r="BG466">
        <v>0</v>
      </c>
      <c r="BH466">
        <v>1</v>
      </c>
      <c r="BI466">
        <v>2</v>
      </c>
      <c r="BJ466">
        <v>0.2</v>
      </c>
      <c r="BK466">
        <v>2</v>
      </c>
      <c r="BL466" s="4">
        <v>39.42</v>
      </c>
      <c r="BM466" s="4">
        <v>5.91</v>
      </c>
      <c r="BN466" s="4">
        <v>45.33</v>
      </c>
      <c r="BO466" s="4">
        <v>45.33</v>
      </c>
      <c r="BQ466" t="s">
        <v>948</v>
      </c>
      <c r="BR466" t="s">
        <v>84</v>
      </c>
      <c r="BS466" s="3">
        <v>43804</v>
      </c>
      <c r="BT466" s="5">
        <v>0.35486111111111113</v>
      </c>
      <c r="BU466" t="s">
        <v>949</v>
      </c>
      <c r="BV466" t="s">
        <v>86</v>
      </c>
      <c r="BY466">
        <v>1200</v>
      </c>
      <c r="CA466" t="s">
        <v>826</v>
      </c>
      <c r="CC466" t="s">
        <v>170</v>
      </c>
      <c r="CD466">
        <v>1459</v>
      </c>
      <c r="CE466" t="s">
        <v>88</v>
      </c>
      <c r="CF466" s="3">
        <v>43805</v>
      </c>
      <c r="CI466">
        <v>1</v>
      </c>
      <c r="CJ466">
        <v>1</v>
      </c>
      <c r="CK466">
        <v>22</v>
      </c>
      <c r="CL466" t="s">
        <v>89</v>
      </c>
    </row>
    <row r="467" spans="1:90">
      <c r="A467" t="s">
        <v>72</v>
      </c>
      <c r="B467" t="s">
        <v>73</v>
      </c>
      <c r="C467" t="s">
        <v>74</v>
      </c>
      <c r="E467" t="str">
        <f>"FES1162726670"</f>
        <v>FES1162726670</v>
      </c>
      <c r="F467" s="3">
        <v>43803</v>
      </c>
      <c r="G467">
        <v>202006</v>
      </c>
      <c r="H467" t="s">
        <v>75</v>
      </c>
      <c r="I467" t="s">
        <v>76</v>
      </c>
      <c r="J467" t="s">
        <v>77</v>
      </c>
      <c r="K467" t="s">
        <v>78</v>
      </c>
      <c r="L467" t="s">
        <v>75</v>
      </c>
      <c r="M467" t="s">
        <v>76</v>
      </c>
      <c r="N467" t="s">
        <v>321</v>
      </c>
      <c r="O467" t="s">
        <v>82</v>
      </c>
      <c r="P467" t="str">
        <f>"2170717956                    "</f>
        <v xml:space="preserve">2170717956                    </v>
      </c>
      <c r="Q467">
        <v>0</v>
      </c>
      <c r="R467">
        <v>0</v>
      </c>
      <c r="S467">
        <v>0</v>
      </c>
      <c r="T467">
        <v>0</v>
      </c>
      <c r="U467">
        <v>0</v>
      </c>
      <c r="V467">
        <v>0</v>
      </c>
      <c r="W467">
        <v>0</v>
      </c>
      <c r="X467">
        <v>0</v>
      </c>
      <c r="Y467">
        <v>0</v>
      </c>
      <c r="Z467">
        <v>0</v>
      </c>
      <c r="AA467">
        <v>0</v>
      </c>
      <c r="AB467">
        <v>0</v>
      </c>
      <c r="AC467">
        <v>0</v>
      </c>
      <c r="AD467">
        <v>0</v>
      </c>
      <c r="AE467">
        <v>0</v>
      </c>
      <c r="AF467">
        <v>0</v>
      </c>
      <c r="AG467">
        <v>0</v>
      </c>
      <c r="AH467">
        <v>0</v>
      </c>
      <c r="AI467">
        <v>0</v>
      </c>
      <c r="AJ467">
        <v>0</v>
      </c>
      <c r="AK467">
        <v>0</v>
      </c>
      <c r="AL467">
        <v>0</v>
      </c>
      <c r="AM467">
        <v>6.71</v>
      </c>
      <c r="AN467">
        <v>0</v>
      </c>
      <c r="AO467">
        <v>0</v>
      </c>
      <c r="AP467">
        <v>0</v>
      </c>
      <c r="AQ467">
        <v>0</v>
      </c>
      <c r="AR467">
        <v>0</v>
      </c>
      <c r="AS467">
        <v>0</v>
      </c>
      <c r="AT467">
        <v>0</v>
      </c>
      <c r="AU467">
        <v>0</v>
      </c>
      <c r="AV467">
        <v>0</v>
      </c>
      <c r="AW467">
        <v>0</v>
      </c>
      <c r="AX467">
        <v>0</v>
      </c>
      <c r="AY467">
        <v>0</v>
      </c>
      <c r="AZ467">
        <v>0</v>
      </c>
      <c r="BA467">
        <v>0</v>
      </c>
      <c r="BB467">
        <v>0</v>
      </c>
      <c r="BC467">
        <v>0</v>
      </c>
      <c r="BD467">
        <v>0</v>
      </c>
      <c r="BE467">
        <v>0</v>
      </c>
      <c r="BF467">
        <v>0</v>
      </c>
      <c r="BG467">
        <v>0</v>
      </c>
      <c r="BH467">
        <v>1</v>
      </c>
      <c r="BI467">
        <v>1</v>
      </c>
      <c r="BJ467">
        <v>0.2</v>
      </c>
      <c r="BK467">
        <v>1</v>
      </c>
      <c r="BL467" s="4">
        <v>39.42</v>
      </c>
      <c r="BM467" s="4">
        <v>5.91</v>
      </c>
      <c r="BN467" s="4">
        <v>45.33</v>
      </c>
      <c r="BO467" s="4">
        <v>45.33</v>
      </c>
      <c r="BQ467" t="s">
        <v>322</v>
      </c>
      <c r="BR467" t="s">
        <v>84</v>
      </c>
      <c r="BS467" s="3">
        <v>43804</v>
      </c>
      <c r="BT467" s="5">
        <v>0.39583333333333331</v>
      </c>
      <c r="BU467" t="s">
        <v>323</v>
      </c>
      <c r="BV467" t="s">
        <v>86</v>
      </c>
      <c r="BY467">
        <v>1200</v>
      </c>
      <c r="CA467" t="s">
        <v>155</v>
      </c>
      <c r="CC467" t="s">
        <v>76</v>
      </c>
      <c r="CD467">
        <v>1619</v>
      </c>
      <c r="CE467" t="s">
        <v>88</v>
      </c>
      <c r="CF467" s="3">
        <v>43805</v>
      </c>
      <c r="CI467">
        <v>1</v>
      </c>
      <c r="CJ467">
        <v>1</v>
      </c>
      <c r="CK467">
        <v>22</v>
      </c>
      <c r="CL467" t="s">
        <v>89</v>
      </c>
    </row>
    <row r="468" spans="1:90">
      <c r="A468" t="s">
        <v>72</v>
      </c>
      <c r="B468" t="s">
        <v>73</v>
      </c>
      <c r="C468" t="s">
        <v>74</v>
      </c>
      <c r="E468" t="str">
        <f>"FES1162726667"</f>
        <v>FES1162726667</v>
      </c>
      <c r="F468" s="3">
        <v>43803</v>
      </c>
      <c r="G468">
        <v>202006</v>
      </c>
      <c r="H468" t="s">
        <v>75</v>
      </c>
      <c r="I468" t="s">
        <v>76</v>
      </c>
      <c r="J468" t="s">
        <v>77</v>
      </c>
      <c r="K468" t="s">
        <v>78</v>
      </c>
      <c r="L468" t="s">
        <v>332</v>
      </c>
      <c r="M468" t="s">
        <v>333</v>
      </c>
      <c r="N468" t="s">
        <v>950</v>
      </c>
      <c r="O468" t="s">
        <v>82</v>
      </c>
      <c r="P468" t="str">
        <f>"2170717918                    "</f>
        <v xml:space="preserve">2170717918                    </v>
      </c>
      <c r="Q468">
        <v>0</v>
      </c>
      <c r="R468">
        <v>0</v>
      </c>
      <c r="S468">
        <v>0</v>
      </c>
      <c r="T468">
        <v>0</v>
      </c>
      <c r="U468">
        <v>0</v>
      </c>
      <c r="V468">
        <v>0</v>
      </c>
      <c r="W468">
        <v>0</v>
      </c>
      <c r="X468">
        <v>0</v>
      </c>
      <c r="Y468">
        <v>0</v>
      </c>
      <c r="Z468">
        <v>0</v>
      </c>
      <c r="AA468">
        <v>0</v>
      </c>
      <c r="AB468">
        <v>0</v>
      </c>
      <c r="AC468">
        <v>0</v>
      </c>
      <c r="AD468">
        <v>0</v>
      </c>
      <c r="AE468">
        <v>0</v>
      </c>
      <c r="AF468">
        <v>0</v>
      </c>
      <c r="AG468">
        <v>0</v>
      </c>
      <c r="AH468">
        <v>0</v>
      </c>
      <c r="AI468">
        <v>0</v>
      </c>
      <c r="AJ468">
        <v>0</v>
      </c>
      <c r="AK468">
        <v>0</v>
      </c>
      <c r="AL468">
        <v>0</v>
      </c>
      <c r="AM468">
        <v>6.71</v>
      </c>
      <c r="AN468">
        <v>0</v>
      </c>
      <c r="AO468">
        <v>0</v>
      </c>
      <c r="AP468">
        <v>0</v>
      </c>
      <c r="AQ468">
        <v>0</v>
      </c>
      <c r="AR468">
        <v>0</v>
      </c>
      <c r="AS468">
        <v>0</v>
      </c>
      <c r="AT468">
        <v>0</v>
      </c>
      <c r="AU468">
        <v>0</v>
      </c>
      <c r="AV468">
        <v>0</v>
      </c>
      <c r="AW468">
        <v>0</v>
      </c>
      <c r="AX468">
        <v>0</v>
      </c>
      <c r="AY468">
        <v>0</v>
      </c>
      <c r="AZ468">
        <v>0</v>
      </c>
      <c r="BA468">
        <v>0</v>
      </c>
      <c r="BB468">
        <v>0</v>
      </c>
      <c r="BC468">
        <v>0</v>
      </c>
      <c r="BD468">
        <v>0</v>
      </c>
      <c r="BE468">
        <v>0</v>
      </c>
      <c r="BF468">
        <v>0</v>
      </c>
      <c r="BG468">
        <v>0</v>
      </c>
      <c r="BH468">
        <v>1</v>
      </c>
      <c r="BI468">
        <v>1</v>
      </c>
      <c r="BJ468">
        <v>0.2</v>
      </c>
      <c r="BK468">
        <v>1</v>
      </c>
      <c r="BL468" s="4">
        <v>39.42</v>
      </c>
      <c r="BM468" s="4">
        <v>5.91</v>
      </c>
      <c r="BN468" s="4">
        <v>45.33</v>
      </c>
      <c r="BO468" s="4">
        <v>45.33</v>
      </c>
      <c r="BQ468" t="s">
        <v>147</v>
      </c>
      <c r="BR468" t="s">
        <v>84</v>
      </c>
      <c r="BS468" s="3">
        <v>43804</v>
      </c>
      <c r="BT468" s="5">
        <v>0.42569444444444443</v>
      </c>
      <c r="BU468" t="s">
        <v>951</v>
      </c>
      <c r="BV468" t="s">
        <v>86</v>
      </c>
      <c r="BY468">
        <v>1200</v>
      </c>
      <c r="CC468" t="s">
        <v>333</v>
      </c>
      <c r="CD468">
        <v>2013</v>
      </c>
      <c r="CE468" t="s">
        <v>88</v>
      </c>
      <c r="CF468" s="3">
        <v>43808</v>
      </c>
      <c r="CI468">
        <v>1</v>
      </c>
      <c r="CJ468">
        <v>1</v>
      </c>
      <c r="CK468">
        <v>22</v>
      </c>
      <c r="CL468" t="s">
        <v>89</v>
      </c>
    </row>
    <row r="469" spans="1:90">
      <c r="A469" t="s">
        <v>72</v>
      </c>
      <c r="B469" t="s">
        <v>73</v>
      </c>
      <c r="C469" t="s">
        <v>74</v>
      </c>
      <c r="E469" t="str">
        <f>"FES1162726406"</f>
        <v>FES1162726406</v>
      </c>
      <c r="F469" s="3">
        <v>43803</v>
      </c>
      <c r="G469">
        <v>202006</v>
      </c>
      <c r="H469" t="s">
        <v>75</v>
      </c>
      <c r="I469" t="s">
        <v>76</v>
      </c>
      <c r="J469" t="s">
        <v>77</v>
      </c>
      <c r="K469" t="s">
        <v>78</v>
      </c>
      <c r="L469" t="s">
        <v>138</v>
      </c>
      <c r="M469" t="s">
        <v>139</v>
      </c>
      <c r="N469" t="s">
        <v>703</v>
      </c>
      <c r="O469" t="s">
        <v>82</v>
      </c>
      <c r="P469" t="str">
        <f>"2170719211                    "</f>
        <v xml:space="preserve">2170719211                    </v>
      </c>
      <c r="Q469">
        <v>0</v>
      </c>
      <c r="R469">
        <v>0</v>
      </c>
      <c r="S469">
        <v>0</v>
      </c>
      <c r="T469">
        <v>0</v>
      </c>
      <c r="U469">
        <v>0</v>
      </c>
      <c r="V469">
        <v>0</v>
      </c>
      <c r="W469">
        <v>0</v>
      </c>
      <c r="X469">
        <v>0</v>
      </c>
      <c r="Y469">
        <v>0</v>
      </c>
      <c r="Z469">
        <v>0</v>
      </c>
      <c r="AA469">
        <v>0</v>
      </c>
      <c r="AB469">
        <v>0</v>
      </c>
      <c r="AC469">
        <v>0</v>
      </c>
      <c r="AD469">
        <v>0</v>
      </c>
      <c r="AE469">
        <v>0</v>
      </c>
      <c r="AF469">
        <v>0</v>
      </c>
      <c r="AG469">
        <v>0</v>
      </c>
      <c r="AH469">
        <v>0</v>
      </c>
      <c r="AI469">
        <v>0</v>
      </c>
      <c r="AJ469">
        <v>0</v>
      </c>
      <c r="AK469">
        <v>0</v>
      </c>
      <c r="AL469">
        <v>0</v>
      </c>
      <c r="AM469">
        <v>6.71</v>
      </c>
      <c r="AN469">
        <v>0</v>
      </c>
      <c r="AO469">
        <v>0</v>
      </c>
      <c r="AP469">
        <v>0</v>
      </c>
      <c r="AQ469">
        <v>0</v>
      </c>
      <c r="AR469">
        <v>0</v>
      </c>
      <c r="AS469">
        <v>0</v>
      </c>
      <c r="AT469">
        <v>0</v>
      </c>
      <c r="AU469">
        <v>0</v>
      </c>
      <c r="AV469">
        <v>0</v>
      </c>
      <c r="AW469">
        <v>0</v>
      </c>
      <c r="AX469">
        <v>0</v>
      </c>
      <c r="AY469">
        <v>0</v>
      </c>
      <c r="AZ469">
        <v>0</v>
      </c>
      <c r="BA469">
        <v>0</v>
      </c>
      <c r="BB469">
        <v>0</v>
      </c>
      <c r="BC469">
        <v>0</v>
      </c>
      <c r="BD469">
        <v>0</v>
      </c>
      <c r="BE469">
        <v>0</v>
      </c>
      <c r="BF469">
        <v>0</v>
      </c>
      <c r="BG469">
        <v>0</v>
      </c>
      <c r="BH469">
        <v>1</v>
      </c>
      <c r="BI469">
        <v>1</v>
      </c>
      <c r="BJ469">
        <v>0.2</v>
      </c>
      <c r="BK469">
        <v>1</v>
      </c>
      <c r="BL469" s="4">
        <v>39.42</v>
      </c>
      <c r="BM469" s="4">
        <v>5.91</v>
      </c>
      <c r="BN469" s="4">
        <v>45.33</v>
      </c>
      <c r="BO469" s="4">
        <v>45.33</v>
      </c>
      <c r="BQ469" t="s">
        <v>704</v>
      </c>
      <c r="BR469" t="s">
        <v>84</v>
      </c>
      <c r="BS469" s="3">
        <v>43804</v>
      </c>
      <c r="BT469" s="5">
        <v>0.3923611111111111</v>
      </c>
      <c r="BU469" t="s">
        <v>952</v>
      </c>
      <c r="BV469" t="s">
        <v>86</v>
      </c>
      <c r="BY469">
        <v>1200</v>
      </c>
      <c r="CA469" t="s">
        <v>344</v>
      </c>
      <c r="CC469" t="s">
        <v>139</v>
      </c>
      <c r="CD469">
        <v>1422</v>
      </c>
      <c r="CE469" t="s">
        <v>88</v>
      </c>
      <c r="CF469" s="3">
        <v>43805</v>
      </c>
      <c r="CI469">
        <v>1</v>
      </c>
      <c r="CJ469">
        <v>1</v>
      </c>
      <c r="CK469">
        <v>22</v>
      </c>
      <c r="CL469" t="s">
        <v>89</v>
      </c>
    </row>
    <row r="470" spans="1:90">
      <c r="A470" t="s">
        <v>72</v>
      </c>
      <c r="B470" t="s">
        <v>73</v>
      </c>
      <c r="C470" t="s">
        <v>74</v>
      </c>
      <c r="E470" t="str">
        <f>"FES1162726529"</f>
        <v>FES1162726529</v>
      </c>
      <c r="F470" s="3">
        <v>43803</v>
      </c>
      <c r="G470">
        <v>202006</v>
      </c>
      <c r="H470" t="s">
        <v>75</v>
      </c>
      <c r="I470" t="s">
        <v>76</v>
      </c>
      <c r="J470" t="s">
        <v>77</v>
      </c>
      <c r="K470" t="s">
        <v>78</v>
      </c>
      <c r="L470" t="s">
        <v>332</v>
      </c>
      <c r="M470" t="s">
        <v>333</v>
      </c>
      <c r="N470" t="s">
        <v>701</v>
      </c>
      <c r="O470" t="s">
        <v>82</v>
      </c>
      <c r="P470" t="str">
        <f>"2170719991                    "</f>
        <v xml:space="preserve">2170719991                    </v>
      </c>
      <c r="Q470">
        <v>0</v>
      </c>
      <c r="R470">
        <v>0</v>
      </c>
      <c r="S470">
        <v>0</v>
      </c>
      <c r="T470">
        <v>0</v>
      </c>
      <c r="U470">
        <v>0</v>
      </c>
      <c r="V470">
        <v>0</v>
      </c>
      <c r="W470">
        <v>0</v>
      </c>
      <c r="X470">
        <v>0</v>
      </c>
      <c r="Y470">
        <v>0</v>
      </c>
      <c r="Z470">
        <v>0</v>
      </c>
      <c r="AA470">
        <v>0</v>
      </c>
      <c r="AB470">
        <v>0</v>
      </c>
      <c r="AC470">
        <v>0</v>
      </c>
      <c r="AD470">
        <v>0</v>
      </c>
      <c r="AE470">
        <v>0</v>
      </c>
      <c r="AF470">
        <v>0</v>
      </c>
      <c r="AG470">
        <v>0</v>
      </c>
      <c r="AH470">
        <v>0</v>
      </c>
      <c r="AI470">
        <v>0</v>
      </c>
      <c r="AJ470">
        <v>0</v>
      </c>
      <c r="AK470">
        <v>0</v>
      </c>
      <c r="AL470">
        <v>0</v>
      </c>
      <c r="AM470">
        <v>6.71</v>
      </c>
      <c r="AN470">
        <v>0</v>
      </c>
      <c r="AO470">
        <v>0</v>
      </c>
      <c r="AP470">
        <v>0</v>
      </c>
      <c r="AQ470">
        <v>0</v>
      </c>
      <c r="AR470">
        <v>0</v>
      </c>
      <c r="AS470">
        <v>0</v>
      </c>
      <c r="AT470">
        <v>0</v>
      </c>
      <c r="AU470">
        <v>0</v>
      </c>
      <c r="AV470">
        <v>0</v>
      </c>
      <c r="AW470">
        <v>0</v>
      </c>
      <c r="AX470">
        <v>0</v>
      </c>
      <c r="AY470">
        <v>0</v>
      </c>
      <c r="AZ470">
        <v>0</v>
      </c>
      <c r="BA470">
        <v>0</v>
      </c>
      <c r="BB470">
        <v>0</v>
      </c>
      <c r="BC470">
        <v>0</v>
      </c>
      <c r="BD470">
        <v>0</v>
      </c>
      <c r="BE470">
        <v>0</v>
      </c>
      <c r="BF470">
        <v>0</v>
      </c>
      <c r="BG470">
        <v>0</v>
      </c>
      <c r="BH470">
        <v>1</v>
      </c>
      <c r="BI470">
        <v>1</v>
      </c>
      <c r="BJ470">
        <v>0.2</v>
      </c>
      <c r="BK470">
        <v>1</v>
      </c>
      <c r="BL470" s="4">
        <v>39.42</v>
      </c>
      <c r="BM470" s="4">
        <v>5.91</v>
      </c>
      <c r="BN470" s="4">
        <v>45.33</v>
      </c>
      <c r="BO470" s="4">
        <v>45.33</v>
      </c>
      <c r="BQ470" t="s">
        <v>93</v>
      </c>
      <c r="BR470" t="s">
        <v>84</v>
      </c>
      <c r="BS470" s="3">
        <v>43804</v>
      </c>
      <c r="BT470" s="5">
        <v>0.39583333333333331</v>
      </c>
      <c r="BU470" t="s">
        <v>625</v>
      </c>
      <c r="BV470" t="s">
        <v>86</v>
      </c>
      <c r="BY470">
        <v>1200</v>
      </c>
      <c r="CC470" t="s">
        <v>333</v>
      </c>
      <c r="CD470">
        <v>2094</v>
      </c>
      <c r="CE470" t="s">
        <v>88</v>
      </c>
      <c r="CF470" s="3">
        <v>43805</v>
      </c>
      <c r="CI470">
        <v>1</v>
      </c>
      <c r="CJ470">
        <v>1</v>
      </c>
      <c r="CK470">
        <v>22</v>
      </c>
      <c r="CL470" t="s">
        <v>89</v>
      </c>
    </row>
    <row r="471" spans="1:90">
      <c r="A471" t="s">
        <v>72</v>
      </c>
      <c r="B471" t="s">
        <v>73</v>
      </c>
      <c r="C471" t="s">
        <v>74</v>
      </c>
      <c r="E471" t="str">
        <f>"FES1162726599"</f>
        <v>FES1162726599</v>
      </c>
      <c r="F471" s="3">
        <v>43803</v>
      </c>
      <c r="G471">
        <v>202006</v>
      </c>
      <c r="H471" t="s">
        <v>75</v>
      </c>
      <c r="I471" t="s">
        <v>76</v>
      </c>
      <c r="J471" t="s">
        <v>77</v>
      </c>
      <c r="K471" t="s">
        <v>78</v>
      </c>
      <c r="L471" t="s">
        <v>169</v>
      </c>
      <c r="M471" t="s">
        <v>170</v>
      </c>
      <c r="N471" t="s">
        <v>171</v>
      </c>
      <c r="O471" t="s">
        <v>82</v>
      </c>
      <c r="P471" t="str">
        <f>"2170720077                    "</f>
        <v xml:space="preserve">2170720077                    </v>
      </c>
      <c r="Q471">
        <v>0</v>
      </c>
      <c r="R471">
        <v>0</v>
      </c>
      <c r="S471">
        <v>0</v>
      </c>
      <c r="T471">
        <v>0</v>
      </c>
      <c r="U471">
        <v>0</v>
      </c>
      <c r="V471">
        <v>0</v>
      </c>
      <c r="W471">
        <v>0</v>
      </c>
      <c r="X471">
        <v>0</v>
      </c>
      <c r="Y471">
        <v>0</v>
      </c>
      <c r="Z471">
        <v>0</v>
      </c>
      <c r="AA471">
        <v>0</v>
      </c>
      <c r="AB471">
        <v>0</v>
      </c>
      <c r="AC471">
        <v>0</v>
      </c>
      <c r="AD471">
        <v>0</v>
      </c>
      <c r="AE471">
        <v>0</v>
      </c>
      <c r="AF471">
        <v>0</v>
      </c>
      <c r="AG471">
        <v>0</v>
      </c>
      <c r="AH471">
        <v>0</v>
      </c>
      <c r="AI471">
        <v>0</v>
      </c>
      <c r="AJ471">
        <v>0</v>
      </c>
      <c r="AK471">
        <v>0</v>
      </c>
      <c r="AL471">
        <v>0</v>
      </c>
      <c r="AM471">
        <v>6.71</v>
      </c>
      <c r="AN471">
        <v>0</v>
      </c>
      <c r="AO471">
        <v>0</v>
      </c>
      <c r="AP471">
        <v>0</v>
      </c>
      <c r="AQ471">
        <v>0</v>
      </c>
      <c r="AR471">
        <v>0</v>
      </c>
      <c r="AS471">
        <v>0</v>
      </c>
      <c r="AT471">
        <v>0</v>
      </c>
      <c r="AU471">
        <v>0</v>
      </c>
      <c r="AV471">
        <v>0</v>
      </c>
      <c r="AW471">
        <v>0</v>
      </c>
      <c r="AX471">
        <v>0</v>
      </c>
      <c r="AY471">
        <v>0</v>
      </c>
      <c r="AZ471">
        <v>0</v>
      </c>
      <c r="BA471">
        <v>0</v>
      </c>
      <c r="BB471">
        <v>0</v>
      </c>
      <c r="BC471">
        <v>0</v>
      </c>
      <c r="BD471">
        <v>0</v>
      </c>
      <c r="BE471">
        <v>0</v>
      </c>
      <c r="BF471">
        <v>0</v>
      </c>
      <c r="BG471">
        <v>0</v>
      </c>
      <c r="BH471">
        <v>1</v>
      </c>
      <c r="BI471">
        <v>1</v>
      </c>
      <c r="BJ471">
        <v>0.2</v>
      </c>
      <c r="BK471">
        <v>1</v>
      </c>
      <c r="BL471" s="4">
        <v>39.42</v>
      </c>
      <c r="BM471" s="4">
        <v>5.91</v>
      </c>
      <c r="BN471" s="4">
        <v>45.33</v>
      </c>
      <c r="BO471" s="4">
        <v>45.33</v>
      </c>
      <c r="BQ471" t="s">
        <v>172</v>
      </c>
      <c r="BR471" t="s">
        <v>84</v>
      </c>
      <c r="BS471" s="3">
        <v>43804</v>
      </c>
      <c r="BT471" s="5">
        <v>0.25694444444444448</v>
      </c>
      <c r="BU471" t="s">
        <v>885</v>
      </c>
      <c r="BV471" t="s">
        <v>86</v>
      </c>
      <c r="BY471">
        <v>1200</v>
      </c>
      <c r="CA471" t="s">
        <v>826</v>
      </c>
      <c r="CC471" t="s">
        <v>170</v>
      </c>
      <c r="CD471">
        <v>1459</v>
      </c>
      <c r="CE471" t="s">
        <v>88</v>
      </c>
      <c r="CF471" s="3">
        <v>43805</v>
      </c>
      <c r="CI471">
        <v>1</v>
      </c>
      <c r="CJ471">
        <v>1</v>
      </c>
      <c r="CK471">
        <v>22</v>
      </c>
      <c r="CL471" t="s">
        <v>89</v>
      </c>
    </row>
    <row r="472" spans="1:90">
      <c r="A472" t="s">
        <v>72</v>
      </c>
      <c r="B472" t="s">
        <v>73</v>
      </c>
      <c r="C472" t="s">
        <v>74</v>
      </c>
      <c r="E472" t="str">
        <f>"FES1162726455"</f>
        <v>FES1162726455</v>
      </c>
      <c r="F472" s="3">
        <v>43803</v>
      </c>
      <c r="G472">
        <v>202006</v>
      </c>
      <c r="H472" t="s">
        <v>75</v>
      </c>
      <c r="I472" t="s">
        <v>76</v>
      </c>
      <c r="J472" t="s">
        <v>77</v>
      </c>
      <c r="K472" t="s">
        <v>78</v>
      </c>
      <c r="L472" t="s">
        <v>169</v>
      </c>
      <c r="M472" t="s">
        <v>170</v>
      </c>
      <c r="N472" t="s">
        <v>171</v>
      </c>
      <c r="O472" t="s">
        <v>82</v>
      </c>
      <c r="P472" t="str">
        <f>"2170719881                    "</f>
        <v xml:space="preserve">2170719881                    </v>
      </c>
      <c r="Q472">
        <v>0</v>
      </c>
      <c r="R472">
        <v>0</v>
      </c>
      <c r="S472">
        <v>0</v>
      </c>
      <c r="T472">
        <v>0</v>
      </c>
      <c r="U472">
        <v>0</v>
      </c>
      <c r="V472">
        <v>0</v>
      </c>
      <c r="W472">
        <v>0</v>
      </c>
      <c r="X472">
        <v>0</v>
      </c>
      <c r="Y472">
        <v>0</v>
      </c>
      <c r="Z472">
        <v>0</v>
      </c>
      <c r="AA472">
        <v>0</v>
      </c>
      <c r="AB472">
        <v>0</v>
      </c>
      <c r="AC472">
        <v>0</v>
      </c>
      <c r="AD472">
        <v>0</v>
      </c>
      <c r="AE472">
        <v>0</v>
      </c>
      <c r="AF472">
        <v>0</v>
      </c>
      <c r="AG472">
        <v>0</v>
      </c>
      <c r="AH472">
        <v>0</v>
      </c>
      <c r="AI472">
        <v>0</v>
      </c>
      <c r="AJ472">
        <v>0</v>
      </c>
      <c r="AK472">
        <v>0</v>
      </c>
      <c r="AL472">
        <v>0</v>
      </c>
      <c r="AM472">
        <v>6.71</v>
      </c>
      <c r="AN472">
        <v>0</v>
      </c>
      <c r="AO472">
        <v>0</v>
      </c>
      <c r="AP472">
        <v>0</v>
      </c>
      <c r="AQ472">
        <v>0</v>
      </c>
      <c r="AR472">
        <v>0</v>
      </c>
      <c r="AS472">
        <v>0</v>
      </c>
      <c r="AT472">
        <v>0</v>
      </c>
      <c r="AU472">
        <v>0</v>
      </c>
      <c r="AV472">
        <v>0</v>
      </c>
      <c r="AW472">
        <v>0</v>
      </c>
      <c r="AX472">
        <v>0</v>
      </c>
      <c r="AY472">
        <v>0</v>
      </c>
      <c r="AZ472">
        <v>0</v>
      </c>
      <c r="BA472">
        <v>0</v>
      </c>
      <c r="BB472">
        <v>0</v>
      </c>
      <c r="BC472">
        <v>0</v>
      </c>
      <c r="BD472">
        <v>0</v>
      </c>
      <c r="BE472">
        <v>0</v>
      </c>
      <c r="BF472">
        <v>0</v>
      </c>
      <c r="BG472">
        <v>0</v>
      </c>
      <c r="BH472">
        <v>1</v>
      </c>
      <c r="BI472">
        <v>1</v>
      </c>
      <c r="BJ472">
        <v>0.2</v>
      </c>
      <c r="BK472">
        <v>1</v>
      </c>
      <c r="BL472" s="4">
        <v>39.42</v>
      </c>
      <c r="BM472" s="4">
        <v>5.91</v>
      </c>
      <c r="BN472" s="4">
        <v>45.33</v>
      </c>
      <c r="BO472" s="4">
        <v>45.33</v>
      </c>
      <c r="BQ472" t="s">
        <v>172</v>
      </c>
      <c r="BR472" t="s">
        <v>84</v>
      </c>
      <c r="BS472" s="3">
        <v>43804</v>
      </c>
      <c r="BT472" s="5">
        <v>0.25763888888888892</v>
      </c>
      <c r="BU472" t="s">
        <v>885</v>
      </c>
      <c r="BV472" t="s">
        <v>86</v>
      </c>
      <c r="BY472">
        <v>1200</v>
      </c>
      <c r="CA472" t="s">
        <v>826</v>
      </c>
      <c r="CC472" t="s">
        <v>170</v>
      </c>
      <c r="CD472">
        <v>1459</v>
      </c>
      <c r="CE472" t="s">
        <v>88</v>
      </c>
      <c r="CI472">
        <v>1</v>
      </c>
      <c r="CJ472">
        <v>1</v>
      </c>
      <c r="CK472">
        <v>22</v>
      </c>
      <c r="CL472" t="s">
        <v>89</v>
      </c>
    </row>
    <row r="473" spans="1:90">
      <c r="A473" t="s">
        <v>72</v>
      </c>
      <c r="B473" t="s">
        <v>73</v>
      </c>
      <c r="C473" t="s">
        <v>74</v>
      </c>
      <c r="E473" t="str">
        <f>"FES1162726521"</f>
        <v>FES1162726521</v>
      </c>
      <c r="F473" s="3">
        <v>43803</v>
      </c>
      <c r="G473">
        <v>202006</v>
      </c>
      <c r="H473" t="s">
        <v>75</v>
      </c>
      <c r="I473" t="s">
        <v>76</v>
      </c>
      <c r="J473" t="s">
        <v>77</v>
      </c>
      <c r="K473" t="s">
        <v>78</v>
      </c>
      <c r="L473" t="s">
        <v>667</v>
      </c>
      <c r="M473" t="s">
        <v>668</v>
      </c>
      <c r="N473" t="s">
        <v>953</v>
      </c>
      <c r="O473" t="s">
        <v>82</v>
      </c>
      <c r="P473" t="str">
        <f>"2170719973                    "</f>
        <v xml:space="preserve">2170719973                    </v>
      </c>
      <c r="Q473">
        <v>0</v>
      </c>
      <c r="R473">
        <v>0</v>
      </c>
      <c r="S473">
        <v>0</v>
      </c>
      <c r="T473">
        <v>0</v>
      </c>
      <c r="U473">
        <v>0</v>
      </c>
      <c r="V473">
        <v>0</v>
      </c>
      <c r="W473">
        <v>0</v>
      </c>
      <c r="X473">
        <v>0</v>
      </c>
      <c r="Y473">
        <v>0</v>
      </c>
      <c r="Z473">
        <v>0</v>
      </c>
      <c r="AA473">
        <v>0</v>
      </c>
      <c r="AB473">
        <v>0</v>
      </c>
      <c r="AC473">
        <v>0</v>
      </c>
      <c r="AD473">
        <v>0</v>
      </c>
      <c r="AE473">
        <v>0</v>
      </c>
      <c r="AF473">
        <v>0</v>
      </c>
      <c r="AG473">
        <v>0</v>
      </c>
      <c r="AH473">
        <v>0</v>
      </c>
      <c r="AI473">
        <v>0</v>
      </c>
      <c r="AJ473">
        <v>0</v>
      </c>
      <c r="AK473">
        <v>0</v>
      </c>
      <c r="AL473">
        <v>0</v>
      </c>
      <c r="AM473">
        <v>12.07</v>
      </c>
      <c r="AN473">
        <v>0</v>
      </c>
      <c r="AO473">
        <v>0</v>
      </c>
      <c r="AP473">
        <v>0</v>
      </c>
      <c r="AQ473">
        <v>0</v>
      </c>
      <c r="AR473">
        <v>0</v>
      </c>
      <c r="AS473">
        <v>0</v>
      </c>
      <c r="AT473">
        <v>0</v>
      </c>
      <c r="AU473">
        <v>0</v>
      </c>
      <c r="AV473">
        <v>0</v>
      </c>
      <c r="AW473">
        <v>0</v>
      </c>
      <c r="AX473">
        <v>0</v>
      </c>
      <c r="AY473">
        <v>0</v>
      </c>
      <c r="AZ473">
        <v>0</v>
      </c>
      <c r="BA473">
        <v>0</v>
      </c>
      <c r="BB473">
        <v>0</v>
      </c>
      <c r="BC473">
        <v>0</v>
      </c>
      <c r="BD473">
        <v>0</v>
      </c>
      <c r="BE473">
        <v>0</v>
      </c>
      <c r="BF473">
        <v>0</v>
      </c>
      <c r="BG473">
        <v>0</v>
      </c>
      <c r="BH473">
        <v>1</v>
      </c>
      <c r="BI473">
        <v>1</v>
      </c>
      <c r="BJ473">
        <v>0.2</v>
      </c>
      <c r="BK473">
        <v>1</v>
      </c>
      <c r="BL473" s="4">
        <v>70.95</v>
      </c>
      <c r="BM473" s="4">
        <v>10.64</v>
      </c>
      <c r="BN473" s="4">
        <v>81.59</v>
      </c>
      <c r="BO473" s="4">
        <v>81.59</v>
      </c>
      <c r="BQ473" t="s">
        <v>93</v>
      </c>
      <c r="BR473" t="s">
        <v>84</v>
      </c>
      <c r="BS473" s="3">
        <v>43804</v>
      </c>
      <c r="BT473" s="5">
        <v>0.41666666666666669</v>
      </c>
      <c r="BU473" t="s">
        <v>954</v>
      </c>
      <c r="BV473" t="s">
        <v>86</v>
      </c>
      <c r="BY473">
        <v>1200</v>
      </c>
      <c r="CC473" t="s">
        <v>668</v>
      </c>
      <c r="CD473">
        <v>1759</v>
      </c>
      <c r="CE473" t="s">
        <v>88</v>
      </c>
      <c r="CF473" s="3">
        <v>43808</v>
      </c>
      <c r="CI473">
        <v>1</v>
      </c>
      <c r="CJ473">
        <v>1</v>
      </c>
      <c r="CK473">
        <v>24</v>
      </c>
      <c r="CL473" t="s">
        <v>89</v>
      </c>
    </row>
    <row r="474" spans="1:90">
      <c r="A474" t="s">
        <v>72</v>
      </c>
      <c r="B474" t="s">
        <v>73</v>
      </c>
      <c r="C474" t="s">
        <v>74</v>
      </c>
      <c r="E474" t="str">
        <f>"FES1162726569"</f>
        <v>FES1162726569</v>
      </c>
      <c r="F474" s="3">
        <v>43803</v>
      </c>
      <c r="G474">
        <v>202006</v>
      </c>
      <c r="H474" t="s">
        <v>75</v>
      </c>
      <c r="I474" t="s">
        <v>76</v>
      </c>
      <c r="J474" t="s">
        <v>77</v>
      </c>
      <c r="K474" t="s">
        <v>78</v>
      </c>
      <c r="L474" t="s">
        <v>90</v>
      </c>
      <c r="M474" t="s">
        <v>91</v>
      </c>
      <c r="N474" t="s">
        <v>535</v>
      </c>
      <c r="O474" t="s">
        <v>82</v>
      </c>
      <c r="P474" t="str">
        <f>"2170718806                    "</f>
        <v xml:space="preserve">2170718806                    </v>
      </c>
      <c r="Q474">
        <v>0</v>
      </c>
      <c r="R474">
        <v>0</v>
      </c>
      <c r="S474">
        <v>0</v>
      </c>
      <c r="T474">
        <v>0</v>
      </c>
      <c r="U474">
        <v>0</v>
      </c>
      <c r="V474">
        <v>0</v>
      </c>
      <c r="W474">
        <v>0</v>
      </c>
      <c r="X474">
        <v>0</v>
      </c>
      <c r="Y474">
        <v>0</v>
      </c>
      <c r="Z474">
        <v>0</v>
      </c>
      <c r="AA474">
        <v>0</v>
      </c>
      <c r="AB474">
        <v>0</v>
      </c>
      <c r="AC474">
        <v>0</v>
      </c>
      <c r="AD474">
        <v>0</v>
      </c>
      <c r="AE474">
        <v>0</v>
      </c>
      <c r="AF474">
        <v>0</v>
      </c>
      <c r="AG474">
        <v>0</v>
      </c>
      <c r="AH474">
        <v>0</v>
      </c>
      <c r="AI474">
        <v>0</v>
      </c>
      <c r="AJ474">
        <v>0</v>
      </c>
      <c r="AK474">
        <v>0</v>
      </c>
      <c r="AL474">
        <v>0</v>
      </c>
      <c r="AM474">
        <v>8.58</v>
      </c>
      <c r="AN474">
        <v>0</v>
      </c>
      <c r="AO474">
        <v>0</v>
      </c>
      <c r="AP474">
        <v>0</v>
      </c>
      <c r="AQ474">
        <v>0</v>
      </c>
      <c r="AR474">
        <v>0</v>
      </c>
      <c r="AS474">
        <v>0</v>
      </c>
      <c r="AT474">
        <v>0</v>
      </c>
      <c r="AU474">
        <v>0</v>
      </c>
      <c r="AV474">
        <v>0</v>
      </c>
      <c r="AW474">
        <v>0</v>
      </c>
      <c r="AX474">
        <v>0</v>
      </c>
      <c r="AY474">
        <v>0</v>
      </c>
      <c r="AZ474">
        <v>0</v>
      </c>
      <c r="BA474">
        <v>0</v>
      </c>
      <c r="BB474">
        <v>0</v>
      </c>
      <c r="BC474">
        <v>0</v>
      </c>
      <c r="BD474">
        <v>0</v>
      </c>
      <c r="BE474">
        <v>0</v>
      </c>
      <c r="BF474">
        <v>0</v>
      </c>
      <c r="BG474">
        <v>0</v>
      </c>
      <c r="BH474">
        <v>1</v>
      </c>
      <c r="BI474">
        <v>1</v>
      </c>
      <c r="BJ474">
        <v>0.2</v>
      </c>
      <c r="BK474">
        <v>1</v>
      </c>
      <c r="BL474" s="4">
        <v>50.45</v>
      </c>
      <c r="BM474" s="4">
        <v>7.57</v>
      </c>
      <c r="BN474" s="4">
        <v>58.02</v>
      </c>
      <c r="BO474" s="4">
        <v>58.02</v>
      </c>
      <c r="BQ474" t="s">
        <v>147</v>
      </c>
      <c r="BR474" t="s">
        <v>84</v>
      </c>
      <c r="BS474" s="3">
        <v>43804</v>
      </c>
      <c r="BT474" s="5">
        <v>0.40972222222222227</v>
      </c>
      <c r="BU474" t="s">
        <v>819</v>
      </c>
      <c r="BV474" t="s">
        <v>86</v>
      </c>
      <c r="BY474">
        <v>1200</v>
      </c>
      <c r="CA474" t="s">
        <v>209</v>
      </c>
      <c r="CC474" t="s">
        <v>91</v>
      </c>
      <c r="CD474">
        <v>7441</v>
      </c>
      <c r="CE474" t="s">
        <v>88</v>
      </c>
      <c r="CF474" s="3">
        <v>43805</v>
      </c>
      <c r="CI474">
        <v>1</v>
      </c>
      <c r="CJ474">
        <v>1</v>
      </c>
      <c r="CK474">
        <v>21</v>
      </c>
      <c r="CL474" t="s">
        <v>89</v>
      </c>
    </row>
    <row r="475" spans="1:90">
      <c r="A475" t="s">
        <v>72</v>
      </c>
      <c r="B475" t="s">
        <v>73</v>
      </c>
      <c r="C475" t="s">
        <v>74</v>
      </c>
      <c r="E475" t="str">
        <f>"FES1162726639"</f>
        <v>FES1162726639</v>
      </c>
      <c r="F475" s="3">
        <v>43803</v>
      </c>
      <c r="G475">
        <v>202006</v>
      </c>
      <c r="H475" t="s">
        <v>75</v>
      </c>
      <c r="I475" t="s">
        <v>76</v>
      </c>
      <c r="J475" t="s">
        <v>77</v>
      </c>
      <c r="K475" t="s">
        <v>78</v>
      </c>
      <c r="L475" t="s">
        <v>258</v>
      </c>
      <c r="M475" t="s">
        <v>259</v>
      </c>
      <c r="N475" t="s">
        <v>820</v>
      </c>
      <c r="O475" t="s">
        <v>82</v>
      </c>
      <c r="P475" t="str">
        <f>"2170708314                    "</f>
        <v xml:space="preserve">2170708314                    </v>
      </c>
      <c r="Q475">
        <v>0</v>
      </c>
      <c r="R475">
        <v>0</v>
      </c>
      <c r="S475">
        <v>0</v>
      </c>
      <c r="T475">
        <v>0</v>
      </c>
      <c r="U475">
        <v>0</v>
      </c>
      <c r="V475">
        <v>0</v>
      </c>
      <c r="W475">
        <v>0</v>
      </c>
      <c r="X475">
        <v>0</v>
      </c>
      <c r="Y475">
        <v>0</v>
      </c>
      <c r="Z475">
        <v>0</v>
      </c>
      <c r="AA475">
        <v>0</v>
      </c>
      <c r="AB475">
        <v>0</v>
      </c>
      <c r="AC475">
        <v>0</v>
      </c>
      <c r="AD475">
        <v>0</v>
      </c>
      <c r="AE475">
        <v>0</v>
      </c>
      <c r="AF475">
        <v>0</v>
      </c>
      <c r="AG475">
        <v>0</v>
      </c>
      <c r="AH475">
        <v>0</v>
      </c>
      <c r="AI475">
        <v>0</v>
      </c>
      <c r="AJ475">
        <v>0</v>
      </c>
      <c r="AK475">
        <v>0</v>
      </c>
      <c r="AL475">
        <v>0</v>
      </c>
      <c r="AM475">
        <v>8.58</v>
      </c>
      <c r="AN475">
        <v>0</v>
      </c>
      <c r="AO475">
        <v>0</v>
      </c>
      <c r="AP475">
        <v>0</v>
      </c>
      <c r="AQ475">
        <v>0</v>
      </c>
      <c r="AR475">
        <v>0</v>
      </c>
      <c r="AS475">
        <v>0</v>
      </c>
      <c r="AT475">
        <v>0</v>
      </c>
      <c r="AU475">
        <v>0</v>
      </c>
      <c r="AV475">
        <v>0</v>
      </c>
      <c r="AW475">
        <v>0</v>
      </c>
      <c r="AX475">
        <v>0</v>
      </c>
      <c r="AY475">
        <v>0</v>
      </c>
      <c r="AZ475">
        <v>0</v>
      </c>
      <c r="BA475">
        <v>0</v>
      </c>
      <c r="BB475">
        <v>0</v>
      </c>
      <c r="BC475">
        <v>0</v>
      </c>
      <c r="BD475">
        <v>0</v>
      </c>
      <c r="BE475">
        <v>0</v>
      </c>
      <c r="BF475">
        <v>0</v>
      </c>
      <c r="BG475">
        <v>0</v>
      </c>
      <c r="BH475">
        <v>1</v>
      </c>
      <c r="BI475">
        <v>1</v>
      </c>
      <c r="BJ475">
        <v>0.2</v>
      </c>
      <c r="BK475">
        <v>1</v>
      </c>
      <c r="BL475" s="4">
        <v>50.45</v>
      </c>
      <c r="BM475" s="4">
        <v>7.57</v>
      </c>
      <c r="BN475" s="4">
        <v>58.02</v>
      </c>
      <c r="BO475" s="4">
        <v>58.02</v>
      </c>
      <c r="BQ475" t="s">
        <v>93</v>
      </c>
      <c r="BR475" t="s">
        <v>84</v>
      </c>
      <c r="BS475" s="3">
        <v>43804</v>
      </c>
      <c r="BT475" s="5">
        <v>0.38263888888888892</v>
      </c>
      <c r="BU475" t="s">
        <v>821</v>
      </c>
      <c r="BV475" t="s">
        <v>86</v>
      </c>
      <c r="BY475">
        <v>1200</v>
      </c>
      <c r="CA475" t="s">
        <v>262</v>
      </c>
      <c r="CC475" t="s">
        <v>259</v>
      </c>
      <c r="CD475">
        <v>7600</v>
      </c>
      <c r="CE475" t="s">
        <v>88</v>
      </c>
      <c r="CF475" s="3">
        <v>43805</v>
      </c>
      <c r="CI475">
        <v>1</v>
      </c>
      <c r="CJ475">
        <v>1</v>
      </c>
      <c r="CK475">
        <v>21</v>
      </c>
      <c r="CL475" t="s">
        <v>89</v>
      </c>
    </row>
    <row r="476" spans="1:90">
      <c r="A476" t="s">
        <v>72</v>
      </c>
      <c r="B476" t="s">
        <v>73</v>
      </c>
      <c r="C476" t="s">
        <v>74</v>
      </c>
      <c r="E476" t="str">
        <f>"FES1162726513"</f>
        <v>FES1162726513</v>
      </c>
      <c r="F476" s="3">
        <v>43803</v>
      </c>
      <c r="G476">
        <v>202006</v>
      </c>
      <c r="H476" t="s">
        <v>75</v>
      </c>
      <c r="I476" t="s">
        <v>76</v>
      </c>
      <c r="J476" t="s">
        <v>77</v>
      </c>
      <c r="K476" t="s">
        <v>78</v>
      </c>
      <c r="L476" t="s">
        <v>90</v>
      </c>
      <c r="M476" t="s">
        <v>91</v>
      </c>
      <c r="N476" t="s">
        <v>535</v>
      </c>
      <c r="O476" t="s">
        <v>82</v>
      </c>
      <c r="P476" t="str">
        <f>"2170719964                    "</f>
        <v xml:space="preserve">2170719964                    </v>
      </c>
      <c r="Q476">
        <v>0</v>
      </c>
      <c r="R476">
        <v>0</v>
      </c>
      <c r="S476">
        <v>0</v>
      </c>
      <c r="T476">
        <v>0</v>
      </c>
      <c r="U476">
        <v>0</v>
      </c>
      <c r="V476">
        <v>0</v>
      </c>
      <c r="W476">
        <v>0</v>
      </c>
      <c r="X476">
        <v>0</v>
      </c>
      <c r="Y476">
        <v>0</v>
      </c>
      <c r="Z476">
        <v>0</v>
      </c>
      <c r="AA476">
        <v>0</v>
      </c>
      <c r="AB476">
        <v>0</v>
      </c>
      <c r="AC476">
        <v>0</v>
      </c>
      <c r="AD476">
        <v>0</v>
      </c>
      <c r="AE476">
        <v>0</v>
      </c>
      <c r="AF476">
        <v>0</v>
      </c>
      <c r="AG476">
        <v>0</v>
      </c>
      <c r="AH476">
        <v>0</v>
      </c>
      <c r="AI476">
        <v>0</v>
      </c>
      <c r="AJ476">
        <v>0</v>
      </c>
      <c r="AK476">
        <v>0</v>
      </c>
      <c r="AL476">
        <v>0</v>
      </c>
      <c r="AM476">
        <v>8.58</v>
      </c>
      <c r="AN476">
        <v>0</v>
      </c>
      <c r="AO476">
        <v>0</v>
      </c>
      <c r="AP476">
        <v>0</v>
      </c>
      <c r="AQ476">
        <v>0</v>
      </c>
      <c r="AR476">
        <v>0</v>
      </c>
      <c r="AS476">
        <v>0</v>
      </c>
      <c r="AT476">
        <v>0</v>
      </c>
      <c r="AU476">
        <v>0</v>
      </c>
      <c r="AV476">
        <v>0</v>
      </c>
      <c r="AW476">
        <v>0</v>
      </c>
      <c r="AX476">
        <v>0</v>
      </c>
      <c r="AY476">
        <v>0</v>
      </c>
      <c r="AZ476">
        <v>0</v>
      </c>
      <c r="BA476">
        <v>0</v>
      </c>
      <c r="BB476">
        <v>0</v>
      </c>
      <c r="BC476">
        <v>0</v>
      </c>
      <c r="BD476">
        <v>0</v>
      </c>
      <c r="BE476">
        <v>0</v>
      </c>
      <c r="BF476">
        <v>0</v>
      </c>
      <c r="BG476">
        <v>0</v>
      </c>
      <c r="BH476">
        <v>1</v>
      </c>
      <c r="BI476">
        <v>1</v>
      </c>
      <c r="BJ476">
        <v>0.2</v>
      </c>
      <c r="BK476">
        <v>1</v>
      </c>
      <c r="BL476" s="4">
        <v>50.45</v>
      </c>
      <c r="BM476" s="4">
        <v>7.57</v>
      </c>
      <c r="BN476" s="4">
        <v>58.02</v>
      </c>
      <c r="BO476" s="4">
        <v>58.02</v>
      </c>
      <c r="BQ476" t="s">
        <v>147</v>
      </c>
      <c r="BR476" t="s">
        <v>84</v>
      </c>
      <c r="BS476" s="3">
        <v>43804</v>
      </c>
      <c r="BT476" s="5">
        <v>0.41041666666666665</v>
      </c>
      <c r="BU476" t="s">
        <v>819</v>
      </c>
      <c r="BV476" t="s">
        <v>86</v>
      </c>
      <c r="BY476">
        <v>1200</v>
      </c>
      <c r="CA476" t="s">
        <v>209</v>
      </c>
      <c r="CC476" t="s">
        <v>91</v>
      </c>
      <c r="CD476">
        <v>7441</v>
      </c>
      <c r="CE476" t="s">
        <v>88</v>
      </c>
      <c r="CF476" s="3">
        <v>43805</v>
      </c>
      <c r="CI476">
        <v>1</v>
      </c>
      <c r="CJ476">
        <v>1</v>
      </c>
      <c r="CK476">
        <v>21</v>
      </c>
      <c r="CL476" t="s">
        <v>89</v>
      </c>
    </row>
    <row r="477" spans="1:90">
      <c r="A477" t="s">
        <v>72</v>
      </c>
      <c r="B477" t="s">
        <v>73</v>
      </c>
      <c r="C477" t="s">
        <v>74</v>
      </c>
      <c r="E477" t="str">
        <f>"FES1162726575"</f>
        <v>FES1162726575</v>
      </c>
      <c r="F477" s="3">
        <v>43803</v>
      </c>
      <c r="G477">
        <v>202006</v>
      </c>
      <c r="H477" t="s">
        <v>75</v>
      </c>
      <c r="I477" t="s">
        <v>76</v>
      </c>
      <c r="J477" t="s">
        <v>77</v>
      </c>
      <c r="K477" t="s">
        <v>78</v>
      </c>
      <c r="L477" t="s">
        <v>90</v>
      </c>
      <c r="M477" t="s">
        <v>91</v>
      </c>
      <c r="N477" t="s">
        <v>548</v>
      </c>
      <c r="O477" t="s">
        <v>82</v>
      </c>
      <c r="P477" t="str">
        <f>"2170719759                    "</f>
        <v xml:space="preserve">2170719759                    </v>
      </c>
      <c r="Q477">
        <v>0</v>
      </c>
      <c r="R477">
        <v>0</v>
      </c>
      <c r="S477">
        <v>0</v>
      </c>
      <c r="T477">
        <v>0</v>
      </c>
      <c r="U477">
        <v>0</v>
      </c>
      <c r="V477">
        <v>0</v>
      </c>
      <c r="W477">
        <v>0</v>
      </c>
      <c r="X477">
        <v>0</v>
      </c>
      <c r="Y477">
        <v>0</v>
      </c>
      <c r="Z477">
        <v>0</v>
      </c>
      <c r="AA477">
        <v>0</v>
      </c>
      <c r="AB477">
        <v>0</v>
      </c>
      <c r="AC477">
        <v>0</v>
      </c>
      <c r="AD477">
        <v>0</v>
      </c>
      <c r="AE477">
        <v>0</v>
      </c>
      <c r="AF477">
        <v>0</v>
      </c>
      <c r="AG477">
        <v>0</v>
      </c>
      <c r="AH477">
        <v>0</v>
      </c>
      <c r="AI477">
        <v>0</v>
      </c>
      <c r="AJ477">
        <v>0</v>
      </c>
      <c r="AK477">
        <v>0</v>
      </c>
      <c r="AL477">
        <v>0</v>
      </c>
      <c r="AM477">
        <v>8.58</v>
      </c>
      <c r="AN477">
        <v>0</v>
      </c>
      <c r="AO477">
        <v>0</v>
      </c>
      <c r="AP477">
        <v>0</v>
      </c>
      <c r="AQ477">
        <v>0</v>
      </c>
      <c r="AR477">
        <v>0</v>
      </c>
      <c r="AS477">
        <v>0</v>
      </c>
      <c r="AT477">
        <v>0</v>
      </c>
      <c r="AU477">
        <v>0</v>
      </c>
      <c r="AV477">
        <v>0</v>
      </c>
      <c r="AW477">
        <v>0</v>
      </c>
      <c r="AX477">
        <v>0</v>
      </c>
      <c r="AY477">
        <v>0</v>
      </c>
      <c r="AZ477">
        <v>0</v>
      </c>
      <c r="BA477">
        <v>0</v>
      </c>
      <c r="BB477">
        <v>0</v>
      </c>
      <c r="BC477">
        <v>0</v>
      </c>
      <c r="BD477">
        <v>0</v>
      </c>
      <c r="BE477">
        <v>0</v>
      </c>
      <c r="BF477">
        <v>0</v>
      </c>
      <c r="BG477">
        <v>0</v>
      </c>
      <c r="BH477">
        <v>1</v>
      </c>
      <c r="BI477">
        <v>1</v>
      </c>
      <c r="BJ477">
        <v>0.2</v>
      </c>
      <c r="BK477">
        <v>1</v>
      </c>
      <c r="BL477" s="4">
        <v>50.45</v>
      </c>
      <c r="BM477" s="4">
        <v>7.57</v>
      </c>
      <c r="BN477" s="4">
        <v>58.02</v>
      </c>
      <c r="BO477" s="4">
        <v>58.02</v>
      </c>
      <c r="BQ477" t="s">
        <v>147</v>
      </c>
      <c r="BR477" t="s">
        <v>84</v>
      </c>
      <c r="BS477" s="3">
        <v>43804</v>
      </c>
      <c r="BT477" s="5">
        <v>0.32013888888888892</v>
      </c>
      <c r="BU477" t="s">
        <v>817</v>
      </c>
      <c r="BV477" t="s">
        <v>86</v>
      </c>
      <c r="BY477">
        <v>1200</v>
      </c>
      <c r="CA477" t="s">
        <v>818</v>
      </c>
      <c r="CC477" t="s">
        <v>91</v>
      </c>
      <c r="CD477">
        <v>7530</v>
      </c>
      <c r="CE477" t="s">
        <v>88</v>
      </c>
      <c r="CF477" s="3">
        <v>43805</v>
      </c>
      <c r="CI477">
        <v>1</v>
      </c>
      <c r="CJ477">
        <v>1</v>
      </c>
      <c r="CK477">
        <v>21</v>
      </c>
      <c r="CL477" t="s">
        <v>89</v>
      </c>
    </row>
    <row r="478" spans="1:90">
      <c r="A478" t="s">
        <v>72</v>
      </c>
      <c r="B478" t="s">
        <v>73</v>
      </c>
      <c r="C478" t="s">
        <v>74</v>
      </c>
      <c r="E478" t="str">
        <f>"FES1162726696"</f>
        <v>FES1162726696</v>
      </c>
      <c r="F478" s="3">
        <v>43803</v>
      </c>
      <c r="G478">
        <v>202006</v>
      </c>
      <c r="H478" t="s">
        <v>75</v>
      </c>
      <c r="I478" t="s">
        <v>76</v>
      </c>
      <c r="J478" t="s">
        <v>77</v>
      </c>
      <c r="K478" t="s">
        <v>78</v>
      </c>
      <c r="L478" t="s">
        <v>90</v>
      </c>
      <c r="M478" t="s">
        <v>91</v>
      </c>
      <c r="N478" t="s">
        <v>677</v>
      </c>
      <c r="O478" t="s">
        <v>82</v>
      </c>
      <c r="P478" t="str">
        <f>"2170718768                    "</f>
        <v xml:space="preserve">2170718768                    </v>
      </c>
      <c r="Q478">
        <v>0</v>
      </c>
      <c r="R478">
        <v>0</v>
      </c>
      <c r="S478">
        <v>0</v>
      </c>
      <c r="T478">
        <v>0</v>
      </c>
      <c r="U478">
        <v>0</v>
      </c>
      <c r="V478">
        <v>0</v>
      </c>
      <c r="W478">
        <v>0</v>
      </c>
      <c r="X478">
        <v>0</v>
      </c>
      <c r="Y478">
        <v>0</v>
      </c>
      <c r="Z478">
        <v>0</v>
      </c>
      <c r="AA478">
        <v>0</v>
      </c>
      <c r="AB478">
        <v>0</v>
      </c>
      <c r="AC478">
        <v>0</v>
      </c>
      <c r="AD478">
        <v>0</v>
      </c>
      <c r="AE478">
        <v>0</v>
      </c>
      <c r="AF478">
        <v>0</v>
      </c>
      <c r="AG478">
        <v>0</v>
      </c>
      <c r="AH478">
        <v>0</v>
      </c>
      <c r="AI478">
        <v>0</v>
      </c>
      <c r="AJ478">
        <v>0</v>
      </c>
      <c r="AK478">
        <v>0</v>
      </c>
      <c r="AL478">
        <v>0</v>
      </c>
      <c r="AM478">
        <v>8.58</v>
      </c>
      <c r="AN478">
        <v>0</v>
      </c>
      <c r="AO478">
        <v>0</v>
      </c>
      <c r="AP478">
        <v>0</v>
      </c>
      <c r="AQ478">
        <v>0</v>
      </c>
      <c r="AR478">
        <v>0</v>
      </c>
      <c r="AS478">
        <v>0</v>
      </c>
      <c r="AT478">
        <v>0</v>
      </c>
      <c r="AU478">
        <v>0</v>
      </c>
      <c r="AV478">
        <v>0</v>
      </c>
      <c r="AW478">
        <v>0</v>
      </c>
      <c r="AX478">
        <v>0</v>
      </c>
      <c r="AY478">
        <v>0</v>
      </c>
      <c r="AZ478">
        <v>0</v>
      </c>
      <c r="BA478">
        <v>0</v>
      </c>
      <c r="BB478">
        <v>0</v>
      </c>
      <c r="BC478">
        <v>0</v>
      </c>
      <c r="BD478">
        <v>0</v>
      </c>
      <c r="BE478">
        <v>0</v>
      </c>
      <c r="BF478">
        <v>0</v>
      </c>
      <c r="BG478">
        <v>0</v>
      </c>
      <c r="BH478">
        <v>1</v>
      </c>
      <c r="BI478">
        <v>1</v>
      </c>
      <c r="BJ478">
        <v>0.2</v>
      </c>
      <c r="BK478">
        <v>1</v>
      </c>
      <c r="BL478" s="4">
        <v>50.45</v>
      </c>
      <c r="BM478" s="4">
        <v>7.57</v>
      </c>
      <c r="BN478" s="4">
        <v>58.02</v>
      </c>
      <c r="BO478" s="4">
        <v>58.02</v>
      </c>
      <c r="BR478" t="s">
        <v>84</v>
      </c>
      <c r="BS478" s="3">
        <v>43804</v>
      </c>
      <c r="BT478" s="5">
        <v>0.42291666666666666</v>
      </c>
      <c r="BU478" t="s">
        <v>955</v>
      </c>
      <c r="BV478" t="s">
        <v>86</v>
      </c>
      <c r="BY478">
        <v>1200</v>
      </c>
      <c r="CA478" t="s">
        <v>539</v>
      </c>
      <c r="CC478" t="s">
        <v>91</v>
      </c>
      <c r="CD478">
        <v>7580</v>
      </c>
      <c r="CE478" t="s">
        <v>88</v>
      </c>
      <c r="CF478" s="3">
        <v>43805</v>
      </c>
      <c r="CI478">
        <v>1</v>
      </c>
      <c r="CJ478">
        <v>1</v>
      </c>
      <c r="CK478">
        <v>21</v>
      </c>
      <c r="CL478" t="s">
        <v>89</v>
      </c>
    </row>
    <row r="479" spans="1:90">
      <c r="A479" t="s">
        <v>72</v>
      </c>
      <c r="B479" t="s">
        <v>73</v>
      </c>
      <c r="C479" t="s">
        <v>74</v>
      </c>
      <c r="E479" t="str">
        <f>"FES1162726545"</f>
        <v>FES1162726545</v>
      </c>
      <c r="F479" s="3">
        <v>43803</v>
      </c>
      <c r="G479">
        <v>202006</v>
      </c>
      <c r="H479" t="s">
        <v>75</v>
      </c>
      <c r="I479" t="s">
        <v>76</v>
      </c>
      <c r="J479" t="s">
        <v>77</v>
      </c>
      <c r="K479" t="s">
        <v>78</v>
      </c>
      <c r="L479" t="s">
        <v>332</v>
      </c>
      <c r="M479" t="s">
        <v>333</v>
      </c>
      <c r="N479" t="s">
        <v>956</v>
      </c>
      <c r="O479" t="s">
        <v>82</v>
      </c>
      <c r="P479" t="str">
        <f>"2170720010                    "</f>
        <v xml:space="preserve">2170720010                    </v>
      </c>
      <c r="Q479">
        <v>0</v>
      </c>
      <c r="R479">
        <v>0</v>
      </c>
      <c r="S479">
        <v>0</v>
      </c>
      <c r="T479">
        <v>0</v>
      </c>
      <c r="U479">
        <v>0</v>
      </c>
      <c r="V479">
        <v>0</v>
      </c>
      <c r="W479">
        <v>0</v>
      </c>
      <c r="X479">
        <v>0</v>
      </c>
      <c r="Y479">
        <v>0</v>
      </c>
      <c r="Z479">
        <v>0</v>
      </c>
      <c r="AA479">
        <v>0</v>
      </c>
      <c r="AB479">
        <v>0</v>
      </c>
      <c r="AC479">
        <v>0</v>
      </c>
      <c r="AD479">
        <v>0</v>
      </c>
      <c r="AE479">
        <v>0</v>
      </c>
      <c r="AF479">
        <v>0</v>
      </c>
      <c r="AG479">
        <v>0</v>
      </c>
      <c r="AH479">
        <v>0</v>
      </c>
      <c r="AI479">
        <v>0</v>
      </c>
      <c r="AJ479">
        <v>0</v>
      </c>
      <c r="AK479">
        <v>0</v>
      </c>
      <c r="AL479">
        <v>0</v>
      </c>
      <c r="AM479">
        <v>17.149999999999999</v>
      </c>
      <c r="AN479">
        <v>0</v>
      </c>
      <c r="AO479">
        <v>0</v>
      </c>
      <c r="AP479">
        <v>0</v>
      </c>
      <c r="AQ479">
        <v>0</v>
      </c>
      <c r="AR479">
        <v>0</v>
      </c>
      <c r="AS479">
        <v>0</v>
      </c>
      <c r="AT479">
        <v>0</v>
      </c>
      <c r="AU479">
        <v>0</v>
      </c>
      <c r="AV479">
        <v>0</v>
      </c>
      <c r="AW479">
        <v>0</v>
      </c>
      <c r="AX479">
        <v>0</v>
      </c>
      <c r="AY479">
        <v>0</v>
      </c>
      <c r="AZ479">
        <v>0</v>
      </c>
      <c r="BA479">
        <v>0</v>
      </c>
      <c r="BB479">
        <v>0</v>
      </c>
      <c r="BC479">
        <v>0</v>
      </c>
      <c r="BD479">
        <v>0</v>
      </c>
      <c r="BE479">
        <v>0</v>
      </c>
      <c r="BF479">
        <v>0</v>
      </c>
      <c r="BG479">
        <v>0</v>
      </c>
      <c r="BH479">
        <v>1</v>
      </c>
      <c r="BI479">
        <v>4.4000000000000004</v>
      </c>
      <c r="BJ479">
        <v>8.4</v>
      </c>
      <c r="BK479">
        <v>8.5</v>
      </c>
      <c r="BL479" s="4">
        <v>100.82</v>
      </c>
      <c r="BM479" s="4">
        <v>15.12</v>
      </c>
      <c r="BN479" s="4">
        <v>115.94</v>
      </c>
      <c r="BO479" s="4">
        <v>115.94</v>
      </c>
      <c r="BQ479" t="s">
        <v>957</v>
      </c>
      <c r="BR479" t="s">
        <v>84</v>
      </c>
      <c r="BS479" s="3">
        <v>43804</v>
      </c>
      <c r="BT479" s="5">
        <v>0.33333333333333331</v>
      </c>
      <c r="BU479" t="s">
        <v>583</v>
      </c>
      <c r="BV479" t="s">
        <v>86</v>
      </c>
      <c r="BY479">
        <v>41911.26</v>
      </c>
      <c r="CC479" t="s">
        <v>333</v>
      </c>
      <c r="CD479">
        <v>2090</v>
      </c>
      <c r="CE479" t="s">
        <v>96</v>
      </c>
      <c r="CF479" s="3">
        <v>43805</v>
      </c>
      <c r="CI479">
        <v>1</v>
      </c>
      <c r="CJ479">
        <v>1</v>
      </c>
      <c r="CK479">
        <v>22</v>
      </c>
      <c r="CL479" t="s">
        <v>89</v>
      </c>
    </row>
    <row r="480" spans="1:90">
      <c r="A480" t="s">
        <v>72</v>
      </c>
      <c r="B480" t="s">
        <v>73</v>
      </c>
      <c r="C480" t="s">
        <v>74</v>
      </c>
      <c r="E480" t="str">
        <f>"FES1162726700"</f>
        <v>FES1162726700</v>
      </c>
      <c r="F480" s="3">
        <v>43803</v>
      </c>
      <c r="G480">
        <v>202006</v>
      </c>
      <c r="H480" t="s">
        <v>75</v>
      </c>
      <c r="I480" t="s">
        <v>76</v>
      </c>
      <c r="J480" t="s">
        <v>77</v>
      </c>
      <c r="K480" t="s">
        <v>78</v>
      </c>
      <c r="L480" t="s">
        <v>117</v>
      </c>
      <c r="M480" t="s">
        <v>118</v>
      </c>
      <c r="N480" t="s">
        <v>902</v>
      </c>
      <c r="O480" t="s">
        <v>82</v>
      </c>
      <c r="P480" t="str">
        <f>"2170719182                    "</f>
        <v xml:space="preserve">2170719182                    </v>
      </c>
      <c r="Q480">
        <v>0</v>
      </c>
      <c r="R480">
        <v>0</v>
      </c>
      <c r="S480">
        <v>0</v>
      </c>
      <c r="T480">
        <v>0</v>
      </c>
      <c r="U480">
        <v>0</v>
      </c>
      <c r="V480">
        <v>0</v>
      </c>
      <c r="W480">
        <v>0</v>
      </c>
      <c r="X480">
        <v>0</v>
      </c>
      <c r="Y480">
        <v>0</v>
      </c>
      <c r="Z480">
        <v>0</v>
      </c>
      <c r="AA480">
        <v>0</v>
      </c>
      <c r="AB480">
        <v>0</v>
      </c>
      <c r="AC480">
        <v>0</v>
      </c>
      <c r="AD480">
        <v>0</v>
      </c>
      <c r="AE480">
        <v>0</v>
      </c>
      <c r="AF480">
        <v>0</v>
      </c>
      <c r="AG480">
        <v>0</v>
      </c>
      <c r="AH480">
        <v>0</v>
      </c>
      <c r="AI480">
        <v>0</v>
      </c>
      <c r="AJ480">
        <v>0</v>
      </c>
      <c r="AK480">
        <v>0</v>
      </c>
      <c r="AL480">
        <v>0</v>
      </c>
      <c r="AM480">
        <v>21.97</v>
      </c>
      <c r="AN480">
        <v>0</v>
      </c>
      <c r="AO480">
        <v>0</v>
      </c>
      <c r="AP480">
        <v>0</v>
      </c>
      <c r="AQ480">
        <v>0</v>
      </c>
      <c r="AR480">
        <v>0</v>
      </c>
      <c r="AS480">
        <v>0</v>
      </c>
      <c r="AT480">
        <v>0</v>
      </c>
      <c r="AU480">
        <v>0</v>
      </c>
      <c r="AV480">
        <v>0</v>
      </c>
      <c r="AW480">
        <v>0</v>
      </c>
      <c r="AX480">
        <v>0</v>
      </c>
      <c r="AY480">
        <v>0</v>
      </c>
      <c r="AZ480">
        <v>0</v>
      </c>
      <c r="BA480">
        <v>0</v>
      </c>
      <c r="BB480">
        <v>0</v>
      </c>
      <c r="BC480">
        <v>0</v>
      </c>
      <c r="BD480">
        <v>0</v>
      </c>
      <c r="BE480">
        <v>0</v>
      </c>
      <c r="BF480">
        <v>0</v>
      </c>
      <c r="BG480">
        <v>0</v>
      </c>
      <c r="BH480">
        <v>1</v>
      </c>
      <c r="BI480">
        <v>8.4</v>
      </c>
      <c r="BJ480">
        <v>11.4</v>
      </c>
      <c r="BK480">
        <v>11.5</v>
      </c>
      <c r="BL480" s="4">
        <v>129.16</v>
      </c>
      <c r="BM480" s="4">
        <v>19.37</v>
      </c>
      <c r="BN480" s="4">
        <v>148.53</v>
      </c>
      <c r="BO480" s="4">
        <v>148.53</v>
      </c>
      <c r="BQ480" t="s">
        <v>903</v>
      </c>
      <c r="BR480" t="s">
        <v>84</v>
      </c>
      <c r="BS480" s="3">
        <v>43804</v>
      </c>
      <c r="BT480" s="5">
        <v>0.35416666666666669</v>
      </c>
      <c r="BU480" t="s">
        <v>904</v>
      </c>
      <c r="BV480" t="s">
        <v>86</v>
      </c>
      <c r="BY480">
        <v>57235.19</v>
      </c>
      <c r="CA480" t="s">
        <v>905</v>
      </c>
      <c r="CC480" t="s">
        <v>118</v>
      </c>
      <c r="CD480">
        <v>1541</v>
      </c>
      <c r="CE480" t="s">
        <v>116</v>
      </c>
      <c r="CF480" s="3">
        <v>43805</v>
      </c>
      <c r="CI480">
        <v>1</v>
      </c>
      <c r="CJ480">
        <v>1</v>
      </c>
      <c r="CK480">
        <v>22</v>
      </c>
      <c r="CL480" t="s">
        <v>89</v>
      </c>
    </row>
    <row r="481" spans="1:90">
      <c r="A481" t="s">
        <v>72</v>
      </c>
      <c r="B481" t="s">
        <v>73</v>
      </c>
      <c r="C481" t="s">
        <v>74</v>
      </c>
      <c r="E481" t="str">
        <f>"FES1162726695"</f>
        <v>FES1162726695</v>
      </c>
      <c r="F481" s="3">
        <v>43803</v>
      </c>
      <c r="G481">
        <v>202006</v>
      </c>
      <c r="H481" t="s">
        <v>75</v>
      </c>
      <c r="I481" t="s">
        <v>76</v>
      </c>
      <c r="J481" t="s">
        <v>77</v>
      </c>
      <c r="K481" t="s">
        <v>78</v>
      </c>
      <c r="L481" t="s">
        <v>90</v>
      </c>
      <c r="M481" t="s">
        <v>91</v>
      </c>
      <c r="N481" t="s">
        <v>677</v>
      </c>
      <c r="O481" t="s">
        <v>82</v>
      </c>
      <c r="P481" t="str">
        <f>"2170718764                    "</f>
        <v xml:space="preserve">2170718764                    </v>
      </c>
      <c r="Q481">
        <v>0</v>
      </c>
      <c r="R481">
        <v>0</v>
      </c>
      <c r="S481">
        <v>0</v>
      </c>
      <c r="T481">
        <v>0</v>
      </c>
      <c r="U481">
        <v>0</v>
      </c>
      <c r="V481">
        <v>0</v>
      </c>
      <c r="W481">
        <v>0</v>
      </c>
      <c r="X481">
        <v>0</v>
      </c>
      <c r="Y481">
        <v>0</v>
      </c>
      <c r="Z481">
        <v>0</v>
      </c>
      <c r="AA481">
        <v>0</v>
      </c>
      <c r="AB481">
        <v>0</v>
      </c>
      <c r="AC481">
        <v>0</v>
      </c>
      <c r="AD481">
        <v>0</v>
      </c>
      <c r="AE481">
        <v>0</v>
      </c>
      <c r="AF481">
        <v>0</v>
      </c>
      <c r="AG481">
        <v>0</v>
      </c>
      <c r="AH481">
        <v>0</v>
      </c>
      <c r="AI481">
        <v>0</v>
      </c>
      <c r="AJ481">
        <v>0</v>
      </c>
      <c r="AK481">
        <v>0</v>
      </c>
      <c r="AL481">
        <v>0</v>
      </c>
      <c r="AM481">
        <v>8.58</v>
      </c>
      <c r="AN481">
        <v>0</v>
      </c>
      <c r="AO481">
        <v>0</v>
      </c>
      <c r="AP481">
        <v>0</v>
      </c>
      <c r="AQ481">
        <v>0</v>
      </c>
      <c r="AR481">
        <v>0</v>
      </c>
      <c r="AS481">
        <v>0</v>
      </c>
      <c r="AT481">
        <v>0</v>
      </c>
      <c r="AU481">
        <v>0</v>
      </c>
      <c r="AV481">
        <v>0</v>
      </c>
      <c r="AW481">
        <v>0</v>
      </c>
      <c r="AX481">
        <v>0</v>
      </c>
      <c r="AY481">
        <v>0</v>
      </c>
      <c r="AZ481">
        <v>0</v>
      </c>
      <c r="BA481">
        <v>0</v>
      </c>
      <c r="BB481">
        <v>0</v>
      </c>
      <c r="BC481">
        <v>0</v>
      </c>
      <c r="BD481">
        <v>0</v>
      </c>
      <c r="BE481">
        <v>0</v>
      </c>
      <c r="BF481">
        <v>0</v>
      </c>
      <c r="BG481">
        <v>0</v>
      </c>
      <c r="BH481">
        <v>1</v>
      </c>
      <c r="BI481">
        <v>1</v>
      </c>
      <c r="BJ481">
        <v>0.2</v>
      </c>
      <c r="BK481">
        <v>1</v>
      </c>
      <c r="BL481" s="4">
        <v>50.45</v>
      </c>
      <c r="BM481" s="4">
        <v>7.57</v>
      </c>
      <c r="BN481" s="4">
        <v>58.02</v>
      </c>
      <c r="BO481" s="4">
        <v>58.02</v>
      </c>
      <c r="BR481" t="s">
        <v>84</v>
      </c>
      <c r="BS481" s="3">
        <v>43804</v>
      </c>
      <c r="BT481" s="5">
        <v>0.42291666666666666</v>
      </c>
      <c r="BU481" t="s">
        <v>955</v>
      </c>
      <c r="BV481" t="s">
        <v>86</v>
      </c>
      <c r="BY481">
        <v>1200</v>
      </c>
      <c r="CA481" t="s">
        <v>539</v>
      </c>
      <c r="CC481" t="s">
        <v>91</v>
      </c>
      <c r="CD481">
        <v>7580</v>
      </c>
      <c r="CE481" t="s">
        <v>88</v>
      </c>
      <c r="CF481" s="3">
        <v>43805</v>
      </c>
      <c r="CI481">
        <v>1</v>
      </c>
      <c r="CJ481">
        <v>1</v>
      </c>
      <c r="CK481">
        <v>21</v>
      </c>
      <c r="CL481" t="s">
        <v>89</v>
      </c>
    </row>
    <row r="482" spans="1:90">
      <c r="A482" t="s">
        <v>72</v>
      </c>
      <c r="B482" t="s">
        <v>73</v>
      </c>
      <c r="C482" t="s">
        <v>74</v>
      </c>
      <c r="E482" t="str">
        <f>"FES1162726625"</f>
        <v>FES1162726625</v>
      </c>
      <c r="F482" s="3">
        <v>43803</v>
      </c>
      <c r="G482">
        <v>202006</v>
      </c>
      <c r="H482" t="s">
        <v>75</v>
      </c>
      <c r="I482" t="s">
        <v>76</v>
      </c>
      <c r="J482" t="s">
        <v>77</v>
      </c>
      <c r="K482" t="s">
        <v>78</v>
      </c>
      <c r="L482" t="s">
        <v>404</v>
      </c>
      <c r="M482" t="s">
        <v>405</v>
      </c>
      <c r="N482" t="s">
        <v>612</v>
      </c>
      <c r="O482" t="s">
        <v>82</v>
      </c>
      <c r="P482" t="str">
        <f>"2170720107                    "</f>
        <v xml:space="preserve">2170720107                    </v>
      </c>
      <c r="Q482">
        <v>0</v>
      </c>
      <c r="R482">
        <v>0</v>
      </c>
      <c r="S482">
        <v>0</v>
      </c>
      <c r="T482">
        <v>0</v>
      </c>
      <c r="U482">
        <v>0</v>
      </c>
      <c r="V482">
        <v>0</v>
      </c>
      <c r="W482">
        <v>0</v>
      </c>
      <c r="X482">
        <v>0</v>
      </c>
      <c r="Y482">
        <v>0</v>
      </c>
      <c r="Z482">
        <v>0</v>
      </c>
      <c r="AA482">
        <v>0</v>
      </c>
      <c r="AB482">
        <v>0</v>
      </c>
      <c r="AC482">
        <v>0</v>
      </c>
      <c r="AD482">
        <v>0</v>
      </c>
      <c r="AE482">
        <v>0</v>
      </c>
      <c r="AF482">
        <v>0</v>
      </c>
      <c r="AG482">
        <v>0</v>
      </c>
      <c r="AH482">
        <v>0</v>
      </c>
      <c r="AI482">
        <v>0</v>
      </c>
      <c r="AJ482">
        <v>0</v>
      </c>
      <c r="AK482">
        <v>0</v>
      </c>
      <c r="AL482">
        <v>0</v>
      </c>
      <c r="AM482">
        <v>8.58</v>
      </c>
      <c r="AN482">
        <v>0</v>
      </c>
      <c r="AO482">
        <v>0</v>
      </c>
      <c r="AP482">
        <v>0</v>
      </c>
      <c r="AQ482">
        <v>0</v>
      </c>
      <c r="AR482">
        <v>0</v>
      </c>
      <c r="AS482">
        <v>0</v>
      </c>
      <c r="AT482">
        <v>0</v>
      </c>
      <c r="AU482">
        <v>0</v>
      </c>
      <c r="AV482">
        <v>0</v>
      </c>
      <c r="AW482">
        <v>0</v>
      </c>
      <c r="AX482">
        <v>0</v>
      </c>
      <c r="AY482">
        <v>0</v>
      </c>
      <c r="AZ482">
        <v>0</v>
      </c>
      <c r="BA482">
        <v>0</v>
      </c>
      <c r="BB482">
        <v>0</v>
      </c>
      <c r="BC482">
        <v>0</v>
      </c>
      <c r="BD482">
        <v>0</v>
      </c>
      <c r="BE482">
        <v>0</v>
      </c>
      <c r="BF482">
        <v>0</v>
      </c>
      <c r="BG482">
        <v>0</v>
      </c>
      <c r="BH482">
        <v>1</v>
      </c>
      <c r="BI482">
        <v>1</v>
      </c>
      <c r="BJ482">
        <v>0.2</v>
      </c>
      <c r="BK482">
        <v>1</v>
      </c>
      <c r="BL482" s="4">
        <v>50.45</v>
      </c>
      <c r="BM482" s="4">
        <v>7.57</v>
      </c>
      <c r="BN482" s="4">
        <v>58.02</v>
      </c>
      <c r="BO482" s="4">
        <v>58.02</v>
      </c>
      <c r="BQ482" t="s">
        <v>93</v>
      </c>
      <c r="BR482" t="s">
        <v>84</v>
      </c>
      <c r="BS482" s="3">
        <v>43804</v>
      </c>
      <c r="BT482" s="5">
        <v>0.34791666666666665</v>
      </c>
      <c r="BU482" t="s">
        <v>958</v>
      </c>
      <c r="BV482" t="s">
        <v>86</v>
      </c>
      <c r="BY482">
        <v>1200</v>
      </c>
      <c r="CA482" t="s">
        <v>212</v>
      </c>
      <c r="CC482" t="s">
        <v>405</v>
      </c>
      <c r="CD482">
        <v>4026</v>
      </c>
      <c r="CE482" t="s">
        <v>88</v>
      </c>
      <c r="CF482" s="3">
        <v>43805</v>
      </c>
      <c r="CI482">
        <v>1</v>
      </c>
      <c r="CJ482">
        <v>1</v>
      </c>
      <c r="CK482">
        <v>21</v>
      </c>
      <c r="CL482" t="s">
        <v>89</v>
      </c>
    </row>
    <row r="483" spans="1:90">
      <c r="A483" t="s">
        <v>72</v>
      </c>
      <c r="B483" t="s">
        <v>73</v>
      </c>
      <c r="C483" t="s">
        <v>74</v>
      </c>
      <c r="E483" t="str">
        <f>"FES1162726322"</f>
        <v>FES1162726322</v>
      </c>
      <c r="F483" s="3">
        <v>43803</v>
      </c>
      <c r="G483">
        <v>202006</v>
      </c>
      <c r="H483" t="s">
        <v>75</v>
      </c>
      <c r="I483" t="s">
        <v>76</v>
      </c>
      <c r="J483" t="s">
        <v>77</v>
      </c>
      <c r="K483" t="s">
        <v>78</v>
      </c>
      <c r="L483" t="s">
        <v>169</v>
      </c>
      <c r="M483" t="s">
        <v>170</v>
      </c>
      <c r="N483" t="s">
        <v>171</v>
      </c>
      <c r="O483" t="s">
        <v>82</v>
      </c>
      <c r="P483" t="str">
        <f>"2170719607                    "</f>
        <v xml:space="preserve">2170719607                    </v>
      </c>
      <c r="Q483">
        <v>0</v>
      </c>
      <c r="R483">
        <v>0</v>
      </c>
      <c r="S483">
        <v>0</v>
      </c>
      <c r="T483">
        <v>0</v>
      </c>
      <c r="U483">
        <v>0</v>
      </c>
      <c r="V483">
        <v>0</v>
      </c>
      <c r="W483">
        <v>0</v>
      </c>
      <c r="X483">
        <v>0</v>
      </c>
      <c r="Y483">
        <v>0</v>
      </c>
      <c r="Z483">
        <v>0</v>
      </c>
      <c r="AA483">
        <v>0</v>
      </c>
      <c r="AB483">
        <v>0</v>
      </c>
      <c r="AC483">
        <v>0</v>
      </c>
      <c r="AD483">
        <v>0</v>
      </c>
      <c r="AE483">
        <v>0</v>
      </c>
      <c r="AF483">
        <v>0</v>
      </c>
      <c r="AG483">
        <v>0</v>
      </c>
      <c r="AH483">
        <v>0</v>
      </c>
      <c r="AI483">
        <v>0</v>
      </c>
      <c r="AJ483">
        <v>0</v>
      </c>
      <c r="AK483">
        <v>0</v>
      </c>
      <c r="AL483">
        <v>0</v>
      </c>
      <c r="AM483">
        <v>9.92</v>
      </c>
      <c r="AN483">
        <v>0</v>
      </c>
      <c r="AO483">
        <v>0</v>
      </c>
      <c r="AP483">
        <v>0</v>
      </c>
      <c r="AQ483">
        <v>0</v>
      </c>
      <c r="AR483">
        <v>0</v>
      </c>
      <c r="AS483">
        <v>0</v>
      </c>
      <c r="AT483">
        <v>0</v>
      </c>
      <c r="AU483">
        <v>0</v>
      </c>
      <c r="AV483">
        <v>0</v>
      </c>
      <c r="AW483">
        <v>0</v>
      </c>
      <c r="AX483">
        <v>0</v>
      </c>
      <c r="AY483">
        <v>0</v>
      </c>
      <c r="AZ483">
        <v>0</v>
      </c>
      <c r="BA483">
        <v>0</v>
      </c>
      <c r="BB483">
        <v>0</v>
      </c>
      <c r="BC483">
        <v>0</v>
      </c>
      <c r="BD483">
        <v>0</v>
      </c>
      <c r="BE483">
        <v>0</v>
      </c>
      <c r="BF483">
        <v>0</v>
      </c>
      <c r="BG483">
        <v>0</v>
      </c>
      <c r="BH483">
        <v>1</v>
      </c>
      <c r="BI483">
        <v>3</v>
      </c>
      <c r="BJ483">
        <v>3.9</v>
      </c>
      <c r="BK483">
        <v>4</v>
      </c>
      <c r="BL483" s="4">
        <v>58.31</v>
      </c>
      <c r="BM483" s="4">
        <v>8.75</v>
      </c>
      <c r="BN483" s="4">
        <v>67.06</v>
      </c>
      <c r="BO483" s="4">
        <v>67.06</v>
      </c>
      <c r="BQ483" t="s">
        <v>172</v>
      </c>
      <c r="BR483" t="s">
        <v>84</v>
      </c>
      <c r="BS483" s="3">
        <v>43804</v>
      </c>
      <c r="BT483" s="5">
        <v>0.25625000000000003</v>
      </c>
      <c r="BU483" t="s">
        <v>885</v>
      </c>
      <c r="BV483" t="s">
        <v>86</v>
      </c>
      <c r="BY483">
        <v>19355.34</v>
      </c>
      <c r="CA483" t="s">
        <v>826</v>
      </c>
      <c r="CC483" t="s">
        <v>170</v>
      </c>
      <c r="CD483">
        <v>1459</v>
      </c>
      <c r="CE483" t="s">
        <v>116</v>
      </c>
      <c r="CF483" s="3">
        <v>43805</v>
      </c>
      <c r="CI483">
        <v>1</v>
      </c>
      <c r="CJ483">
        <v>1</v>
      </c>
      <c r="CK483">
        <v>22</v>
      </c>
      <c r="CL483" t="s">
        <v>89</v>
      </c>
    </row>
    <row r="484" spans="1:90">
      <c r="A484" t="s">
        <v>72</v>
      </c>
      <c r="B484" t="s">
        <v>73</v>
      </c>
      <c r="C484" t="s">
        <v>74</v>
      </c>
      <c r="E484" t="str">
        <f>"FES1162726441"</f>
        <v>FES1162726441</v>
      </c>
      <c r="F484" s="3">
        <v>43803</v>
      </c>
      <c r="G484">
        <v>202006</v>
      </c>
      <c r="H484" t="s">
        <v>75</v>
      </c>
      <c r="I484" t="s">
        <v>76</v>
      </c>
      <c r="J484" t="s">
        <v>77</v>
      </c>
      <c r="K484" t="s">
        <v>78</v>
      </c>
      <c r="L484" t="s">
        <v>714</v>
      </c>
      <c r="M484" t="s">
        <v>715</v>
      </c>
      <c r="N484" t="s">
        <v>886</v>
      </c>
      <c r="O484" t="s">
        <v>82</v>
      </c>
      <c r="P484" t="str">
        <f>"2170716441                    "</f>
        <v xml:space="preserve">2170716441                    </v>
      </c>
      <c r="Q484">
        <v>0</v>
      </c>
      <c r="R484">
        <v>0</v>
      </c>
      <c r="S484">
        <v>0</v>
      </c>
      <c r="T484">
        <v>0</v>
      </c>
      <c r="U484">
        <v>0</v>
      </c>
      <c r="V484">
        <v>0</v>
      </c>
      <c r="W484">
        <v>0</v>
      </c>
      <c r="X484">
        <v>0</v>
      </c>
      <c r="Y484">
        <v>0</v>
      </c>
      <c r="Z484">
        <v>0</v>
      </c>
      <c r="AA484">
        <v>0</v>
      </c>
      <c r="AB484">
        <v>0</v>
      </c>
      <c r="AC484">
        <v>0</v>
      </c>
      <c r="AD484">
        <v>0</v>
      </c>
      <c r="AE484">
        <v>0</v>
      </c>
      <c r="AF484">
        <v>0</v>
      </c>
      <c r="AG484">
        <v>0</v>
      </c>
      <c r="AH484">
        <v>0</v>
      </c>
      <c r="AI484">
        <v>0</v>
      </c>
      <c r="AJ484">
        <v>0</v>
      </c>
      <c r="AK484">
        <v>0</v>
      </c>
      <c r="AL484">
        <v>0</v>
      </c>
      <c r="AM484">
        <v>6.71</v>
      </c>
      <c r="AN484">
        <v>0</v>
      </c>
      <c r="AO484">
        <v>0</v>
      </c>
      <c r="AP484">
        <v>0</v>
      </c>
      <c r="AQ484">
        <v>0</v>
      </c>
      <c r="AR484">
        <v>0</v>
      </c>
      <c r="AS484">
        <v>0</v>
      </c>
      <c r="AT484">
        <v>0</v>
      </c>
      <c r="AU484">
        <v>0</v>
      </c>
      <c r="AV484">
        <v>0</v>
      </c>
      <c r="AW484">
        <v>0</v>
      </c>
      <c r="AX484">
        <v>0</v>
      </c>
      <c r="AY484">
        <v>0</v>
      </c>
      <c r="AZ484">
        <v>0</v>
      </c>
      <c r="BA484">
        <v>0</v>
      </c>
      <c r="BB484">
        <v>0</v>
      </c>
      <c r="BC484">
        <v>0</v>
      </c>
      <c r="BD484">
        <v>0</v>
      </c>
      <c r="BE484">
        <v>0</v>
      </c>
      <c r="BF484">
        <v>0</v>
      </c>
      <c r="BG484">
        <v>0</v>
      </c>
      <c r="BH484">
        <v>1</v>
      </c>
      <c r="BI484">
        <v>1.3</v>
      </c>
      <c r="BJ484">
        <v>1.8</v>
      </c>
      <c r="BK484">
        <v>2</v>
      </c>
      <c r="BL484" s="4">
        <v>39.42</v>
      </c>
      <c r="BM484" s="4">
        <v>5.91</v>
      </c>
      <c r="BN484" s="4">
        <v>45.33</v>
      </c>
      <c r="BO484" s="4">
        <v>45.33</v>
      </c>
      <c r="BR484" t="s">
        <v>84</v>
      </c>
      <c r="BS484" s="3">
        <v>43804</v>
      </c>
      <c r="BT484" s="5">
        <v>0.33333333333333331</v>
      </c>
      <c r="BU484" t="s">
        <v>887</v>
      </c>
      <c r="BV484" t="s">
        <v>86</v>
      </c>
      <c r="BY484">
        <v>8753.67</v>
      </c>
      <c r="CC484" t="s">
        <v>715</v>
      </c>
      <c r="CD484">
        <v>1559</v>
      </c>
      <c r="CE484" t="s">
        <v>96</v>
      </c>
      <c r="CF484" s="3">
        <v>43805</v>
      </c>
      <c r="CI484">
        <v>1</v>
      </c>
      <c r="CJ484">
        <v>1</v>
      </c>
      <c r="CK484">
        <v>22</v>
      </c>
      <c r="CL484" t="s">
        <v>89</v>
      </c>
    </row>
    <row r="485" spans="1:90">
      <c r="A485" t="s">
        <v>72</v>
      </c>
      <c r="B485" t="s">
        <v>73</v>
      </c>
      <c r="C485" t="s">
        <v>74</v>
      </c>
      <c r="E485" t="str">
        <f>"FES1162726317"</f>
        <v>FES1162726317</v>
      </c>
      <c r="F485" s="3">
        <v>43803</v>
      </c>
      <c r="G485">
        <v>202006</v>
      </c>
      <c r="H485" t="s">
        <v>75</v>
      </c>
      <c r="I485" t="s">
        <v>76</v>
      </c>
      <c r="J485" t="s">
        <v>77</v>
      </c>
      <c r="K485" t="s">
        <v>78</v>
      </c>
      <c r="L485" t="s">
        <v>169</v>
      </c>
      <c r="M485" t="s">
        <v>170</v>
      </c>
      <c r="N485" t="s">
        <v>171</v>
      </c>
      <c r="O485" t="s">
        <v>82</v>
      </c>
      <c r="P485" t="str">
        <f>"2170719601                    "</f>
        <v xml:space="preserve">2170719601                    </v>
      </c>
      <c r="Q485">
        <v>0</v>
      </c>
      <c r="R485">
        <v>0</v>
      </c>
      <c r="S485">
        <v>0</v>
      </c>
      <c r="T485">
        <v>0</v>
      </c>
      <c r="U485">
        <v>0</v>
      </c>
      <c r="V485">
        <v>0</v>
      </c>
      <c r="W485">
        <v>0</v>
      </c>
      <c r="X485">
        <v>0</v>
      </c>
      <c r="Y485">
        <v>0</v>
      </c>
      <c r="Z485">
        <v>0</v>
      </c>
      <c r="AA485">
        <v>0</v>
      </c>
      <c r="AB485">
        <v>0</v>
      </c>
      <c r="AC485">
        <v>0</v>
      </c>
      <c r="AD485">
        <v>0</v>
      </c>
      <c r="AE485">
        <v>0</v>
      </c>
      <c r="AF485">
        <v>0</v>
      </c>
      <c r="AG485">
        <v>0</v>
      </c>
      <c r="AH485">
        <v>0</v>
      </c>
      <c r="AI485">
        <v>0</v>
      </c>
      <c r="AJ485">
        <v>0</v>
      </c>
      <c r="AK485">
        <v>0</v>
      </c>
      <c r="AL485">
        <v>0</v>
      </c>
      <c r="AM485">
        <v>6.71</v>
      </c>
      <c r="AN485">
        <v>0</v>
      </c>
      <c r="AO485">
        <v>0</v>
      </c>
      <c r="AP485">
        <v>0</v>
      </c>
      <c r="AQ485">
        <v>0</v>
      </c>
      <c r="AR485">
        <v>0</v>
      </c>
      <c r="AS485">
        <v>0</v>
      </c>
      <c r="AT485">
        <v>0</v>
      </c>
      <c r="AU485">
        <v>0</v>
      </c>
      <c r="AV485">
        <v>0</v>
      </c>
      <c r="AW485">
        <v>0</v>
      </c>
      <c r="AX485">
        <v>0</v>
      </c>
      <c r="AY485">
        <v>0</v>
      </c>
      <c r="AZ485">
        <v>0</v>
      </c>
      <c r="BA485">
        <v>0</v>
      </c>
      <c r="BB485">
        <v>0</v>
      </c>
      <c r="BC485">
        <v>0</v>
      </c>
      <c r="BD485">
        <v>0</v>
      </c>
      <c r="BE485">
        <v>0</v>
      </c>
      <c r="BF485">
        <v>0</v>
      </c>
      <c r="BG485">
        <v>0</v>
      </c>
      <c r="BH485">
        <v>1</v>
      </c>
      <c r="BI485">
        <v>1.1000000000000001</v>
      </c>
      <c r="BJ485">
        <v>1.9</v>
      </c>
      <c r="BK485">
        <v>2</v>
      </c>
      <c r="BL485" s="4">
        <v>39.42</v>
      </c>
      <c r="BM485" s="4">
        <v>5.91</v>
      </c>
      <c r="BN485" s="4">
        <v>45.33</v>
      </c>
      <c r="BO485" s="4">
        <v>45.33</v>
      </c>
      <c r="BQ485" t="s">
        <v>172</v>
      </c>
      <c r="BR485" t="s">
        <v>84</v>
      </c>
      <c r="BS485" s="3">
        <v>43804</v>
      </c>
      <c r="BT485" s="5">
        <v>0.2590277777777778</v>
      </c>
      <c r="BU485" t="s">
        <v>885</v>
      </c>
      <c r="BV485" t="s">
        <v>86</v>
      </c>
      <c r="BY485">
        <v>9614.64</v>
      </c>
      <c r="CA485" t="s">
        <v>826</v>
      </c>
      <c r="CC485" t="s">
        <v>170</v>
      </c>
      <c r="CD485">
        <v>1459</v>
      </c>
      <c r="CE485" t="s">
        <v>96</v>
      </c>
      <c r="CF485" s="3">
        <v>43805</v>
      </c>
      <c r="CI485">
        <v>1</v>
      </c>
      <c r="CJ485">
        <v>1</v>
      </c>
      <c r="CK485">
        <v>22</v>
      </c>
      <c r="CL485" t="s">
        <v>89</v>
      </c>
    </row>
    <row r="486" spans="1:90">
      <c r="A486" t="s">
        <v>72</v>
      </c>
      <c r="B486" t="s">
        <v>73</v>
      </c>
      <c r="C486" t="s">
        <v>74</v>
      </c>
      <c r="E486" t="str">
        <f>"FES1162726693"</f>
        <v>FES1162726693</v>
      </c>
      <c r="F486" s="3">
        <v>43803</v>
      </c>
      <c r="G486">
        <v>202006</v>
      </c>
      <c r="H486" t="s">
        <v>75</v>
      </c>
      <c r="I486" t="s">
        <v>76</v>
      </c>
      <c r="J486" t="s">
        <v>77</v>
      </c>
      <c r="K486" t="s">
        <v>78</v>
      </c>
      <c r="L486" t="s">
        <v>90</v>
      </c>
      <c r="M486" t="s">
        <v>91</v>
      </c>
      <c r="N486" t="s">
        <v>295</v>
      </c>
      <c r="O486" t="s">
        <v>82</v>
      </c>
      <c r="P486" t="str">
        <f>"2170718636                    "</f>
        <v xml:space="preserve">2170718636                    </v>
      </c>
      <c r="Q486">
        <v>0</v>
      </c>
      <c r="R486">
        <v>0</v>
      </c>
      <c r="S486">
        <v>0</v>
      </c>
      <c r="T486">
        <v>0</v>
      </c>
      <c r="U486">
        <v>0</v>
      </c>
      <c r="V486">
        <v>0</v>
      </c>
      <c r="W486">
        <v>0</v>
      </c>
      <c r="X486">
        <v>0</v>
      </c>
      <c r="Y486">
        <v>0</v>
      </c>
      <c r="Z486">
        <v>0</v>
      </c>
      <c r="AA486">
        <v>0</v>
      </c>
      <c r="AB486">
        <v>0</v>
      </c>
      <c r="AC486">
        <v>0</v>
      </c>
      <c r="AD486">
        <v>0</v>
      </c>
      <c r="AE486">
        <v>0</v>
      </c>
      <c r="AF486">
        <v>0</v>
      </c>
      <c r="AG486">
        <v>0</v>
      </c>
      <c r="AH486">
        <v>0</v>
      </c>
      <c r="AI486">
        <v>0</v>
      </c>
      <c r="AJ486">
        <v>0</v>
      </c>
      <c r="AK486">
        <v>0</v>
      </c>
      <c r="AL486">
        <v>0</v>
      </c>
      <c r="AM486">
        <v>23.59</v>
      </c>
      <c r="AN486">
        <v>0</v>
      </c>
      <c r="AO486">
        <v>0</v>
      </c>
      <c r="AP486">
        <v>0</v>
      </c>
      <c r="AQ486">
        <v>0</v>
      </c>
      <c r="AR486">
        <v>0</v>
      </c>
      <c r="AS486">
        <v>0</v>
      </c>
      <c r="AT486">
        <v>0</v>
      </c>
      <c r="AU486">
        <v>0</v>
      </c>
      <c r="AV486">
        <v>0</v>
      </c>
      <c r="AW486">
        <v>0</v>
      </c>
      <c r="AX486">
        <v>0</v>
      </c>
      <c r="AY486">
        <v>0</v>
      </c>
      <c r="AZ486">
        <v>0</v>
      </c>
      <c r="BA486">
        <v>0</v>
      </c>
      <c r="BB486">
        <v>0</v>
      </c>
      <c r="BC486">
        <v>0</v>
      </c>
      <c r="BD486">
        <v>0</v>
      </c>
      <c r="BE486">
        <v>0</v>
      </c>
      <c r="BF486">
        <v>0</v>
      </c>
      <c r="BG486">
        <v>0</v>
      </c>
      <c r="BH486">
        <v>1</v>
      </c>
      <c r="BI486">
        <v>5.5</v>
      </c>
      <c r="BJ486">
        <v>1.7</v>
      </c>
      <c r="BK486">
        <v>5.5</v>
      </c>
      <c r="BL486" s="4">
        <v>138.68</v>
      </c>
      <c r="BM486" s="4">
        <v>20.8</v>
      </c>
      <c r="BN486" s="4">
        <v>159.47999999999999</v>
      </c>
      <c r="BO486" s="4">
        <v>159.47999999999999</v>
      </c>
      <c r="BQ486" t="s">
        <v>147</v>
      </c>
      <c r="BR486" t="s">
        <v>84</v>
      </c>
      <c r="BS486" s="3">
        <v>43804</v>
      </c>
      <c r="BT486" s="5">
        <v>0.39097222222222222</v>
      </c>
      <c r="BU486" t="s">
        <v>894</v>
      </c>
      <c r="BV486" t="s">
        <v>86</v>
      </c>
      <c r="BY486">
        <v>8355.77</v>
      </c>
      <c r="CA486" t="s">
        <v>563</v>
      </c>
      <c r="CC486" t="s">
        <v>91</v>
      </c>
      <c r="CD486">
        <v>7460</v>
      </c>
      <c r="CE486" t="s">
        <v>96</v>
      </c>
      <c r="CF486" s="3">
        <v>43805</v>
      </c>
      <c r="CI486">
        <v>1</v>
      </c>
      <c r="CJ486">
        <v>1</v>
      </c>
      <c r="CK486">
        <v>21</v>
      </c>
      <c r="CL486" t="s">
        <v>89</v>
      </c>
    </row>
    <row r="487" spans="1:90">
      <c r="A487" t="s">
        <v>72</v>
      </c>
      <c r="B487" t="s">
        <v>73</v>
      </c>
      <c r="C487" t="s">
        <v>74</v>
      </c>
      <c r="E487" t="str">
        <f>"FES1162726814"</f>
        <v>FES1162726814</v>
      </c>
      <c r="F487" s="3">
        <v>43804</v>
      </c>
      <c r="G487">
        <v>202006</v>
      </c>
      <c r="H487" t="s">
        <v>75</v>
      </c>
      <c r="I487" t="s">
        <v>76</v>
      </c>
      <c r="J487" t="s">
        <v>77</v>
      </c>
      <c r="K487" t="s">
        <v>78</v>
      </c>
      <c r="L487" t="s">
        <v>90</v>
      </c>
      <c r="M487" t="s">
        <v>91</v>
      </c>
      <c r="N487" t="s">
        <v>959</v>
      </c>
      <c r="O487" t="s">
        <v>82</v>
      </c>
      <c r="P487" t="str">
        <f>"2170720260                    "</f>
        <v xml:space="preserve">2170720260                    </v>
      </c>
      <c r="Q487">
        <v>0</v>
      </c>
      <c r="R487">
        <v>0</v>
      </c>
      <c r="S487">
        <v>0</v>
      </c>
      <c r="T487">
        <v>0</v>
      </c>
      <c r="U487">
        <v>0</v>
      </c>
      <c r="V487">
        <v>0</v>
      </c>
      <c r="W487">
        <v>0</v>
      </c>
      <c r="X487">
        <v>0</v>
      </c>
      <c r="Y487">
        <v>0</v>
      </c>
      <c r="Z487">
        <v>0</v>
      </c>
      <c r="AA487">
        <v>0</v>
      </c>
      <c r="AB487">
        <v>0</v>
      </c>
      <c r="AC487">
        <v>0</v>
      </c>
      <c r="AD487">
        <v>0</v>
      </c>
      <c r="AE487">
        <v>0</v>
      </c>
      <c r="AF487">
        <v>0</v>
      </c>
      <c r="AG487">
        <v>0</v>
      </c>
      <c r="AH487">
        <v>0</v>
      </c>
      <c r="AI487">
        <v>0</v>
      </c>
      <c r="AJ487">
        <v>0</v>
      </c>
      <c r="AK487">
        <v>0</v>
      </c>
      <c r="AL487">
        <v>0</v>
      </c>
      <c r="AM487">
        <v>8.58</v>
      </c>
      <c r="AN487">
        <v>0</v>
      </c>
      <c r="AO487">
        <v>0</v>
      </c>
      <c r="AP487">
        <v>0</v>
      </c>
      <c r="AQ487">
        <v>0</v>
      </c>
      <c r="AR487">
        <v>0</v>
      </c>
      <c r="AS487">
        <v>0</v>
      </c>
      <c r="AT487">
        <v>0</v>
      </c>
      <c r="AU487">
        <v>0</v>
      </c>
      <c r="AV487">
        <v>0</v>
      </c>
      <c r="AW487">
        <v>0</v>
      </c>
      <c r="AX487">
        <v>0</v>
      </c>
      <c r="AY487">
        <v>0</v>
      </c>
      <c r="AZ487">
        <v>0</v>
      </c>
      <c r="BA487">
        <v>0</v>
      </c>
      <c r="BB487">
        <v>0</v>
      </c>
      <c r="BC487">
        <v>0</v>
      </c>
      <c r="BD487">
        <v>0</v>
      </c>
      <c r="BE487">
        <v>0</v>
      </c>
      <c r="BF487">
        <v>0</v>
      </c>
      <c r="BG487">
        <v>0</v>
      </c>
      <c r="BH487">
        <v>1</v>
      </c>
      <c r="BI487">
        <v>1</v>
      </c>
      <c r="BJ487">
        <v>0.2</v>
      </c>
      <c r="BK487">
        <v>1</v>
      </c>
      <c r="BL487" s="4">
        <v>50.45</v>
      </c>
      <c r="BM487" s="4">
        <v>7.57</v>
      </c>
      <c r="BN487" s="4">
        <v>58.02</v>
      </c>
      <c r="BO487" s="4">
        <v>58.02</v>
      </c>
      <c r="BQ487" t="s">
        <v>256</v>
      </c>
      <c r="BR487" t="s">
        <v>84</v>
      </c>
      <c r="BS487" s="3">
        <v>43805</v>
      </c>
      <c r="BT487" s="5">
        <v>0.43263888888888885</v>
      </c>
      <c r="BU487" t="s">
        <v>960</v>
      </c>
      <c r="BV487" t="s">
        <v>86</v>
      </c>
      <c r="BY487">
        <v>1200</v>
      </c>
      <c r="CA487" t="s">
        <v>273</v>
      </c>
      <c r="CC487" t="s">
        <v>91</v>
      </c>
      <c r="CD487">
        <v>7945</v>
      </c>
      <c r="CE487" t="s">
        <v>88</v>
      </c>
      <c r="CF487" s="3">
        <v>43808</v>
      </c>
      <c r="CI487">
        <v>1</v>
      </c>
      <c r="CJ487">
        <v>1</v>
      </c>
      <c r="CK487">
        <v>21</v>
      </c>
      <c r="CL487" t="s">
        <v>89</v>
      </c>
    </row>
    <row r="488" spans="1:90">
      <c r="A488" t="s">
        <v>72</v>
      </c>
      <c r="B488" t="s">
        <v>73</v>
      </c>
      <c r="C488" t="s">
        <v>74</v>
      </c>
      <c r="E488" t="str">
        <f>"FES1162726641"</f>
        <v>FES1162726641</v>
      </c>
      <c r="F488" s="3">
        <v>43804</v>
      </c>
      <c r="G488">
        <v>202006</v>
      </c>
      <c r="H488" t="s">
        <v>75</v>
      </c>
      <c r="I488" t="s">
        <v>76</v>
      </c>
      <c r="J488" t="s">
        <v>77</v>
      </c>
      <c r="K488" t="s">
        <v>78</v>
      </c>
      <c r="L488" t="s">
        <v>75</v>
      </c>
      <c r="M488" t="s">
        <v>76</v>
      </c>
      <c r="N488" t="s">
        <v>305</v>
      </c>
      <c r="O488" t="s">
        <v>82</v>
      </c>
      <c r="P488" t="str">
        <f>"2170719417                    "</f>
        <v xml:space="preserve">2170719417                    </v>
      </c>
      <c r="Q488">
        <v>0</v>
      </c>
      <c r="R488">
        <v>0</v>
      </c>
      <c r="S488">
        <v>0</v>
      </c>
      <c r="T488">
        <v>0</v>
      </c>
      <c r="U488">
        <v>0</v>
      </c>
      <c r="V488">
        <v>0</v>
      </c>
      <c r="W488">
        <v>0</v>
      </c>
      <c r="X488">
        <v>0</v>
      </c>
      <c r="Y488">
        <v>0</v>
      </c>
      <c r="Z488">
        <v>0</v>
      </c>
      <c r="AA488">
        <v>0</v>
      </c>
      <c r="AB488">
        <v>0</v>
      </c>
      <c r="AC488">
        <v>0</v>
      </c>
      <c r="AD488">
        <v>0</v>
      </c>
      <c r="AE488">
        <v>0</v>
      </c>
      <c r="AF488">
        <v>0</v>
      </c>
      <c r="AG488">
        <v>0</v>
      </c>
      <c r="AH488">
        <v>0</v>
      </c>
      <c r="AI488">
        <v>0</v>
      </c>
      <c r="AJ488">
        <v>0</v>
      </c>
      <c r="AK488">
        <v>0</v>
      </c>
      <c r="AL488">
        <v>0</v>
      </c>
      <c r="AM488">
        <v>8.31</v>
      </c>
      <c r="AN488">
        <v>0</v>
      </c>
      <c r="AO488">
        <v>0</v>
      </c>
      <c r="AP488">
        <v>0</v>
      </c>
      <c r="AQ488">
        <v>0</v>
      </c>
      <c r="AR488">
        <v>0</v>
      </c>
      <c r="AS488">
        <v>0</v>
      </c>
      <c r="AT488">
        <v>0</v>
      </c>
      <c r="AU488">
        <v>0</v>
      </c>
      <c r="AV488">
        <v>0</v>
      </c>
      <c r="AW488">
        <v>0</v>
      </c>
      <c r="AX488">
        <v>0</v>
      </c>
      <c r="AY488">
        <v>0</v>
      </c>
      <c r="AZ488">
        <v>0</v>
      </c>
      <c r="BA488">
        <v>0</v>
      </c>
      <c r="BB488">
        <v>0</v>
      </c>
      <c r="BC488">
        <v>0</v>
      </c>
      <c r="BD488">
        <v>0</v>
      </c>
      <c r="BE488">
        <v>0</v>
      </c>
      <c r="BF488">
        <v>0</v>
      </c>
      <c r="BG488">
        <v>0</v>
      </c>
      <c r="BH488">
        <v>1</v>
      </c>
      <c r="BI488">
        <v>2.7</v>
      </c>
      <c r="BJ488">
        <v>1.1000000000000001</v>
      </c>
      <c r="BK488">
        <v>3</v>
      </c>
      <c r="BL488" s="4">
        <v>48.86</v>
      </c>
      <c r="BM488" s="4">
        <v>7.33</v>
      </c>
      <c r="BN488" s="4">
        <v>56.19</v>
      </c>
      <c r="BO488" s="4">
        <v>56.19</v>
      </c>
      <c r="BQ488" t="s">
        <v>147</v>
      </c>
      <c r="BR488" t="s">
        <v>84</v>
      </c>
      <c r="BS488" s="3">
        <v>43805</v>
      </c>
      <c r="BT488" s="5">
        <v>0.32291666666666669</v>
      </c>
      <c r="BU488" t="s">
        <v>589</v>
      </c>
      <c r="BV488" t="s">
        <v>86</v>
      </c>
      <c r="BY488">
        <v>5317.12</v>
      </c>
      <c r="CA488" t="s">
        <v>307</v>
      </c>
      <c r="CC488" t="s">
        <v>76</v>
      </c>
      <c r="CD488">
        <v>1645</v>
      </c>
      <c r="CE488" t="s">
        <v>116</v>
      </c>
      <c r="CF488" s="3">
        <v>43808</v>
      </c>
      <c r="CI488">
        <v>1</v>
      </c>
      <c r="CJ488">
        <v>1</v>
      </c>
      <c r="CK488">
        <v>22</v>
      </c>
      <c r="CL488" t="s">
        <v>89</v>
      </c>
    </row>
    <row r="489" spans="1:90">
      <c r="A489" t="s">
        <v>72</v>
      </c>
      <c r="B489" t="s">
        <v>73</v>
      </c>
      <c r="C489" t="s">
        <v>74</v>
      </c>
      <c r="E489" t="str">
        <f>"FES1162726584"</f>
        <v>FES1162726584</v>
      </c>
      <c r="F489" s="3">
        <v>43804</v>
      </c>
      <c r="G489">
        <v>202006</v>
      </c>
      <c r="H489" t="s">
        <v>75</v>
      </c>
      <c r="I489" t="s">
        <v>76</v>
      </c>
      <c r="J489" t="s">
        <v>77</v>
      </c>
      <c r="K489" t="s">
        <v>78</v>
      </c>
      <c r="L489" t="s">
        <v>632</v>
      </c>
      <c r="M489" t="s">
        <v>633</v>
      </c>
      <c r="N489" t="s">
        <v>961</v>
      </c>
      <c r="O489" t="s">
        <v>82</v>
      </c>
      <c r="P489" t="str">
        <f>"21707184984                   "</f>
        <v xml:space="preserve">21707184984                   </v>
      </c>
      <c r="Q489">
        <v>0</v>
      </c>
      <c r="R489">
        <v>0</v>
      </c>
      <c r="S489">
        <v>0</v>
      </c>
      <c r="T489">
        <v>0</v>
      </c>
      <c r="U489">
        <v>0</v>
      </c>
      <c r="V489">
        <v>0</v>
      </c>
      <c r="W489">
        <v>0</v>
      </c>
      <c r="X489">
        <v>0</v>
      </c>
      <c r="Y489">
        <v>0</v>
      </c>
      <c r="Z489">
        <v>0</v>
      </c>
      <c r="AA489">
        <v>0</v>
      </c>
      <c r="AB489">
        <v>0</v>
      </c>
      <c r="AC489">
        <v>0</v>
      </c>
      <c r="AD489">
        <v>0</v>
      </c>
      <c r="AE489">
        <v>0</v>
      </c>
      <c r="AF489">
        <v>0</v>
      </c>
      <c r="AG489">
        <v>0</v>
      </c>
      <c r="AH489">
        <v>0</v>
      </c>
      <c r="AI489">
        <v>0</v>
      </c>
      <c r="AJ489">
        <v>0</v>
      </c>
      <c r="AK489">
        <v>0</v>
      </c>
      <c r="AL489">
        <v>0</v>
      </c>
      <c r="AM489">
        <v>11.53</v>
      </c>
      <c r="AN489">
        <v>0</v>
      </c>
      <c r="AO489">
        <v>0</v>
      </c>
      <c r="AP489">
        <v>0</v>
      </c>
      <c r="AQ489">
        <v>0</v>
      </c>
      <c r="AR489">
        <v>0</v>
      </c>
      <c r="AS489">
        <v>0</v>
      </c>
      <c r="AT489">
        <v>0</v>
      </c>
      <c r="AU489">
        <v>0</v>
      </c>
      <c r="AV489">
        <v>0</v>
      </c>
      <c r="AW489">
        <v>0</v>
      </c>
      <c r="AX489">
        <v>0</v>
      </c>
      <c r="AY489">
        <v>0</v>
      </c>
      <c r="AZ489">
        <v>0</v>
      </c>
      <c r="BA489">
        <v>0</v>
      </c>
      <c r="BB489">
        <v>0</v>
      </c>
      <c r="BC489">
        <v>0</v>
      </c>
      <c r="BD489">
        <v>0</v>
      </c>
      <c r="BE489">
        <v>0</v>
      </c>
      <c r="BF489">
        <v>0</v>
      </c>
      <c r="BG489">
        <v>0</v>
      </c>
      <c r="BH489">
        <v>1</v>
      </c>
      <c r="BI489">
        <v>4.8</v>
      </c>
      <c r="BJ489">
        <v>3</v>
      </c>
      <c r="BK489">
        <v>5</v>
      </c>
      <c r="BL489" s="4">
        <v>67.760000000000005</v>
      </c>
      <c r="BM489" s="4">
        <v>10.16</v>
      </c>
      <c r="BN489" s="4">
        <v>77.92</v>
      </c>
      <c r="BO489" s="4">
        <v>77.92</v>
      </c>
      <c r="BQ489" t="s">
        <v>962</v>
      </c>
      <c r="BR489" t="s">
        <v>84</v>
      </c>
      <c r="BS489" s="3">
        <v>43805</v>
      </c>
      <c r="BT489" s="5">
        <v>0.3298611111111111</v>
      </c>
      <c r="BU489" t="s">
        <v>963</v>
      </c>
      <c r="BV489" t="s">
        <v>86</v>
      </c>
      <c r="BY489">
        <v>15205.59</v>
      </c>
      <c r="CA489" t="s">
        <v>964</v>
      </c>
      <c r="CC489" t="s">
        <v>633</v>
      </c>
      <c r="CD489">
        <v>1450</v>
      </c>
      <c r="CE489" t="s">
        <v>116</v>
      </c>
      <c r="CF489" s="3">
        <v>43808</v>
      </c>
      <c r="CI489">
        <v>1</v>
      </c>
      <c r="CJ489">
        <v>1</v>
      </c>
      <c r="CK489">
        <v>22</v>
      </c>
      <c r="CL489" t="s">
        <v>89</v>
      </c>
    </row>
    <row r="490" spans="1:90">
      <c r="A490" t="s">
        <v>72</v>
      </c>
      <c r="B490" t="s">
        <v>73</v>
      </c>
      <c r="C490" t="s">
        <v>74</v>
      </c>
      <c r="E490" t="str">
        <f>"FES1162726901"</f>
        <v>FES1162726901</v>
      </c>
      <c r="F490" s="3">
        <v>43804</v>
      </c>
      <c r="G490">
        <v>202006</v>
      </c>
      <c r="H490" t="s">
        <v>75</v>
      </c>
      <c r="I490" t="s">
        <v>76</v>
      </c>
      <c r="J490" t="s">
        <v>77</v>
      </c>
      <c r="K490" t="s">
        <v>78</v>
      </c>
      <c r="L490" t="s">
        <v>90</v>
      </c>
      <c r="M490" t="s">
        <v>91</v>
      </c>
      <c r="N490" t="s">
        <v>965</v>
      </c>
      <c r="O490" t="s">
        <v>82</v>
      </c>
      <c r="P490" t="str">
        <f>"2170720339                    "</f>
        <v xml:space="preserve">2170720339                    </v>
      </c>
      <c r="Q490">
        <v>0</v>
      </c>
      <c r="R490">
        <v>0</v>
      </c>
      <c r="S490">
        <v>0</v>
      </c>
      <c r="T490">
        <v>0</v>
      </c>
      <c r="U490">
        <v>0</v>
      </c>
      <c r="V490">
        <v>0</v>
      </c>
      <c r="W490">
        <v>0</v>
      </c>
      <c r="X490">
        <v>0</v>
      </c>
      <c r="Y490">
        <v>0</v>
      </c>
      <c r="Z490">
        <v>0</v>
      </c>
      <c r="AA490">
        <v>0</v>
      </c>
      <c r="AB490">
        <v>0</v>
      </c>
      <c r="AC490">
        <v>0</v>
      </c>
      <c r="AD490">
        <v>0</v>
      </c>
      <c r="AE490">
        <v>0</v>
      </c>
      <c r="AF490">
        <v>0</v>
      </c>
      <c r="AG490">
        <v>0</v>
      </c>
      <c r="AH490">
        <v>0</v>
      </c>
      <c r="AI490">
        <v>0</v>
      </c>
      <c r="AJ490">
        <v>0</v>
      </c>
      <c r="AK490">
        <v>0</v>
      </c>
      <c r="AL490">
        <v>0</v>
      </c>
      <c r="AM490">
        <v>10.73</v>
      </c>
      <c r="AN490">
        <v>0</v>
      </c>
      <c r="AO490">
        <v>0</v>
      </c>
      <c r="AP490">
        <v>0</v>
      </c>
      <c r="AQ490">
        <v>0</v>
      </c>
      <c r="AR490">
        <v>0</v>
      </c>
      <c r="AS490">
        <v>0</v>
      </c>
      <c r="AT490">
        <v>0</v>
      </c>
      <c r="AU490">
        <v>0</v>
      </c>
      <c r="AV490">
        <v>0</v>
      </c>
      <c r="AW490">
        <v>0</v>
      </c>
      <c r="AX490">
        <v>0</v>
      </c>
      <c r="AY490">
        <v>0</v>
      </c>
      <c r="AZ490">
        <v>0</v>
      </c>
      <c r="BA490">
        <v>0</v>
      </c>
      <c r="BB490">
        <v>0</v>
      </c>
      <c r="BC490">
        <v>0</v>
      </c>
      <c r="BD490">
        <v>0</v>
      </c>
      <c r="BE490">
        <v>0</v>
      </c>
      <c r="BF490">
        <v>0</v>
      </c>
      <c r="BG490">
        <v>0</v>
      </c>
      <c r="BH490">
        <v>1</v>
      </c>
      <c r="BI490">
        <v>0.2</v>
      </c>
      <c r="BJ490">
        <v>2.4</v>
      </c>
      <c r="BK490">
        <v>2.5</v>
      </c>
      <c r="BL490" s="4">
        <v>63.06</v>
      </c>
      <c r="BM490" s="4">
        <v>9.4600000000000009</v>
      </c>
      <c r="BN490" s="4">
        <v>72.52</v>
      </c>
      <c r="BO490" s="4">
        <v>72.52</v>
      </c>
      <c r="BQ490" t="s">
        <v>966</v>
      </c>
      <c r="BR490" t="s">
        <v>84</v>
      </c>
      <c r="BS490" s="3">
        <v>43805</v>
      </c>
      <c r="BT490" s="5">
        <v>0.3833333333333333</v>
      </c>
      <c r="BU490" t="s">
        <v>967</v>
      </c>
      <c r="BV490" t="s">
        <v>86</v>
      </c>
      <c r="BY490">
        <v>12218.58</v>
      </c>
      <c r="CA490" t="s">
        <v>968</v>
      </c>
      <c r="CC490" t="s">
        <v>91</v>
      </c>
      <c r="CD490">
        <v>7925</v>
      </c>
      <c r="CE490" t="s">
        <v>88</v>
      </c>
      <c r="CF490" s="3">
        <v>43808</v>
      </c>
      <c r="CI490">
        <v>1</v>
      </c>
      <c r="CJ490">
        <v>1</v>
      </c>
      <c r="CK490">
        <v>21</v>
      </c>
      <c r="CL490" t="s">
        <v>89</v>
      </c>
    </row>
    <row r="491" spans="1:90">
      <c r="A491" t="s">
        <v>72</v>
      </c>
      <c r="B491" t="s">
        <v>73</v>
      </c>
      <c r="C491" t="s">
        <v>74</v>
      </c>
      <c r="E491" t="str">
        <f>"FES1162726604"</f>
        <v>FES1162726604</v>
      </c>
      <c r="F491" s="3">
        <v>43804</v>
      </c>
      <c r="G491">
        <v>202006</v>
      </c>
      <c r="H491" t="s">
        <v>75</v>
      </c>
      <c r="I491" t="s">
        <v>76</v>
      </c>
      <c r="J491" t="s">
        <v>77</v>
      </c>
      <c r="K491" t="s">
        <v>78</v>
      </c>
      <c r="L491" t="s">
        <v>169</v>
      </c>
      <c r="M491" t="s">
        <v>170</v>
      </c>
      <c r="N491" t="s">
        <v>772</v>
      </c>
      <c r="O491" t="s">
        <v>82</v>
      </c>
      <c r="P491" t="str">
        <f>"2170719047                    "</f>
        <v xml:space="preserve">2170719047                    </v>
      </c>
      <c r="Q491">
        <v>0</v>
      </c>
      <c r="R491">
        <v>0</v>
      </c>
      <c r="S491">
        <v>0</v>
      </c>
      <c r="T491">
        <v>0</v>
      </c>
      <c r="U491">
        <v>0</v>
      </c>
      <c r="V491">
        <v>0</v>
      </c>
      <c r="W491">
        <v>0</v>
      </c>
      <c r="X491">
        <v>0</v>
      </c>
      <c r="Y491">
        <v>0</v>
      </c>
      <c r="Z491">
        <v>0</v>
      </c>
      <c r="AA491">
        <v>0</v>
      </c>
      <c r="AB491">
        <v>0</v>
      </c>
      <c r="AC491">
        <v>0</v>
      </c>
      <c r="AD491">
        <v>0</v>
      </c>
      <c r="AE491">
        <v>0</v>
      </c>
      <c r="AF491">
        <v>0</v>
      </c>
      <c r="AG491">
        <v>0</v>
      </c>
      <c r="AH491">
        <v>0</v>
      </c>
      <c r="AI491">
        <v>0</v>
      </c>
      <c r="AJ491">
        <v>0</v>
      </c>
      <c r="AK491">
        <v>0</v>
      </c>
      <c r="AL491">
        <v>0</v>
      </c>
      <c r="AM491">
        <v>6.71</v>
      </c>
      <c r="AN491">
        <v>0</v>
      </c>
      <c r="AO491">
        <v>0</v>
      </c>
      <c r="AP491">
        <v>0</v>
      </c>
      <c r="AQ491">
        <v>0</v>
      </c>
      <c r="AR491">
        <v>0</v>
      </c>
      <c r="AS491">
        <v>0</v>
      </c>
      <c r="AT491">
        <v>0</v>
      </c>
      <c r="AU491">
        <v>0</v>
      </c>
      <c r="AV491">
        <v>0</v>
      </c>
      <c r="AW491">
        <v>0</v>
      </c>
      <c r="AX491">
        <v>0</v>
      </c>
      <c r="AY491">
        <v>0</v>
      </c>
      <c r="AZ491">
        <v>0</v>
      </c>
      <c r="BA491">
        <v>0</v>
      </c>
      <c r="BB491">
        <v>0</v>
      </c>
      <c r="BC491">
        <v>0</v>
      </c>
      <c r="BD491">
        <v>0</v>
      </c>
      <c r="BE491">
        <v>0</v>
      </c>
      <c r="BF491">
        <v>0</v>
      </c>
      <c r="BG491">
        <v>0</v>
      </c>
      <c r="BH491">
        <v>1</v>
      </c>
      <c r="BI491">
        <v>1.6</v>
      </c>
      <c r="BJ491">
        <v>1.2</v>
      </c>
      <c r="BK491">
        <v>2</v>
      </c>
      <c r="BL491" s="4">
        <v>39.42</v>
      </c>
      <c r="BM491" s="4">
        <v>5.91</v>
      </c>
      <c r="BN491" s="4">
        <v>45.33</v>
      </c>
      <c r="BO491" s="4">
        <v>45.33</v>
      </c>
      <c r="BQ491" t="s">
        <v>147</v>
      </c>
      <c r="BR491" t="s">
        <v>84</v>
      </c>
      <c r="BS491" s="3">
        <v>43805</v>
      </c>
      <c r="BT491" s="5">
        <v>0.375</v>
      </c>
      <c r="BU491" t="s">
        <v>638</v>
      </c>
      <c r="BV491" t="s">
        <v>86</v>
      </c>
      <c r="BY491">
        <v>6004.95</v>
      </c>
      <c r="CC491" t="s">
        <v>170</v>
      </c>
      <c r="CD491">
        <v>1459</v>
      </c>
      <c r="CE491" t="s">
        <v>116</v>
      </c>
      <c r="CF491" s="3">
        <v>43808</v>
      </c>
      <c r="CI491">
        <v>1</v>
      </c>
      <c r="CJ491">
        <v>1</v>
      </c>
      <c r="CK491">
        <v>22</v>
      </c>
      <c r="CL491" t="s">
        <v>89</v>
      </c>
    </row>
    <row r="492" spans="1:90">
      <c r="A492" t="s">
        <v>72</v>
      </c>
      <c r="B492" t="s">
        <v>73</v>
      </c>
      <c r="C492" t="s">
        <v>74</v>
      </c>
      <c r="E492" t="str">
        <f>"FES1162726574"</f>
        <v>FES1162726574</v>
      </c>
      <c r="F492" s="3">
        <v>43804</v>
      </c>
      <c r="G492">
        <v>202006</v>
      </c>
      <c r="H492" t="s">
        <v>75</v>
      </c>
      <c r="I492" t="s">
        <v>76</v>
      </c>
      <c r="J492" t="s">
        <v>77</v>
      </c>
      <c r="K492" t="s">
        <v>78</v>
      </c>
      <c r="L492" t="s">
        <v>169</v>
      </c>
      <c r="M492" t="s">
        <v>170</v>
      </c>
      <c r="N492" t="s">
        <v>969</v>
      </c>
      <c r="O492" t="s">
        <v>82</v>
      </c>
      <c r="P492" t="str">
        <f>"2170719653                    "</f>
        <v xml:space="preserve">2170719653                    </v>
      </c>
      <c r="Q492">
        <v>0</v>
      </c>
      <c r="R492">
        <v>0</v>
      </c>
      <c r="S492">
        <v>0</v>
      </c>
      <c r="T492">
        <v>0</v>
      </c>
      <c r="U492">
        <v>0</v>
      </c>
      <c r="V492">
        <v>0</v>
      </c>
      <c r="W492">
        <v>0</v>
      </c>
      <c r="X492">
        <v>0</v>
      </c>
      <c r="Y492">
        <v>0</v>
      </c>
      <c r="Z492">
        <v>0</v>
      </c>
      <c r="AA492">
        <v>0</v>
      </c>
      <c r="AB492">
        <v>0</v>
      </c>
      <c r="AC492">
        <v>0</v>
      </c>
      <c r="AD492">
        <v>0</v>
      </c>
      <c r="AE492">
        <v>0</v>
      </c>
      <c r="AF492">
        <v>0</v>
      </c>
      <c r="AG492">
        <v>0</v>
      </c>
      <c r="AH492">
        <v>0</v>
      </c>
      <c r="AI492">
        <v>0</v>
      </c>
      <c r="AJ492">
        <v>0</v>
      </c>
      <c r="AK492">
        <v>0</v>
      </c>
      <c r="AL492">
        <v>0</v>
      </c>
      <c r="AM492">
        <v>6.71</v>
      </c>
      <c r="AN492">
        <v>0</v>
      </c>
      <c r="AO492">
        <v>0</v>
      </c>
      <c r="AP492">
        <v>0</v>
      </c>
      <c r="AQ492">
        <v>0</v>
      </c>
      <c r="AR492">
        <v>0</v>
      </c>
      <c r="AS492">
        <v>0</v>
      </c>
      <c r="AT492">
        <v>0</v>
      </c>
      <c r="AU492">
        <v>0</v>
      </c>
      <c r="AV492">
        <v>0</v>
      </c>
      <c r="AW492">
        <v>0</v>
      </c>
      <c r="AX492">
        <v>0</v>
      </c>
      <c r="AY492">
        <v>0</v>
      </c>
      <c r="AZ492">
        <v>0</v>
      </c>
      <c r="BA492">
        <v>0</v>
      </c>
      <c r="BB492">
        <v>0</v>
      </c>
      <c r="BC492">
        <v>0</v>
      </c>
      <c r="BD492">
        <v>0</v>
      </c>
      <c r="BE492">
        <v>0</v>
      </c>
      <c r="BF492">
        <v>0</v>
      </c>
      <c r="BG492">
        <v>0</v>
      </c>
      <c r="BH492">
        <v>1</v>
      </c>
      <c r="BI492">
        <v>0.8</v>
      </c>
      <c r="BJ492">
        <v>0.9</v>
      </c>
      <c r="BK492">
        <v>1</v>
      </c>
      <c r="BL492" s="4">
        <v>39.42</v>
      </c>
      <c r="BM492" s="4">
        <v>5.91</v>
      </c>
      <c r="BN492" s="4">
        <v>45.33</v>
      </c>
      <c r="BO492" s="4">
        <v>45.33</v>
      </c>
      <c r="BQ492" t="s">
        <v>93</v>
      </c>
      <c r="BR492" t="s">
        <v>84</v>
      </c>
      <c r="BS492" s="3">
        <v>43805</v>
      </c>
      <c r="BT492" s="5">
        <v>0.3354166666666667</v>
      </c>
      <c r="BU492" t="s">
        <v>970</v>
      </c>
      <c r="BV492" t="s">
        <v>86</v>
      </c>
      <c r="BY492">
        <v>4401.54</v>
      </c>
      <c r="CA492" t="s">
        <v>250</v>
      </c>
      <c r="CC492" t="s">
        <v>170</v>
      </c>
      <c r="CD492">
        <v>1459</v>
      </c>
      <c r="CE492" t="s">
        <v>116</v>
      </c>
      <c r="CF492" s="3">
        <v>43808</v>
      </c>
      <c r="CI492">
        <v>1</v>
      </c>
      <c r="CJ492">
        <v>1</v>
      </c>
      <c r="CK492">
        <v>22</v>
      </c>
      <c r="CL492" t="s">
        <v>89</v>
      </c>
    </row>
    <row r="493" spans="1:90">
      <c r="A493" t="s">
        <v>72</v>
      </c>
      <c r="B493" t="s">
        <v>73</v>
      </c>
      <c r="C493" t="s">
        <v>74</v>
      </c>
      <c r="E493" t="str">
        <f>"FES1162726879"</f>
        <v>FES1162726879</v>
      </c>
      <c r="F493" s="3">
        <v>43804</v>
      </c>
      <c r="G493">
        <v>202006</v>
      </c>
      <c r="H493" t="s">
        <v>75</v>
      </c>
      <c r="I493" t="s">
        <v>76</v>
      </c>
      <c r="J493" t="s">
        <v>77</v>
      </c>
      <c r="K493" t="s">
        <v>78</v>
      </c>
      <c r="L493" t="s">
        <v>186</v>
      </c>
      <c r="M493" t="s">
        <v>187</v>
      </c>
      <c r="N493" t="s">
        <v>188</v>
      </c>
      <c r="O493" t="s">
        <v>82</v>
      </c>
      <c r="P493" t="str">
        <f>"2170720322                    "</f>
        <v xml:space="preserve">2170720322                    </v>
      </c>
      <c r="Q493">
        <v>0</v>
      </c>
      <c r="R493">
        <v>0</v>
      </c>
      <c r="S493">
        <v>0</v>
      </c>
      <c r="T493">
        <v>0</v>
      </c>
      <c r="U493">
        <v>0</v>
      </c>
      <c r="V493">
        <v>0</v>
      </c>
      <c r="W493">
        <v>0</v>
      </c>
      <c r="X493">
        <v>0</v>
      </c>
      <c r="Y493">
        <v>0</v>
      </c>
      <c r="Z493">
        <v>0</v>
      </c>
      <c r="AA493">
        <v>0</v>
      </c>
      <c r="AB493">
        <v>0</v>
      </c>
      <c r="AC493">
        <v>0</v>
      </c>
      <c r="AD493">
        <v>0</v>
      </c>
      <c r="AE493">
        <v>0</v>
      </c>
      <c r="AF493">
        <v>0</v>
      </c>
      <c r="AG493">
        <v>0</v>
      </c>
      <c r="AH493">
        <v>0</v>
      </c>
      <c r="AI493">
        <v>0</v>
      </c>
      <c r="AJ493">
        <v>0</v>
      </c>
      <c r="AK493">
        <v>0</v>
      </c>
      <c r="AL493">
        <v>0</v>
      </c>
      <c r="AM493">
        <v>16.63</v>
      </c>
      <c r="AN493">
        <v>0</v>
      </c>
      <c r="AO493">
        <v>0</v>
      </c>
      <c r="AP493">
        <v>0</v>
      </c>
      <c r="AQ493">
        <v>0</v>
      </c>
      <c r="AR493">
        <v>0</v>
      </c>
      <c r="AS493">
        <v>0</v>
      </c>
      <c r="AT493">
        <v>0</v>
      </c>
      <c r="AU493">
        <v>0</v>
      </c>
      <c r="AV493">
        <v>0</v>
      </c>
      <c r="AW493">
        <v>0</v>
      </c>
      <c r="AX493">
        <v>0</v>
      </c>
      <c r="AY493">
        <v>0</v>
      </c>
      <c r="AZ493">
        <v>0</v>
      </c>
      <c r="BA493">
        <v>0</v>
      </c>
      <c r="BB493">
        <v>0</v>
      </c>
      <c r="BC493">
        <v>0</v>
      </c>
      <c r="BD493">
        <v>0</v>
      </c>
      <c r="BE493">
        <v>0</v>
      </c>
      <c r="BF493">
        <v>0</v>
      </c>
      <c r="BG493">
        <v>0</v>
      </c>
      <c r="BH493">
        <v>1</v>
      </c>
      <c r="BI493">
        <v>1</v>
      </c>
      <c r="BJ493">
        <v>0.2</v>
      </c>
      <c r="BK493">
        <v>1</v>
      </c>
      <c r="BL493" s="4">
        <v>97.75</v>
      </c>
      <c r="BM493" s="4">
        <v>14.66</v>
      </c>
      <c r="BN493" s="4">
        <v>112.41</v>
      </c>
      <c r="BO493" s="4">
        <v>112.41</v>
      </c>
      <c r="BQ493" t="s">
        <v>93</v>
      </c>
      <c r="BR493" t="s">
        <v>84</v>
      </c>
      <c r="BS493" s="3">
        <v>43808</v>
      </c>
      <c r="BT493" s="5">
        <v>0.37083333333333335</v>
      </c>
      <c r="BU493" t="s">
        <v>971</v>
      </c>
      <c r="BV493" t="s">
        <v>86</v>
      </c>
      <c r="BY493">
        <v>1200</v>
      </c>
      <c r="CA493" t="s">
        <v>190</v>
      </c>
      <c r="CC493" t="s">
        <v>187</v>
      </c>
      <c r="CD493">
        <v>6849</v>
      </c>
      <c r="CE493" t="s">
        <v>88</v>
      </c>
      <c r="CF493" s="3">
        <v>43809</v>
      </c>
      <c r="CI493">
        <v>3</v>
      </c>
      <c r="CJ493">
        <v>2</v>
      </c>
      <c r="CK493">
        <v>23</v>
      </c>
      <c r="CL493" t="s">
        <v>89</v>
      </c>
    </row>
    <row r="494" spans="1:90">
      <c r="A494" t="s">
        <v>72</v>
      </c>
      <c r="B494" t="s">
        <v>73</v>
      </c>
      <c r="C494" t="s">
        <v>74</v>
      </c>
      <c r="E494" t="str">
        <f>"FES1162726888"</f>
        <v>FES1162726888</v>
      </c>
      <c r="F494" s="3">
        <v>43804</v>
      </c>
      <c r="G494">
        <v>202006</v>
      </c>
      <c r="H494" t="s">
        <v>75</v>
      </c>
      <c r="I494" t="s">
        <v>76</v>
      </c>
      <c r="J494" t="s">
        <v>77</v>
      </c>
      <c r="K494" t="s">
        <v>78</v>
      </c>
      <c r="L494" t="s">
        <v>308</v>
      </c>
      <c r="M494" t="s">
        <v>308</v>
      </c>
      <c r="N494" t="s">
        <v>755</v>
      </c>
      <c r="O494" t="s">
        <v>82</v>
      </c>
      <c r="P494" t="str">
        <f>"2170720329                    "</f>
        <v xml:space="preserve">2170720329                    </v>
      </c>
      <c r="Q494">
        <v>0</v>
      </c>
      <c r="R494">
        <v>0</v>
      </c>
      <c r="S494">
        <v>0</v>
      </c>
      <c r="T494">
        <v>0</v>
      </c>
      <c r="U494">
        <v>0</v>
      </c>
      <c r="V494">
        <v>0</v>
      </c>
      <c r="W494">
        <v>0</v>
      </c>
      <c r="X494">
        <v>0</v>
      </c>
      <c r="Y494">
        <v>0</v>
      </c>
      <c r="Z494">
        <v>0</v>
      </c>
      <c r="AA494">
        <v>0</v>
      </c>
      <c r="AB494">
        <v>0</v>
      </c>
      <c r="AC494">
        <v>0</v>
      </c>
      <c r="AD494">
        <v>0</v>
      </c>
      <c r="AE494">
        <v>0</v>
      </c>
      <c r="AF494">
        <v>0</v>
      </c>
      <c r="AG494">
        <v>0</v>
      </c>
      <c r="AH494">
        <v>0</v>
      </c>
      <c r="AI494">
        <v>0</v>
      </c>
      <c r="AJ494">
        <v>0</v>
      </c>
      <c r="AK494">
        <v>0</v>
      </c>
      <c r="AL494">
        <v>0</v>
      </c>
      <c r="AM494">
        <v>16.63</v>
      </c>
      <c r="AN494">
        <v>0</v>
      </c>
      <c r="AO494">
        <v>0</v>
      </c>
      <c r="AP494">
        <v>0</v>
      </c>
      <c r="AQ494">
        <v>0</v>
      </c>
      <c r="AR494">
        <v>0</v>
      </c>
      <c r="AS494">
        <v>0</v>
      </c>
      <c r="AT494">
        <v>0</v>
      </c>
      <c r="AU494">
        <v>0</v>
      </c>
      <c r="AV494">
        <v>0</v>
      </c>
      <c r="AW494">
        <v>0</v>
      </c>
      <c r="AX494">
        <v>0</v>
      </c>
      <c r="AY494">
        <v>0</v>
      </c>
      <c r="AZ494">
        <v>0</v>
      </c>
      <c r="BA494">
        <v>0</v>
      </c>
      <c r="BB494">
        <v>0</v>
      </c>
      <c r="BC494">
        <v>0</v>
      </c>
      <c r="BD494">
        <v>0</v>
      </c>
      <c r="BE494">
        <v>0</v>
      </c>
      <c r="BF494">
        <v>0</v>
      </c>
      <c r="BG494">
        <v>0</v>
      </c>
      <c r="BH494">
        <v>1</v>
      </c>
      <c r="BI494">
        <v>1</v>
      </c>
      <c r="BJ494">
        <v>0.2</v>
      </c>
      <c r="BK494">
        <v>1</v>
      </c>
      <c r="BL494" s="4">
        <v>97.75</v>
      </c>
      <c r="BM494" s="4">
        <v>14.66</v>
      </c>
      <c r="BN494" s="4">
        <v>112.41</v>
      </c>
      <c r="BO494" s="4">
        <v>112.41</v>
      </c>
      <c r="BQ494" t="s">
        <v>147</v>
      </c>
      <c r="BR494" t="s">
        <v>84</v>
      </c>
      <c r="BS494" s="3">
        <v>43805</v>
      </c>
      <c r="BT494" s="5">
        <v>0.4284722222222222</v>
      </c>
      <c r="BU494" t="s">
        <v>679</v>
      </c>
      <c r="BV494" t="s">
        <v>86</v>
      </c>
      <c r="BY494">
        <v>1200</v>
      </c>
      <c r="CA494" t="s">
        <v>311</v>
      </c>
      <c r="CC494" t="s">
        <v>308</v>
      </c>
      <c r="CD494">
        <v>7646</v>
      </c>
      <c r="CE494" t="s">
        <v>88</v>
      </c>
      <c r="CF494" s="3">
        <v>43808</v>
      </c>
      <c r="CI494">
        <v>1</v>
      </c>
      <c r="CJ494">
        <v>1</v>
      </c>
      <c r="CK494">
        <v>23</v>
      </c>
      <c r="CL494" t="s">
        <v>89</v>
      </c>
    </row>
    <row r="495" spans="1:90">
      <c r="A495" t="s">
        <v>72</v>
      </c>
      <c r="B495" t="s">
        <v>73</v>
      </c>
      <c r="C495" t="s">
        <v>74</v>
      </c>
      <c r="E495" t="str">
        <f>"FES1162726622"</f>
        <v>FES1162726622</v>
      </c>
      <c r="F495" s="3">
        <v>43804</v>
      </c>
      <c r="G495">
        <v>202006</v>
      </c>
      <c r="H495" t="s">
        <v>75</v>
      </c>
      <c r="I495" t="s">
        <v>76</v>
      </c>
      <c r="J495" t="s">
        <v>77</v>
      </c>
      <c r="K495" t="s">
        <v>78</v>
      </c>
      <c r="L495" t="s">
        <v>132</v>
      </c>
      <c r="M495" t="s">
        <v>133</v>
      </c>
      <c r="N495" t="s">
        <v>783</v>
      </c>
      <c r="O495" t="s">
        <v>82</v>
      </c>
      <c r="P495" t="str">
        <f>"2170710091                    "</f>
        <v xml:space="preserve">2170710091                    </v>
      </c>
      <c r="Q495">
        <v>0</v>
      </c>
      <c r="R495">
        <v>0</v>
      </c>
      <c r="S495">
        <v>0</v>
      </c>
      <c r="T495">
        <v>0</v>
      </c>
      <c r="U495">
        <v>0</v>
      </c>
      <c r="V495">
        <v>0</v>
      </c>
      <c r="W495">
        <v>0</v>
      </c>
      <c r="X495">
        <v>0</v>
      </c>
      <c r="Y495">
        <v>0</v>
      </c>
      <c r="Z495">
        <v>0</v>
      </c>
      <c r="AA495">
        <v>0</v>
      </c>
      <c r="AB495">
        <v>0</v>
      </c>
      <c r="AC495">
        <v>0</v>
      </c>
      <c r="AD495">
        <v>0</v>
      </c>
      <c r="AE495">
        <v>0</v>
      </c>
      <c r="AF495">
        <v>0</v>
      </c>
      <c r="AG495">
        <v>0</v>
      </c>
      <c r="AH495">
        <v>0</v>
      </c>
      <c r="AI495">
        <v>0</v>
      </c>
      <c r="AJ495">
        <v>0</v>
      </c>
      <c r="AK495">
        <v>0</v>
      </c>
      <c r="AL495">
        <v>0</v>
      </c>
      <c r="AM495">
        <v>15.02</v>
      </c>
      <c r="AN495">
        <v>0</v>
      </c>
      <c r="AO495">
        <v>0</v>
      </c>
      <c r="AP495">
        <v>0</v>
      </c>
      <c r="AQ495">
        <v>0</v>
      </c>
      <c r="AR495">
        <v>0</v>
      </c>
      <c r="AS495">
        <v>0</v>
      </c>
      <c r="AT495">
        <v>0</v>
      </c>
      <c r="AU495">
        <v>0</v>
      </c>
      <c r="AV495">
        <v>0</v>
      </c>
      <c r="AW495">
        <v>0</v>
      </c>
      <c r="AX495">
        <v>0</v>
      </c>
      <c r="AY495">
        <v>0</v>
      </c>
      <c r="AZ495">
        <v>0</v>
      </c>
      <c r="BA495">
        <v>0</v>
      </c>
      <c r="BB495">
        <v>0</v>
      </c>
      <c r="BC495">
        <v>0</v>
      </c>
      <c r="BD495">
        <v>0</v>
      </c>
      <c r="BE495">
        <v>0</v>
      </c>
      <c r="BF495">
        <v>0</v>
      </c>
      <c r="BG495">
        <v>0</v>
      </c>
      <c r="BH495">
        <v>1</v>
      </c>
      <c r="BI495">
        <v>3.5</v>
      </c>
      <c r="BJ495">
        <v>1.4</v>
      </c>
      <c r="BK495">
        <v>3.5</v>
      </c>
      <c r="BL495" s="4">
        <v>88.27</v>
      </c>
      <c r="BM495" s="4">
        <v>13.24</v>
      </c>
      <c r="BN495" s="4">
        <v>101.51</v>
      </c>
      <c r="BO495" s="4">
        <v>101.51</v>
      </c>
      <c r="BQ495" t="s">
        <v>256</v>
      </c>
      <c r="BR495" t="s">
        <v>84</v>
      </c>
      <c r="BS495" s="3">
        <v>43805</v>
      </c>
      <c r="BT495" s="5">
        <v>0.43055555555555558</v>
      </c>
      <c r="BU495" t="s">
        <v>972</v>
      </c>
      <c r="BV495" t="s">
        <v>86</v>
      </c>
      <c r="BY495">
        <v>7246.8</v>
      </c>
      <c r="CA495" t="s">
        <v>973</v>
      </c>
      <c r="CC495" t="s">
        <v>133</v>
      </c>
      <c r="CD495">
        <v>157</v>
      </c>
      <c r="CE495" t="s">
        <v>116</v>
      </c>
      <c r="CF495" s="3">
        <v>43808</v>
      </c>
      <c r="CI495">
        <v>1</v>
      </c>
      <c r="CJ495">
        <v>1</v>
      </c>
      <c r="CK495">
        <v>21</v>
      </c>
      <c r="CL495" t="s">
        <v>89</v>
      </c>
    </row>
    <row r="496" spans="1:90">
      <c r="A496" t="s">
        <v>72</v>
      </c>
      <c r="B496" t="s">
        <v>73</v>
      </c>
      <c r="C496" t="s">
        <v>74</v>
      </c>
      <c r="E496" t="str">
        <f>"FES1162726861"</f>
        <v>FES1162726861</v>
      </c>
      <c r="F496" s="3">
        <v>43804</v>
      </c>
      <c r="G496">
        <v>202006</v>
      </c>
      <c r="H496" t="s">
        <v>75</v>
      </c>
      <c r="I496" t="s">
        <v>76</v>
      </c>
      <c r="J496" t="s">
        <v>77</v>
      </c>
      <c r="K496" t="s">
        <v>78</v>
      </c>
      <c r="L496" t="s">
        <v>308</v>
      </c>
      <c r="M496" t="s">
        <v>308</v>
      </c>
      <c r="N496" t="s">
        <v>974</v>
      </c>
      <c r="O496" t="s">
        <v>82</v>
      </c>
      <c r="P496" t="str">
        <f>"21707120303                   "</f>
        <v xml:space="preserve">21707120303                   </v>
      </c>
      <c r="Q496">
        <v>0</v>
      </c>
      <c r="R496">
        <v>0</v>
      </c>
      <c r="S496">
        <v>0</v>
      </c>
      <c r="T496">
        <v>0</v>
      </c>
      <c r="U496">
        <v>0</v>
      </c>
      <c r="V496">
        <v>0</v>
      </c>
      <c r="W496">
        <v>0</v>
      </c>
      <c r="X496">
        <v>0</v>
      </c>
      <c r="Y496">
        <v>0</v>
      </c>
      <c r="Z496">
        <v>0</v>
      </c>
      <c r="AA496">
        <v>0</v>
      </c>
      <c r="AB496">
        <v>0</v>
      </c>
      <c r="AC496">
        <v>0</v>
      </c>
      <c r="AD496">
        <v>0</v>
      </c>
      <c r="AE496">
        <v>0</v>
      </c>
      <c r="AF496">
        <v>0</v>
      </c>
      <c r="AG496">
        <v>0</v>
      </c>
      <c r="AH496">
        <v>0</v>
      </c>
      <c r="AI496">
        <v>0</v>
      </c>
      <c r="AJ496">
        <v>0</v>
      </c>
      <c r="AK496">
        <v>0</v>
      </c>
      <c r="AL496">
        <v>0</v>
      </c>
      <c r="AM496">
        <v>27.9</v>
      </c>
      <c r="AN496">
        <v>0</v>
      </c>
      <c r="AO496">
        <v>0</v>
      </c>
      <c r="AP496">
        <v>0</v>
      </c>
      <c r="AQ496">
        <v>0</v>
      </c>
      <c r="AR496">
        <v>0</v>
      </c>
      <c r="AS496">
        <v>0</v>
      </c>
      <c r="AT496">
        <v>0</v>
      </c>
      <c r="AU496">
        <v>0</v>
      </c>
      <c r="AV496">
        <v>0</v>
      </c>
      <c r="AW496">
        <v>0</v>
      </c>
      <c r="AX496">
        <v>0</v>
      </c>
      <c r="AY496">
        <v>0</v>
      </c>
      <c r="AZ496">
        <v>0</v>
      </c>
      <c r="BA496">
        <v>0</v>
      </c>
      <c r="BB496">
        <v>0</v>
      </c>
      <c r="BC496">
        <v>0</v>
      </c>
      <c r="BD496">
        <v>0</v>
      </c>
      <c r="BE496">
        <v>0</v>
      </c>
      <c r="BF496">
        <v>0</v>
      </c>
      <c r="BG496">
        <v>0</v>
      </c>
      <c r="BH496">
        <v>1</v>
      </c>
      <c r="BI496">
        <v>2.4</v>
      </c>
      <c r="BJ496">
        <v>3.5</v>
      </c>
      <c r="BK496">
        <v>3.5</v>
      </c>
      <c r="BL496" s="4">
        <v>163.98</v>
      </c>
      <c r="BM496" s="4">
        <v>24.6</v>
      </c>
      <c r="BN496" s="4">
        <v>188.58</v>
      </c>
      <c r="BO496" s="4">
        <v>188.58</v>
      </c>
      <c r="BQ496" t="s">
        <v>93</v>
      </c>
      <c r="BR496" t="s">
        <v>84</v>
      </c>
      <c r="BS496" s="3">
        <v>43805</v>
      </c>
      <c r="BT496" s="5">
        <v>0.42499999999999999</v>
      </c>
      <c r="BU496" t="s">
        <v>975</v>
      </c>
      <c r="BV496" t="s">
        <v>86</v>
      </c>
      <c r="BY496">
        <v>17585.37</v>
      </c>
      <c r="CA496" t="s">
        <v>311</v>
      </c>
      <c r="CC496" t="s">
        <v>308</v>
      </c>
      <c r="CD496">
        <v>7646</v>
      </c>
      <c r="CE496" t="s">
        <v>96</v>
      </c>
      <c r="CF496" s="3">
        <v>43808</v>
      </c>
      <c r="CI496">
        <v>1</v>
      </c>
      <c r="CJ496">
        <v>1</v>
      </c>
      <c r="CK496">
        <v>23</v>
      </c>
      <c r="CL496" t="s">
        <v>89</v>
      </c>
    </row>
    <row r="497" spans="1:90">
      <c r="A497" t="s">
        <v>72</v>
      </c>
      <c r="B497" t="s">
        <v>73</v>
      </c>
      <c r="C497" t="s">
        <v>74</v>
      </c>
      <c r="E497" t="str">
        <f>"FES1162726744"</f>
        <v>FES1162726744</v>
      </c>
      <c r="F497" s="3">
        <v>43804</v>
      </c>
      <c r="G497">
        <v>202006</v>
      </c>
      <c r="H497" t="s">
        <v>75</v>
      </c>
      <c r="I497" t="s">
        <v>76</v>
      </c>
      <c r="J497" t="s">
        <v>77</v>
      </c>
      <c r="K497" t="s">
        <v>78</v>
      </c>
      <c r="L497" t="s">
        <v>90</v>
      </c>
      <c r="M497" t="s">
        <v>91</v>
      </c>
      <c r="N497" t="s">
        <v>219</v>
      </c>
      <c r="O497" t="s">
        <v>82</v>
      </c>
      <c r="P497" t="str">
        <f>"2170720171                    "</f>
        <v xml:space="preserve">2170720171                    </v>
      </c>
      <c r="Q497">
        <v>0</v>
      </c>
      <c r="R497">
        <v>0</v>
      </c>
      <c r="S497">
        <v>0</v>
      </c>
      <c r="T497">
        <v>0</v>
      </c>
      <c r="U497">
        <v>0</v>
      </c>
      <c r="V497">
        <v>0</v>
      </c>
      <c r="W497">
        <v>0</v>
      </c>
      <c r="X497">
        <v>0</v>
      </c>
      <c r="Y497">
        <v>0</v>
      </c>
      <c r="Z497">
        <v>0</v>
      </c>
      <c r="AA497">
        <v>0</v>
      </c>
      <c r="AB497">
        <v>0</v>
      </c>
      <c r="AC497">
        <v>0</v>
      </c>
      <c r="AD497">
        <v>0</v>
      </c>
      <c r="AE497">
        <v>0</v>
      </c>
      <c r="AF497">
        <v>0</v>
      </c>
      <c r="AG497">
        <v>0</v>
      </c>
      <c r="AH497">
        <v>0</v>
      </c>
      <c r="AI497">
        <v>0</v>
      </c>
      <c r="AJ497">
        <v>0</v>
      </c>
      <c r="AK497">
        <v>0</v>
      </c>
      <c r="AL497">
        <v>0</v>
      </c>
      <c r="AM497">
        <v>55.76</v>
      </c>
      <c r="AN497">
        <v>0</v>
      </c>
      <c r="AO497">
        <v>0</v>
      </c>
      <c r="AP497">
        <v>0</v>
      </c>
      <c r="AQ497">
        <v>0</v>
      </c>
      <c r="AR497">
        <v>0</v>
      </c>
      <c r="AS497">
        <v>0</v>
      </c>
      <c r="AT497">
        <v>0</v>
      </c>
      <c r="AU497">
        <v>0</v>
      </c>
      <c r="AV497">
        <v>0</v>
      </c>
      <c r="AW497">
        <v>0</v>
      </c>
      <c r="AX497">
        <v>0</v>
      </c>
      <c r="AY497">
        <v>0</v>
      </c>
      <c r="AZ497">
        <v>0</v>
      </c>
      <c r="BA497">
        <v>0</v>
      </c>
      <c r="BB497">
        <v>0</v>
      </c>
      <c r="BC497">
        <v>0</v>
      </c>
      <c r="BD497">
        <v>0</v>
      </c>
      <c r="BE497">
        <v>0</v>
      </c>
      <c r="BF497">
        <v>0</v>
      </c>
      <c r="BG497">
        <v>0</v>
      </c>
      <c r="BH497">
        <v>1</v>
      </c>
      <c r="BI497">
        <v>13</v>
      </c>
      <c r="BJ497">
        <v>3.3</v>
      </c>
      <c r="BK497">
        <v>13</v>
      </c>
      <c r="BL497" s="4">
        <v>327.75</v>
      </c>
      <c r="BM497" s="4">
        <v>49.16</v>
      </c>
      <c r="BN497" s="4">
        <v>376.91</v>
      </c>
      <c r="BO497" s="4">
        <v>376.91</v>
      </c>
      <c r="BQ497" t="s">
        <v>147</v>
      </c>
      <c r="BR497" t="s">
        <v>84</v>
      </c>
      <c r="BS497" s="3">
        <v>43805</v>
      </c>
      <c r="BT497" s="5">
        <v>0.3659722222222222</v>
      </c>
      <c r="BU497" t="s">
        <v>976</v>
      </c>
      <c r="BV497" t="s">
        <v>86</v>
      </c>
      <c r="BY497">
        <v>16540.439999999999</v>
      </c>
      <c r="CA497" t="s">
        <v>112</v>
      </c>
      <c r="CC497" t="s">
        <v>91</v>
      </c>
      <c r="CD497">
        <v>7441</v>
      </c>
      <c r="CE497" t="s">
        <v>96</v>
      </c>
      <c r="CF497" s="3">
        <v>43808</v>
      </c>
      <c r="CI497">
        <v>1</v>
      </c>
      <c r="CJ497">
        <v>1</v>
      </c>
      <c r="CK497">
        <v>21</v>
      </c>
      <c r="CL497" t="s">
        <v>89</v>
      </c>
    </row>
    <row r="498" spans="1:90">
      <c r="A498" t="s">
        <v>72</v>
      </c>
      <c r="B498" t="s">
        <v>73</v>
      </c>
      <c r="C498" t="s">
        <v>74</v>
      </c>
      <c r="E498" t="str">
        <f>"FES1162726923"</f>
        <v>FES1162726923</v>
      </c>
      <c r="F498" s="3">
        <v>43804</v>
      </c>
      <c r="G498">
        <v>202006</v>
      </c>
      <c r="H498" t="s">
        <v>75</v>
      </c>
      <c r="I498" t="s">
        <v>76</v>
      </c>
      <c r="J498" t="s">
        <v>77</v>
      </c>
      <c r="K498" t="s">
        <v>78</v>
      </c>
      <c r="L498" t="s">
        <v>308</v>
      </c>
      <c r="M498" t="s">
        <v>308</v>
      </c>
      <c r="N498" t="s">
        <v>755</v>
      </c>
      <c r="O498" t="s">
        <v>82</v>
      </c>
      <c r="P498" t="str">
        <f>"2170719844                    "</f>
        <v xml:space="preserve">2170719844                    </v>
      </c>
      <c r="Q498">
        <v>0</v>
      </c>
      <c r="R498">
        <v>0</v>
      </c>
      <c r="S498">
        <v>0</v>
      </c>
      <c r="T498">
        <v>0</v>
      </c>
      <c r="U498">
        <v>0</v>
      </c>
      <c r="V498">
        <v>0</v>
      </c>
      <c r="W498">
        <v>0</v>
      </c>
      <c r="X498">
        <v>0</v>
      </c>
      <c r="Y498">
        <v>0</v>
      </c>
      <c r="Z498">
        <v>0</v>
      </c>
      <c r="AA498">
        <v>0</v>
      </c>
      <c r="AB498">
        <v>0</v>
      </c>
      <c r="AC498">
        <v>0</v>
      </c>
      <c r="AD498">
        <v>0</v>
      </c>
      <c r="AE498">
        <v>0</v>
      </c>
      <c r="AF498">
        <v>0</v>
      </c>
      <c r="AG498">
        <v>0</v>
      </c>
      <c r="AH498">
        <v>0</v>
      </c>
      <c r="AI498">
        <v>0</v>
      </c>
      <c r="AJ498">
        <v>0</v>
      </c>
      <c r="AK498">
        <v>0</v>
      </c>
      <c r="AL498">
        <v>0</v>
      </c>
      <c r="AM498">
        <v>16.63</v>
      </c>
      <c r="AN498">
        <v>0</v>
      </c>
      <c r="AO498">
        <v>0</v>
      </c>
      <c r="AP498">
        <v>0</v>
      </c>
      <c r="AQ498">
        <v>0</v>
      </c>
      <c r="AR498">
        <v>0</v>
      </c>
      <c r="AS498">
        <v>0</v>
      </c>
      <c r="AT498">
        <v>0</v>
      </c>
      <c r="AU498">
        <v>0</v>
      </c>
      <c r="AV498">
        <v>0</v>
      </c>
      <c r="AW498">
        <v>0</v>
      </c>
      <c r="AX498">
        <v>0</v>
      </c>
      <c r="AY498">
        <v>0</v>
      </c>
      <c r="AZ498">
        <v>0</v>
      </c>
      <c r="BA498">
        <v>0</v>
      </c>
      <c r="BB498">
        <v>0</v>
      </c>
      <c r="BC498">
        <v>0</v>
      </c>
      <c r="BD498">
        <v>0</v>
      </c>
      <c r="BE498">
        <v>0</v>
      </c>
      <c r="BF498">
        <v>0</v>
      </c>
      <c r="BG498">
        <v>0</v>
      </c>
      <c r="BH498">
        <v>1</v>
      </c>
      <c r="BI498">
        <v>1</v>
      </c>
      <c r="BJ498">
        <v>0.2</v>
      </c>
      <c r="BK498">
        <v>1</v>
      </c>
      <c r="BL498" s="4">
        <v>97.75</v>
      </c>
      <c r="BM498" s="4">
        <v>14.66</v>
      </c>
      <c r="BN498" s="4">
        <v>112.41</v>
      </c>
      <c r="BO498" s="4">
        <v>112.41</v>
      </c>
      <c r="BQ498" t="s">
        <v>147</v>
      </c>
      <c r="BR498" t="s">
        <v>84</v>
      </c>
      <c r="BS498" s="3">
        <v>43805</v>
      </c>
      <c r="BT498" s="5">
        <v>0.4284722222222222</v>
      </c>
      <c r="BU498" t="s">
        <v>679</v>
      </c>
      <c r="BV498" t="s">
        <v>86</v>
      </c>
      <c r="BY498">
        <v>1200</v>
      </c>
      <c r="CA498" t="s">
        <v>311</v>
      </c>
      <c r="CC498" t="s">
        <v>308</v>
      </c>
      <c r="CD498">
        <v>7646</v>
      </c>
      <c r="CE498" t="s">
        <v>88</v>
      </c>
      <c r="CF498" s="3">
        <v>43808</v>
      </c>
      <c r="CI498">
        <v>1</v>
      </c>
      <c r="CJ498">
        <v>1</v>
      </c>
      <c r="CK498">
        <v>23</v>
      </c>
      <c r="CL498" t="s">
        <v>89</v>
      </c>
    </row>
    <row r="499" spans="1:90">
      <c r="A499" t="s">
        <v>72</v>
      </c>
      <c r="B499" t="s">
        <v>73</v>
      </c>
      <c r="C499" t="s">
        <v>74</v>
      </c>
      <c r="E499" t="str">
        <f>"FES1162726820"</f>
        <v>FES1162726820</v>
      </c>
      <c r="F499" s="3">
        <v>43804</v>
      </c>
      <c r="G499">
        <v>202006</v>
      </c>
      <c r="H499" t="s">
        <v>75</v>
      </c>
      <c r="I499" t="s">
        <v>76</v>
      </c>
      <c r="J499" t="s">
        <v>77</v>
      </c>
      <c r="K499" t="s">
        <v>78</v>
      </c>
      <c r="L499" t="s">
        <v>90</v>
      </c>
      <c r="M499" t="s">
        <v>91</v>
      </c>
      <c r="N499" t="s">
        <v>548</v>
      </c>
      <c r="O499" t="s">
        <v>82</v>
      </c>
      <c r="P499" t="str">
        <f>"2170710267                    "</f>
        <v xml:space="preserve">2170710267                    </v>
      </c>
      <c r="Q499">
        <v>0</v>
      </c>
      <c r="R499">
        <v>0</v>
      </c>
      <c r="S499">
        <v>0</v>
      </c>
      <c r="T499">
        <v>0</v>
      </c>
      <c r="U499">
        <v>0</v>
      </c>
      <c r="V499">
        <v>0</v>
      </c>
      <c r="W499">
        <v>0</v>
      </c>
      <c r="X499">
        <v>0</v>
      </c>
      <c r="Y499">
        <v>0</v>
      </c>
      <c r="Z499">
        <v>0</v>
      </c>
      <c r="AA499">
        <v>0</v>
      </c>
      <c r="AB499">
        <v>0</v>
      </c>
      <c r="AC499">
        <v>0</v>
      </c>
      <c r="AD499">
        <v>0</v>
      </c>
      <c r="AE499">
        <v>0</v>
      </c>
      <c r="AF499">
        <v>0</v>
      </c>
      <c r="AG499">
        <v>0</v>
      </c>
      <c r="AH499">
        <v>0</v>
      </c>
      <c r="AI499">
        <v>0</v>
      </c>
      <c r="AJ499">
        <v>0</v>
      </c>
      <c r="AK499">
        <v>0</v>
      </c>
      <c r="AL499">
        <v>0</v>
      </c>
      <c r="AM499">
        <v>17.16</v>
      </c>
      <c r="AN499">
        <v>0</v>
      </c>
      <c r="AO499">
        <v>0</v>
      </c>
      <c r="AP499">
        <v>0</v>
      </c>
      <c r="AQ499">
        <v>0</v>
      </c>
      <c r="AR499">
        <v>0</v>
      </c>
      <c r="AS499">
        <v>0</v>
      </c>
      <c r="AT499">
        <v>0</v>
      </c>
      <c r="AU499">
        <v>0</v>
      </c>
      <c r="AV499">
        <v>0</v>
      </c>
      <c r="AW499">
        <v>0</v>
      </c>
      <c r="AX499">
        <v>0</v>
      </c>
      <c r="AY499">
        <v>0</v>
      </c>
      <c r="AZ499">
        <v>0</v>
      </c>
      <c r="BA499">
        <v>0</v>
      </c>
      <c r="BB499">
        <v>0</v>
      </c>
      <c r="BC499">
        <v>0</v>
      </c>
      <c r="BD499">
        <v>0</v>
      </c>
      <c r="BE499">
        <v>0</v>
      </c>
      <c r="BF499">
        <v>0</v>
      </c>
      <c r="BG499">
        <v>0</v>
      </c>
      <c r="BH499">
        <v>1</v>
      </c>
      <c r="BI499">
        <v>3.6</v>
      </c>
      <c r="BJ499">
        <v>1</v>
      </c>
      <c r="BK499">
        <v>4</v>
      </c>
      <c r="BL499" s="4">
        <v>100.87</v>
      </c>
      <c r="BM499" s="4">
        <v>15.13</v>
      </c>
      <c r="BN499" s="4">
        <v>116</v>
      </c>
      <c r="BO499" s="4">
        <v>116</v>
      </c>
      <c r="BQ499" t="s">
        <v>147</v>
      </c>
      <c r="BR499" t="s">
        <v>84</v>
      </c>
      <c r="BS499" s="3">
        <v>43805</v>
      </c>
      <c r="BT499" s="5">
        <v>0.32083333333333336</v>
      </c>
      <c r="BU499" t="s">
        <v>977</v>
      </c>
      <c r="BV499" t="s">
        <v>86</v>
      </c>
      <c r="BY499">
        <v>4888.32</v>
      </c>
      <c r="CA499" t="s">
        <v>550</v>
      </c>
      <c r="CC499" t="s">
        <v>91</v>
      </c>
      <c r="CD499">
        <v>7530</v>
      </c>
      <c r="CE499" t="s">
        <v>96</v>
      </c>
      <c r="CF499" s="3">
        <v>43808</v>
      </c>
      <c r="CI499">
        <v>1</v>
      </c>
      <c r="CJ499">
        <v>1</v>
      </c>
      <c r="CK499">
        <v>21</v>
      </c>
      <c r="CL499" t="s">
        <v>89</v>
      </c>
    </row>
    <row r="500" spans="1:90">
      <c r="A500" t="s">
        <v>72</v>
      </c>
      <c r="B500" t="s">
        <v>73</v>
      </c>
      <c r="C500" t="s">
        <v>74</v>
      </c>
      <c r="E500" t="str">
        <f>"FES1162726836"</f>
        <v>FES1162726836</v>
      </c>
      <c r="F500" s="3">
        <v>43804</v>
      </c>
      <c r="G500">
        <v>202006</v>
      </c>
      <c r="H500" t="s">
        <v>75</v>
      </c>
      <c r="I500" t="s">
        <v>76</v>
      </c>
      <c r="J500" t="s">
        <v>77</v>
      </c>
      <c r="K500" t="s">
        <v>78</v>
      </c>
      <c r="L500" t="s">
        <v>332</v>
      </c>
      <c r="M500" t="s">
        <v>333</v>
      </c>
      <c r="N500" t="s">
        <v>978</v>
      </c>
      <c r="O500" t="s">
        <v>82</v>
      </c>
      <c r="P500" t="str">
        <f>"21707120280                   "</f>
        <v xml:space="preserve">21707120280                   </v>
      </c>
      <c r="Q500">
        <v>0</v>
      </c>
      <c r="R500">
        <v>0</v>
      </c>
      <c r="S500">
        <v>0</v>
      </c>
      <c r="T500">
        <v>0</v>
      </c>
      <c r="U500">
        <v>0</v>
      </c>
      <c r="V500">
        <v>0</v>
      </c>
      <c r="W500">
        <v>0</v>
      </c>
      <c r="X500">
        <v>0</v>
      </c>
      <c r="Y500">
        <v>0</v>
      </c>
      <c r="Z500">
        <v>0</v>
      </c>
      <c r="AA500">
        <v>0</v>
      </c>
      <c r="AB500">
        <v>0</v>
      </c>
      <c r="AC500">
        <v>0</v>
      </c>
      <c r="AD500">
        <v>0</v>
      </c>
      <c r="AE500">
        <v>0</v>
      </c>
      <c r="AF500">
        <v>0</v>
      </c>
      <c r="AG500">
        <v>0</v>
      </c>
      <c r="AH500">
        <v>0</v>
      </c>
      <c r="AI500">
        <v>0</v>
      </c>
      <c r="AJ500">
        <v>0</v>
      </c>
      <c r="AK500">
        <v>0</v>
      </c>
      <c r="AL500">
        <v>0</v>
      </c>
      <c r="AM500">
        <v>7.51</v>
      </c>
      <c r="AN500">
        <v>0</v>
      </c>
      <c r="AO500">
        <v>0</v>
      </c>
      <c r="AP500">
        <v>0</v>
      </c>
      <c r="AQ500">
        <v>0</v>
      </c>
      <c r="AR500">
        <v>0</v>
      </c>
      <c r="AS500">
        <v>0</v>
      </c>
      <c r="AT500">
        <v>0</v>
      </c>
      <c r="AU500">
        <v>0</v>
      </c>
      <c r="AV500">
        <v>0</v>
      </c>
      <c r="AW500">
        <v>0</v>
      </c>
      <c r="AX500">
        <v>0</v>
      </c>
      <c r="AY500">
        <v>0</v>
      </c>
      <c r="AZ500">
        <v>0</v>
      </c>
      <c r="BA500">
        <v>0</v>
      </c>
      <c r="BB500">
        <v>0</v>
      </c>
      <c r="BC500">
        <v>0</v>
      </c>
      <c r="BD500">
        <v>0</v>
      </c>
      <c r="BE500">
        <v>0</v>
      </c>
      <c r="BF500">
        <v>0</v>
      </c>
      <c r="BG500">
        <v>0</v>
      </c>
      <c r="BH500">
        <v>1</v>
      </c>
      <c r="BI500">
        <v>2.1</v>
      </c>
      <c r="BJ500">
        <v>1.1000000000000001</v>
      </c>
      <c r="BK500">
        <v>2.5</v>
      </c>
      <c r="BL500" s="4">
        <v>44.14</v>
      </c>
      <c r="BM500" s="4">
        <v>6.62</v>
      </c>
      <c r="BN500" s="4">
        <v>50.76</v>
      </c>
      <c r="BO500" s="4">
        <v>50.76</v>
      </c>
      <c r="BR500" t="s">
        <v>84</v>
      </c>
      <c r="BS500" s="3">
        <v>43805</v>
      </c>
      <c r="BT500" s="5">
        <v>0.38750000000000001</v>
      </c>
      <c r="BU500" t="s">
        <v>979</v>
      </c>
      <c r="BV500" t="s">
        <v>86</v>
      </c>
      <c r="BY500">
        <v>5369.02</v>
      </c>
      <c r="CC500" t="s">
        <v>333</v>
      </c>
      <c r="CD500">
        <v>2013</v>
      </c>
      <c r="CE500" t="s">
        <v>96</v>
      </c>
      <c r="CF500" s="3">
        <v>43808</v>
      </c>
      <c r="CI500">
        <v>1</v>
      </c>
      <c r="CJ500">
        <v>1</v>
      </c>
      <c r="CK500">
        <v>22</v>
      </c>
      <c r="CL500" t="s">
        <v>89</v>
      </c>
    </row>
    <row r="501" spans="1:90">
      <c r="A501" t="s">
        <v>72</v>
      </c>
      <c r="B501" t="s">
        <v>73</v>
      </c>
      <c r="C501" t="s">
        <v>74</v>
      </c>
      <c r="E501" t="str">
        <f>"FES1162726585"</f>
        <v>FES1162726585</v>
      </c>
      <c r="F501" s="3">
        <v>43804</v>
      </c>
      <c r="G501">
        <v>202006</v>
      </c>
      <c r="H501" t="s">
        <v>75</v>
      </c>
      <c r="I501" t="s">
        <v>76</v>
      </c>
      <c r="J501" t="s">
        <v>77</v>
      </c>
      <c r="K501" t="s">
        <v>78</v>
      </c>
      <c r="L501" t="s">
        <v>79</v>
      </c>
      <c r="M501" t="s">
        <v>80</v>
      </c>
      <c r="N501" t="s">
        <v>300</v>
      </c>
      <c r="O501" t="s">
        <v>82</v>
      </c>
      <c r="P501" t="str">
        <f>"2170719583                    "</f>
        <v xml:space="preserve">2170719583                    </v>
      </c>
      <c r="Q501">
        <v>0</v>
      </c>
      <c r="R501">
        <v>0</v>
      </c>
      <c r="S501">
        <v>0</v>
      </c>
      <c r="T501">
        <v>0</v>
      </c>
      <c r="U501">
        <v>0</v>
      </c>
      <c r="V501">
        <v>0</v>
      </c>
      <c r="W501">
        <v>0</v>
      </c>
      <c r="X501">
        <v>0</v>
      </c>
      <c r="Y501">
        <v>0</v>
      </c>
      <c r="Z501">
        <v>0</v>
      </c>
      <c r="AA501">
        <v>0</v>
      </c>
      <c r="AB501">
        <v>0</v>
      </c>
      <c r="AC501">
        <v>0</v>
      </c>
      <c r="AD501">
        <v>0</v>
      </c>
      <c r="AE501">
        <v>0</v>
      </c>
      <c r="AF501">
        <v>0</v>
      </c>
      <c r="AG501">
        <v>0</v>
      </c>
      <c r="AH501">
        <v>0</v>
      </c>
      <c r="AI501">
        <v>0</v>
      </c>
      <c r="AJ501">
        <v>0</v>
      </c>
      <c r="AK501">
        <v>0</v>
      </c>
      <c r="AL501">
        <v>0</v>
      </c>
      <c r="AM501">
        <v>8.58</v>
      </c>
      <c r="AN501">
        <v>0</v>
      </c>
      <c r="AO501">
        <v>0</v>
      </c>
      <c r="AP501">
        <v>0</v>
      </c>
      <c r="AQ501">
        <v>0</v>
      </c>
      <c r="AR501">
        <v>0</v>
      </c>
      <c r="AS501">
        <v>0</v>
      </c>
      <c r="AT501">
        <v>0</v>
      </c>
      <c r="AU501">
        <v>0</v>
      </c>
      <c r="AV501">
        <v>0</v>
      </c>
      <c r="AW501">
        <v>0</v>
      </c>
      <c r="AX501">
        <v>0</v>
      </c>
      <c r="AY501">
        <v>0</v>
      </c>
      <c r="AZ501">
        <v>0</v>
      </c>
      <c r="BA501">
        <v>0</v>
      </c>
      <c r="BB501">
        <v>0</v>
      </c>
      <c r="BC501">
        <v>0</v>
      </c>
      <c r="BD501">
        <v>0</v>
      </c>
      <c r="BE501">
        <v>0</v>
      </c>
      <c r="BF501">
        <v>0</v>
      </c>
      <c r="BG501">
        <v>0</v>
      </c>
      <c r="BH501">
        <v>1</v>
      </c>
      <c r="BI501">
        <v>1</v>
      </c>
      <c r="BJ501">
        <v>0.2</v>
      </c>
      <c r="BK501">
        <v>1</v>
      </c>
      <c r="BL501" s="4">
        <v>50.45</v>
      </c>
      <c r="BM501" s="4">
        <v>7.57</v>
      </c>
      <c r="BN501" s="4">
        <v>58.02</v>
      </c>
      <c r="BO501" s="4">
        <v>58.02</v>
      </c>
      <c r="BQ501" t="s">
        <v>147</v>
      </c>
      <c r="BR501" t="s">
        <v>84</v>
      </c>
      <c r="BS501" s="3">
        <v>43805</v>
      </c>
      <c r="BT501" s="5">
        <v>0.39583333333333331</v>
      </c>
      <c r="BU501" t="s">
        <v>403</v>
      </c>
      <c r="BV501" t="s">
        <v>86</v>
      </c>
      <c r="BY501">
        <v>1200</v>
      </c>
      <c r="CA501" t="s">
        <v>99</v>
      </c>
      <c r="CC501" t="s">
        <v>80</v>
      </c>
      <c r="CD501">
        <v>6001</v>
      </c>
      <c r="CE501" t="s">
        <v>88</v>
      </c>
      <c r="CF501" s="3">
        <v>43808</v>
      </c>
      <c r="CI501">
        <v>1</v>
      </c>
      <c r="CJ501">
        <v>1</v>
      </c>
      <c r="CK501">
        <v>21</v>
      </c>
      <c r="CL501" t="s">
        <v>89</v>
      </c>
    </row>
    <row r="502" spans="1:90">
      <c r="A502" t="s">
        <v>72</v>
      </c>
      <c r="B502" t="s">
        <v>73</v>
      </c>
      <c r="C502" t="s">
        <v>74</v>
      </c>
      <c r="E502" t="str">
        <f>"FES1162726903"</f>
        <v>FES1162726903</v>
      </c>
      <c r="F502" s="3">
        <v>43804</v>
      </c>
      <c r="G502">
        <v>202006</v>
      </c>
      <c r="H502" t="s">
        <v>75</v>
      </c>
      <c r="I502" t="s">
        <v>76</v>
      </c>
      <c r="J502" t="s">
        <v>77</v>
      </c>
      <c r="K502" t="s">
        <v>78</v>
      </c>
      <c r="L502" t="s">
        <v>79</v>
      </c>
      <c r="M502" t="s">
        <v>80</v>
      </c>
      <c r="N502" t="s">
        <v>980</v>
      </c>
      <c r="O502" t="s">
        <v>82</v>
      </c>
      <c r="P502" t="str">
        <f>"217071342                     "</f>
        <v xml:space="preserve">217071342                     </v>
      </c>
      <c r="Q502">
        <v>0</v>
      </c>
      <c r="R502">
        <v>0</v>
      </c>
      <c r="S502">
        <v>0</v>
      </c>
      <c r="T502">
        <v>0</v>
      </c>
      <c r="U502">
        <v>0</v>
      </c>
      <c r="V502">
        <v>0</v>
      </c>
      <c r="W502">
        <v>0</v>
      </c>
      <c r="X502">
        <v>0</v>
      </c>
      <c r="Y502">
        <v>0</v>
      </c>
      <c r="Z502">
        <v>0</v>
      </c>
      <c r="AA502">
        <v>0</v>
      </c>
      <c r="AB502">
        <v>0</v>
      </c>
      <c r="AC502">
        <v>0</v>
      </c>
      <c r="AD502">
        <v>0</v>
      </c>
      <c r="AE502">
        <v>0</v>
      </c>
      <c r="AF502">
        <v>0</v>
      </c>
      <c r="AG502">
        <v>0</v>
      </c>
      <c r="AH502">
        <v>0</v>
      </c>
      <c r="AI502">
        <v>0</v>
      </c>
      <c r="AJ502">
        <v>0</v>
      </c>
      <c r="AK502">
        <v>0</v>
      </c>
      <c r="AL502">
        <v>0</v>
      </c>
      <c r="AM502">
        <v>30.03</v>
      </c>
      <c r="AN502">
        <v>0</v>
      </c>
      <c r="AO502">
        <v>0</v>
      </c>
      <c r="AP502">
        <v>0</v>
      </c>
      <c r="AQ502">
        <v>0</v>
      </c>
      <c r="AR502">
        <v>0</v>
      </c>
      <c r="AS502">
        <v>0</v>
      </c>
      <c r="AT502">
        <v>0</v>
      </c>
      <c r="AU502">
        <v>0</v>
      </c>
      <c r="AV502">
        <v>0</v>
      </c>
      <c r="AW502">
        <v>0</v>
      </c>
      <c r="AX502">
        <v>0</v>
      </c>
      <c r="AY502">
        <v>0</v>
      </c>
      <c r="AZ502">
        <v>0</v>
      </c>
      <c r="BA502">
        <v>0</v>
      </c>
      <c r="BB502">
        <v>0</v>
      </c>
      <c r="BC502">
        <v>0</v>
      </c>
      <c r="BD502">
        <v>0</v>
      </c>
      <c r="BE502">
        <v>0</v>
      </c>
      <c r="BF502">
        <v>0</v>
      </c>
      <c r="BG502">
        <v>0</v>
      </c>
      <c r="BH502">
        <v>1</v>
      </c>
      <c r="BI502">
        <v>3.7</v>
      </c>
      <c r="BJ502">
        <v>6.8</v>
      </c>
      <c r="BK502">
        <v>7</v>
      </c>
      <c r="BL502" s="4">
        <v>176.5</v>
      </c>
      <c r="BM502" s="4">
        <v>26.48</v>
      </c>
      <c r="BN502" s="4">
        <v>202.98</v>
      </c>
      <c r="BO502" s="4">
        <v>202.98</v>
      </c>
      <c r="BQ502" t="s">
        <v>147</v>
      </c>
      <c r="BR502" t="s">
        <v>84</v>
      </c>
      <c r="BS502" s="3">
        <v>43805</v>
      </c>
      <c r="BT502" s="5">
        <v>0.32777777777777778</v>
      </c>
      <c r="BU502" t="s">
        <v>981</v>
      </c>
      <c r="BV502" t="s">
        <v>86</v>
      </c>
      <c r="BY502">
        <v>33811.47</v>
      </c>
      <c r="CA502" t="s">
        <v>982</v>
      </c>
      <c r="CC502" t="s">
        <v>80</v>
      </c>
      <c r="CD502">
        <v>6001</v>
      </c>
      <c r="CE502" t="s">
        <v>116</v>
      </c>
      <c r="CF502" s="3">
        <v>43808</v>
      </c>
      <c r="CI502">
        <v>1</v>
      </c>
      <c r="CJ502">
        <v>1</v>
      </c>
      <c r="CK502">
        <v>21</v>
      </c>
      <c r="CL502" t="s">
        <v>89</v>
      </c>
    </row>
    <row r="503" spans="1:90">
      <c r="A503" t="s">
        <v>72</v>
      </c>
      <c r="B503" t="s">
        <v>73</v>
      </c>
      <c r="C503" t="s">
        <v>74</v>
      </c>
      <c r="E503" t="str">
        <f>"FES1162726321"</f>
        <v>FES1162726321</v>
      </c>
      <c r="F503" s="3">
        <v>43804</v>
      </c>
      <c r="G503">
        <v>202006</v>
      </c>
      <c r="H503" t="s">
        <v>75</v>
      </c>
      <c r="I503" t="s">
        <v>76</v>
      </c>
      <c r="J503" t="s">
        <v>77</v>
      </c>
      <c r="K503" t="s">
        <v>78</v>
      </c>
      <c r="L503" t="s">
        <v>169</v>
      </c>
      <c r="M503" t="s">
        <v>170</v>
      </c>
      <c r="N503" t="s">
        <v>171</v>
      </c>
      <c r="O503" t="s">
        <v>82</v>
      </c>
      <c r="P503" t="str">
        <f>"217071605                     "</f>
        <v xml:space="preserve">217071605                     </v>
      </c>
      <c r="Q503">
        <v>0</v>
      </c>
      <c r="R503">
        <v>0</v>
      </c>
      <c r="S503">
        <v>0</v>
      </c>
      <c r="T503">
        <v>0</v>
      </c>
      <c r="U503">
        <v>0</v>
      </c>
      <c r="V503">
        <v>0</v>
      </c>
      <c r="W503">
        <v>0</v>
      </c>
      <c r="X503">
        <v>0</v>
      </c>
      <c r="Y503">
        <v>0</v>
      </c>
      <c r="Z503">
        <v>0</v>
      </c>
      <c r="AA503">
        <v>0</v>
      </c>
      <c r="AB503">
        <v>0</v>
      </c>
      <c r="AC503">
        <v>0</v>
      </c>
      <c r="AD503">
        <v>0</v>
      </c>
      <c r="AE503">
        <v>0</v>
      </c>
      <c r="AF503">
        <v>0</v>
      </c>
      <c r="AG503">
        <v>0</v>
      </c>
      <c r="AH503">
        <v>0</v>
      </c>
      <c r="AI503">
        <v>0</v>
      </c>
      <c r="AJ503">
        <v>0</v>
      </c>
      <c r="AK503">
        <v>0</v>
      </c>
      <c r="AL503">
        <v>0</v>
      </c>
      <c r="AM503">
        <v>13.94</v>
      </c>
      <c r="AN503">
        <v>0</v>
      </c>
      <c r="AO503">
        <v>0</v>
      </c>
      <c r="AP503">
        <v>0</v>
      </c>
      <c r="AQ503">
        <v>0</v>
      </c>
      <c r="AR503">
        <v>0</v>
      </c>
      <c r="AS503">
        <v>0</v>
      </c>
      <c r="AT503">
        <v>0</v>
      </c>
      <c r="AU503">
        <v>0</v>
      </c>
      <c r="AV503">
        <v>0</v>
      </c>
      <c r="AW503">
        <v>0</v>
      </c>
      <c r="AX503">
        <v>0</v>
      </c>
      <c r="AY503">
        <v>0</v>
      </c>
      <c r="AZ503">
        <v>0</v>
      </c>
      <c r="BA503">
        <v>0</v>
      </c>
      <c r="BB503">
        <v>0</v>
      </c>
      <c r="BC503">
        <v>0</v>
      </c>
      <c r="BD503">
        <v>0</v>
      </c>
      <c r="BE503">
        <v>0</v>
      </c>
      <c r="BF503">
        <v>0</v>
      </c>
      <c r="BG503">
        <v>0</v>
      </c>
      <c r="BH503">
        <v>1</v>
      </c>
      <c r="BI503">
        <v>4.5</v>
      </c>
      <c r="BJ503">
        <v>6.4</v>
      </c>
      <c r="BK503">
        <v>6.5</v>
      </c>
      <c r="BL503" s="4">
        <v>81.93</v>
      </c>
      <c r="BM503" s="4">
        <v>12.29</v>
      </c>
      <c r="BN503" s="4">
        <v>94.22</v>
      </c>
      <c r="BO503" s="4">
        <v>94.22</v>
      </c>
      <c r="BQ503" t="s">
        <v>172</v>
      </c>
      <c r="BR503" t="s">
        <v>84</v>
      </c>
      <c r="BS503" s="3">
        <v>43805</v>
      </c>
      <c r="BT503" s="5">
        <v>0.26458333333333334</v>
      </c>
      <c r="BU503" t="s">
        <v>173</v>
      </c>
      <c r="BV503" t="s">
        <v>86</v>
      </c>
      <c r="BY503">
        <v>31788.639999999999</v>
      </c>
      <c r="CA503" t="s">
        <v>174</v>
      </c>
      <c r="CC503" t="s">
        <v>170</v>
      </c>
      <c r="CD503">
        <v>1459</v>
      </c>
      <c r="CE503" t="s">
        <v>116</v>
      </c>
      <c r="CF503" s="3">
        <v>43808</v>
      </c>
      <c r="CI503">
        <v>1</v>
      </c>
      <c r="CJ503">
        <v>1</v>
      </c>
      <c r="CK503">
        <v>22</v>
      </c>
      <c r="CL503" t="s">
        <v>89</v>
      </c>
    </row>
    <row r="504" spans="1:90">
      <c r="A504" t="s">
        <v>72</v>
      </c>
      <c r="B504" t="s">
        <v>73</v>
      </c>
      <c r="C504" t="s">
        <v>74</v>
      </c>
      <c r="E504" t="str">
        <f>"FES1162726796"</f>
        <v>FES1162726796</v>
      </c>
      <c r="F504" s="3">
        <v>43804</v>
      </c>
      <c r="G504">
        <v>202006</v>
      </c>
      <c r="H504" t="s">
        <v>75</v>
      </c>
      <c r="I504" t="s">
        <v>76</v>
      </c>
      <c r="J504" t="s">
        <v>77</v>
      </c>
      <c r="K504" t="s">
        <v>78</v>
      </c>
      <c r="L504" t="s">
        <v>186</v>
      </c>
      <c r="M504" t="s">
        <v>187</v>
      </c>
      <c r="N504" t="s">
        <v>188</v>
      </c>
      <c r="O504" t="s">
        <v>82</v>
      </c>
      <c r="P504" t="str">
        <f>"2170719758                    "</f>
        <v xml:space="preserve">2170719758                    </v>
      </c>
      <c r="Q504">
        <v>0</v>
      </c>
      <c r="R504">
        <v>0</v>
      </c>
      <c r="S504">
        <v>0</v>
      </c>
      <c r="T504">
        <v>0</v>
      </c>
      <c r="U504">
        <v>0</v>
      </c>
      <c r="V504">
        <v>0</v>
      </c>
      <c r="W504">
        <v>0</v>
      </c>
      <c r="X504">
        <v>0</v>
      </c>
      <c r="Y504">
        <v>0</v>
      </c>
      <c r="Z504">
        <v>0</v>
      </c>
      <c r="AA504">
        <v>0</v>
      </c>
      <c r="AB504">
        <v>0</v>
      </c>
      <c r="AC504">
        <v>0</v>
      </c>
      <c r="AD504">
        <v>0</v>
      </c>
      <c r="AE504">
        <v>0</v>
      </c>
      <c r="AF504">
        <v>0</v>
      </c>
      <c r="AG504">
        <v>0</v>
      </c>
      <c r="AH504">
        <v>0</v>
      </c>
      <c r="AI504">
        <v>0</v>
      </c>
      <c r="AJ504">
        <v>0</v>
      </c>
      <c r="AK504">
        <v>0</v>
      </c>
      <c r="AL504">
        <v>0</v>
      </c>
      <c r="AM504">
        <v>16.63</v>
      </c>
      <c r="AN504">
        <v>0</v>
      </c>
      <c r="AO504">
        <v>0</v>
      </c>
      <c r="AP504">
        <v>0</v>
      </c>
      <c r="AQ504">
        <v>0</v>
      </c>
      <c r="AR504">
        <v>0</v>
      </c>
      <c r="AS504">
        <v>0</v>
      </c>
      <c r="AT504">
        <v>0</v>
      </c>
      <c r="AU504">
        <v>0</v>
      </c>
      <c r="AV504">
        <v>0</v>
      </c>
      <c r="AW504">
        <v>0</v>
      </c>
      <c r="AX504">
        <v>0</v>
      </c>
      <c r="AY504">
        <v>0</v>
      </c>
      <c r="AZ504">
        <v>0</v>
      </c>
      <c r="BA504">
        <v>0</v>
      </c>
      <c r="BB504">
        <v>0</v>
      </c>
      <c r="BC504">
        <v>0</v>
      </c>
      <c r="BD504">
        <v>0</v>
      </c>
      <c r="BE504">
        <v>0</v>
      </c>
      <c r="BF504">
        <v>0</v>
      </c>
      <c r="BG504">
        <v>0</v>
      </c>
      <c r="BH504">
        <v>1</v>
      </c>
      <c r="BI504">
        <v>1</v>
      </c>
      <c r="BJ504">
        <v>0.2</v>
      </c>
      <c r="BK504">
        <v>1</v>
      </c>
      <c r="BL504" s="4">
        <v>97.75</v>
      </c>
      <c r="BM504" s="4">
        <v>14.66</v>
      </c>
      <c r="BN504" s="4">
        <v>112.41</v>
      </c>
      <c r="BO504" s="4">
        <v>112.41</v>
      </c>
      <c r="BQ504" t="s">
        <v>93</v>
      </c>
      <c r="BR504" t="s">
        <v>84</v>
      </c>
      <c r="BS504" s="3">
        <v>43808</v>
      </c>
      <c r="BT504" s="5">
        <v>0.37083333333333335</v>
      </c>
      <c r="BU504" t="s">
        <v>971</v>
      </c>
      <c r="BV504" t="s">
        <v>86</v>
      </c>
      <c r="BY504">
        <v>1200</v>
      </c>
      <c r="CA504" t="s">
        <v>190</v>
      </c>
      <c r="CC504" t="s">
        <v>187</v>
      </c>
      <c r="CD504">
        <v>6849</v>
      </c>
      <c r="CE504" t="s">
        <v>88</v>
      </c>
      <c r="CF504" s="3">
        <v>43809</v>
      </c>
      <c r="CI504">
        <v>3</v>
      </c>
      <c r="CJ504">
        <v>2</v>
      </c>
      <c r="CK504">
        <v>23</v>
      </c>
      <c r="CL504" t="s">
        <v>89</v>
      </c>
    </row>
    <row r="505" spans="1:90">
      <c r="A505" t="s">
        <v>72</v>
      </c>
      <c r="B505" t="s">
        <v>73</v>
      </c>
      <c r="C505" t="s">
        <v>74</v>
      </c>
      <c r="E505" t="str">
        <f>"FES1162726889"</f>
        <v>FES1162726889</v>
      </c>
      <c r="F505" s="3">
        <v>43804</v>
      </c>
      <c r="G505">
        <v>202006</v>
      </c>
      <c r="H505" t="s">
        <v>75</v>
      </c>
      <c r="I505" t="s">
        <v>76</v>
      </c>
      <c r="J505" t="s">
        <v>77</v>
      </c>
      <c r="K505" t="s">
        <v>78</v>
      </c>
      <c r="L505" t="s">
        <v>186</v>
      </c>
      <c r="M505" t="s">
        <v>187</v>
      </c>
      <c r="N505" t="s">
        <v>188</v>
      </c>
      <c r="O505" t="s">
        <v>82</v>
      </c>
      <c r="P505" t="str">
        <f>"2170720331                    "</f>
        <v xml:space="preserve">2170720331                    </v>
      </c>
      <c r="Q505">
        <v>0</v>
      </c>
      <c r="R505">
        <v>0</v>
      </c>
      <c r="S505">
        <v>0</v>
      </c>
      <c r="T505">
        <v>0</v>
      </c>
      <c r="U505">
        <v>0</v>
      </c>
      <c r="V505">
        <v>0</v>
      </c>
      <c r="W505">
        <v>0</v>
      </c>
      <c r="X505">
        <v>0</v>
      </c>
      <c r="Y505">
        <v>0</v>
      </c>
      <c r="Z505">
        <v>0</v>
      </c>
      <c r="AA505">
        <v>0</v>
      </c>
      <c r="AB505">
        <v>0</v>
      </c>
      <c r="AC505">
        <v>0</v>
      </c>
      <c r="AD505">
        <v>0</v>
      </c>
      <c r="AE505">
        <v>0</v>
      </c>
      <c r="AF505">
        <v>0</v>
      </c>
      <c r="AG505">
        <v>0</v>
      </c>
      <c r="AH505">
        <v>0</v>
      </c>
      <c r="AI505">
        <v>0</v>
      </c>
      <c r="AJ505">
        <v>0</v>
      </c>
      <c r="AK505">
        <v>0</v>
      </c>
      <c r="AL505">
        <v>0</v>
      </c>
      <c r="AM505">
        <v>16.63</v>
      </c>
      <c r="AN505">
        <v>0</v>
      </c>
      <c r="AO505">
        <v>0</v>
      </c>
      <c r="AP505">
        <v>0</v>
      </c>
      <c r="AQ505">
        <v>0</v>
      </c>
      <c r="AR505">
        <v>0</v>
      </c>
      <c r="AS505">
        <v>0</v>
      </c>
      <c r="AT505">
        <v>0</v>
      </c>
      <c r="AU505">
        <v>0</v>
      </c>
      <c r="AV505">
        <v>0</v>
      </c>
      <c r="AW505">
        <v>0</v>
      </c>
      <c r="AX505">
        <v>0</v>
      </c>
      <c r="AY505">
        <v>0</v>
      </c>
      <c r="AZ505">
        <v>0</v>
      </c>
      <c r="BA505">
        <v>0</v>
      </c>
      <c r="BB505">
        <v>0</v>
      </c>
      <c r="BC505">
        <v>0</v>
      </c>
      <c r="BD505">
        <v>0</v>
      </c>
      <c r="BE505">
        <v>0</v>
      </c>
      <c r="BF505">
        <v>0</v>
      </c>
      <c r="BG505">
        <v>0</v>
      </c>
      <c r="BH505">
        <v>1</v>
      </c>
      <c r="BI505">
        <v>1</v>
      </c>
      <c r="BJ505">
        <v>0.2</v>
      </c>
      <c r="BK505">
        <v>1</v>
      </c>
      <c r="BL505" s="4">
        <v>97.75</v>
      </c>
      <c r="BM505" s="4">
        <v>14.66</v>
      </c>
      <c r="BN505" s="4">
        <v>112.41</v>
      </c>
      <c r="BO505" s="4">
        <v>112.41</v>
      </c>
      <c r="BQ505" t="s">
        <v>93</v>
      </c>
      <c r="BR505" t="s">
        <v>84</v>
      </c>
      <c r="BS505" s="3">
        <v>43808</v>
      </c>
      <c r="BT505" s="5">
        <v>0.37083333333333335</v>
      </c>
      <c r="BU505" t="s">
        <v>971</v>
      </c>
      <c r="BV505" t="s">
        <v>86</v>
      </c>
      <c r="BY505">
        <v>1200</v>
      </c>
      <c r="CA505" t="s">
        <v>190</v>
      </c>
      <c r="CC505" t="s">
        <v>187</v>
      </c>
      <c r="CD505">
        <v>6849</v>
      </c>
      <c r="CE505" t="s">
        <v>88</v>
      </c>
      <c r="CF505" s="3">
        <v>43809</v>
      </c>
      <c r="CI505">
        <v>3</v>
      </c>
      <c r="CJ505">
        <v>2</v>
      </c>
      <c r="CK505">
        <v>23</v>
      </c>
      <c r="CL505" t="s">
        <v>89</v>
      </c>
    </row>
    <row r="506" spans="1:90">
      <c r="A506" t="s">
        <v>72</v>
      </c>
      <c r="B506" t="s">
        <v>73</v>
      </c>
      <c r="C506" t="s">
        <v>74</v>
      </c>
      <c r="E506" t="str">
        <f>"FES1162726578"</f>
        <v>FES1162726578</v>
      </c>
      <c r="F506" s="3">
        <v>43804</v>
      </c>
      <c r="G506">
        <v>202006</v>
      </c>
      <c r="H506" t="s">
        <v>75</v>
      </c>
      <c r="I506" t="s">
        <v>76</v>
      </c>
      <c r="J506" t="s">
        <v>77</v>
      </c>
      <c r="K506" t="s">
        <v>78</v>
      </c>
      <c r="L506" t="s">
        <v>75</v>
      </c>
      <c r="M506" t="s">
        <v>76</v>
      </c>
      <c r="N506" t="s">
        <v>289</v>
      </c>
      <c r="O506" t="s">
        <v>82</v>
      </c>
      <c r="P506" t="str">
        <f>"2170719878                    "</f>
        <v xml:space="preserve">2170719878                    </v>
      </c>
      <c r="Q506">
        <v>0</v>
      </c>
      <c r="R506">
        <v>0</v>
      </c>
      <c r="S506">
        <v>0</v>
      </c>
      <c r="T506">
        <v>0</v>
      </c>
      <c r="U506">
        <v>0</v>
      </c>
      <c r="V506">
        <v>0</v>
      </c>
      <c r="W506">
        <v>0</v>
      </c>
      <c r="X506">
        <v>0</v>
      </c>
      <c r="Y506">
        <v>0</v>
      </c>
      <c r="Z506">
        <v>0</v>
      </c>
      <c r="AA506">
        <v>0</v>
      </c>
      <c r="AB506">
        <v>0</v>
      </c>
      <c r="AC506">
        <v>0</v>
      </c>
      <c r="AD506">
        <v>0</v>
      </c>
      <c r="AE506">
        <v>0</v>
      </c>
      <c r="AF506">
        <v>0</v>
      </c>
      <c r="AG506">
        <v>0</v>
      </c>
      <c r="AH506">
        <v>0</v>
      </c>
      <c r="AI506">
        <v>0</v>
      </c>
      <c r="AJ506">
        <v>0</v>
      </c>
      <c r="AK506">
        <v>0</v>
      </c>
      <c r="AL506">
        <v>0</v>
      </c>
      <c r="AM506">
        <v>6.71</v>
      </c>
      <c r="AN506">
        <v>0</v>
      </c>
      <c r="AO506">
        <v>0</v>
      </c>
      <c r="AP506">
        <v>0</v>
      </c>
      <c r="AQ506">
        <v>0</v>
      </c>
      <c r="AR506">
        <v>0</v>
      </c>
      <c r="AS506">
        <v>0</v>
      </c>
      <c r="AT506">
        <v>0</v>
      </c>
      <c r="AU506">
        <v>0</v>
      </c>
      <c r="AV506">
        <v>0</v>
      </c>
      <c r="AW506">
        <v>0</v>
      </c>
      <c r="AX506">
        <v>0</v>
      </c>
      <c r="AY506">
        <v>0</v>
      </c>
      <c r="AZ506">
        <v>0</v>
      </c>
      <c r="BA506">
        <v>0</v>
      </c>
      <c r="BB506">
        <v>0</v>
      </c>
      <c r="BC506">
        <v>0</v>
      </c>
      <c r="BD506">
        <v>0</v>
      </c>
      <c r="BE506">
        <v>0</v>
      </c>
      <c r="BF506">
        <v>0</v>
      </c>
      <c r="BG506">
        <v>0</v>
      </c>
      <c r="BH506">
        <v>1</v>
      </c>
      <c r="BI506">
        <v>0.9</v>
      </c>
      <c r="BJ506">
        <v>0.7</v>
      </c>
      <c r="BK506">
        <v>1</v>
      </c>
      <c r="BL506" s="4">
        <v>39.42</v>
      </c>
      <c r="BM506" s="4">
        <v>5.91</v>
      </c>
      <c r="BN506" s="4">
        <v>45.33</v>
      </c>
      <c r="BO506" s="4">
        <v>45.33</v>
      </c>
      <c r="BQ506" t="s">
        <v>290</v>
      </c>
      <c r="BR506" t="s">
        <v>84</v>
      </c>
      <c r="BS506" s="3">
        <v>43805</v>
      </c>
      <c r="BT506" s="5">
        <v>0.33819444444444446</v>
      </c>
      <c r="BU506" t="s">
        <v>921</v>
      </c>
      <c r="BV506" t="s">
        <v>86</v>
      </c>
      <c r="BY506">
        <v>3269.76</v>
      </c>
      <c r="CA506" t="s">
        <v>746</v>
      </c>
      <c r="CC506" t="s">
        <v>76</v>
      </c>
      <c r="CD506">
        <v>1601</v>
      </c>
      <c r="CE506" t="s">
        <v>116</v>
      </c>
      <c r="CF506" s="3">
        <v>43808</v>
      </c>
      <c r="CI506">
        <v>1</v>
      </c>
      <c r="CJ506">
        <v>1</v>
      </c>
      <c r="CK506">
        <v>22</v>
      </c>
      <c r="CL506" t="s">
        <v>89</v>
      </c>
    </row>
    <row r="507" spans="1:90">
      <c r="A507" t="s">
        <v>72</v>
      </c>
      <c r="B507" t="s">
        <v>73</v>
      </c>
      <c r="C507" t="s">
        <v>74</v>
      </c>
      <c r="E507" t="str">
        <f>"FES1162726816"</f>
        <v>FES1162726816</v>
      </c>
      <c r="F507" s="3">
        <v>43804</v>
      </c>
      <c r="G507">
        <v>202006</v>
      </c>
      <c r="H507" t="s">
        <v>75</v>
      </c>
      <c r="I507" t="s">
        <v>76</v>
      </c>
      <c r="J507" t="s">
        <v>77</v>
      </c>
      <c r="K507" t="s">
        <v>78</v>
      </c>
      <c r="L507" t="s">
        <v>90</v>
      </c>
      <c r="M507" t="s">
        <v>91</v>
      </c>
      <c r="N507" t="s">
        <v>548</v>
      </c>
      <c r="O507" t="s">
        <v>82</v>
      </c>
      <c r="P507" t="str">
        <f>"2170712062                    "</f>
        <v xml:space="preserve">2170712062                    </v>
      </c>
      <c r="Q507">
        <v>0</v>
      </c>
      <c r="R507">
        <v>0</v>
      </c>
      <c r="S507">
        <v>0</v>
      </c>
      <c r="T507">
        <v>0</v>
      </c>
      <c r="U507">
        <v>0</v>
      </c>
      <c r="V507">
        <v>0</v>
      </c>
      <c r="W507">
        <v>0</v>
      </c>
      <c r="X507">
        <v>0</v>
      </c>
      <c r="Y507">
        <v>0</v>
      </c>
      <c r="Z507">
        <v>0</v>
      </c>
      <c r="AA507">
        <v>0</v>
      </c>
      <c r="AB507">
        <v>0</v>
      </c>
      <c r="AC507">
        <v>0</v>
      </c>
      <c r="AD507">
        <v>0</v>
      </c>
      <c r="AE507">
        <v>0</v>
      </c>
      <c r="AF507">
        <v>0</v>
      </c>
      <c r="AG507">
        <v>0</v>
      </c>
      <c r="AH507">
        <v>0</v>
      </c>
      <c r="AI507">
        <v>0</v>
      </c>
      <c r="AJ507">
        <v>0</v>
      </c>
      <c r="AK507">
        <v>0</v>
      </c>
      <c r="AL507">
        <v>0</v>
      </c>
      <c r="AM507">
        <v>17.16</v>
      </c>
      <c r="AN507">
        <v>0</v>
      </c>
      <c r="AO507">
        <v>0</v>
      </c>
      <c r="AP507">
        <v>0</v>
      </c>
      <c r="AQ507">
        <v>0</v>
      </c>
      <c r="AR507">
        <v>0</v>
      </c>
      <c r="AS507">
        <v>0</v>
      </c>
      <c r="AT507">
        <v>0</v>
      </c>
      <c r="AU507">
        <v>0</v>
      </c>
      <c r="AV507">
        <v>0</v>
      </c>
      <c r="AW507">
        <v>0</v>
      </c>
      <c r="AX507">
        <v>0</v>
      </c>
      <c r="AY507">
        <v>0</v>
      </c>
      <c r="AZ507">
        <v>0</v>
      </c>
      <c r="BA507">
        <v>0</v>
      </c>
      <c r="BB507">
        <v>0</v>
      </c>
      <c r="BC507">
        <v>0</v>
      </c>
      <c r="BD507">
        <v>0</v>
      </c>
      <c r="BE507">
        <v>0</v>
      </c>
      <c r="BF507">
        <v>0</v>
      </c>
      <c r="BG507">
        <v>0</v>
      </c>
      <c r="BH507">
        <v>1</v>
      </c>
      <c r="BI507">
        <v>4</v>
      </c>
      <c r="BJ507">
        <v>1.3</v>
      </c>
      <c r="BK507">
        <v>4</v>
      </c>
      <c r="BL507" s="4">
        <v>100.87</v>
      </c>
      <c r="BM507" s="4">
        <v>15.13</v>
      </c>
      <c r="BN507" s="4">
        <v>116</v>
      </c>
      <c r="BO507" s="4">
        <v>116</v>
      </c>
      <c r="BQ507" t="s">
        <v>147</v>
      </c>
      <c r="BR507" t="s">
        <v>84</v>
      </c>
      <c r="BS507" s="3">
        <v>43805</v>
      </c>
      <c r="BT507" s="5">
        <v>0.32083333333333336</v>
      </c>
      <c r="BU507" t="s">
        <v>977</v>
      </c>
      <c r="BV507" t="s">
        <v>86</v>
      </c>
      <c r="BY507">
        <v>6479.29</v>
      </c>
      <c r="CA507" t="s">
        <v>550</v>
      </c>
      <c r="CC507" t="s">
        <v>91</v>
      </c>
      <c r="CD507">
        <v>7530</v>
      </c>
      <c r="CE507" t="s">
        <v>96</v>
      </c>
      <c r="CF507" s="3">
        <v>43808</v>
      </c>
      <c r="CI507">
        <v>1</v>
      </c>
      <c r="CJ507">
        <v>1</v>
      </c>
      <c r="CK507">
        <v>21</v>
      </c>
      <c r="CL507" t="s">
        <v>89</v>
      </c>
    </row>
    <row r="508" spans="1:90">
      <c r="A508" t="s">
        <v>72</v>
      </c>
      <c r="B508" t="s">
        <v>73</v>
      </c>
      <c r="C508" t="s">
        <v>74</v>
      </c>
      <c r="E508" t="str">
        <f>"FES1162726803"</f>
        <v>FES1162726803</v>
      </c>
      <c r="F508" s="3">
        <v>43804</v>
      </c>
      <c r="G508">
        <v>202006</v>
      </c>
      <c r="H508" t="s">
        <v>75</v>
      </c>
      <c r="I508" t="s">
        <v>76</v>
      </c>
      <c r="J508" t="s">
        <v>77</v>
      </c>
      <c r="K508" t="s">
        <v>78</v>
      </c>
      <c r="L508" t="s">
        <v>90</v>
      </c>
      <c r="M508" t="s">
        <v>91</v>
      </c>
      <c r="N508" t="s">
        <v>554</v>
      </c>
      <c r="O508" t="s">
        <v>82</v>
      </c>
      <c r="P508" t="str">
        <f>"21707120250                   "</f>
        <v xml:space="preserve">21707120250                   </v>
      </c>
      <c r="Q508">
        <v>0</v>
      </c>
      <c r="R508">
        <v>0</v>
      </c>
      <c r="S508">
        <v>0</v>
      </c>
      <c r="T508">
        <v>0</v>
      </c>
      <c r="U508">
        <v>0</v>
      </c>
      <c r="V508">
        <v>0</v>
      </c>
      <c r="W508">
        <v>0</v>
      </c>
      <c r="X508">
        <v>0</v>
      </c>
      <c r="Y508">
        <v>0</v>
      </c>
      <c r="Z508">
        <v>0</v>
      </c>
      <c r="AA508">
        <v>0</v>
      </c>
      <c r="AB508">
        <v>0</v>
      </c>
      <c r="AC508">
        <v>0</v>
      </c>
      <c r="AD508">
        <v>0</v>
      </c>
      <c r="AE508">
        <v>0</v>
      </c>
      <c r="AF508">
        <v>0</v>
      </c>
      <c r="AG508">
        <v>0</v>
      </c>
      <c r="AH508">
        <v>0</v>
      </c>
      <c r="AI508">
        <v>0</v>
      </c>
      <c r="AJ508">
        <v>0</v>
      </c>
      <c r="AK508">
        <v>0</v>
      </c>
      <c r="AL508">
        <v>0</v>
      </c>
      <c r="AM508">
        <v>21.45</v>
      </c>
      <c r="AN508">
        <v>0</v>
      </c>
      <c r="AO508">
        <v>0</v>
      </c>
      <c r="AP508">
        <v>0</v>
      </c>
      <c r="AQ508">
        <v>0</v>
      </c>
      <c r="AR508">
        <v>0</v>
      </c>
      <c r="AS508">
        <v>0</v>
      </c>
      <c r="AT508">
        <v>0</v>
      </c>
      <c r="AU508">
        <v>0</v>
      </c>
      <c r="AV508">
        <v>0</v>
      </c>
      <c r="AW508">
        <v>0</v>
      </c>
      <c r="AX508">
        <v>0</v>
      </c>
      <c r="AY508">
        <v>0</v>
      </c>
      <c r="AZ508">
        <v>0</v>
      </c>
      <c r="BA508">
        <v>0</v>
      </c>
      <c r="BB508">
        <v>0</v>
      </c>
      <c r="BC508">
        <v>0</v>
      </c>
      <c r="BD508">
        <v>0</v>
      </c>
      <c r="BE508">
        <v>0</v>
      </c>
      <c r="BF508">
        <v>0</v>
      </c>
      <c r="BG508">
        <v>0</v>
      </c>
      <c r="BH508">
        <v>1</v>
      </c>
      <c r="BI508">
        <v>4.7</v>
      </c>
      <c r="BJ508">
        <v>1.9</v>
      </c>
      <c r="BK508">
        <v>5</v>
      </c>
      <c r="BL508" s="4">
        <v>126.08</v>
      </c>
      <c r="BM508" s="4">
        <v>18.91</v>
      </c>
      <c r="BN508" s="4">
        <v>144.99</v>
      </c>
      <c r="BO508" s="4">
        <v>144.99</v>
      </c>
      <c r="BQ508" t="s">
        <v>147</v>
      </c>
      <c r="BR508" t="s">
        <v>84</v>
      </c>
      <c r="BS508" s="3">
        <v>43805</v>
      </c>
      <c r="BT508" s="5">
        <v>0.36388888888888887</v>
      </c>
      <c r="BU508" t="s">
        <v>555</v>
      </c>
      <c r="BV508" t="s">
        <v>86</v>
      </c>
      <c r="BY508">
        <v>9450.2999999999993</v>
      </c>
      <c r="CA508" t="s">
        <v>550</v>
      </c>
      <c r="CC508" t="s">
        <v>91</v>
      </c>
      <c r="CD508">
        <v>7560</v>
      </c>
      <c r="CE508" t="s">
        <v>96</v>
      </c>
      <c r="CF508" s="3">
        <v>43808</v>
      </c>
      <c r="CI508">
        <v>1</v>
      </c>
      <c r="CJ508">
        <v>1</v>
      </c>
      <c r="CK508">
        <v>21</v>
      </c>
      <c r="CL508" t="s">
        <v>89</v>
      </c>
    </row>
    <row r="509" spans="1:90">
      <c r="A509" t="s">
        <v>72</v>
      </c>
      <c r="B509" t="s">
        <v>73</v>
      </c>
      <c r="C509" t="s">
        <v>74</v>
      </c>
      <c r="E509" t="str">
        <f>"FES1162726822"</f>
        <v>FES1162726822</v>
      </c>
      <c r="F509" s="3">
        <v>43804</v>
      </c>
      <c r="G509">
        <v>202006</v>
      </c>
      <c r="H509" t="s">
        <v>75</v>
      </c>
      <c r="I509" t="s">
        <v>76</v>
      </c>
      <c r="J509" t="s">
        <v>77</v>
      </c>
      <c r="K509" t="s">
        <v>78</v>
      </c>
      <c r="L509" t="s">
        <v>258</v>
      </c>
      <c r="M509" t="s">
        <v>259</v>
      </c>
      <c r="N509" t="s">
        <v>689</v>
      </c>
      <c r="O509" t="s">
        <v>82</v>
      </c>
      <c r="P509" t="str">
        <f>"2170719984                    "</f>
        <v xml:space="preserve">2170719984                    </v>
      </c>
      <c r="Q509">
        <v>0</v>
      </c>
      <c r="R509">
        <v>0</v>
      </c>
      <c r="S509">
        <v>0</v>
      </c>
      <c r="T509">
        <v>0</v>
      </c>
      <c r="U509">
        <v>0</v>
      </c>
      <c r="V509">
        <v>0</v>
      </c>
      <c r="W509">
        <v>0</v>
      </c>
      <c r="X509">
        <v>0</v>
      </c>
      <c r="Y509">
        <v>0</v>
      </c>
      <c r="Z509">
        <v>0</v>
      </c>
      <c r="AA509">
        <v>0</v>
      </c>
      <c r="AB509">
        <v>0</v>
      </c>
      <c r="AC509">
        <v>0</v>
      </c>
      <c r="AD509">
        <v>0</v>
      </c>
      <c r="AE509">
        <v>0</v>
      </c>
      <c r="AF509">
        <v>0</v>
      </c>
      <c r="AG509">
        <v>0</v>
      </c>
      <c r="AH509">
        <v>0</v>
      </c>
      <c r="AI509">
        <v>0</v>
      </c>
      <c r="AJ509">
        <v>0</v>
      </c>
      <c r="AK509">
        <v>0</v>
      </c>
      <c r="AL509">
        <v>0</v>
      </c>
      <c r="AM509">
        <v>8.58</v>
      </c>
      <c r="AN509">
        <v>0</v>
      </c>
      <c r="AO509">
        <v>0</v>
      </c>
      <c r="AP509">
        <v>0</v>
      </c>
      <c r="AQ509">
        <v>0</v>
      </c>
      <c r="AR509">
        <v>0</v>
      </c>
      <c r="AS509">
        <v>0</v>
      </c>
      <c r="AT509">
        <v>0</v>
      </c>
      <c r="AU509">
        <v>0</v>
      </c>
      <c r="AV509">
        <v>0</v>
      </c>
      <c r="AW509">
        <v>0</v>
      </c>
      <c r="AX509">
        <v>0</v>
      </c>
      <c r="AY509">
        <v>0</v>
      </c>
      <c r="AZ509">
        <v>0</v>
      </c>
      <c r="BA509">
        <v>0</v>
      </c>
      <c r="BB509">
        <v>0</v>
      </c>
      <c r="BC509">
        <v>0</v>
      </c>
      <c r="BD509">
        <v>0</v>
      </c>
      <c r="BE509">
        <v>0</v>
      </c>
      <c r="BF509">
        <v>0</v>
      </c>
      <c r="BG509">
        <v>0</v>
      </c>
      <c r="BH509">
        <v>1</v>
      </c>
      <c r="BI509">
        <v>1</v>
      </c>
      <c r="BJ509">
        <v>0.2</v>
      </c>
      <c r="BK509">
        <v>1</v>
      </c>
      <c r="BL509" s="4">
        <v>50.45</v>
      </c>
      <c r="BM509" s="4">
        <v>7.57</v>
      </c>
      <c r="BN509" s="4">
        <v>58.02</v>
      </c>
      <c r="BO509" s="4">
        <v>58.02</v>
      </c>
      <c r="BQ509" t="s">
        <v>690</v>
      </c>
      <c r="BR509" t="s">
        <v>84</v>
      </c>
      <c r="BS509" s="3">
        <v>43805</v>
      </c>
      <c r="BT509" s="5">
        <v>0.46597222222222223</v>
      </c>
      <c r="BU509" t="s">
        <v>983</v>
      </c>
      <c r="BV509" t="s">
        <v>86</v>
      </c>
      <c r="BY509">
        <v>1200</v>
      </c>
      <c r="CA509" t="s">
        <v>984</v>
      </c>
      <c r="CC509" t="s">
        <v>259</v>
      </c>
      <c r="CD509">
        <v>7599</v>
      </c>
      <c r="CE509" t="s">
        <v>88</v>
      </c>
      <c r="CF509" s="3">
        <v>43808</v>
      </c>
      <c r="CI509">
        <v>1</v>
      </c>
      <c r="CJ509">
        <v>1</v>
      </c>
      <c r="CK509">
        <v>21</v>
      </c>
      <c r="CL509" t="s">
        <v>89</v>
      </c>
    </row>
    <row r="510" spans="1:90">
      <c r="A510" t="s">
        <v>72</v>
      </c>
      <c r="B510" t="s">
        <v>73</v>
      </c>
      <c r="C510" t="s">
        <v>74</v>
      </c>
      <c r="E510" t="str">
        <f>"FES1162726857"</f>
        <v>FES1162726857</v>
      </c>
      <c r="F510" s="3">
        <v>43804</v>
      </c>
      <c r="G510">
        <v>202006</v>
      </c>
      <c r="H510" t="s">
        <v>75</v>
      </c>
      <c r="I510" t="s">
        <v>76</v>
      </c>
      <c r="J510" t="s">
        <v>77</v>
      </c>
      <c r="K510" t="s">
        <v>78</v>
      </c>
      <c r="L510" t="s">
        <v>308</v>
      </c>
      <c r="M510" t="s">
        <v>308</v>
      </c>
      <c r="N510" t="s">
        <v>309</v>
      </c>
      <c r="O510" t="s">
        <v>82</v>
      </c>
      <c r="P510" t="str">
        <f>"2170719666                    "</f>
        <v xml:space="preserve">2170719666                    </v>
      </c>
      <c r="Q510">
        <v>0</v>
      </c>
      <c r="R510">
        <v>0</v>
      </c>
      <c r="S510">
        <v>0</v>
      </c>
      <c r="T510">
        <v>0</v>
      </c>
      <c r="U510">
        <v>0</v>
      </c>
      <c r="V510">
        <v>0</v>
      </c>
      <c r="W510">
        <v>0</v>
      </c>
      <c r="X510">
        <v>0</v>
      </c>
      <c r="Y510">
        <v>0</v>
      </c>
      <c r="Z510">
        <v>0</v>
      </c>
      <c r="AA510">
        <v>0</v>
      </c>
      <c r="AB510">
        <v>0</v>
      </c>
      <c r="AC510">
        <v>0</v>
      </c>
      <c r="AD510">
        <v>0</v>
      </c>
      <c r="AE510">
        <v>0</v>
      </c>
      <c r="AF510">
        <v>0</v>
      </c>
      <c r="AG510">
        <v>0</v>
      </c>
      <c r="AH510">
        <v>0</v>
      </c>
      <c r="AI510">
        <v>0</v>
      </c>
      <c r="AJ510">
        <v>0</v>
      </c>
      <c r="AK510">
        <v>0</v>
      </c>
      <c r="AL510">
        <v>0</v>
      </c>
      <c r="AM510">
        <v>16.63</v>
      </c>
      <c r="AN510">
        <v>0</v>
      </c>
      <c r="AO510">
        <v>0</v>
      </c>
      <c r="AP510">
        <v>0</v>
      </c>
      <c r="AQ510">
        <v>0</v>
      </c>
      <c r="AR510">
        <v>0</v>
      </c>
      <c r="AS510">
        <v>0</v>
      </c>
      <c r="AT510">
        <v>0</v>
      </c>
      <c r="AU510">
        <v>0</v>
      </c>
      <c r="AV510">
        <v>0</v>
      </c>
      <c r="AW510">
        <v>0</v>
      </c>
      <c r="AX510">
        <v>0</v>
      </c>
      <c r="AY510">
        <v>0</v>
      </c>
      <c r="AZ510">
        <v>0</v>
      </c>
      <c r="BA510">
        <v>0</v>
      </c>
      <c r="BB510">
        <v>0</v>
      </c>
      <c r="BC510">
        <v>0</v>
      </c>
      <c r="BD510">
        <v>0</v>
      </c>
      <c r="BE510">
        <v>0</v>
      </c>
      <c r="BF510">
        <v>0</v>
      </c>
      <c r="BG510">
        <v>0</v>
      </c>
      <c r="BH510">
        <v>1</v>
      </c>
      <c r="BI510">
        <v>2</v>
      </c>
      <c r="BJ510">
        <v>0.2</v>
      </c>
      <c r="BK510">
        <v>2</v>
      </c>
      <c r="BL510" s="4">
        <v>97.75</v>
      </c>
      <c r="BM510" s="4">
        <v>14.66</v>
      </c>
      <c r="BN510" s="4">
        <v>112.41</v>
      </c>
      <c r="BO510" s="4">
        <v>112.41</v>
      </c>
      <c r="BQ510" t="s">
        <v>93</v>
      </c>
      <c r="BR510" t="s">
        <v>84</v>
      </c>
      <c r="BS510" s="3">
        <v>43805</v>
      </c>
      <c r="BT510" s="5">
        <v>0.4375</v>
      </c>
      <c r="BU510" t="s">
        <v>310</v>
      </c>
      <c r="BV510" t="s">
        <v>86</v>
      </c>
      <c r="BY510">
        <v>1200</v>
      </c>
      <c r="CA510" t="s">
        <v>311</v>
      </c>
      <c r="CC510" t="s">
        <v>308</v>
      </c>
      <c r="CD510">
        <v>7646</v>
      </c>
      <c r="CE510" t="s">
        <v>88</v>
      </c>
      <c r="CF510" s="3">
        <v>43808</v>
      </c>
      <c r="CI510">
        <v>1</v>
      </c>
      <c r="CJ510">
        <v>1</v>
      </c>
      <c r="CK510">
        <v>23</v>
      </c>
      <c r="CL510" t="s">
        <v>89</v>
      </c>
    </row>
    <row r="511" spans="1:90">
      <c r="A511" t="s">
        <v>72</v>
      </c>
      <c r="B511" t="s">
        <v>73</v>
      </c>
      <c r="C511" t="s">
        <v>74</v>
      </c>
      <c r="E511" t="str">
        <f>"FES1162726866"</f>
        <v>FES1162726866</v>
      </c>
      <c r="F511" s="3">
        <v>43804</v>
      </c>
      <c r="G511">
        <v>202006</v>
      </c>
      <c r="H511" t="s">
        <v>75</v>
      </c>
      <c r="I511" t="s">
        <v>76</v>
      </c>
      <c r="J511" t="s">
        <v>77</v>
      </c>
      <c r="K511" t="s">
        <v>78</v>
      </c>
      <c r="L511" t="s">
        <v>169</v>
      </c>
      <c r="M511" t="s">
        <v>170</v>
      </c>
      <c r="N511" t="s">
        <v>570</v>
      </c>
      <c r="O511" t="s">
        <v>82</v>
      </c>
      <c r="P511" t="str">
        <f>"2170712031                    "</f>
        <v xml:space="preserve">2170712031                    </v>
      </c>
      <c r="Q511">
        <v>0</v>
      </c>
      <c r="R511">
        <v>0</v>
      </c>
      <c r="S511">
        <v>0</v>
      </c>
      <c r="T511">
        <v>0</v>
      </c>
      <c r="U511">
        <v>0</v>
      </c>
      <c r="V511">
        <v>0</v>
      </c>
      <c r="W511">
        <v>0</v>
      </c>
      <c r="X511">
        <v>0</v>
      </c>
      <c r="Y511">
        <v>0</v>
      </c>
      <c r="Z511">
        <v>0</v>
      </c>
      <c r="AA511">
        <v>0</v>
      </c>
      <c r="AB511">
        <v>0</v>
      </c>
      <c r="AC511">
        <v>0</v>
      </c>
      <c r="AD511">
        <v>0</v>
      </c>
      <c r="AE511">
        <v>0</v>
      </c>
      <c r="AF511">
        <v>0</v>
      </c>
      <c r="AG511">
        <v>0</v>
      </c>
      <c r="AH511">
        <v>0</v>
      </c>
      <c r="AI511">
        <v>0</v>
      </c>
      <c r="AJ511">
        <v>0</v>
      </c>
      <c r="AK511">
        <v>0</v>
      </c>
      <c r="AL511">
        <v>0</v>
      </c>
      <c r="AM511">
        <v>7.51</v>
      </c>
      <c r="AN511">
        <v>0</v>
      </c>
      <c r="AO511">
        <v>0</v>
      </c>
      <c r="AP511">
        <v>0</v>
      </c>
      <c r="AQ511">
        <v>0</v>
      </c>
      <c r="AR511">
        <v>0</v>
      </c>
      <c r="AS511">
        <v>0</v>
      </c>
      <c r="AT511">
        <v>0</v>
      </c>
      <c r="AU511">
        <v>0</v>
      </c>
      <c r="AV511">
        <v>0</v>
      </c>
      <c r="AW511">
        <v>0</v>
      </c>
      <c r="AX511">
        <v>0</v>
      </c>
      <c r="AY511">
        <v>0</v>
      </c>
      <c r="AZ511">
        <v>0</v>
      </c>
      <c r="BA511">
        <v>0</v>
      </c>
      <c r="BB511">
        <v>0</v>
      </c>
      <c r="BC511">
        <v>0</v>
      </c>
      <c r="BD511">
        <v>0</v>
      </c>
      <c r="BE511">
        <v>0</v>
      </c>
      <c r="BF511">
        <v>0</v>
      </c>
      <c r="BG511">
        <v>0</v>
      </c>
      <c r="BH511">
        <v>1</v>
      </c>
      <c r="BI511">
        <v>2.2000000000000002</v>
      </c>
      <c r="BJ511">
        <v>1.3</v>
      </c>
      <c r="BK511">
        <v>2.5</v>
      </c>
      <c r="BL511" s="4">
        <v>44.14</v>
      </c>
      <c r="BM511" s="4">
        <v>6.62</v>
      </c>
      <c r="BN511" s="4">
        <v>50.76</v>
      </c>
      <c r="BO511" s="4">
        <v>50.76</v>
      </c>
      <c r="BR511" t="s">
        <v>84</v>
      </c>
      <c r="BS511" s="3">
        <v>43805</v>
      </c>
      <c r="BT511" s="5">
        <v>0.3125</v>
      </c>
      <c r="BU511" t="s">
        <v>985</v>
      </c>
      <c r="BV511" t="s">
        <v>86</v>
      </c>
      <c r="BY511">
        <v>6516.34</v>
      </c>
      <c r="CA511" t="s">
        <v>174</v>
      </c>
      <c r="CC511" t="s">
        <v>170</v>
      </c>
      <c r="CD511">
        <v>1460</v>
      </c>
      <c r="CE511" t="s">
        <v>96</v>
      </c>
      <c r="CF511" s="3">
        <v>43808</v>
      </c>
      <c r="CI511">
        <v>1</v>
      </c>
      <c r="CJ511">
        <v>1</v>
      </c>
      <c r="CK511">
        <v>22</v>
      </c>
      <c r="CL511" t="s">
        <v>89</v>
      </c>
    </row>
    <row r="512" spans="1:90">
      <c r="A512" t="s">
        <v>72</v>
      </c>
      <c r="B512" t="s">
        <v>73</v>
      </c>
      <c r="C512" t="s">
        <v>74</v>
      </c>
      <c r="E512" t="str">
        <f>"FES1162726935"</f>
        <v>FES1162726935</v>
      </c>
      <c r="F512" s="3">
        <v>43804</v>
      </c>
      <c r="G512">
        <v>202006</v>
      </c>
      <c r="H512" t="s">
        <v>75</v>
      </c>
      <c r="I512" t="s">
        <v>76</v>
      </c>
      <c r="J512" t="s">
        <v>77</v>
      </c>
      <c r="K512" t="s">
        <v>78</v>
      </c>
      <c r="L512" t="s">
        <v>986</v>
      </c>
      <c r="M512" t="s">
        <v>987</v>
      </c>
      <c r="N512" t="s">
        <v>988</v>
      </c>
      <c r="O512" t="s">
        <v>82</v>
      </c>
      <c r="P512" t="str">
        <f>"2170720389                    "</f>
        <v xml:space="preserve">2170720389                    </v>
      </c>
      <c r="Q512">
        <v>0</v>
      </c>
      <c r="R512">
        <v>0</v>
      </c>
      <c r="S512">
        <v>0</v>
      </c>
      <c r="T512">
        <v>0</v>
      </c>
      <c r="U512">
        <v>0</v>
      </c>
      <c r="V512">
        <v>0</v>
      </c>
      <c r="W512">
        <v>0</v>
      </c>
      <c r="X512">
        <v>0</v>
      </c>
      <c r="Y512">
        <v>0</v>
      </c>
      <c r="Z512">
        <v>0</v>
      </c>
      <c r="AA512">
        <v>0</v>
      </c>
      <c r="AB512">
        <v>0</v>
      </c>
      <c r="AC512">
        <v>0</v>
      </c>
      <c r="AD512">
        <v>0</v>
      </c>
      <c r="AE512">
        <v>0</v>
      </c>
      <c r="AF512">
        <v>0</v>
      </c>
      <c r="AG512">
        <v>0</v>
      </c>
      <c r="AH512">
        <v>0</v>
      </c>
      <c r="AI512">
        <v>0</v>
      </c>
      <c r="AJ512">
        <v>0</v>
      </c>
      <c r="AK512">
        <v>0</v>
      </c>
      <c r="AL512">
        <v>0</v>
      </c>
      <c r="AM512">
        <v>20.39</v>
      </c>
      <c r="AN512">
        <v>0</v>
      </c>
      <c r="AO512">
        <v>0</v>
      </c>
      <c r="AP512">
        <v>0</v>
      </c>
      <c r="AQ512">
        <v>0</v>
      </c>
      <c r="AR512">
        <v>0</v>
      </c>
      <c r="AS512">
        <v>0</v>
      </c>
      <c r="AT512">
        <v>0</v>
      </c>
      <c r="AU512">
        <v>0</v>
      </c>
      <c r="AV512">
        <v>0</v>
      </c>
      <c r="AW512">
        <v>0</v>
      </c>
      <c r="AX512">
        <v>0</v>
      </c>
      <c r="AY512">
        <v>0</v>
      </c>
      <c r="AZ512">
        <v>0</v>
      </c>
      <c r="BA512">
        <v>0</v>
      </c>
      <c r="BB512">
        <v>0</v>
      </c>
      <c r="BC512">
        <v>0</v>
      </c>
      <c r="BD512">
        <v>0</v>
      </c>
      <c r="BE512">
        <v>0</v>
      </c>
      <c r="BF512">
        <v>0</v>
      </c>
      <c r="BG512">
        <v>0</v>
      </c>
      <c r="BH512">
        <v>1</v>
      </c>
      <c r="BI512">
        <v>1.4</v>
      </c>
      <c r="BJ512">
        <v>2.4</v>
      </c>
      <c r="BK512">
        <v>2.5</v>
      </c>
      <c r="BL512" s="4">
        <v>119.83</v>
      </c>
      <c r="BM512" s="4">
        <v>17.97</v>
      </c>
      <c r="BN512" s="4">
        <v>137.80000000000001</v>
      </c>
      <c r="BO512" s="4">
        <v>137.80000000000001</v>
      </c>
      <c r="BR512" t="s">
        <v>84</v>
      </c>
      <c r="BS512" s="3">
        <v>43805</v>
      </c>
      <c r="BT512" s="5">
        <v>0.41666666666666669</v>
      </c>
      <c r="BU512" t="s">
        <v>989</v>
      </c>
      <c r="BV512" t="s">
        <v>86</v>
      </c>
      <c r="BY512">
        <v>12002.83</v>
      </c>
      <c r="CA512" t="s">
        <v>344</v>
      </c>
      <c r="CC512" t="s">
        <v>987</v>
      </c>
      <c r="CD512">
        <v>9499</v>
      </c>
      <c r="CE512" t="s">
        <v>88</v>
      </c>
      <c r="CF512" s="3">
        <v>43809</v>
      </c>
      <c r="CI512">
        <v>1</v>
      </c>
      <c r="CJ512">
        <v>1</v>
      </c>
      <c r="CK512">
        <v>23</v>
      </c>
      <c r="CL512" t="s">
        <v>89</v>
      </c>
    </row>
    <row r="513" spans="1:90">
      <c r="A513" t="s">
        <v>72</v>
      </c>
      <c r="B513" t="s">
        <v>73</v>
      </c>
      <c r="C513" t="s">
        <v>74</v>
      </c>
      <c r="E513" t="str">
        <f>"FES1162726496"</f>
        <v>FES1162726496</v>
      </c>
      <c r="F513" s="3">
        <v>43804</v>
      </c>
      <c r="G513">
        <v>202006</v>
      </c>
      <c r="H513" t="s">
        <v>75</v>
      </c>
      <c r="I513" t="s">
        <v>76</v>
      </c>
      <c r="J513" t="s">
        <v>77</v>
      </c>
      <c r="K513" t="s">
        <v>78</v>
      </c>
      <c r="L513" t="s">
        <v>90</v>
      </c>
      <c r="M513" t="s">
        <v>91</v>
      </c>
      <c r="N513" t="s">
        <v>990</v>
      </c>
      <c r="O513" t="s">
        <v>82</v>
      </c>
      <c r="P513" t="str">
        <f>"2170719934                    "</f>
        <v xml:space="preserve">2170719934                    </v>
      </c>
      <c r="Q513">
        <v>0</v>
      </c>
      <c r="R513">
        <v>0</v>
      </c>
      <c r="S513">
        <v>0</v>
      </c>
      <c r="T513">
        <v>0</v>
      </c>
      <c r="U513">
        <v>0</v>
      </c>
      <c r="V513">
        <v>0</v>
      </c>
      <c r="W513">
        <v>0</v>
      </c>
      <c r="X513">
        <v>0</v>
      </c>
      <c r="Y513">
        <v>0</v>
      </c>
      <c r="Z513">
        <v>0</v>
      </c>
      <c r="AA513">
        <v>0</v>
      </c>
      <c r="AB513">
        <v>0</v>
      </c>
      <c r="AC513">
        <v>0</v>
      </c>
      <c r="AD513">
        <v>0</v>
      </c>
      <c r="AE513">
        <v>0</v>
      </c>
      <c r="AF513">
        <v>0</v>
      </c>
      <c r="AG513">
        <v>0</v>
      </c>
      <c r="AH513">
        <v>0</v>
      </c>
      <c r="AI513">
        <v>0</v>
      </c>
      <c r="AJ513">
        <v>0</v>
      </c>
      <c r="AK513">
        <v>0</v>
      </c>
      <c r="AL513">
        <v>0</v>
      </c>
      <c r="AM513">
        <v>27.88</v>
      </c>
      <c r="AN513">
        <v>0</v>
      </c>
      <c r="AO513">
        <v>0</v>
      </c>
      <c r="AP513">
        <v>0</v>
      </c>
      <c r="AQ513">
        <v>0</v>
      </c>
      <c r="AR513">
        <v>0</v>
      </c>
      <c r="AS513">
        <v>0</v>
      </c>
      <c r="AT513">
        <v>0</v>
      </c>
      <c r="AU513">
        <v>0</v>
      </c>
      <c r="AV513">
        <v>0</v>
      </c>
      <c r="AW513">
        <v>0</v>
      </c>
      <c r="AX513">
        <v>0</v>
      </c>
      <c r="AY513">
        <v>0</v>
      </c>
      <c r="AZ513">
        <v>0</v>
      </c>
      <c r="BA513">
        <v>0</v>
      </c>
      <c r="BB513">
        <v>0</v>
      </c>
      <c r="BC513">
        <v>0</v>
      </c>
      <c r="BD513">
        <v>0</v>
      </c>
      <c r="BE513">
        <v>0</v>
      </c>
      <c r="BF513">
        <v>0</v>
      </c>
      <c r="BG513">
        <v>0</v>
      </c>
      <c r="BH513">
        <v>1</v>
      </c>
      <c r="BI513">
        <v>3.1</v>
      </c>
      <c r="BJ513">
        <v>6.3</v>
      </c>
      <c r="BK513">
        <v>6.5</v>
      </c>
      <c r="BL513" s="4">
        <v>163.89</v>
      </c>
      <c r="BM513" s="4">
        <v>24.58</v>
      </c>
      <c r="BN513" s="4">
        <v>188.47</v>
      </c>
      <c r="BO513" s="4">
        <v>188.47</v>
      </c>
      <c r="BQ513">
        <v>3</v>
      </c>
      <c r="BR513" t="s">
        <v>84</v>
      </c>
      <c r="BS513" s="3">
        <v>43805</v>
      </c>
      <c r="BT513" s="5">
        <v>0.3520833333333333</v>
      </c>
      <c r="BU513" t="s">
        <v>991</v>
      </c>
      <c r="BV513" t="s">
        <v>86</v>
      </c>
      <c r="BY513">
        <v>31525.72</v>
      </c>
      <c r="CA513" t="s">
        <v>809</v>
      </c>
      <c r="CC513" t="s">
        <v>91</v>
      </c>
      <c r="CD513">
        <v>7925</v>
      </c>
      <c r="CE513" t="s">
        <v>116</v>
      </c>
      <c r="CF513" s="3">
        <v>43808</v>
      </c>
      <c r="CI513">
        <v>1</v>
      </c>
      <c r="CJ513">
        <v>1</v>
      </c>
      <c r="CK513">
        <v>21</v>
      </c>
      <c r="CL513" t="s">
        <v>89</v>
      </c>
    </row>
    <row r="514" spans="1:90">
      <c r="A514" t="s">
        <v>72</v>
      </c>
      <c r="B514" t="s">
        <v>73</v>
      </c>
      <c r="C514" t="s">
        <v>74</v>
      </c>
      <c r="E514" t="str">
        <f>"009935712080"</f>
        <v>009935712080</v>
      </c>
      <c r="F514" s="3">
        <v>43804</v>
      </c>
      <c r="G514">
        <v>202006</v>
      </c>
      <c r="H514" t="s">
        <v>75</v>
      </c>
      <c r="I514" t="s">
        <v>76</v>
      </c>
      <c r="J514" t="s">
        <v>77</v>
      </c>
      <c r="K514" t="s">
        <v>78</v>
      </c>
      <c r="L514" t="s">
        <v>332</v>
      </c>
      <c r="M514" t="s">
        <v>333</v>
      </c>
      <c r="N514" t="s">
        <v>840</v>
      </c>
      <c r="O514" t="s">
        <v>82</v>
      </c>
      <c r="P514" t="str">
        <f>"1162726627                    "</f>
        <v xml:space="preserve">1162726627                    </v>
      </c>
      <c r="Q514">
        <v>0</v>
      </c>
      <c r="R514">
        <v>0</v>
      </c>
      <c r="S514">
        <v>0</v>
      </c>
      <c r="T514">
        <v>0</v>
      </c>
      <c r="U514">
        <v>0</v>
      </c>
      <c r="V514">
        <v>0</v>
      </c>
      <c r="W514">
        <v>0</v>
      </c>
      <c r="X514">
        <v>0</v>
      </c>
      <c r="Y514">
        <v>0</v>
      </c>
      <c r="Z514">
        <v>0</v>
      </c>
      <c r="AA514">
        <v>0</v>
      </c>
      <c r="AB514">
        <v>0</v>
      </c>
      <c r="AC514">
        <v>0</v>
      </c>
      <c r="AD514">
        <v>0</v>
      </c>
      <c r="AE514">
        <v>0</v>
      </c>
      <c r="AF514">
        <v>0</v>
      </c>
      <c r="AG514">
        <v>0</v>
      </c>
      <c r="AH514">
        <v>0</v>
      </c>
      <c r="AI514">
        <v>0</v>
      </c>
      <c r="AJ514">
        <v>0</v>
      </c>
      <c r="AK514">
        <v>0</v>
      </c>
      <c r="AL514">
        <v>0</v>
      </c>
      <c r="AM514">
        <v>6.71</v>
      </c>
      <c r="AN514">
        <v>0</v>
      </c>
      <c r="AO514">
        <v>0</v>
      </c>
      <c r="AP514">
        <v>0</v>
      </c>
      <c r="AQ514">
        <v>0</v>
      </c>
      <c r="AR514">
        <v>0</v>
      </c>
      <c r="AS514">
        <v>0</v>
      </c>
      <c r="AT514">
        <v>0</v>
      </c>
      <c r="AU514">
        <v>0</v>
      </c>
      <c r="AV514">
        <v>0</v>
      </c>
      <c r="AW514">
        <v>0</v>
      </c>
      <c r="AX514">
        <v>0</v>
      </c>
      <c r="AY514">
        <v>0</v>
      </c>
      <c r="AZ514">
        <v>0</v>
      </c>
      <c r="BA514">
        <v>0</v>
      </c>
      <c r="BB514">
        <v>0</v>
      </c>
      <c r="BC514">
        <v>0</v>
      </c>
      <c r="BD514">
        <v>0</v>
      </c>
      <c r="BE514">
        <v>0</v>
      </c>
      <c r="BF514">
        <v>0</v>
      </c>
      <c r="BG514">
        <v>0</v>
      </c>
      <c r="BH514">
        <v>1</v>
      </c>
      <c r="BI514">
        <v>0.6</v>
      </c>
      <c r="BJ514">
        <v>1.5</v>
      </c>
      <c r="BK514">
        <v>1.5</v>
      </c>
      <c r="BL514" s="4">
        <v>39.42</v>
      </c>
      <c r="BM514" s="4">
        <v>5.91</v>
      </c>
      <c r="BN514" s="4">
        <v>45.33</v>
      </c>
      <c r="BO514" s="4">
        <v>45.33</v>
      </c>
      <c r="BR514" t="s">
        <v>84</v>
      </c>
      <c r="BS514" s="3">
        <v>43805</v>
      </c>
      <c r="BT514" s="5">
        <v>0.4291666666666667</v>
      </c>
      <c r="BU514" t="s">
        <v>899</v>
      </c>
      <c r="BV514" t="s">
        <v>86</v>
      </c>
      <c r="BY514">
        <v>7483.91</v>
      </c>
      <c r="CC514" t="s">
        <v>333</v>
      </c>
      <c r="CD514">
        <v>2110</v>
      </c>
      <c r="CE514" t="s">
        <v>88</v>
      </c>
      <c r="CI514">
        <v>1</v>
      </c>
      <c r="CJ514">
        <v>1</v>
      </c>
      <c r="CK514">
        <v>22</v>
      </c>
      <c r="CL514" t="s">
        <v>89</v>
      </c>
    </row>
    <row r="515" spans="1:90">
      <c r="A515" t="s">
        <v>72</v>
      </c>
      <c r="B515" t="s">
        <v>73</v>
      </c>
      <c r="C515" t="s">
        <v>74</v>
      </c>
      <c r="E515" t="str">
        <f>"FES1162726851"</f>
        <v>FES1162726851</v>
      </c>
      <c r="F515" s="3">
        <v>43804</v>
      </c>
      <c r="G515">
        <v>202006</v>
      </c>
      <c r="H515" t="s">
        <v>75</v>
      </c>
      <c r="I515" t="s">
        <v>76</v>
      </c>
      <c r="J515" t="s">
        <v>77</v>
      </c>
      <c r="K515" t="s">
        <v>78</v>
      </c>
      <c r="L515" t="s">
        <v>90</v>
      </c>
      <c r="M515" t="s">
        <v>91</v>
      </c>
      <c r="N515" t="s">
        <v>295</v>
      </c>
      <c r="O515" t="s">
        <v>82</v>
      </c>
      <c r="P515" t="str">
        <f>"21707120300                   "</f>
        <v xml:space="preserve">21707120300                   </v>
      </c>
      <c r="Q515">
        <v>0</v>
      </c>
      <c r="R515">
        <v>0</v>
      </c>
      <c r="S515">
        <v>0</v>
      </c>
      <c r="T515">
        <v>0</v>
      </c>
      <c r="U515">
        <v>0</v>
      </c>
      <c r="V515">
        <v>0</v>
      </c>
      <c r="W515">
        <v>0</v>
      </c>
      <c r="X515">
        <v>0</v>
      </c>
      <c r="Y515">
        <v>0</v>
      </c>
      <c r="Z515">
        <v>0</v>
      </c>
      <c r="AA515">
        <v>0</v>
      </c>
      <c r="AB515">
        <v>0</v>
      </c>
      <c r="AC515">
        <v>0</v>
      </c>
      <c r="AD515">
        <v>0</v>
      </c>
      <c r="AE515">
        <v>0</v>
      </c>
      <c r="AF515">
        <v>0</v>
      </c>
      <c r="AG515">
        <v>0</v>
      </c>
      <c r="AH515">
        <v>0</v>
      </c>
      <c r="AI515">
        <v>0</v>
      </c>
      <c r="AJ515">
        <v>0</v>
      </c>
      <c r="AK515">
        <v>0</v>
      </c>
      <c r="AL515">
        <v>0</v>
      </c>
      <c r="AM515">
        <v>8.58</v>
      </c>
      <c r="AN515">
        <v>0</v>
      </c>
      <c r="AO515">
        <v>0</v>
      </c>
      <c r="AP515">
        <v>0</v>
      </c>
      <c r="AQ515">
        <v>0</v>
      </c>
      <c r="AR515">
        <v>0</v>
      </c>
      <c r="AS515">
        <v>0</v>
      </c>
      <c r="AT515">
        <v>0</v>
      </c>
      <c r="AU515">
        <v>0</v>
      </c>
      <c r="AV515">
        <v>0</v>
      </c>
      <c r="AW515">
        <v>0</v>
      </c>
      <c r="AX515">
        <v>0</v>
      </c>
      <c r="AY515">
        <v>0</v>
      </c>
      <c r="AZ515">
        <v>0</v>
      </c>
      <c r="BA515">
        <v>0</v>
      </c>
      <c r="BB515">
        <v>0</v>
      </c>
      <c r="BC515">
        <v>0</v>
      </c>
      <c r="BD515">
        <v>0</v>
      </c>
      <c r="BE515">
        <v>0</v>
      </c>
      <c r="BF515">
        <v>0</v>
      </c>
      <c r="BG515">
        <v>0</v>
      </c>
      <c r="BH515">
        <v>1</v>
      </c>
      <c r="BI515">
        <v>1.6</v>
      </c>
      <c r="BJ515">
        <v>1.8</v>
      </c>
      <c r="BK515">
        <v>2</v>
      </c>
      <c r="BL515" s="4">
        <v>50.45</v>
      </c>
      <c r="BM515" s="4">
        <v>7.57</v>
      </c>
      <c r="BN515" s="4">
        <v>58.02</v>
      </c>
      <c r="BO515" s="4">
        <v>58.02</v>
      </c>
      <c r="BQ515" t="s">
        <v>147</v>
      </c>
      <c r="BR515" t="s">
        <v>84</v>
      </c>
      <c r="BS515" s="3">
        <v>43805</v>
      </c>
      <c r="BT515" s="5">
        <v>0.40277777777777773</v>
      </c>
      <c r="BU515" t="s">
        <v>894</v>
      </c>
      <c r="BV515" t="s">
        <v>86</v>
      </c>
      <c r="BY515">
        <v>9006.74</v>
      </c>
      <c r="CA515" t="s">
        <v>563</v>
      </c>
      <c r="CC515" t="s">
        <v>91</v>
      </c>
      <c r="CD515">
        <v>7460</v>
      </c>
      <c r="CE515" t="s">
        <v>116</v>
      </c>
      <c r="CF515" s="3">
        <v>43808</v>
      </c>
      <c r="CI515">
        <v>1</v>
      </c>
      <c r="CJ515">
        <v>1</v>
      </c>
      <c r="CK515">
        <v>21</v>
      </c>
      <c r="CL515" t="s">
        <v>89</v>
      </c>
    </row>
    <row r="516" spans="1:90">
      <c r="A516" t="s">
        <v>72</v>
      </c>
      <c r="B516" t="s">
        <v>73</v>
      </c>
      <c r="C516" t="s">
        <v>74</v>
      </c>
      <c r="E516" t="str">
        <f>"FES1162726817"</f>
        <v>FES1162726817</v>
      </c>
      <c r="F516" s="3">
        <v>43804</v>
      </c>
      <c r="G516">
        <v>202006</v>
      </c>
      <c r="H516" t="s">
        <v>75</v>
      </c>
      <c r="I516" t="s">
        <v>76</v>
      </c>
      <c r="J516" t="s">
        <v>77</v>
      </c>
      <c r="K516" t="s">
        <v>78</v>
      </c>
      <c r="L516" t="s">
        <v>186</v>
      </c>
      <c r="M516" t="s">
        <v>187</v>
      </c>
      <c r="N516" t="s">
        <v>188</v>
      </c>
      <c r="O516" t="s">
        <v>82</v>
      </c>
      <c r="P516" t="str">
        <f>"2170720264                    "</f>
        <v xml:space="preserve">2170720264                    </v>
      </c>
      <c r="Q516">
        <v>0</v>
      </c>
      <c r="R516">
        <v>0</v>
      </c>
      <c r="S516">
        <v>0</v>
      </c>
      <c r="T516">
        <v>0</v>
      </c>
      <c r="U516">
        <v>0</v>
      </c>
      <c r="V516">
        <v>0</v>
      </c>
      <c r="W516">
        <v>0</v>
      </c>
      <c r="X516">
        <v>0</v>
      </c>
      <c r="Y516">
        <v>0</v>
      </c>
      <c r="Z516">
        <v>0</v>
      </c>
      <c r="AA516">
        <v>0</v>
      </c>
      <c r="AB516">
        <v>0</v>
      </c>
      <c r="AC516">
        <v>0</v>
      </c>
      <c r="AD516">
        <v>0</v>
      </c>
      <c r="AE516">
        <v>0</v>
      </c>
      <c r="AF516">
        <v>0</v>
      </c>
      <c r="AG516">
        <v>0</v>
      </c>
      <c r="AH516">
        <v>0</v>
      </c>
      <c r="AI516">
        <v>0</v>
      </c>
      <c r="AJ516">
        <v>0</v>
      </c>
      <c r="AK516">
        <v>0</v>
      </c>
      <c r="AL516">
        <v>0</v>
      </c>
      <c r="AM516">
        <v>50.43</v>
      </c>
      <c r="AN516">
        <v>0</v>
      </c>
      <c r="AO516">
        <v>0</v>
      </c>
      <c r="AP516">
        <v>0</v>
      </c>
      <c r="AQ516">
        <v>0</v>
      </c>
      <c r="AR516">
        <v>0</v>
      </c>
      <c r="AS516">
        <v>0</v>
      </c>
      <c r="AT516">
        <v>0</v>
      </c>
      <c r="AU516">
        <v>0</v>
      </c>
      <c r="AV516">
        <v>0</v>
      </c>
      <c r="AW516">
        <v>0</v>
      </c>
      <c r="AX516">
        <v>0</v>
      </c>
      <c r="AY516">
        <v>0</v>
      </c>
      <c r="AZ516">
        <v>0</v>
      </c>
      <c r="BA516">
        <v>0</v>
      </c>
      <c r="BB516">
        <v>0</v>
      </c>
      <c r="BC516">
        <v>0</v>
      </c>
      <c r="BD516">
        <v>0</v>
      </c>
      <c r="BE516">
        <v>0</v>
      </c>
      <c r="BF516">
        <v>0</v>
      </c>
      <c r="BG516">
        <v>0</v>
      </c>
      <c r="BH516">
        <v>1</v>
      </c>
      <c r="BI516">
        <v>6.4</v>
      </c>
      <c r="BJ516">
        <v>1.4</v>
      </c>
      <c r="BK516">
        <v>6.5</v>
      </c>
      <c r="BL516" s="4">
        <v>296.43</v>
      </c>
      <c r="BM516" s="4">
        <v>44.46</v>
      </c>
      <c r="BN516" s="4">
        <v>340.89</v>
      </c>
      <c r="BO516" s="4">
        <v>340.89</v>
      </c>
      <c r="BQ516" t="s">
        <v>93</v>
      </c>
      <c r="BR516" t="s">
        <v>84</v>
      </c>
      <c r="BS516" s="3">
        <v>43808</v>
      </c>
      <c r="BT516" s="5">
        <v>0.37083333333333335</v>
      </c>
      <c r="BU516" t="s">
        <v>971</v>
      </c>
      <c r="BV516" t="s">
        <v>86</v>
      </c>
      <c r="BY516">
        <v>6927.6</v>
      </c>
      <c r="CA516" t="s">
        <v>190</v>
      </c>
      <c r="CC516" t="s">
        <v>187</v>
      </c>
      <c r="CD516">
        <v>6849</v>
      </c>
      <c r="CE516" t="s">
        <v>96</v>
      </c>
      <c r="CF516" s="3">
        <v>43809</v>
      </c>
      <c r="CI516">
        <v>3</v>
      </c>
      <c r="CJ516">
        <v>2</v>
      </c>
      <c r="CK516">
        <v>23</v>
      </c>
      <c r="CL516" t="s">
        <v>89</v>
      </c>
    </row>
    <row r="517" spans="1:90">
      <c r="A517" t="s">
        <v>72</v>
      </c>
      <c r="B517" t="s">
        <v>73</v>
      </c>
      <c r="C517" t="s">
        <v>74</v>
      </c>
      <c r="E517" t="str">
        <f>"FES1162726758"</f>
        <v>FES1162726758</v>
      </c>
      <c r="F517" s="3">
        <v>43804</v>
      </c>
      <c r="G517">
        <v>202006</v>
      </c>
      <c r="H517" t="s">
        <v>75</v>
      </c>
      <c r="I517" t="s">
        <v>76</v>
      </c>
      <c r="J517" t="s">
        <v>77</v>
      </c>
      <c r="K517" t="s">
        <v>78</v>
      </c>
      <c r="L517" t="s">
        <v>90</v>
      </c>
      <c r="M517" t="s">
        <v>91</v>
      </c>
      <c r="N517" t="s">
        <v>110</v>
      </c>
      <c r="O517" t="s">
        <v>82</v>
      </c>
      <c r="P517" t="str">
        <f>"2170720185                    "</f>
        <v xml:space="preserve">2170720185                    </v>
      </c>
      <c r="Q517">
        <v>0</v>
      </c>
      <c r="R517">
        <v>0</v>
      </c>
      <c r="S517">
        <v>0</v>
      </c>
      <c r="T517">
        <v>0</v>
      </c>
      <c r="U517">
        <v>0</v>
      </c>
      <c r="V517">
        <v>0</v>
      </c>
      <c r="W517">
        <v>0</v>
      </c>
      <c r="X517">
        <v>0</v>
      </c>
      <c r="Y517">
        <v>0</v>
      </c>
      <c r="Z517">
        <v>0</v>
      </c>
      <c r="AA517">
        <v>0</v>
      </c>
      <c r="AB517">
        <v>0</v>
      </c>
      <c r="AC517">
        <v>0</v>
      </c>
      <c r="AD517">
        <v>0</v>
      </c>
      <c r="AE517">
        <v>0</v>
      </c>
      <c r="AF517">
        <v>0</v>
      </c>
      <c r="AG517">
        <v>0</v>
      </c>
      <c r="AH517">
        <v>0</v>
      </c>
      <c r="AI517">
        <v>0</v>
      </c>
      <c r="AJ517">
        <v>0</v>
      </c>
      <c r="AK517">
        <v>0</v>
      </c>
      <c r="AL517">
        <v>0</v>
      </c>
      <c r="AM517">
        <v>15.02</v>
      </c>
      <c r="AN517">
        <v>0</v>
      </c>
      <c r="AO517">
        <v>0</v>
      </c>
      <c r="AP517">
        <v>0</v>
      </c>
      <c r="AQ517">
        <v>0</v>
      </c>
      <c r="AR517">
        <v>0</v>
      </c>
      <c r="AS517">
        <v>0</v>
      </c>
      <c r="AT517">
        <v>0</v>
      </c>
      <c r="AU517">
        <v>0</v>
      </c>
      <c r="AV517">
        <v>0</v>
      </c>
      <c r="AW517">
        <v>0</v>
      </c>
      <c r="AX517">
        <v>0</v>
      </c>
      <c r="AY517">
        <v>0</v>
      </c>
      <c r="AZ517">
        <v>0</v>
      </c>
      <c r="BA517">
        <v>0</v>
      </c>
      <c r="BB517">
        <v>0</v>
      </c>
      <c r="BC517">
        <v>0</v>
      </c>
      <c r="BD517">
        <v>0</v>
      </c>
      <c r="BE517">
        <v>0</v>
      </c>
      <c r="BF517">
        <v>0</v>
      </c>
      <c r="BG517">
        <v>0</v>
      </c>
      <c r="BH517">
        <v>1</v>
      </c>
      <c r="BI517">
        <v>3.5</v>
      </c>
      <c r="BJ517">
        <v>1.5</v>
      </c>
      <c r="BK517">
        <v>3.5</v>
      </c>
      <c r="BL517" s="4">
        <v>88.27</v>
      </c>
      <c r="BM517" s="4">
        <v>13.24</v>
      </c>
      <c r="BN517" s="4">
        <v>101.51</v>
      </c>
      <c r="BO517" s="4">
        <v>101.51</v>
      </c>
      <c r="BQ517" t="s">
        <v>147</v>
      </c>
      <c r="BR517" t="s">
        <v>84</v>
      </c>
      <c r="BS517" s="3">
        <v>43805</v>
      </c>
      <c r="BT517" s="5">
        <v>0.33888888888888885</v>
      </c>
      <c r="BU517" t="s">
        <v>730</v>
      </c>
      <c r="BV517" t="s">
        <v>86</v>
      </c>
      <c r="BY517">
        <v>7521.8</v>
      </c>
      <c r="CA517" t="s">
        <v>112</v>
      </c>
      <c r="CC517" t="s">
        <v>91</v>
      </c>
      <c r="CD517">
        <v>7405</v>
      </c>
      <c r="CE517" t="s">
        <v>96</v>
      </c>
      <c r="CF517" s="3">
        <v>43808</v>
      </c>
      <c r="CI517">
        <v>1</v>
      </c>
      <c r="CJ517">
        <v>1</v>
      </c>
      <c r="CK517">
        <v>21</v>
      </c>
      <c r="CL517" t="s">
        <v>89</v>
      </c>
    </row>
    <row r="518" spans="1:90">
      <c r="A518" t="s">
        <v>72</v>
      </c>
      <c r="B518" t="s">
        <v>73</v>
      </c>
      <c r="C518" t="s">
        <v>74</v>
      </c>
      <c r="E518" t="str">
        <f>"FES1162726774"</f>
        <v>FES1162726774</v>
      </c>
      <c r="F518" s="3">
        <v>43804</v>
      </c>
      <c r="G518">
        <v>202006</v>
      </c>
      <c r="H518" t="s">
        <v>75</v>
      </c>
      <c r="I518" t="s">
        <v>76</v>
      </c>
      <c r="J518" t="s">
        <v>77</v>
      </c>
      <c r="K518" t="s">
        <v>78</v>
      </c>
      <c r="L518" t="s">
        <v>258</v>
      </c>
      <c r="M518" t="s">
        <v>259</v>
      </c>
      <c r="N518" t="s">
        <v>689</v>
      </c>
      <c r="O518" t="s">
        <v>82</v>
      </c>
      <c r="P518" t="str">
        <f>"2170712015                    "</f>
        <v xml:space="preserve">2170712015                    </v>
      </c>
      <c r="Q518">
        <v>0</v>
      </c>
      <c r="R518">
        <v>0</v>
      </c>
      <c r="S518">
        <v>0</v>
      </c>
      <c r="T518">
        <v>0</v>
      </c>
      <c r="U518">
        <v>0</v>
      </c>
      <c r="V518">
        <v>0</v>
      </c>
      <c r="W518">
        <v>0</v>
      </c>
      <c r="X518">
        <v>0</v>
      </c>
      <c r="Y518">
        <v>0</v>
      </c>
      <c r="Z518">
        <v>0</v>
      </c>
      <c r="AA518">
        <v>0</v>
      </c>
      <c r="AB518">
        <v>0</v>
      </c>
      <c r="AC518">
        <v>0</v>
      </c>
      <c r="AD518">
        <v>0</v>
      </c>
      <c r="AE518">
        <v>0</v>
      </c>
      <c r="AF518">
        <v>0</v>
      </c>
      <c r="AG518">
        <v>0</v>
      </c>
      <c r="AH518">
        <v>0</v>
      </c>
      <c r="AI518">
        <v>0</v>
      </c>
      <c r="AJ518">
        <v>0</v>
      </c>
      <c r="AK518">
        <v>0</v>
      </c>
      <c r="AL518">
        <v>0</v>
      </c>
      <c r="AM518">
        <v>23.59</v>
      </c>
      <c r="AN518">
        <v>0</v>
      </c>
      <c r="AO518">
        <v>0</v>
      </c>
      <c r="AP518">
        <v>0</v>
      </c>
      <c r="AQ518">
        <v>0</v>
      </c>
      <c r="AR518">
        <v>0</v>
      </c>
      <c r="AS518">
        <v>0</v>
      </c>
      <c r="AT518">
        <v>0</v>
      </c>
      <c r="AU518">
        <v>0</v>
      </c>
      <c r="AV518">
        <v>0</v>
      </c>
      <c r="AW518">
        <v>0</v>
      </c>
      <c r="AX518">
        <v>0</v>
      </c>
      <c r="AY518">
        <v>0</v>
      </c>
      <c r="AZ518">
        <v>0</v>
      </c>
      <c r="BA518">
        <v>0</v>
      </c>
      <c r="BB518">
        <v>0</v>
      </c>
      <c r="BC518">
        <v>0</v>
      </c>
      <c r="BD518">
        <v>0</v>
      </c>
      <c r="BE518">
        <v>0</v>
      </c>
      <c r="BF518">
        <v>0</v>
      </c>
      <c r="BG518">
        <v>0</v>
      </c>
      <c r="BH518">
        <v>1</v>
      </c>
      <c r="BI518">
        <v>5.2</v>
      </c>
      <c r="BJ518">
        <v>3.4</v>
      </c>
      <c r="BK518">
        <v>5.5</v>
      </c>
      <c r="BL518" s="4">
        <v>138.68</v>
      </c>
      <c r="BM518" s="4">
        <v>20.8</v>
      </c>
      <c r="BN518" s="4">
        <v>159.47999999999999</v>
      </c>
      <c r="BO518" s="4">
        <v>159.47999999999999</v>
      </c>
      <c r="BQ518" t="s">
        <v>690</v>
      </c>
      <c r="BR518" t="s">
        <v>84</v>
      </c>
      <c r="BS518" s="3">
        <v>43805</v>
      </c>
      <c r="BT518" s="5">
        <v>0.46597222222222223</v>
      </c>
      <c r="BU518" t="s">
        <v>983</v>
      </c>
      <c r="BV518" t="s">
        <v>86</v>
      </c>
      <c r="BY518">
        <v>17006.12</v>
      </c>
      <c r="CA518" t="s">
        <v>984</v>
      </c>
      <c r="CC518" t="s">
        <v>259</v>
      </c>
      <c r="CD518">
        <v>7599</v>
      </c>
      <c r="CE518" t="s">
        <v>116</v>
      </c>
      <c r="CF518" s="3">
        <v>43808</v>
      </c>
      <c r="CI518">
        <v>1</v>
      </c>
      <c r="CJ518">
        <v>1</v>
      </c>
      <c r="CK518">
        <v>21</v>
      </c>
      <c r="CL518" t="s">
        <v>89</v>
      </c>
    </row>
    <row r="519" spans="1:90">
      <c r="A519" t="s">
        <v>72</v>
      </c>
      <c r="B519" t="s">
        <v>73</v>
      </c>
      <c r="C519" t="s">
        <v>74</v>
      </c>
      <c r="E519" t="str">
        <f>"FES1162726873"</f>
        <v>FES1162726873</v>
      </c>
      <c r="F519" s="3">
        <v>43804</v>
      </c>
      <c r="G519">
        <v>202006</v>
      </c>
      <c r="H519" t="s">
        <v>75</v>
      </c>
      <c r="I519" t="s">
        <v>76</v>
      </c>
      <c r="J519" t="s">
        <v>77</v>
      </c>
      <c r="K519" t="s">
        <v>78</v>
      </c>
      <c r="L519" t="s">
        <v>169</v>
      </c>
      <c r="M519" t="s">
        <v>170</v>
      </c>
      <c r="N519" t="s">
        <v>992</v>
      </c>
      <c r="O519" t="s">
        <v>82</v>
      </c>
      <c r="P519" t="str">
        <f>"2170720316                    "</f>
        <v xml:space="preserve">2170720316                    </v>
      </c>
      <c r="Q519">
        <v>0</v>
      </c>
      <c r="R519">
        <v>0</v>
      </c>
      <c r="S519">
        <v>0</v>
      </c>
      <c r="T519">
        <v>0</v>
      </c>
      <c r="U519">
        <v>0</v>
      </c>
      <c r="V519">
        <v>0</v>
      </c>
      <c r="W519">
        <v>0</v>
      </c>
      <c r="X519">
        <v>0</v>
      </c>
      <c r="Y519">
        <v>0</v>
      </c>
      <c r="Z519">
        <v>0</v>
      </c>
      <c r="AA519">
        <v>0</v>
      </c>
      <c r="AB519">
        <v>0</v>
      </c>
      <c r="AC519">
        <v>0</v>
      </c>
      <c r="AD519">
        <v>0</v>
      </c>
      <c r="AE519">
        <v>0</v>
      </c>
      <c r="AF519">
        <v>0</v>
      </c>
      <c r="AG519">
        <v>0</v>
      </c>
      <c r="AH519">
        <v>0</v>
      </c>
      <c r="AI519">
        <v>0</v>
      </c>
      <c r="AJ519">
        <v>0</v>
      </c>
      <c r="AK519">
        <v>0</v>
      </c>
      <c r="AL519">
        <v>0</v>
      </c>
      <c r="AM519">
        <v>6.71</v>
      </c>
      <c r="AN519">
        <v>0</v>
      </c>
      <c r="AO519">
        <v>0</v>
      </c>
      <c r="AP519">
        <v>0</v>
      </c>
      <c r="AQ519">
        <v>0</v>
      </c>
      <c r="AR519">
        <v>0</v>
      </c>
      <c r="AS519">
        <v>0</v>
      </c>
      <c r="AT519">
        <v>0</v>
      </c>
      <c r="AU519">
        <v>0</v>
      </c>
      <c r="AV519">
        <v>0</v>
      </c>
      <c r="AW519">
        <v>0</v>
      </c>
      <c r="AX519">
        <v>0</v>
      </c>
      <c r="AY519">
        <v>0</v>
      </c>
      <c r="AZ519">
        <v>0</v>
      </c>
      <c r="BA519">
        <v>0</v>
      </c>
      <c r="BB519">
        <v>0</v>
      </c>
      <c r="BC519">
        <v>0</v>
      </c>
      <c r="BD519">
        <v>0</v>
      </c>
      <c r="BE519">
        <v>0</v>
      </c>
      <c r="BF519">
        <v>0</v>
      </c>
      <c r="BG519">
        <v>0</v>
      </c>
      <c r="BH519">
        <v>1</v>
      </c>
      <c r="BI519">
        <v>1</v>
      </c>
      <c r="BJ519">
        <v>0.2</v>
      </c>
      <c r="BK519">
        <v>1</v>
      </c>
      <c r="BL519" s="4">
        <v>39.42</v>
      </c>
      <c r="BM519" s="4">
        <v>5.91</v>
      </c>
      <c r="BN519" s="4">
        <v>45.33</v>
      </c>
      <c r="BO519" s="4">
        <v>45.33</v>
      </c>
      <c r="BQ519" t="s">
        <v>993</v>
      </c>
      <c r="BR519" t="s">
        <v>84</v>
      </c>
      <c r="BS519" s="3">
        <v>43805</v>
      </c>
      <c r="BT519" s="5">
        <v>0.35694444444444445</v>
      </c>
      <c r="BU519" t="s">
        <v>994</v>
      </c>
      <c r="BV519" t="s">
        <v>86</v>
      </c>
      <c r="BY519">
        <v>1200</v>
      </c>
      <c r="CA519" t="s">
        <v>174</v>
      </c>
      <c r="CC519" t="s">
        <v>170</v>
      </c>
      <c r="CD519">
        <v>1459</v>
      </c>
      <c r="CE519" t="s">
        <v>88</v>
      </c>
      <c r="CF519" s="3">
        <v>43808</v>
      </c>
      <c r="CI519">
        <v>1</v>
      </c>
      <c r="CJ519">
        <v>1</v>
      </c>
      <c r="CK519">
        <v>22</v>
      </c>
      <c r="CL519" t="s">
        <v>89</v>
      </c>
    </row>
    <row r="520" spans="1:90">
      <c r="A520" t="s">
        <v>72</v>
      </c>
      <c r="B520" t="s">
        <v>73</v>
      </c>
      <c r="C520" t="s">
        <v>74</v>
      </c>
      <c r="E520" t="str">
        <f>"FES1162726610"</f>
        <v>FES1162726610</v>
      </c>
      <c r="F520" s="3">
        <v>43804</v>
      </c>
      <c r="G520">
        <v>202006</v>
      </c>
      <c r="H520" t="s">
        <v>75</v>
      </c>
      <c r="I520" t="s">
        <v>76</v>
      </c>
      <c r="J520" t="s">
        <v>77</v>
      </c>
      <c r="K520" t="s">
        <v>78</v>
      </c>
      <c r="L520" t="s">
        <v>132</v>
      </c>
      <c r="M520" t="s">
        <v>133</v>
      </c>
      <c r="N520" t="s">
        <v>783</v>
      </c>
      <c r="O520" t="s">
        <v>82</v>
      </c>
      <c r="P520" t="str">
        <f>"2170720088                    "</f>
        <v xml:space="preserve">2170720088                    </v>
      </c>
      <c r="Q520">
        <v>0</v>
      </c>
      <c r="R520">
        <v>0</v>
      </c>
      <c r="S520">
        <v>0</v>
      </c>
      <c r="T520">
        <v>0</v>
      </c>
      <c r="U520">
        <v>0</v>
      </c>
      <c r="V520">
        <v>0</v>
      </c>
      <c r="W520">
        <v>0</v>
      </c>
      <c r="X520">
        <v>0</v>
      </c>
      <c r="Y520">
        <v>0</v>
      </c>
      <c r="Z520">
        <v>0</v>
      </c>
      <c r="AA520">
        <v>0</v>
      </c>
      <c r="AB520">
        <v>0</v>
      </c>
      <c r="AC520">
        <v>0</v>
      </c>
      <c r="AD520">
        <v>0</v>
      </c>
      <c r="AE520">
        <v>0</v>
      </c>
      <c r="AF520">
        <v>0</v>
      </c>
      <c r="AG520">
        <v>0</v>
      </c>
      <c r="AH520">
        <v>0</v>
      </c>
      <c r="AI520">
        <v>0</v>
      </c>
      <c r="AJ520">
        <v>0</v>
      </c>
      <c r="AK520">
        <v>0</v>
      </c>
      <c r="AL520">
        <v>0</v>
      </c>
      <c r="AM520">
        <v>12.87</v>
      </c>
      <c r="AN520">
        <v>0</v>
      </c>
      <c r="AO520">
        <v>0</v>
      </c>
      <c r="AP520">
        <v>0</v>
      </c>
      <c r="AQ520">
        <v>0</v>
      </c>
      <c r="AR520">
        <v>0</v>
      </c>
      <c r="AS520">
        <v>0</v>
      </c>
      <c r="AT520">
        <v>0</v>
      </c>
      <c r="AU520">
        <v>0</v>
      </c>
      <c r="AV520">
        <v>0</v>
      </c>
      <c r="AW520">
        <v>0</v>
      </c>
      <c r="AX520">
        <v>0</v>
      </c>
      <c r="AY520">
        <v>0</v>
      </c>
      <c r="AZ520">
        <v>0</v>
      </c>
      <c r="BA520">
        <v>0</v>
      </c>
      <c r="BB520">
        <v>0</v>
      </c>
      <c r="BC520">
        <v>0</v>
      </c>
      <c r="BD520">
        <v>0</v>
      </c>
      <c r="BE520">
        <v>0</v>
      </c>
      <c r="BF520">
        <v>0</v>
      </c>
      <c r="BG520">
        <v>0</v>
      </c>
      <c r="BH520">
        <v>1</v>
      </c>
      <c r="BI520">
        <v>0.7</v>
      </c>
      <c r="BJ520">
        <v>2.9</v>
      </c>
      <c r="BK520">
        <v>3</v>
      </c>
      <c r="BL520" s="4">
        <v>75.66</v>
      </c>
      <c r="BM520" s="4">
        <v>11.35</v>
      </c>
      <c r="BN520" s="4">
        <v>87.01</v>
      </c>
      <c r="BO520" s="4">
        <v>87.01</v>
      </c>
      <c r="BQ520" t="s">
        <v>256</v>
      </c>
      <c r="BR520" t="s">
        <v>84</v>
      </c>
      <c r="BS520" s="3">
        <v>43805</v>
      </c>
      <c r="BT520" s="5">
        <v>0.43055555555555558</v>
      </c>
      <c r="BU520" t="s">
        <v>784</v>
      </c>
      <c r="BV520" t="s">
        <v>86</v>
      </c>
      <c r="BY520">
        <v>14469.9</v>
      </c>
      <c r="CA520" t="s">
        <v>786</v>
      </c>
      <c r="CC520" t="s">
        <v>133</v>
      </c>
      <c r="CD520">
        <v>157</v>
      </c>
      <c r="CE520" t="s">
        <v>88</v>
      </c>
      <c r="CF520" s="3">
        <v>43808</v>
      </c>
      <c r="CI520">
        <v>1</v>
      </c>
      <c r="CJ520">
        <v>1</v>
      </c>
      <c r="CK520">
        <v>21</v>
      </c>
      <c r="CL520" t="s">
        <v>89</v>
      </c>
    </row>
    <row r="521" spans="1:90">
      <c r="A521" t="s">
        <v>72</v>
      </c>
      <c r="B521" t="s">
        <v>73</v>
      </c>
      <c r="C521" t="s">
        <v>74</v>
      </c>
      <c r="E521" t="str">
        <f>"FES1162726890"</f>
        <v>FES1162726890</v>
      </c>
      <c r="F521" s="3">
        <v>43804</v>
      </c>
      <c r="G521">
        <v>202006</v>
      </c>
      <c r="H521" t="s">
        <v>75</v>
      </c>
      <c r="I521" t="s">
        <v>76</v>
      </c>
      <c r="J521" t="s">
        <v>77</v>
      </c>
      <c r="K521" t="s">
        <v>78</v>
      </c>
      <c r="L521" t="s">
        <v>177</v>
      </c>
      <c r="M521" t="s">
        <v>178</v>
      </c>
      <c r="N521" t="s">
        <v>995</v>
      </c>
      <c r="O521" t="s">
        <v>82</v>
      </c>
      <c r="P521" t="str">
        <f>"2170720332                    "</f>
        <v xml:space="preserve">2170720332                    </v>
      </c>
      <c r="Q521">
        <v>0</v>
      </c>
      <c r="R521">
        <v>0</v>
      </c>
      <c r="S521">
        <v>0</v>
      </c>
      <c r="T521">
        <v>0</v>
      </c>
      <c r="U521">
        <v>0</v>
      </c>
      <c r="V521">
        <v>0</v>
      </c>
      <c r="W521">
        <v>0</v>
      </c>
      <c r="X521">
        <v>0</v>
      </c>
      <c r="Y521">
        <v>0</v>
      </c>
      <c r="Z521">
        <v>0</v>
      </c>
      <c r="AA521">
        <v>0</v>
      </c>
      <c r="AB521">
        <v>0</v>
      </c>
      <c r="AC521">
        <v>0</v>
      </c>
      <c r="AD521">
        <v>0</v>
      </c>
      <c r="AE521">
        <v>0</v>
      </c>
      <c r="AF521">
        <v>0</v>
      </c>
      <c r="AG521">
        <v>0</v>
      </c>
      <c r="AH521">
        <v>0</v>
      </c>
      <c r="AI521">
        <v>0</v>
      </c>
      <c r="AJ521">
        <v>0</v>
      </c>
      <c r="AK521">
        <v>0</v>
      </c>
      <c r="AL521">
        <v>0</v>
      </c>
      <c r="AM521">
        <v>12.07</v>
      </c>
      <c r="AN521">
        <v>0</v>
      </c>
      <c r="AO521">
        <v>0</v>
      </c>
      <c r="AP521">
        <v>0</v>
      </c>
      <c r="AQ521">
        <v>0</v>
      </c>
      <c r="AR521">
        <v>0</v>
      </c>
      <c r="AS521">
        <v>0</v>
      </c>
      <c r="AT521">
        <v>0</v>
      </c>
      <c r="AU521">
        <v>0</v>
      </c>
      <c r="AV521">
        <v>0</v>
      </c>
      <c r="AW521">
        <v>0</v>
      </c>
      <c r="AX521">
        <v>0</v>
      </c>
      <c r="AY521">
        <v>0</v>
      </c>
      <c r="AZ521">
        <v>0</v>
      </c>
      <c r="BA521">
        <v>0</v>
      </c>
      <c r="BB521">
        <v>0</v>
      </c>
      <c r="BC521">
        <v>0</v>
      </c>
      <c r="BD521">
        <v>0</v>
      </c>
      <c r="BE521">
        <v>0</v>
      </c>
      <c r="BF521">
        <v>0</v>
      </c>
      <c r="BG521">
        <v>0</v>
      </c>
      <c r="BH521">
        <v>1</v>
      </c>
      <c r="BI521">
        <v>1</v>
      </c>
      <c r="BJ521">
        <v>0.2</v>
      </c>
      <c r="BK521">
        <v>1</v>
      </c>
      <c r="BL521" s="4">
        <v>70.95</v>
      </c>
      <c r="BM521" s="4">
        <v>10.64</v>
      </c>
      <c r="BN521" s="4">
        <v>81.59</v>
      </c>
      <c r="BO521" s="4">
        <v>81.59</v>
      </c>
      <c r="BQ521" t="s">
        <v>135</v>
      </c>
      <c r="BR521" t="s">
        <v>84</v>
      </c>
      <c r="BS521" s="3">
        <v>43805</v>
      </c>
      <c r="BT521" s="5">
        <v>0.625</v>
      </c>
      <c r="BU521" t="s">
        <v>996</v>
      </c>
      <c r="BV521" t="s">
        <v>86</v>
      </c>
      <c r="BY521">
        <v>1200</v>
      </c>
      <c r="CA521" t="s">
        <v>997</v>
      </c>
      <c r="CC521" t="s">
        <v>178</v>
      </c>
      <c r="CD521">
        <v>1020</v>
      </c>
      <c r="CE521" t="s">
        <v>88</v>
      </c>
      <c r="CF521" s="3">
        <v>43809</v>
      </c>
      <c r="CI521">
        <v>1</v>
      </c>
      <c r="CJ521">
        <v>1</v>
      </c>
      <c r="CK521">
        <v>24</v>
      </c>
      <c r="CL521" t="s">
        <v>89</v>
      </c>
    </row>
    <row r="522" spans="1:90">
      <c r="A522" t="s">
        <v>72</v>
      </c>
      <c r="B522" t="s">
        <v>73</v>
      </c>
      <c r="C522" t="s">
        <v>74</v>
      </c>
      <c r="E522" t="str">
        <f>"FES1162726937"</f>
        <v>FES1162726937</v>
      </c>
      <c r="F522" s="3">
        <v>43804</v>
      </c>
      <c r="G522">
        <v>202006</v>
      </c>
      <c r="H522" t="s">
        <v>75</v>
      </c>
      <c r="I522" t="s">
        <v>76</v>
      </c>
      <c r="J522" t="s">
        <v>77</v>
      </c>
      <c r="K522" t="s">
        <v>78</v>
      </c>
      <c r="L522" t="s">
        <v>90</v>
      </c>
      <c r="M522" t="s">
        <v>91</v>
      </c>
      <c r="N522" t="s">
        <v>998</v>
      </c>
      <c r="O522" t="s">
        <v>82</v>
      </c>
      <c r="P522" t="str">
        <f>"217071393                     "</f>
        <v xml:space="preserve">217071393                     </v>
      </c>
      <c r="Q522">
        <v>0</v>
      </c>
      <c r="R522">
        <v>0</v>
      </c>
      <c r="S522">
        <v>0</v>
      </c>
      <c r="T522">
        <v>0</v>
      </c>
      <c r="U522">
        <v>0</v>
      </c>
      <c r="V522">
        <v>0</v>
      </c>
      <c r="W522">
        <v>0</v>
      </c>
      <c r="X522">
        <v>0</v>
      </c>
      <c r="Y522">
        <v>0</v>
      </c>
      <c r="Z522">
        <v>0</v>
      </c>
      <c r="AA522">
        <v>0</v>
      </c>
      <c r="AB522">
        <v>0</v>
      </c>
      <c r="AC522">
        <v>0</v>
      </c>
      <c r="AD522">
        <v>0</v>
      </c>
      <c r="AE522">
        <v>0</v>
      </c>
      <c r="AF522">
        <v>0</v>
      </c>
      <c r="AG522">
        <v>0</v>
      </c>
      <c r="AH522">
        <v>0</v>
      </c>
      <c r="AI522">
        <v>0</v>
      </c>
      <c r="AJ522">
        <v>0</v>
      </c>
      <c r="AK522">
        <v>0</v>
      </c>
      <c r="AL522">
        <v>0</v>
      </c>
      <c r="AM522">
        <v>83.63</v>
      </c>
      <c r="AN522">
        <v>0</v>
      </c>
      <c r="AO522">
        <v>0</v>
      </c>
      <c r="AP522">
        <v>0</v>
      </c>
      <c r="AQ522">
        <v>0</v>
      </c>
      <c r="AR522">
        <v>0</v>
      </c>
      <c r="AS522">
        <v>0</v>
      </c>
      <c r="AT522">
        <v>0</v>
      </c>
      <c r="AU522">
        <v>0</v>
      </c>
      <c r="AV522">
        <v>0</v>
      </c>
      <c r="AW522">
        <v>0</v>
      </c>
      <c r="AX522">
        <v>0</v>
      </c>
      <c r="AY522">
        <v>0</v>
      </c>
      <c r="AZ522">
        <v>0</v>
      </c>
      <c r="BA522">
        <v>0</v>
      </c>
      <c r="BB522">
        <v>0</v>
      </c>
      <c r="BC522">
        <v>0</v>
      </c>
      <c r="BD522">
        <v>0</v>
      </c>
      <c r="BE522">
        <v>0</v>
      </c>
      <c r="BF522">
        <v>0</v>
      </c>
      <c r="BG522">
        <v>0</v>
      </c>
      <c r="BH522">
        <v>1</v>
      </c>
      <c r="BI522">
        <v>12</v>
      </c>
      <c r="BJ522">
        <v>19.100000000000001</v>
      </c>
      <c r="BK522">
        <v>19.5</v>
      </c>
      <c r="BL522" s="4">
        <v>491.6</v>
      </c>
      <c r="BM522" s="4">
        <v>73.739999999999995</v>
      </c>
      <c r="BN522" s="4">
        <v>565.34</v>
      </c>
      <c r="BO522" s="4">
        <v>565.34</v>
      </c>
      <c r="BQ522" t="s">
        <v>93</v>
      </c>
      <c r="BR522" t="s">
        <v>84</v>
      </c>
      <c r="BS522" s="3">
        <v>43805</v>
      </c>
      <c r="BT522" s="5">
        <v>0.34097222222222223</v>
      </c>
      <c r="BU522" t="s">
        <v>999</v>
      </c>
      <c r="BV522" t="s">
        <v>86</v>
      </c>
      <c r="BY522">
        <v>95654.79</v>
      </c>
      <c r="CA522" t="s">
        <v>563</v>
      </c>
      <c r="CC522" t="s">
        <v>91</v>
      </c>
      <c r="CD522">
        <v>7460</v>
      </c>
      <c r="CE522" t="s">
        <v>96</v>
      </c>
      <c r="CF522" s="3">
        <v>43808</v>
      </c>
      <c r="CI522">
        <v>1</v>
      </c>
      <c r="CJ522">
        <v>1</v>
      </c>
      <c r="CK522">
        <v>21</v>
      </c>
      <c r="CL522" t="s">
        <v>89</v>
      </c>
    </row>
    <row r="523" spans="1:90">
      <c r="A523" t="s">
        <v>72</v>
      </c>
      <c r="B523" t="s">
        <v>73</v>
      </c>
      <c r="C523" t="s">
        <v>74</v>
      </c>
      <c r="E523" t="str">
        <f>"FES1162726807"</f>
        <v>FES1162726807</v>
      </c>
      <c r="F523" s="3">
        <v>43804</v>
      </c>
      <c r="G523">
        <v>202006</v>
      </c>
      <c r="H523" t="s">
        <v>75</v>
      </c>
      <c r="I523" t="s">
        <v>76</v>
      </c>
      <c r="J523" t="s">
        <v>77</v>
      </c>
      <c r="K523" t="s">
        <v>78</v>
      </c>
      <c r="L523" t="s">
        <v>361</v>
      </c>
      <c r="M523" t="s">
        <v>362</v>
      </c>
      <c r="N523" t="s">
        <v>1000</v>
      </c>
      <c r="O523" t="s">
        <v>82</v>
      </c>
      <c r="P523" t="str">
        <f>"2170714877                    "</f>
        <v xml:space="preserve">2170714877                    </v>
      </c>
      <c r="Q523">
        <v>0</v>
      </c>
      <c r="R523">
        <v>0</v>
      </c>
      <c r="S523">
        <v>0</v>
      </c>
      <c r="T523">
        <v>0</v>
      </c>
      <c r="U523">
        <v>0</v>
      </c>
      <c r="V523">
        <v>0</v>
      </c>
      <c r="W523">
        <v>0</v>
      </c>
      <c r="X523">
        <v>0</v>
      </c>
      <c r="Y523">
        <v>0</v>
      </c>
      <c r="Z523">
        <v>0</v>
      </c>
      <c r="AA523">
        <v>0</v>
      </c>
      <c r="AB523">
        <v>0</v>
      </c>
      <c r="AC523">
        <v>0</v>
      </c>
      <c r="AD523">
        <v>0</v>
      </c>
      <c r="AE523">
        <v>0</v>
      </c>
      <c r="AF523">
        <v>0</v>
      </c>
      <c r="AG523">
        <v>0</v>
      </c>
      <c r="AH523">
        <v>0</v>
      </c>
      <c r="AI523">
        <v>0</v>
      </c>
      <c r="AJ523">
        <v>0</v>
      </c>
      <c r="AK523">
        <v>0</v>
      </c>
      <c r="AL523">
        <v>0</v>
      </c>
      <c r="AM523">
        <v>47.18</v>
      </c>
      <c r="AN523">
        <v>0</v>
      </c>
      <c r="AO523">
        <v>0</v>
      </c>
      <c r="AP523">
        <v>0</v>
      </c>
      <c r="AQ523">
        <v>0</v>
      </c>
      <c r="AR523">
        <v>0</v>
      </c>
      <c r="AS523">
        <v>0</v>
      </c>
      <c r="AT523">
        <v>0</v>
      </c>
      <c r="AU523">
        <v>0</v>
      </c>
      <c r="AV523">
        <v>0</v>
      </c>
      <c r="AW523">
        <v>0</v>
      </c>
      <c r="AX523">
        <v>0</v>
      </c>
      <c r="AY523">
        <v>0</v>
      </c>
      <c r="AZ523">
        <v>0</v>
      </c>
      <c r="BA523">
        <v>0</v>
      </c>
      <c r="BB523">
        <v>0</v>
      </c>
      <c r="BC523">
        <v>0</v>
      </c>
      <c r="BD523">
        <v>0</v>
      </c>
      <c r="BE523">
        <v>0</v>
      </c>
      <c r="BF523">
        <v>0</v>
      </c>
      <c r="BG523">
        <v>0</v>
      </c>
      <c r="BH523">
        <v>1</v>
      </c>
      <c r="BI523">
        <v>11</v>
      </c>
      <c r="BJ523">
        <v>5.0999999999999996</v>
      </c>
      <c r="BK523">
        <v>11</v>
      </c>
      <c r="BL523" s="4">
        <v>277.33</v>
      </c>
      <c r="BM523" s="4">
        <v>41.6</v>
      </c>
      <c r="BN523" s="4">
        <v>318.93</v>
      </c>
      <c r="BO523" s="4">
        <v>318.93</v>
      </c>
      <c r="BQ523" t="s">
        <v>1001</v>
      </c>
      <c r="BR523" t="s">
        <v>84</v>
      </c>
      <c r="BS523" s="3">
        <v>43805</v>
      </c>
      <c r="BT523" s="5">
        <v>0.42222222222222222</v>
      </c>
      <c r="BU523" t="s">
        <v>1002</v>
      </c>
      <c r="BV523" t="s">
        <v>86</v>
      </c>
      <c r="BY523">
        <v>25308</v>
      </c>
      <c r="CA523" t="s">
        <v>185</v>
      </c>
      <c r="CC523" t="s">
        <v>362</v>
      </c>
      <c r="CD523">
        <v>6220</v>
      </c>
      <c r="CE523" t="s">
        <v>116</v>
      </c>
      <c r="CF523" s="3">
        <v>43808</v>
      </c>
      <c r="CI523">
        <v>1</v>
      </c>
      <c r="CJ523">
        <v>1</v>
      </c>
      <c r="CK523">
        <v>21</v>
      </c>
      <c r="CL523" t="s">
        <v>89</v>
      </c>
    </row>
    <row r="524" spans="1:90">
      <c r="A524" t="s">
        <v>72</v>
      </c>
      <c r="B524" t="s">
        <v>73</v>
      </c>
      <c r="C524" t="s">
        <v>74</v>
      </c>
      <c r="E524" t="str">
        <f>"FES1162726783"</f>
        <v>FES1162726783</v>
      </c>
      <c r="F524" s="3">
        <v>43804</v>
      </c>
      <c r="G524">
        <v>202006</v>
      </c>
      <c r="H524" t="s">
        <v>75</v>
      </c>
      <c r="I524" t="s">
        <v>76</v>
      </c>
      <c r="J524" t="s">
        <v>77</v>
      </c>
      <c r="K524" t="s">
        <v>78</v>
      </c>
      <c r="L524" t="s">
        <v>151</v>
      </c>
      <c r="M524" t="s">
        <v>102</v>
      </c>
      <c r="N524" t="s">
        <v>1003</v>
      </c>
      <c r="O524" t="s">
        <v>82</v>
      </c>
      <c r="P524" t="str">
        <f>"2170720229                    "</f>
        <v xml:space="preserve">2170720229                    </v>
      </c>
      <c r="Q524">
        <v>0</v>
      </c>
      <c r="R524">
        <v>0</v>
      </c>
      <c r="S524">
        <v>0</v>
      </c>
      <c r="T524">
        <v>0</v>
      </c>
      <c r="U524">
        <v>0</v>
      </c>
      <c r="V524">
        <v>0</v>
      </c>
      <c r="W524">
        <v>0</v>
      </c>
      <c r="X524">
        <v>0</v>
      </c>
      <c r="Y524">
        <v>0</v>
      </c>
      <c r="Z524">
        <v>0</v>
      </c>
      <c r="AA524">
        <v>0</v>
      </c>
      <c r="AB524">
        <v>0</v>
      </c>
      <c r="AC524">
        <v>0</v>
      </c>
      <c r="AD524">
        <v>0</v>
      </c>
      <c r="AE524">
        <v>0</v>
      </c>
      <c r="AF524">
        <v>0</v>
      </c>
      <c r="AG524">
        <v>0</v>
      </c>
      <c r="AH524">
        <v>0</v>
      </c>
      <c r="AI524">
        <v>0</v>
      </c>
      <c r="AJ524">
        <v>0</v>
      </c>
      <c r="AK524">
        <v>0</v>
      </c>
      <c r="AL524">
        <v>0</v>
      </c>
      <c r="AM524">
        <v>8.58</v>
      </c>
      <c r="AN524">
        <v>0</v>
      </c>
      <c r="AO524">
        <v>0</v>
      </c>
      <c r="AP524">
        <v>0</v>
      </c>
      <c r="AQ524">
        <v>0</v>
      </c>
      <c r="AR524">
        <v>0</v>
      </c>
      <c r="AS524">
        <v>0</v>
      </c>
      <c r="AT524">
        <v>0</v>
      </c>
      <c r="AU524">
        <v>0</v>
      </c>
      <c r="AV524">
        <v>0</v>
      </c>
      <c r="AW524">
        <v>0</v>
      </c>
      <c r="AX524">
        <v>0</v>
      </c>
      <c r="AY524">
        <v>0</v>
      </c>
      <c r="AZ524">
        <v>0</v>
      </c>
      <c r="BA524">
        <v>0</v>
      </c>
      <c r="BB524">
        <v>0</v>
      </c>
      <c r="BC524">
        <v>0</v>
      </c>
      <c r="BD524">
        <v>0</v>
      </c>
      <c r="BE524">
        <v>0</v>
      </c>
      <c r="BF524">
        <v>0</v>
      </c>
      <c r="BG524">
        <v>0</v>
      </c>
      <c r="BH524">
        <v>1</v>
      </c>
      <c r="BI524">
        <v>1</v>
      </c>
      <c r="BJ524">
        <v>0.2</v>
      </c>
      <c r="BK524">
        <v>1</v>
      </c>
      <c r="BL524" s="4">
        <v>50.45</v>
      </c>
      <c r="BM524" s="4">
        <v>7.57</v>
      </c>
      <c r="BN524" s="4">
        <v>58.02</v>
      </c>
      <c r="BO524" s="4">
        <v>58.02</v>
      </c>
      <c r="BR524" t="s">
        <v>84</v>
      </c>
      <c r="BS524" s="3">
        <v>43805</v>
      </c>
      <c r="BT524" s="5">
        <v>0.39583333333333331</v>
      </c>
      <c r="BU524" t="s">
        <v>1004</v>
      </c>
      <c r="BV524" t="s">
        <v>86</v>
      </c>
      <c r="BY524">
        <v>1200</v>
      </c>
      <c r="CA524" t="s">
        <v>1005</v>
      </c>
      <c r="CC524" t="s">
        <v>102</v>
      </c>
      <c r="CD524">
        <v>182</v>
      </c>
      <c r="CE524" t="s">
        <v>88</v>
      </c>
      <c r="CF524" s="3">
        <v>43808</v>
      </c>
      <c r="CI524">
        <v>1</v>
      </c>
      <c r="CJ524">
        <v>1</v>
      </c>
      <c r="CK524">
        <v>21</v>
      </c>
      <c r="CL524" t="s">
        <v>89</v>
      </c>
    </row>
    <row r="525" spans="1:90">
      <c r="A525" t="s">
        <v>72</v>
      </c>
      <c r="B525" t="s">
        <v>73</v>
      </c>
      <c r="C525" t="s">
        <v>74</v>
      </c>
      <c r="E525" t="str">
        <f>"FES1162726978"</f>
        <v>FES1162726978</v>
      </c>
      <c r="F525" s="3">
        <v>43804</v>
      </c>
      <c r="G525">
        <v>202006</v>
      </c>
      <c r="H525" t="s">
        <v>75</v>
      </c>
      <c r="I525" t="s">
        <v>76</v>
      </c>
      <c r="J525" t="s">
        <v>77</v>
      </c>
      <c r="K525" t="s">
        <v>78</v>
      </c>
      <c r="L525" t="s">
        <v>332</v>
      </c>
      <c r="M525" t="s">
        <v>333</v>
      </c>
      <c r="N525" t="s">
        <v>1006</v>
      </c>
      <c r="O525" t="s">
        <v>82</v>
      </c>
      <c r="P525" t="str">
        <f>"21707120042                   "</f>
        <v xml:space="preserve">21707120042                   </v>
      </c>
      <c r="Q525">
        <v>0</v>
      </c>
      <c r="R525">
        <v>0</v>
      </c>
      <c r="S525">
        <v>0</v>
      </c>
      <c r="T525">
        <v>0</v>
      </c>
      <c r="U525">
        <v>0</v>
      </c>
      <c r="V525">
        <v>0</v>
      </c>
      <c r="W525">
        <v>0</v>
      </c>
      <c r="X525">
        <v>0</v>
      </c>
      <c r="Y525">
        <v>0</v>
      </c>
      <c r="Z525">
        <v>0</v>
      </c>
      <c r="AA525">
        <v>0</v>
      </c>
      <c r="AB525">
        <v>0</v>
      </c>
      <c r="AC525">
        <v>0</v>
      </c>
      <c r="AD525">
        <v>0</v>
      </c>
      <c r="AE525">
        <v>0</v>
      </c>
      <c r="AF525">
        <v>0</v>
      </c>
      <c r="AG525">
        <v>0</v>
      </c>
      <c r="AH525">
        <v>0</v>
      </c>
      <c r="AI525">
        <v>0</v>
      </c>
      <c r="AJ525">
        <v>0</v>
      </c>
      <c r="AK525">
        <v>0</v>
      </c>
      <c r="AL525">
        <v>0</v>
      </c>
      <c r="AM525">
        <v>20.37</v>
      </c>
      <c r="AN525">
        <v>0</v>
      </c>
      <c r="AO525">
        <v>0</v>
      </c>
      <c r="AP525">
        <v>0</v>
      </c>
      <c r="AQ525">
        <v>0</v>
      </c>
      <c r="AR525">
        <v>0</v>
      </c>
      <c r="AS525">
        <v>0</v>
      </c>
      <c r="AT525">
        <v>0</v>
      </c>
      <c r="AU525">
        <v>0</v>
      </c>
      <c r="AV525">
        <v>0</v>
      </c>
      <c r="AW525">
        <v>0</v>
      </c>
      <c r="AX525">
        <v>0</v>
      </c>
      <c r="AY525">
        <v>0</v>
      </c>
      <c r="AZ525">
        <v>0</v>
      </c>
      <c r="BA525">
        <v>0</v>
      </c>
      <c r="BB525">
        <v>0</v>
      </c>
      <c r="BC525">
        <v>0</v>
      </c>
      <c r="BD525">
        <v>0</v>
      </c>
      <c r="BE525">
        <v>0</v>
      </c>
      <c r="BF525">
        <v>0</v>
      </c>
      <c r="BG525">
        <v>0</v>
      </c>
      <c r="BH525">
        <v>1</v>
      </c>
      <c r="BI525">
        <v>8.1</v>
      </c>
      <c r="BJ525">
        <v>10.5</v>
      </c>
      <c r="BK525">
        <v>10.5</v>
      </c>
      <c r="BL525" s="4">
        <v>119.72</v>
      </c>
      <c r="BM525" s="4">
        <v>17.96</v>
      </c>
      <c r="BN525" s="4">
        <v>137.68</v>
      </c>
      <c r="BO525" s="4">
        <v>137.68</v>
      </c>
      <c r="BQ525" t="s">
        <v>1007</v>
      </c>
      <c r="BR525" t="s">
        <v>84</v>
      </c>
      <c r="BS525" s="3">
        <v>43805</v>
      </c>
      <c r="BT525" s="5">
        <v>0.33333333333333331</v>
      </c>
      <c r="BU525" t="s">
        <v>899</v>
      </c>
      <c r="BV525" t="s">
        <v>86</v>
      </c>
      <c r="BY525">
        <v>52440</v>
      </c>
      <c r="CA525" t="s">
        <v>1008</v>
      </c>
      <c r="CC525" t="s">
        <v>333</v>
      </c>
      <c r="CD525">
        <v>2013</v>
      </c>
      <c r="CE525" t="s">
        <v>116</v>
      </c>
      <c r="CF525" s="3">
        <v>43808</v>
      </c>
      <c r="CI525">
        <v>1</v>
      </c>
      <c r="CJ525">
        <v>1</v>
      </c>
      <c r="CK525">
        <v>22</v>
      </c>
      <c r="CL525" t="s">
        <v>89</v>
      </c>
    </row>
    <row r="526" spans="1:90">
      <c r="A526" t="s">
        <v>72</v>
      </c>
      <c r="B526" t="s">
        <v>73</v>
      </c>
      <c r="C526" t="s">
        <v>74</v>
      </c>
      <c r="E526" t="str">
        <f>"FES1162726898"</f>
        <v>FES1162726898</v>
      </c>
      <c r="F526" s="3">
        <v>43804</v>
      </c>
      <c r="G526">
        <v>202006</v>
      </c>
      <c r="H526" t="s">
        <v>75</v>
      </c>
      <c r="I526" t="s">
        <v>76</v>
      </c>
      <c r="J526" t="s">
        <v>77</v>
      </c>
      <c r="K526" t="s">
        <v>78</v>
      </c>
      <c r="L526" t="s">
        <v>90</v>
      </c>
      <c r="M526" t="s">
        <v>91</v>
      </c>
      <c r="N526" t="s">
        <v>110</v>
      </c>
      <c r="O526" t="s">
        <v>82</v>
      </c>
      <c r="P526" t="str">
        <f>"2170720336                    "</f>
        <v xml:space="preserve">2170720336                    </v>
      </c>
      <c r="Q526">
        <v>0</v>
      </c>
      <c r="R526">
        <v>0</v>
      </c>
      <c r="S526">
        <v>0</v>
      </c>
      <c r="T526">
        <v>0</v>
      </c>
      <c r="U526">
        <v>0</v>
      </c>
      <c r="V526">
        <v>0</v>
      </c>
      <c r="W526">
        <v>0</v>
      </c>
      <c r="X526">
        <v>0</v>
      </c>
      <c r="Y526">
        <v>0</v>
      </c>
      <c r="Z526">
        <v>0</v>
      </c>
      <c r="AA526">
        <v>0</v>
      </c>
      <c r="AB526">
        <v>0</v>
      </c>
      <c r="AC526">
        <v>0</v>
      </c>
      <c r="AD526">
        <v>0</v>
      </c>
      <c r="AE526">
        <v>0</v>
      </c>
      <c r="AF526">
        <v>0</v>
      </c>
      <c r="AG526">
        <v>0</v>
      </c>
      <c r="AH526">
        <v>0</v>
      </c>
      <c r="AI526">
        <v>0</v>
      </c>
      <c r="AJ526">
        <v>0</v>
      </c>
      <c r="AK526">
        <v>0</v>
      </c>
      <c r="AL526">
        <v>0</v>
      </c>
      <c r="AM526">
        <v>10.73</v>
      </c>
      <c r="AN526">
        <v>0</v>
      </c>
      <c r="AO526">
        <v>0</v>
      </c>
      <c r="AP526">
        <v>0</v>
      </c>
      <c r="AQ526">
        <v>0</v>
      </c>
      <c r="AR526">
        <v>0</v>
      </c>
      <c r="AS526">
        <v>0</v>
      </c>
      <c r="AT526">
        <v>0</v>
      </c>
      <c r="AU526">
        <v>0</v>
      </c>
      <c r="AV526">
        <v>0</v>
      </c>
      <c r="AW526">
        <v>0</v>
      </c>
      <c r="AX526">
        <v>0</v>
      </c>
      <c r="AY526">
        <v>0</v>
      </c>
      <c r="AZ526">
        <v>0</v>
      </c>
      <c r="BA526">
        <v>0</v>
      </c>
      <c r="BB526">
        <v>0</v>
      </c>
      <c r="BC526">
        <v>0</v>
      </c>
      <c r="BD526">
        <v>0</v>
      </c>
      <c r="BE526">
        <v>0</v>
      </c>
      <c r="BF526">
        <v>0</v>
      </c>
      <c r="BG526">
        <v>0</v>
      </c>
      <c r="BH526">
        <v>1</v>
      </c>
      <c r="BI526">
        <v>0.2</v>
      </c>
      <c r="BJ526">
        <v>2.2999999999999998</v>
      </c>
      <c r="BK526">
        <v>2.5</v>
      </c>
      <c r="BL526" s="4">
        <v>63.06</v>
      </c>
      <c r="BM526" s="4">
        <v>9.4600000000000009</v>
      </c>
      <c r="BN526" s="4">
        <v>72.52</v>
      </c>
      <c r="BO526" s="4">
        <v>72.52</v>
      </c>
      <c r="BQ526" t="s">
        <v>147</v>
      </c>
      <c r="BR526" t="s">
        <v>84</v>
      </c>
      <c r="BS526" s="3">
        <v>43805</v>
      </c>
      <c r="BT526" s="5">
        <v>0.33888888888888885</v>
      </c>
      <c r="BU526" t="s">
        <v>730</v>
      </c>
      <c r="BV526" t="s">
        <v>86</v>
      </c>
      <c r="BY526">
        <v>11719.8</v>
      </c>
      <c r="CA526" t="s">
        <v>112</v>
      </c>
      <c r="CC526" t="s">
        <v>91</v>
      </c>
      <c r="CD526">
        <v>7405</v>
      </c>
      <c r="CE526" t="s">
        <v>88</v>
      </c>
      <c r="CF526" s="3">
        <v>43808</v>
      </c>
      <c r="CI526">
        <v>1</v>
      </c>
      <c r="CJ526">
        <v>1</v>
      </c>
      <c r="CK526">
        <v>21</v>
      </c>
      <c r="CL526" t="s">
        <v>89</v>
      </c>
    </row>
    <row r="527" spans="1:90">
      <c r="A527" t="s">
        <v>72</v>
      </c>
      <c r="B527" t="s">
        <v>73</v>
      </c>
      <c r="C527" t="s">
        <v>74</v>
      </c>
      <c r="E527" t="str">
        <f>"FES1162726808"</f>
        <v>FES1162726808</v>
      </c>
      <c r="F527" s="3">
        <v>43804</v>
      </c>
      <c r="G527">
        <v>202006</v>
      </c>
      <c r="H527" t="s">
        <v>75</v>
      </c>
      <c r="I527" t="s">
        <v>76</v>
      </c>
      <c r="J527" t="s">
        <v>77</v>
      </c>
      <c r="K527" t="s">
        <v>78</v>
      </c>
      <c r="L527" t="s">
        <v>90</v>
      </c>
      <c r="M527" t="s">
        <v>91</v>
      </c>
      <c r="N527" t="s">
        <v>110</v>
      </c>
      <c r="O527" t="s">
        <v>82</v>
      </c>
      <c r="P527" t="str">
        <f>"2170717708                    "</f>
        <v xml:space="preserve">2170717708                    </v>
      </c>
      <c r="Q527">
        <v>0</v>
      </c>
      <c r="R527">
        <v>0</v>
      </c>
      <c r="S527">
        <v>0</v>
      </c>
      <c r="T527">
        <v>0</v>
      </c>
      <c r="U527">
        <v>0</v>
      </c>
      <c r="V527">
        <v>0</v>
      </c>
      <c r="W527">
        <v>0</v>
      </c>
      <c r="X527">
        <v>0</v>
      </c>
      <c r="Y527">
        <v>0</v>
      </c>
      <c r="Z527">
        <v>0</v>
      </c>
      <c r="AA527">
        <v>0</v>
      </c>
      <c r="AB527">
        <v>0</v>
      </c>
      <c r="AC527">
        <v>0</v>
      </c>
      <c r="AD527">
        <v>0</v>
      </c>
      <c r="AE527">
        <v>0</v>
      </c>
      <c r="AF527">
        <v>0</v>
      </c>
      <c r="AG527">
        <v>0</v>
      </c>
      <c r="AH527">
        <v>0</v>
      </c>
      <c r="AI527">
        <v>0</v>
      </c>
      <c r="AJ527">
        <v>0</v>
      </c>
      <c r="AK527">
        <v>0</v>
      </c>
      <c r="AL527">
        <v>0</v>
      </c>
      <c r="AM527">
        <v>36.46</v>
      </c>
      <c r="AN527">
        <v>0</v>
      </c>
      <c r="AO527">
        <v>0</v>
      </c>
      <c r="AP527">
        <v>0</v>
      </c>
      <c r="AQ527">
        <v>0</v>
      </c>
      <c r="AR527">
        <v>0</v>
      </c>
      <c r="AS527">
        <v>0</v>
      </c>
      <c r="AT527">
        <v>0</v>
      </c>
      <c r="AU527">
        <v>0</v>
      </c>
      <c r="AV527">
        <v>0</v>
      </c>
      <c r="AW527">
        <v>0</v>
      </c>
      <c r="AX527">
        <v>0</v>
      </c>
      <c r="AY527">
        <v>0</v>
      </c>
      <c r="AZ527">
        <v>0</v>
      </c>
      <c r="BA527">
        <v>0</v>
      </c>
      <c r="BB527">
        <v>0</v>
      </c>
      <c r="BC527">
        <v>0</v>
      </c>
      <c r="BD527">
        <v>0</v>
      </c>
      <c r="BE527">
        <v>0</v>
      </c>
      <c r="BF527">
        <v>0</v>
      </c>
      <c r="BG527">
        <v>0</v>
      </c>
      <c r="BH527">
        <v>1</v>
      </c>
      <c r="BI527">
        <v>8</v>
      </c>
      <c r="BJ527">
        <v>8.1</v>
      </c>
      <c r="BK527">
        <v>8.5</v>
      </c>
      <c r="BL527" s="4">
        <v>214.31</v>
      </c>
      <c r="BM527" s="4">
        <v>32.15</v>
      </c>
      <c r="BN527" s="4">
        <v>246.46</v>
      </c>
      <c r="BO527" s="4">
        <v>246.46</v>
      </c>
      <c r="BQ527" t="s">
        <v>147</v>
      </c>
      <c r="BR527" t="s">
        <v>84</v>
      </c>
      <c r="BS527" s="3">
        <v>43805</v>
      </c>
      <c r="BT527" s="5">
        <v>0.33819444444444446</v>
      </c>
      <c r="BU527" t="s">
        <v>730</v>
      </c>
      <c r="BV527" t="s">
        <v>86</v>
      </c>
      <c r="BY527">
        <v>40660</v>
      </c>
      <c r="CA527" t="s">
        <v>112</v>
      </c>
      <c r="CC527" t="s">
        <v>91</v>
      </c>
      <c r="CD527">
        <v>7405</v>
      </c>
      <c r="CE527" t="s">
        <v>116</v>
      </c>
      <c r="CF527" s="3">
        <v>43808</v>
      </c>
      <c r="CI527">
        <v>1</v>
      </c>
      <c r="CJ527">
        <v>1</v>
      </c>
      <c r="CK527">
        <v>21</v>
      </c>
      <c r="CL527" t="s">
        <v>89</v>
      </c>
    </row>
    <row r="528" spans="1:90">
      <c r="A528" t="s">
        <v>72</v>
      </c>
      <c r="B528" t="s">
        <v>73</v>
      </c>
      <c r="C528" t="s">
        <v>74</v>
      </c>
      <c r="E528" t="str">
        <f>"FES1162726795"</f>
        <v>FES1162726795</v>
      </c>
      <c r="F528" s="3">
        <v>43804</v>
      </c>
      <c r="G528">
        <v>202006</v>
      </c>
      <c r="H528" t="s">
        <v>75</v>
      </c>
      <c r="I528" t="s">
        <v>76</v>
      </c>
      <c r="J528" t="s">
        <v>77</v>
      </c>
      <c r="K528" t="s">
        <v>78</v>
      </c>
      <c r="L528" t="s">
        <v>90</v>
      </c>
      <c r="M528" t="s">
        <v>91</v>
      </c>
      <c r="N528" t="s">
        <v>219</v>
      </c>
      <c r="O528" t="s">
        <v>82</v>
      </c>
      <c r="P528" t="str">
        <f>"2170717124                    "</f>
        <v xml:space="preserve">2170717124                    </v>
      </c>
      <c r="Q528">
        <v>0</v>
      </c>
      <c r="R528">
        <v>0</v>
      </c>
      <c r="S528">
        <v>0</v>
      </c>
      <c r="T528">
        <v>0</v>
      </c>
      <c r="U528">
        <v>0</v>
      </c>
      <c r="V528">
        <v>0</v>
      </c>
      <c r="W528">
        <v>0</v>
      </c>
      <c r="X528">
        <v>0</v>
      </c>
      <c r="Y528">
        <v>0</v>
      </c>
      <c r="Z528">
        <v>0</v>
      </c>
      <c r="AA528">
        <v>0</v>
      </c>
      <c r="AB528">
        <v>0</v>
      </c>
      <c r="AC528">
        <v>0</v>
      </c>
      <c r="AD528">
        <v>0</v>
      </c>
      <c r="AE528">
        <v>0</v>
      </c>
      <c r="AF528">
        <v>0</v>
      </c>
      <c r="AG528">
        <v>0</v>
      </c>
      <c r="AH528">
        <v>0</v>
      </c>
      <c r="AI528">
        <v>0</v>
      </c>
      <c r="AJ528">
        <v>0</v>
      </c>
      <c r="AK528">
        <v>0</v>
      </c>
      <c r="AL528">
        <v>0</v>
      </c>
      <c r="AM528">
        <v>45.04</v>
      </c>
      <c r="AN528">
        <v>0</v>
      </c>
      <c r="AO528">
        <v>0</v>
      </c>
      <c r="AP528">
        <v>0</v>
      </c>
      <c r="AQ528">
        <v>0</v>
      </c>
      <c r="AR528">
        <v>0</v>
      </c>
      <c r="AS528">
        <v>0</v>
      </c>
      <c r="AT528">
        <v>0</v>
      </c>
      <c r="AU528">
        <v>0</v>
      </c>
      <c r="AV528">
        <v>0</v>
      </c>
      <c r="AW528">
        <v>0</v>
      </c>
      <c r="AX528">
        <v>0</v>
      </c>
      <c r="AY528">
        <v>0</v>
      </c>
      <c r="AZ528">
        <v>0</v>
      </c>
      <c r="BA528">
        <v>0</v>
      </c>
      <c r="BB528">
        <v>0</v>
      </c>
      <c r="BC528">
        <v>0</v>
      </c>
      <c r="BD528">
        <v>0</v>
      </c>
      <c r="BE528">
        <v>0</v>
      </c>
      <c r="BF528">
        <v>0</v>
      </c>
      <c r="BG528">
        <v>0</v>
      </c>
      <c r="BH528">
        <v>1</v>
      </c>
      <c r="BI528">
        <v>10.5</v>
      </c>
      <c r="BJ528">
        <v>9.8000000000000007</v>
      </c>
      <c r="BK528">
        <v>10.5</v>
      </c>
      <c r="BL528" s="4">
        <v>264.73</v>
      </c>
      <c r="BM528" s="4">
        <v>39.71</v>
      </c>
      <c r="BN528" s="4">
        <v>304.44</v>
      </c>
      <c r="BO528" s="4">
        <v>304.44</v>
      </c>
      <c r="BQ528" t="s">
        <v>147</v>
      </c>
      <c r="BR528" t="s">
        <v>84</v>
      </c>
      <c r="BS528" s="3">
        <v>43805</v>
      </c>
      <c r="BT528" s="5">
        <v>0.36527777777777781</v>
      </c>
      <c r="BU528" t="s">
        <v>976</v>
      </c>
      <c r="BV528" t="s">
        <v>86</v>
      </c>
      <c r="BY528">
        <v>48865.83</v>
      </c>
      <c r="CA528" t="s">
        <v>112</v>
      </c>
      <c r="CC528" t="s">
        <v>91</v>
      </c>
      <c r="CD528">
        <v>7441</v>
      </c>
      <c r="CE528" t="s">
        <v>116</v>
      </c>
      <c r="CF528" s="3">
        <v>43808</v>
      </c>
      <c r="CI528">
        <v>1</v>
      </c>
      <c r="CJ528">
        <v>1</v>
      </c>
      <c r="CK528">
        <v>21</v>
      </c>
      <c r="CL528" t="s">
        <v>89</v>
      </c>
    </row>
    <row r="529" spans="1:90">
      <c r="A529" t="s">
        <v>72</v>
      </c>
      <c r="B529" t="s">
        <v>73</v>
      </c>
      <c r="C529" t="s">
        <v>74</v>
      </c>
      <c r="E529" t="str">
        <f>"FES1162726926"</f>
        <v>FES1162726926</v>
      </c>
      <c r="F529" s="3">
        <v>43804</v>
      </c>
      <c r="G529">
        <v>202006</v>
      </c>
      <c r="H529" t="s">
        <v>75</v>
      </c>
      <c r="I529" t="s">
        <v>76</v>
      </c>
      <c r="J529" t="s">
        <v>77</v>
      </c>
      <c r="K529" t="s">
        <v>78</v>
      </c>
      <c r="L529" t="s">
        <v>308</v>
      </c>
      <c r="M529" t="s">
        <v>308</v>
      </c>
      <c r="N529" t="s">
        <v>309</v>
      </c>
      <c r="O529" t="s">
        <v>82</v>
      </c>
      <c r="P529" t="str">
        <f>"2170720379                    "</f>
        <v xml:space="preserve">2170720379                    </v>
      </c>
      <c r="Q529">
        <v>0</v>
      </c>
      <c r="R529">
        <v>0</v>
      </c>
      <c r="S529">
        <v>0</v>
      </c>
      <c r="T529">
        <v>0</v>
      </c>
      <c r="U529">
        <v>0</v>
      </c>
      <c r="V529">
        <v>0</v>
      </c>
      <c r="W529">
        <v>0</v>
      </c>
      <c r="X529">
        <v>0</v>
      </c>
      <c r="Y529">
        <v>0</v>
      </c>
      <c r="Z529">
        <v>0</v>
      </c>
      <c r="AA529">
        <v>0</v>
      </c>
      <c r="AB529">
        <v>0</v>
      </c>
      <c r="AC529">
        <v>0</v>
      </c>
      <c r="AD529">
        <v>0</v>
      </c>
      <c r="AE529">
        <v>0</v>
      </c>
      <c r="AF529">
        <v>0</v>
      </c>
      <c r="AG529">
        <v>0</v>
      </c>
      <c r="AH529">
        <v>0</v>
      </c>
      <c r="AI529">
        <v>0</v>
      </c>
      <c r="AJ529">
        <v>0</v>
      </c>
      <c r="AK529">
        <v>0</v>
      </c>
      <c r="AL529">
        <v>0</v>
      </c>
      <c r="AM529">
        <v>16.63</v>
      </c>
      <c r="AN529">
        <v>0</v>
      </c>
      <c r="AO529">
        <v>0</v>
      </c>
      <c r="AP529">
        <v>0</v>
      </c>
      <c r="AQ529">
        <v>0</v>
      </c>
      <c r="AR529">
        <v>0</v>
      </c>
      <c r="AS529">
        <v>0</v>
      </c>
      <c r="AT529">
        <v>0</v>
      </c>
      <c r="AU529">
        <v>0</v>
      </c>
      <c r="AV529">
        <v>0</v>
      </c>
      <c r="AW529">
        <v>0</v>
      </c>
      <c r="AX529">
        <v>0</v>
      </c>
      <c r="AY529">
        <v>0</v>
      </c>
      <c r="AZ529">
        <v>0</v>
      </c>
      <c r="BA529">
        <v>0</v>
      </c>
      <c r="BB529">
        <v>0</v>
      </c>
      <c r="BC529">
        <v>0</v>
      </c>
      <c r="BD529">
        <v>0</v>
      </c>
      <c r="BE529">
        <v>0</v>
      </c>
      <c r="BF529">
        <v>0</v>
      </c>
      <c r="BG529">
        <v>0</v>
      </c>
      <c r="BH529">
        <v>1</v>
      </c>
      <c r="BI529">
        <v>1</v>
      </c>
      <c r="BJ529">
        <v>0.2</v>
      </c>
      <c r="BK529">
        <v>1</v>
      </c>
      <c r="BL529" s="4">
        <v>97.75</v>
      </c>
      <c r="BM529" s="4">
        <v>14.66</v>
      </c>
      <c r="BN529" s="4">
        <v>112.41</v>
      </c>
      <c r="BO529" s="4">
        <v>112.41</v>
      </c>
      <c r="BQ529" t="s">
        <v>93</v>
      </c>
      <c r="BR529" t="s">
        <v>84</v>
      </c>
      <c r="BS529" s="3">
        <v>43805</v>
      </c>
      <c r="BT529" s="5">
        <v>0.4375</v>
      </c>
      <c r="BU529" t="s">
        <v>310</v>
      </c>
      <c r="BV529" t="s">
        <v>86</v>
      </c>
      <c r="BY529">
        <v>1200</v>
      </c>
      <c r="CA529" t="s">
        <v>311</v>
      </c>
      <c r="CC529" t="s">
        <v>308</v>
      </c>
      <c r="CD529">
        <v>7646</v>
      </c>
      <c r="CE529" t="s">
        <v>88</v>
      </c>
      <c r="CF529" s="3">
        <v>43808</v>
      </c>
      <c r="CI529">
        <v>1</v>
      </c>
      <c r="CJ529">
        <v>1</v>
      </c>
      <c r="CK529">
        <v>23</v>
      </c>
      <c r="CL529" t="s">
        <v>89</v>
      </c>
    </row>
    <row r="530" spans="1:90">
      <c r="A530" t="s">
        <v>72</v>
      </c>
      <c r="B530" t="s">
        <v>73</v>
      </c>
      <c r="C530" t="s">
        <v>74</v>
      </c>
      <c r="E530" t="str">
        <f>"FES1162726515"</f>
        <v>FES1162726515</v>
      </c>
      <c r="F530" s="3">
        <v>43804</v>
      </c>
      <c r="G530">
        <v>202006</v>
      </c>
      <c r="H530" t="s">
        <v>75</v>
      </c>
      <c r="I530" t="s">
        <v>76</v>
      </c>
      <c r="J530" t="s">
        <v>77</v>
      </c>
      <c r="K530" t="s">
        <v>78</v>
      </c>
      <c r="L530" t="s">
        <v>169</v>
      </c>
      <c r="M530" t="s">
        <v>170</v>
      </c>
      <c r="N530" t="s">
        <v>890</v>
      </c>
      <c r="O530" t="s">
        <v>82</v>
      </c>
      <c r="P530" t="str">
        <f>"2170718706                    "</f>
        <v xml:space="preserve">2170718706                    </v>
      </c>
      <c r="Q530">
        <v>0</v>
      </c>
      <c r="R530">
        <v>0</v>
      </c>
      <c r="S530">
        <v>0</v>
      </c>
      <c r="T530">
        <v>0</v>
      </c>
      <c r="U530">
        <v>0</v>
      </c>
      <c r="V530">
        <v>0</v>
      </c>
      <c r="W530">
        <v>0</v>
      </c>
      <c r="X530">
        <v>0</v>
      </c>
      <c r="Y530">
        <v>0</v>
      </c>
      <c r="Z530">
        <v>0</v>
      </c>
      <c r="AA530">
        <v>0</v>
      </c>
      <c r="AB530">
        <v>0</v>
      </c>
      <c r="AC530">
        <v>0</v>
      </c>
      <c r="AD530">
        <v>0</v>
      </c>
      <c r="AE530">
        <v>0</v>
      </c>
      <c r="AF530">
        <v>0</v>
      </c>
      <c r="AG530">
        <v>0</v>
      </c>
      <c r="AH530">
        <v>0</v>
      </c>
      <c r="AI530">
        <v>0</v>
      </c>
      <c r="AJ530">
        <v>0</v>
      </c>
      <c r="AK530">
        <v>0</v>
      </c>
      <c r="AL530">
        <v>0</v>
      </c>
      <c r="AM530">
        <v>6.71</v>
      </c>
      <c r="AN530">
        <v>0</v>
      </c>
      <c r="AO530">
        <v>0</v>
      </c>
      <c r="AP530">
        <v>0</v>
      </c>
      <c r="AQ530">
        <v>0</v>
      </c>
      <c r="AR530">
        <v>0</v>
      </c>
      <c r="AS530">
        <v>0</v>
      </c>
      <c r="AT530">
        <v>0</v>
      </c>
      <c r="AU530">
        <v>0</v>
      </c>
      <c r="AV530">
        <v>0</v>
      </c>
      <c r="AW530">
        <v>0</v>
      </c>
      <c r="AX530">
        <v>0</v>
      </c>
      <c r="AY530">
        <v>0</v>
      </c>
      <c r="AZ530">
        <v>0</v>
      </c>
      <c r="BA530">
        <v>0</v>
      </c>
      <c r="BB530">
        <v>0</v>
      </c>
      <c r="BC530">
        <v>0</v>
      </c>
      <c r="BD530">
        <v>0</v>
      </c>
      <c r="BE530">
        <v>0</v>
      </c>
      <c r="BF530">
        <v>0</v>
      </c>
      <c r="BG530">
        <v>0</v>
      </c>
      <c r="BH530">
        <v>1</v>
      </c>
      <c r="BI530">
        <v>1</v>
      </c>
      <c r="BJ530">
        <v>0.2</v>
      </c>
      <c r="BK530">
        <v>1</v>
      </c>
      <c r="BL530" s="4">
        <v>39.42</v>
      </c>
      <c r="BM530" s="4">
        <v>5.91</v>
      </c>
      <c r="BN530" s="4">
        <v>45.33</v>
      </c>
      <c r="BO530" s="4">
        <v>45.33</v>
      </c>
      <c r="BQ530" t="s">
        <v>891</v>
      </c>
      <c r="BR530" t="s">
        <v>84</v>
      </c>
      <c r="BS530" s="3">
        <v>43805</v>
      </c>
      <c r="BT530" s="5">
        <v>0.33333333333333331</v>
      </c>
      <c r="BU530" t="s">
        <v>1009</v>
      </c>
      <c r="BV530" t="s">
        <v>86</v>
      </c>
      <c r="BY530">
        <v>1200</v>
      </c>
      <c r="CC530" t="s">
        <v>170</v>
      </c>
      <c r="CD530">
        <v>1459</v>
      </c>
      <c r="CE530" t="s">
        <v>88</v>
      </c>
      <c r="CF530" s="3">
        <v>43808</v>
      </c>
      <c r="CI530">
        <v>1</v>
      </c>
      <c r="CJ530">
        <v>1</v>
      </c>
      <c r="CK530">
        <v>22</v>
      </c>
      <c r="CL530" t="s">
        <v>89</v>
      </c>
    </row>
    <row r="531" spans="1:90">
      <c r="A531" t="s">
        <v>72</v>
      </c>
      <c r="B531" t="s">
        <v>73</v>
      </c>
      <c r="C531" t="s">
        <v>74</v>
      </c>
      <c r="E531" t="str">
        <f>"FES1162726809"</f>
        <v>FES1162726809</v>
      </c>
      <c r="F531" s="3">
        <v>43804</v>
      </c>
      <c r="G531">
        <v>202006</v>
      </c>
      <c r="H531" t="s">
        <v>75</v>
      </c>
      <c r="I531" t="s">
        <v>76</v>
      </c>
      <c r="J531" t="s">
        <v>77</v>
      </c>
      <c r="K531" t="s">
        <v>78</v>
      </c>
      <c r="L531" t="s">
        <v>90</v>
      </c>
      <c r="M531" t="s">
        <v>91</v>
      </c>
      <c r="N531" t="s">
        <v>1010</v>
      </c>
      <c r="O531" t="s">
        <v>82</v>
      </c>
      <c r="P531" t="str">
        <f>"2170720234                    "</f>
        <v xml:space="preserve">2170720234                    </v>
      </c>
      <c r="Q531">
        <v>0</v>
      </c>
      <c r="R531">
        <v>0</v>
      </c>
      <c r="S531">
        <v>0</v>
      </c>
      <c r="T531">
        <v>0</v>
      </c>
      <c r="U531">
        <v>0</v>
      </c>
      <c r="V531">
        <v>0</v>
      </c>
      <c r="W531">
        <v>0</v>
      </c>
      <c r="X531">
        <v>0</v>
      </c>
      <c r="Y531">
        <v>0</v>
      </c>
      <c r="Z531">
        <v>0</v>
      </c>
      <c r="AA531">
        <v>0</v>
      </c>
      <c r="AB531">
        <v>0</v>
      </c>
      <c r="AC531">
        <v>0</v>
      </c>
      <c r="AD531">
        <v>0</v>
      </c>
      <c r="AE531">
        <v>0</v>
      </c>
      <c r="AF531">
        <v>0</v>
      </c>
      <c r="AG531">
        <v>0</v>
      </c>
      <c r="AH531">
        <v>0</v>
      </c>
      <c r="AI531">
        <v>0</v>
      </c>
      <c r="AJ531">
        <v>0</v>
      </c>
      <c r="AK531">
        <v>0</v>
      </c>
      <c r="AL531">
        <v>0</v>
      </c>
      <c r="AM531">
        <v>8.58</v>
      </c>
      <c r="AN531">
        <v>0</v>
      </c>
      <c r="AO531">
        <v>0</v>
      </c>
      <c r="AP531">
        <v>0</v>
      </c>
      <c r="AQ531">
        <v>0</v>
      </c>
      <c r="AR531">
        <v>0</v>
      </c>
      <c r="AS531">
        <v>0</v>
      </c>
      <c r="AT531">
        <v>0</v>
      </c>
      <c r="AU531">
        <v>0</v>
      </c>
      <c r="AV531">
        <v>0</v>
      </c>
      <c r="AW531">
        <v>0</v>
      </c>
      <c r="AX531">
        <v>0</v>
      </c>
      <c r="AY531">
        <v>0</v>
      </c>
      <c r="AZ531">
        <v>0</v>
      </c>
      <c r="BA531">
        <v>0</v>
      </c>
      <c r="BB531">
        <v>0</v>
      </c>
      <c r="BC531">
        <v>0</v>
      </c>
      <c r="BD531">
        <v>0</v>
      </c>
      <c r="BE531">
        <v>0</v>
      </c>
      <c r="BF531">
        <v>0</v>
      </c>
      <c r="BG531">
        <v>0</v>
      </c>
      <c r="BH531">
        <v>1</v>
      </c>
      <c r="BI531">
        <v>1</v>
      </c>
      <c r="BJ531">
        <v>0.2</v>
      </c>
      <c r="BK531">
        <v>1</v>
      </c>
      <c r="BL531" s="4">
        <v>50.45</v>
      </c>
      <c r="BM531" s="4">
        <v>7.57</v>
      </c>
      <c r="BN531" s="4">
        <v>58.02</v>
      </c>
      <c r="BO531" s="4">
        <v>58.02</v>
      </c>
      <c r="BR531" t="s">
        <v>84</v>
      </c>
      <c r="BS531" s="3">
        <v>43805</v>
      </c>
      <c r="BT531" s="5">
        <v>0.43194444444444446</v>
      </c>
      <c r="BU531" t="s">
        <v>737</v>
      </c>
      <c r="BV531" t="s">
        <v>86</v>
      </c>
      <c r="BY531">
        <v>1200</v>
      </c>
      <c r="CA531" t="s">
        <v>1011</v>
      </c>
      <c r="CC531" t="s">
        <v>91</v>
      </c>
      <c r="CD531">
        <v>7550</v>
      </c>
      <c r="CE531" t="s">
        <v>88</v>
      </c>
      <c r="CF531" s="3">
        <v>43808</v>
      </c>
      <c r="CI531">
        <v>1</v>
      </c>
      <c r="CJ531">
        <v>1</v>
      </c>
      <c r="CK531">
        <v>21</v>
      </c>
      <c r="CL531" t="s">
        <v>89</v>
      </c>
    </row>
    <row r="532" spans="1:90">
      <c r="A532" t="s">
        <v>72</v>
      </c>
      <c r="B532" t="s">
        <v>73</v>
      </c>
      <c r="C532" t="s">
        <v>74</v>
      </c>
      <c r="E532" t="str">
        <f>"FES1162726632"</f>
        <v>FES1162726632</v>
      </c>
      <c r="F532" s="3">
        <v>43804</v>
      </c>
      <c r="G532">
        <v>202006</v>
      </c>
      <c r="H532" t="s">
        <v>75</v>
      </c>
      <c r="I532" t="s">
        <v>76</v>
      </c>
      <c r="J532" t="s">
        <v>77</v>
      </c>
      <c r="K532" t="s">
        <v>78</v>
      </c>
      <c r="L532" t="s">
        <v>164</v>
      </c>
      <c r="M532" t="s">
        <v>165</v>
      </c>
      <c r="N532" t="s">
        <v>263</v>
      </c>
      <c r="O532" t="s">
        <v>82</v>
      </c>
      <c r="P532" t="str">
        <f>"21772001                      "</f>
        <v xml:space="preserve">21772001                      </v>
      </c>
      <c r="Q532">
        <v>0</v>
      </c>
      <c r="R532">
        <v>0</v>
      </c>
      <c r="S532">
        <v>0</v>
      </c>
      <c r="T532">
        <v>0</v>
      </c>
      <c r="U532">
        <v>0</v>
      </c>
      <c r="V532">
        <v>0</v>
      </c>
      <c r="W532">
        <v>0</v>
      </c>
      <c r="X532">
        <v>0</v>
      </c>
      <c r="Y532">
        <v>0</v>
      </c>
      <c r="Z532">
        <v>0</v>
      </c>
      <c r="AA532">
        <v>0</v>
      </c>
      <c r="AB532">
        <v>0</v>
      </c>
      <c r="AC532">
        <v>0</v>
      </c>
      <c r="AD532">
        <v>0</v>
      </c>
      <c r="AE532">
        <v>0</v>
      </c>
      <c r="AF532">
        <v>0</v>
      </c>
      <c r="AG532">
        <v>0</v>
      </c>
      <c r="AH532">
        <v>0</v>
      </c>
      <c r="AI532">
        <v>0</v>
      </c>
      <c r="AJ532">
        <v>0</v>
      </c>
      <c r="AK532">
        <v>0</v>
      </c>
      <c r="AL532">
        <v>0</v>
      </c>
      <c r="AM532">
        <v>8.58</v>
      </c>
      <c r="AN532">
        <v>0</v>
      </c>
      <c r="AO532">
        <v>0</v>
      </c>
      <c r="AP532">
        <v>0</v>
      </c>
      <c r="AQ532">
        <v>0</v>
      </c>
      <c r="AR532">
        <v>0</v>
      </c>
      <c r="AS532">
        <v>0</v>
      </c>
      <c r="AT532">
        <v>0</v>
      </c>
      <c r="AU532">
        <v>0</v>
      </c>
      <c r="AV532">
        <v>0</v>
      </c>
      <c r="AW532">
        <v>0</v>
      </c>
      <c r="AX532">
        <v>0</v>
      </c>
      <c r="AY532">
        <v>0</v>
      </c>
      <c r="AZ532">
        <v>0</v>
      </c>
      <c r="BA532">
        <v>0</v>
      </c>
      <c r="BB532">
        <v>0</v>
      </c>
      <c r="BC532">
        <v>0</v>
      </c>
      <c r="BD532">
        <v>0</v>
      </c>
      <c r="BE532">
        <v>0</v>
      </c>
      <c r="BF532">
        <v>0</v>
      </c>
      <c r="BG532">
        <v>0</v>
      </c>
      <c r="BH532">
        <v>1</v>
      </c>
      <c r="BI532">
        <v>0.9</v>
      </c>
      <c r="BJ532">
        <v>1.9</v>
      </c>
      <c r="BK532">
        <v>2</v>
      </c>
      <c r="BL532" s="4">
        <v>50.45</v>
      </c>
      <c r="BM532" s="4">
        <v>7.57</v>
      </c>
      <c r="BN532" s="4">
        <v>58.02</v>
      </c>
      <c r="BO532" s="4">
        <v>58.02</v>
      </c>
      <c r="BQ532" t="s">
        <v>147</v>
      </c>
      <c r="BR532" t="s">
        <v>84</v>
      </c>
      <c r="BS532" s="3">
        <v>43805</v>
      </c>
      <c r="BT532" s="5">
        <v>0.36458333333333331</v>
      </c>
      <c r="BU532" t="s">
        <v>1012</v>
      </c>
      <c r="BV532" t="s">
        <v>86</v>
      </c>
      <c r="BY532">
        <v>9407.73</v>
      </c>
      <c r="CA532" t="s">
        <v>371</v>
      </c>
      <c r="CC532" t="s">
        <v>165</v>
      </c>
      <c r="CD532">
        <v>5201</v>
      </c>
      <c r="CE532" t="s">
        <v>96</v>
      </c>
      <c r="CF532" s="3">
        <v>43809</v>
      </c>
      <c r="CI532">
        <v>1</v>
      </c>
      <c r="CJ532">
        <v>1</v>
      </c>
      <c r="CK532">
        <v>21</v>
      </c>
      <c r="CL532" t="s">
        <v>89</v>
      </c>
    </row>
    <row r="533" spans="1:90">
      <c r="A533" t="s">
        <v>72</v>
      </c>
      <c r="B533" t="s">
        <v>73</v>
      </c>
      <c r="C533" t="s">
        <v>74</v>
      </c>
      <c r="E533" t="str">
        <f>"FES1162726568"</f>
        <v>FES1162726568</v>
      </c>
      <c r="F533" s="3">
        <v>43804</v>
      </c>
      <c r="G533">
        <v>202006</v>
      </c>
      <c r="H533" t="s">
        <v>75</v>
      </c>
      <c r="I533" t="s">
        <v>76</v>
      </c>
      <c r="J533" t="s">
        <v>77</v>
      </c>
      <c r="K533" t="s">
        <v>78</v>
      </c>
      <c r="L533" t="s">
        <v>164</v>
      </c>
      <c r="M533" t="s">
        <v>165</v>
      </c>
      <c r="N533" t="s">
        <v>369</v>
      </c>
      <c r="O533" t="s">
        <v>82</v>
      </c>
      <c r="P533" t="str">
        <f>"2170719807                    "</f>
        <v xml:space="preserve">2170719807                    </v>
      </c>
      <c r="Q533">
        <v>0</v>
      </c>
      <c r="R533">
        <v>0</v>
      </c>
      <c r="S533">
        <v>0</v>
      </c>
      <c r="T533">
        <v>0</v>
      </c>
      <c r="U533">
        <v>0</v>
      </c>
      <c r="V533">
        <v>0</v>
      </c>
      <c r="W533">
        <v>0</v>
      </c>
      <c r="X533">
        <v>0</v>
      </c>
      <c r="Y533">
        <v>0</v>
      </c>
      <c r="Z533">
        <v>0</v>
      </c>
      <c r="AA533">
        <v>0</v>
      </c>
      <c r="AB533">
        <v>0</v>
      </c>
      <c r="AC533">
        <v>0</v>
      </c>
      <c r="AD533">
        <v>0</v>
      </c>
      <c r="AE533">
        <v>0</v>
      </c>
      <c r="AF533">
        <v>0</v>
      </c>
      <c r="AG533">
        <v>0</v>
      </c>
      <c r="AH533">
        <v>0</v>
      </c>
      <c r="AI533">
        <v>0</v>
      </c>
      <c r="AJ533">
        <v>0</v>
      </c>
      <c r="AK533">
        <v>0</v>
      </c>
      <c r="AL533">
        <v>0</v>
      </c>
      <c r="AM533">
        <v>38.6</v>
      </c>
      <c r="AN533">
        <v>0</v>
      </c>
      <c r="AO533">
        <v>0</v>
      </c>
      <c r="AP533">
        <v>0</v>
      </c>
      <c r="AQ533">
        <v>0</v>
      </c>
      <c r="AR533">
        <v>0</v>
      </c>
      <c r="AS533">
        <v>0</v>
      </c>
      <c r="AT533">
        <v>0</v>
      </c>
      <c r="AU533">
        <v>0</v>
      </c>
      <c r="AV533">
        <v>0</v>
      </c>
      <c r="AW533">
        <v>0</v>
      </c>
      <c r="AX533">
        <v>0</v>
      </c>
      <c r="AY533">
        <v>0</v>
      </c>
      <c r="AZ533">
        <v>0</v>
      </c>
      <c r="BA533">
        <v>0</v>
      </c>
      <c r="BB533">
        <v>0</v>
      </c>
      <c r="BC533">
        <v>0</v>
      </c>
      <c r="BD533">
        <v>0</v>
      </c>
      <c r="BE533">
        <v>0</v>
      </c>
      <c r="BF533">
        <v>0</v>
      </c>
      <c r="BG533">
        <v>0</v>
      </c>
      <c r="BH533">
        <v>1</v>
      </c>
      <c r="BI533">
        <v>9</v>
      </c>
      <c r="BJ533">
        <v>1.8</v>
      </c>
      <c r="BK533">
        <v>9</v>
      </c>
      <c r="BL533" s="4">
        <v>226.91</v>
      </c>
      <c r="BM533" s="4">
        <v>34.04</v>
      </c>
      <c r="BN533" s="4">
        <v>260.95</v>
      </c>
      <c r="BO533" s="4">
        <v>260.95</v>
      </c>
      <c r="BQ533" t="s">
        <v>93</v>
      </c>
      <c r="BR533" t="s">
        <v>84</v>
      </c>
      <c r="BS533" s="3">
        <v>43805</v>
      </c>
      <c r="BT533" s="5">
        <v>0.36458333333333331</v>
      </c>
      <c r="BU533" t="s">
        <v>1013</v>
      </c>
      <c r="BV533" t="s">
        <v>86</v>
      </c>
      <c r="BY533">
        <v>8790.36</v>
      </c>
      <c r="CA533" t="s">
        <v>371</v>
      </c>
      <c r="CC533" t="s">
        <v>165</v>
      </c>
      <c r="CD533">
        <v>5201</v>
      </c>
      <c r="CE533" t="s">
        <v>96</v>
      </c>
      <c r="CF533" s="3">
        <v>43809</v>
      </c>
      <c r="CI533">
        <v>1</v>
      </c>
      <c r="CJ533">
        <v>1</v>
      </c>
      <c r="CK533">
        <v>21</v>
      </c>
      <c r="CL533" t="s">
        <v>89</v>
      </c>
    </row>
    <row r="534" spans="1:90">
      <c r="A534" t="s">
        <v>72</v>
      </c>
      <c r="B534" t="s">
        <v>73</v>
      </c>
      <c r="C534" t="s">
        <v>74</v>
      </c>
      <c r="E534" t="str">
        <f>"FES1162726699"</f>
        <v>FES1162726699</v>
      </c>
      <c r="F534" s="3">
        <v>43804</v>
      </c>
      <c r="G534">
        <v>202006</v>
      </c>
      <c r="H534" t="s">
        <v>75</v>
      </c>
      <c r="I534" t="s">
        <v>76</v>
      </c>
      <c r="J534" t="s">
        <v>77</v>
      </c>
      <c r="K534" t="s">
        <v>78</v>
      </c>
      <c r="L534" t="s">
        <v>79</v>
      </c>
      <c r="M534" t="s">
        <v>80</v>
      </c>
      <c r="N534" t="s">
        <v>300</v>
      </c>
      <c r="O534" t="s">
        <v>82</v>
      </c>
      <c r="P534" t="str">
        <f>"2170718836                    "</f>
        <v xml:space="preserve">2170718836                    </v>
      </c>
      <c r="Q534">
        <v>0</v>
      </c>
      <c r="R534">
        <v>0</v>
      </c>
      <c r="S534">
        <v>0</v>
      </c>
      <c r="T534">
        <v>0</v>
      </c>
      <c r="U534">
        <v>0</v>
      </c>
      <c r="V534">
        <v>0</v>
      </c>
      <c r="W534">
        <v>0</v>
      </c>
      <c r="X534">
        <v>0</v>
      </c>
      <c r="Y534">
        <v>0</v>
      </c>
      <c r="Z534">
        <v>0</v>
      </c>
      <c r="AA534">
        <v>0</v>
      </c>
      <c r="AB534">
        <v>0</v>
      </c>
      <c r="AC534">
        <v>0</v>
      </c>
      <c r="AD534">
        <v>0</v>
      </c>
      <c r="AE534">
        <v>0</v>
      </c>
      <c r="AF534">
        <v>0</v>
      </c>
      <c r="AG534">
        <v>0</v>
      </c>
      <c r="AH534">
        <v>0</v>
      </c>
      <c r="AI534">
        <v>0</v>
      </c>
      <c r="AJ534">
        <v>0</v>
      </c>
      <c r="AK534">
        <v>0</v>
      </c>
      <c r="AL534">
        <v>0</v>
      </c>
      <c r="AM534">
        <v>32.17</v>
      </c>
      <c r="AN534">
        <v>0</v>
      </c>
      <c r="AO534">
        <v>0</v>
      </c>
      <c r="AP534">
        <v>0</v>
      </c>
      <c r="AQ534">
        <v>0</v>
      </c>
      <c r="AR534">
        <v>0</v>
      </c>
      <c r="AS534">
        <v>0</v>
      </c>
      <c r="AT534">
        <v>0</v>
      </c>
      <c r="AU534">
        <v>0</v>
      </c>
      <c r="AV534">
        <v>0</v>
      </c>
      <c r="AW534">
        <v>0</v>
      </c>
      <c r="AX534">
        <v>0</v>
      </c>
      <c r="AY534">
        <v>0</v>
      </c>
      <c r="AZ534">
        <v>0</v>
      </c>
      <c r="BA534">
        <v>0</v>
      </c>
      <c r="BB534">
        <v>0</v>
      </c>
      <c r="BC534">
        <v>0</v>
      </c>
      <c r="BD534">
        <v>0</v>
      </c>
      <c r="BE534">
        <v>0</v>
      </c>
      <c r="BF534">
        <v>0</v>
      </c>
      <c r="BG534">
        <v>0</v>
      </c>
      <c r="BH534">
        <v>1</v>
      </c>
      <c r="BI534">
        <v>7.5</v>
      </c>
      <c r="BJ534">
        <v>3.3</v>
      </c>
      <c r="BK534">
        <v>7.5</v>
      </c>
      <c r="BL534" s="4">
        <v>189.1</v>
      </c>
      <c r="BM534" s="4">
        <v>28.37</v>
      </c>
      <c r="BN534" s="4">
        <v>217.47</v>
      </c>
      <c r="BO534" s="4">
        <v>217.47</v>
      </c>
      <c r="BQ534" t="s">
        <v>147</v>
      </c>
      <c r="BR534" t="s">
        <v>84</v>
      </c>
      <c r="BS534" s="3">
        <v>43805</v>
      </c>
      <c r="BT534" s="5">
        <v>0.39583333333333331</v>
      </c>
      <c r="BU534" t="s">
        <v>403</v>
      </c>
      <c r="BV534" t="s">
        <v>86</v>
      </c>
      <c r="BY534">
        <v>16504.77</v>
      </c>
      <c r="CA534" t="s">
        <v>99</v>
      </c>
      <c r="CC534" t="s">
        <v>80</v>
      </c>
      <c r="CD534">
        <v>6001</v>
      </c>
      <c r="CE534" t="s">
        <v>96</v>
      </c>
      <c r="CF534" s="3">
        <v>43808</v>
      </c>
      <c r="CI534">
        <v>1</v>
      </c>
      <c r="CJ534">
        <v>1</v>
      </c>
      <c r="CK534">
        <v>21</v>
      </c>
      <c r="CL534" t="s">
        <v>89</v>
      </c>
    </row>
    <row r="535" spans="1:90">
      <c r="A535" t="s">
        <v>72</v>
      </c>
      <c r="B535" t="s">
        <v>73</v>
      </c>
      <c r="C535" t="s">
        <v>74</v>
      </c>
      <c r="E535" t="str">
        <f>"FES1162726684"</f>
        <v>FES1162726684</v>
      </c>
      <c r="F535" s="3">
        <v>43804</v>
      </c>
      <c r="G535">
        <v>202006</v>
      </c>
      <c r="H535" t="s">
        <v>75</v>
      </c>
      <c r="I535" t="s">
        <v>76</v>
      </c>
      <c r="J535" t="s">
        <v>77</v>
      </c>
      <c r="K535" t="s">
        <v>78</v>
      </c>
      <c r="L535" t="s">
        <v>213</v>
      </c>
      <c r="M535" t="s">
        <v>214</v>
      </c>
      <c r="N535" t="s">
        <v>303</v>
      </c>
      <c r="O535" t="s">
        <v>82</v>
      </c>
      <c r="P535" t="str">
        <f>"2170718103                    "</f>
        <v xml:space="preserve">2170718103                    </v>
      </c>
      <c r="Q535">
        <v>0</v>
      </c>
      <c r="R535">
        <v>0</v>
      </c>
      <c r="S535">
        <v>0</v>
      </c>
      <c r="T535">
        <v>0</v>
      </c>
      <c r="U535">
        <v>0</v>
      </c>
      <c r="V535">
        <v>0</v>
      </c>
      <c r="W535">
        <v>0</v>
      </c>
      <c r="X535">
        <v>0</v>
      </c>
      <c r="Y535">
        <v>0</v>
      </c>
      <c r="Z535">
        <v>0</v>
      </c>
      <c r="AA535">
        <v>0</v>
      </c>
      <c r="AB535">
        <v>0</v>
      </c>
      <c r="AC535">
        <v>0</v>
      </c>
      <c r="AD535">
        <v>0</v>
      </c>
      <c r="AE535">
        <v>0</v>
      </c>
      <c r="AF535">
        <v>0</v>
      </c>
      <c r="AG535">
        <v>0</v>
      </c>
      <c r="AH535">
        <v>0</v>
      </c>
      <c r="AI535">
        <v>0</v>
      </c>
      <c r="AJ535">
        <v>0</v>
      </c>
      <c r="AK535">
        <v>0</v>
      </c>
      <c r="AL535">
        <v>0</v>
      </c>
      <c r="AM535">
        <v>60.05</v>
      </c>
      <c r="AN535">
        <v>0</v>
      </c>
      <c r="AO535">
        <v>0</v>
      </c>
      <c r="AP535">
        <v>0</v>
      </c>
      <c r="AQ535">
        <v>0</v>
      </c>
      <c r="AR535">
        <v>0</v>
      </c>
      <c r="AS535">
        <v>0</v>
      </c>
      <c r="AT535">
        <v>0</v>
      </c>
      <c r="AU535">
        <v>0</v>
      </c>
      <c r="AV535">
        <v>0</v>
      </c>
      <c r="AW535">
        <v>0</v>
      </c>
      <c r="AX535">
        <v>0</v>
      </c>
      <c r="AY535">
        <v>0</v>
      </c>
      <c r="AZ535">
        <v>0</v>
      </c>
      <c r="BA535">
        <v>0</v>
      </c>
      <c r="BB535">
        <v>0</v>
      </c>
      <c r="BC535">
        <v>0</v>
      </c>
      <c r="BD535">
        <v>0</v>
      </c>
      <c r="BE535">
        <v>0</v>
      </c>
      <c r="BF535">
        <v>0</v>
      </c>
      <c r="BG535">
        <v>0</v>
      </c>
      <c r="BH535">
        <v>1</v>
      </c>
      <c r="BI535">
        <v>13.9</v>
      </c>
      <c r="BJ535">
        <v>5.7</v>
      </c>
      <c r="BK535">
        <v>14</v>
      </c>
      <c r="BL535" s="4">
        <v>352.96</v>
      </c>
      <c r="BM535" s="4">
        <v>52.94</v>
      </c>
      <c r="BN535" s="4">
        <v>405.9</v>
      </c>
      <c r="BO535" s="4">
        <v>405.9</v>
      </c>
      <c r="BQ535" t="s">
        <v>147</v>
      </c>
      <c r="BR535" t="s">
        <v>84</v>
      </c>
      <c r="BS535" s="3">
        <v>43805</v>
      </c>
      <c r="BT535" s="5">
        <v>0.3263888888888889</v>
      </c>
      <c r="BU535" t="s">
        <v>1014</v>
      </c>
      <c r="BV535" t="s">
        <v>86</v>
      </c>
      <c r="BY535">
        <v>28743.56</v>
      </c>
      <c r="CA535" t="s">
        <v>99</v>
      </c>
      <c r="CC535" t="s">
        <v>214</v>
      </c>
      <c r="CD535">
        <v>6230</v>
      </c>
      <c r="CE535" t="s">
        <v>96</v>
      </c>
      <c r="CF535" s="3">
        <v>43808</v>
      </c>
      <c r="CI535">
        <v>1</v>
      </c>
      <c r="CJ535">
        <v>1</v>
      </c>
      <c r="CK535">
        <v>21</v>
      </c>
      <c r="CL535" t="s">
        <v>89</v>
      </c>
    </row>
    <row r="536" spans="1:90">
      <c r="A536" t="s">
        <v>72</v>
      </c>
      <c r="B536" t="s">
        <v>73</v>
      </c>
      <c r="C536" t="s">
        <v>74</v>
      </c>
      <c r="E536" t="str">
        <f>"FES1162726781"</f>
        <v>FES1162726781</v>
      </c>
      <c r="F536" s="3">
        <v>43804</v>
      </c>
      <c r="G536">
        <v>202006</v>
      </c>
      <c r="H536" t="s">
        <v>75</v>
      </c>
      <c r="I536" t="s">
        <v>76</v>
      </c>
      <c r="J536" t="s">
        <v>77</v>
      </c>
      <c r="K536" t="s">
        <v>78</v>
      </c>
      <c r="L536" t="s">
        <v>714</v>
      </c>
      <c r="M536" t="s">
        <v>715</v>
      </c>
      <c r="N536" t="s">
        <v>1015</v>
      </c>
      <c r="O536" t="s">
        <v>82</v>
      </c>
      <c r="P536" t="str">
        <f>"2170720207                    "</f>
        <v xml:space="preserve">2170720207                    </v>
      </c>
      <c r="Q536">
        <v>0</v>
      </c>
      <c r="R536">
        <v>0</v>
      </c>
      <c r="S536">
        <v>0</v>
      </c>
      <c r="T536">
        <v>0</v>
      </c>
      <c r="U536">
        <v>0</v>
      </c>
      <c r="V536">
        <v>0</v>
      </c>
      <c r="W536">
        <v>0</v>
      </c>
      <c r="X536">
        <v>0</v>
      </c>
      <c r="Y536">
        <v>0</v>
      </c>
      <c r="Z536">
        <v>0</v>
      </c>
      <c r="AA536">
        <v>0</v>
      </c>
      <c r="AB536">
        <v>0</v>
      </c>
      <c r="AC536">
        <v>0</v>
      </c>
      <c r="AD536">
        <v>0</v>
      </c>
      <c r="AE536">
        <v>0</v>
      </c>
      <c r="AF536">
        <v>0</v>
      </c>
      <c r="AG536">
        <v>0</v>
      </c>
      <c r="AH536">
        <v>0</v>
      </c>
      <c r="AI536">
        <v>0</v>
      </c>
      <c r="AJ536">
        <v>0</v>
      </c>
      <c r="AK536">
        <v>0</v>
      </c>
      <c r="AL536">
        <v>0</v>
      </c>
      <c r="AM536">
        <v>6.71</v>
      </c>
      <c r="AN536">
        <v>0</v>
      </c>
      <c r="AO536">
        <v>0</v>
      </c>
      <c r="AP536">
        <v>0</v>
      </c>
      <c r="AQ536">
        <v>0</v>
      </c>
      <c r="AR536">
        <v>0</v>
      </c>
      <c r="AS536">
        <v>0</v>
      </c>
      <c r="AT536">
        <v>0</v>
      </c>
      <c r="AU536">
        <v>0</v>
      </c>
      <c r="AV536">
        <v>0</v>
      </c>
      <c r="AW536">
        <v>0</v>
      </c>
      <c r="AX536">
        <v>0</v>
      </c>
      <c r="AY536">
        <v>0</v>
      </c>
      <c r="AZ536">
        <v>0</v>
      </c>
      <c r="BA536">
        <v>0</v>
      </c>
      <c r="BB536">
        <v>0</v>
      </c>
      <c r="BC536">
        <v>0</v>
      </c>
      <c r="BD536">
        <v>0</v>
      </c>
      <c r="BE536">
        <v>0</v>
      </c>
      <c r="BF536">
        <v>0</v>
      </c>
      <c r="BG536">
        <v>0</v>
      </c>
      <c r="BH536">
        <v>1</v>
      </c>
      <c r="BI536">
        <v>2</v>
      </c>
      <c r="BJ536">
        <v>0.2</v>
      </c>
      <c r="BK536">
        <v>2</v>
      </c>
      <c r="BL536" s="4">
        <v>39.42</v>
      </c>
      <c r="BM536" s="4">
        <v>5.91</v>
      </c>
      <c r="BN536" s="4">
        <v>45.33</v>
      </c>
      <c r="BO536" s="4">
        <v>45.33</v>
      </c>
      <c r="BQ536" t="s">
        <v>1016</v>
      </c>
      <c r="BR536" t="s">
        <v>84</v>
      </c>
      <c r="BS536" s="3">
        <v>43805</v>
      </c>
      <c r="BT536" s="5">
        <v>0.33333333333333331</v>
      </c>
      <c r="BU536" t="s">
        <v>625</v>
      </c>
      <c r="BV536" t="s">
        <v>86</v>
      </c>
      <c r="BY536">
        <v>1200</v>
      </c>
      <c r="CA536" t="s">
        <v>729</v>
      </c>
      <c r="CC536" t="s">
        <v>715</v>
      </c>
      <c r="CD536">
        <v>1559</v>
      </c>
      <c r="CE536" t="s">
        <v>88</v>
      </c>
      <c r="CF536" s="3">
        <v>43808</v>
      </c>
      <c r="CI536">
        <v>1</v>
      </c>
      <c r="CJ536">
        <v>1</v>
      </c>
      <c r="CK536">
        <v>22</v>
      </c>
      <c r="CL536" t="s">
        <v>89</v>
      </c>
    </row>
    <row r="537" spans="1:90">
      <c r="A537" t="s">
        <v>72</v>
      </c>
      <c r="B537" t="s">
        <v>73</v>
      </c>
      <c r="C537" t="s">
        <v>74</v>
      </c>
      <c r="E537" t="str">
        <f>"FES1162726971"</f>
        <v>FES1162726971</v>
      </c>
      <c r="F537" s="3">
        <v>43804</v>
      </c>
      <c r="G537">
        <v>202006</v>
      </c>
      <c r="H537" t="s">
        <v>75</v>
      </c>
      <c r="I537" t="s">
        <v>76</v>
      </c>
      <c r="J537" t="s">
        <v>77</v>
      </c>
      <c r="K537" t="s">
        <v>78</v>
      </c>
      <c r="L537" t="s">
        <v>986</v>
      </c>
      <c r="M537" t="s">
        <v>987</v>
      </c>
      <c r="N537" t="s">
        <v>988</v>
      </c>
      <c r="O537" t="s">
        <v>82</v>
      </c>
      <c r="P537" t="str">
        <f>"2170710392                    "</f>
        <v xml:space="preserve">2170710392                    </v>
      </c>
      <c r="Q537">
        <v>0</v>
      </c>
      <c r="R537">
        <v>0</v>
      </c>
      <c r="S537">
        <v>0</v>
      </c>
      <c r="T537">
        <v>0</v>
      </c>
      <c r="U537">
        <v>0</v>
      </c>
      <c r="V537">
        <v>0</v>
      </c>
      <c r="W537">
        <v>0</v>
      </c>
      <c r="X537">
        <v>0</v>
      </c>
      <c r="Y537">
        <v>0</v>
      </c>
      <c r="Z537">
        <v>0</v>
      </c>
      <c r="AA537">
        <v>0</v>
      </c>
      <c r="AB537">
        <v>0</v>
      </c>
      <c r="AC537">
        <v>0</v>
      </c>
      <c r="AD537">
        <v>0</v>
      </c>
      <c r="AE537">
        <v>0</v>
      </c>
      <c r="AF537">
        <v>0</v>
      </c>
      <c r="AG537">
        <v>0</v>
      </c>
      <c r="AH537">
        <v>0</v>
      </c>
      <c r="AI537">
        <v>0</v>
      </c>
      <c r="AJ537">
        <v>0</v>
      </c>
      <c r="AK537">
        <v>0</v>
      </c>
      <c r="AL537">
        <v>0</v>
      </c>
      <c r="AM537">
        <v>46.67</v>
      </c>
      <c r="AN537">
        <v>0</v>
      </c>
      <c r="AO537">
        <v>0</v>
      </c>
      <c r="AP537">
        <v>0</v>
      </c>
      <c r="AQ537">
        <v>0</v>
      </c>
      <c r="AR537">
        <v>0</v>
      </c>
      <c r="AS537">
        <v>0</v>
      </c>
      <c r="AT537">
        <v>0</v>
      </c>
      <c r="AU537">
        <v>0</v>
      </c>
      <c r="AV537">
        <v>0</v>
      </c>
      <c r="AW537">
        <v>0</v>
      </c>
      <c r="AX537">
        <v>0</v>
      </c>
      <c r="AY537">
        <v>0</v>
      </c>
      <c r="AZ537">
        <v>0</v>
      </c>
      <c r="BA537">
        <v>0</v>
      </c>
      <c r="BB537">
        <v>0</v>
      </c>
      <c r="BC537">
        <v>0</v>
      </c>
      <c r="BD537">
        <v>0</v>
      </c>
      <c r="BE537">
        <v>0</v>
      </c>
      <c r="BF537">
        <v>0</v>
      </c>
      <c r="BG537">
        <v>0</v>
      </c>
      <c r="BH537">
        <v>1</v>
      </c>
      <c r="BI537">
        <v>5.0999999999999996</v>
      </c>
      <c r="BJ537">
        <v>6</v>
      </c>
      <c r="BK537">
        <v>6</v>
      </c>
      <c r="BL537" s="4">
        <v>274.35000000000002</v>
      </c>
      <c r="BM537" s="4">
        <v>41.15</v>
      </c>
      <c r="BN537" s="4">
        <v>315.5</v>
      </c>
      <c r="BO537" s="4">
        <v>315.5</v>
      </c>
      <c r="BR537" t="s">
        <v>84</v>
      </c>
      <c r="BS537" s="3">
        <v>43805</v>
      </c>
      <c r="BT537" s="5">
        <v>0.375</v>
      </c>
      <c r="BU537" t="s">
        <v>989</v>
      </c>
      <c r="BV537" t="s">
        <v>86</v>
      </c>
      <c r="BY537">
        <v>29810.34</v>
      </c>
      <c r="CA537" t="s">
        <v>344</v>
      </c>
      <c r="CC537" t="s">
        <v>987</v>
      </c>
      <c r="CD537">
        <v>9499</v>
      </c>
      <c r="CE537" t="s">
        <v>116</v>
      </c>
      <c r="CF537" s="3">
        <v>43809</v>
      </c>
      <c r="CI537">
        <v>1</v>
      </c>
      <c r="CJ537">
        <v>1</v>
      </c>
      <c r="CK537">
        <v>23</v>
      </c>
      <c r="CL537" t="s">
        <v>89</v>
      </c>
    </row>
    <row r="538" spans="1:90">
      <c r="A538" t="s">
        <v>72</v>
      </c>
      <c r="B538" t="s">
        <v>73</v>
      </c>
      <c r="C538" t="s">
        <v>74</v>
      </c>
      <c r="E538" t="str">
        <f>"FES1162726848"</f>
        <v>FES1162726848</v>
      </c>
      <c r="F538" s="3">
        <v>43804</v>
      </c>
      <c r="G538">
        <v>202006</v>
      </c>
      <c r="H538" t="s">
        <v>75</v>
      </c>
      <c r="I538" t="s">
        <v>76</v>
      </c>
      <c r="J538" t="s">
        <v>77</v>
      </c>
      <c r="K538" t="s">
        <v>78</v>
      </c>
      <c r="L538" t="s">
        <v>308</v>
      </c>
      <c r="M538" t="s">
        <v>308</v>
      </c>
      <c r="N538" t="s">
        <v>974</v>
      </c>
      <c r="O538" t="s">
        <v>82</v>
      </c>
      <c r="P538" t="str">
        <f>"2170720297                    "</f>
        <v xml:space="preserve">2170720297                    </v>
      </c>
      <c r="Q538">
        <v>0</v>
      </c>
      <c r="R538">
        <v>0</v>
      </c>
      <c r="S538">
        <v>0</v>
      </c>
      <c r="T538">
        <v>0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0</v>
      </c>
      <c r="AA538">
        <v>0</v>
      </c>
      <c r="AB538">
        <v>0</v>
      </c>
      <c r="AC538">
        <v>0</v>
      </c>
      <c r="AD538">
        <v>0</v>
      </c>
      <c r="AE538">
        <v>0</v>
      </c>
      <c r="AF538">
        <v>0</v>
      </c>
      <c r="AG538">
        <v>0</v>
      </c>
      <c r="AH538">
        <v>0</v>
      </c>
      <c r="AI538">
        <v>0</v>
      </c>
      <c r="AJ538">
        <v>0</v>
      </c>
      <c r="AK538">
        <v>0</v>
      </c>
      <c r="AL538">
        <v>0</v>
      </c>
      <c r="AM538">
        <v>16.63</v>
      </c>
      <c r="AN538">
        <v>0</v>
      </c>
      <c r="AO538">
        <v>0</v>
      </c>
      <c r="AP538">
        <v>0</v>
      </c>
      <c r="AQ538">
        <v>0</v>
      </c>
      <c r="AR538">
        <v>0</v>
      </c>
      <c r="AS538">
        <v>0</v>
      </c>
      <c r="AT538">
        <v>0</v>
      </c>
      <c r="AU538">
        <v>0</v>
      </c>
      <c r="AV538">
        <v>0</v>
      </c>
      <c r="AW538">
        <v>0</v>
      </c>
      <c r="AX538">
        <v>0</v>
      </c>
      <c r="AY538">
        <v>0</v>
      </c>
      <c r="AZ538">
        <v>0</v>
      </c>
      <c r="BA538">
        <v>0</v>
      </c>
      <c r="BB538">
        <v>0</v>
      </c>
      <c r="BC538">
        <v>0</v>
      </c>
      <c r="BD538">
        <v>0</v>
      </c>
      <c r="BE538">
        <v>0</v>
      </c>
      <c r="BF538">
        <v>0</v>
      </c>
      <c r="BG538">
        <v>0</v>
      </c>
      <c r="BH538">
        <v>1</v>
      </c>
      <c r="BI538">
        <v>1</v>
      </c>
      <c r="BJ538">
        <v>0.2</v>
      </c>
      <c r="BK538">
        <v>1</v>
      </c>
      <c r="BL538" s="4">
        <v>97.75</v>
      </c>
      <c r="BM538" s="4">
        <v>14.66</v>
      </c>
      <c r="BN538" s="4">
        <v>112.41</v>
      </c>
      <c r="BO538" s="4">
        <v>112.41</v>
      </c>
      <c r="BQ538" t="s">
        <v>93</v>
      </c>
      <c r="BR538" t="s">
        <v>84</v>
      </c>
      <c r="BS538" s="3">
        <v>43805</v>
      </c>
      <c r="BT538" s="5">
        <v>0.42499999999999999</v>
      </c>
      <c r="BU538" t="s">
        <v>975</v>
      </c>
      <c r="BV538" t="s">
        <v>86</v>
      </c>
      <c r="BY538">
        <v>1200</v>
      </c>
      <c r="CA538" t="s">
        <v>311</v>
      </c>
      <c r="CC538" t="s">
        <v>308</v>
      </c>
      <c r="CD538">
        <v>7646</v>
      </c>
      <c r="CE538" t="s">
        <v>88</v>
      </c>
      <c r="CF538" s="3">
        <v>43808</v>
      </c>
      <c r="CI538">
        <v>1</v>
      </c>
      <c r="CJ538">
        <v>1</v>
      </c>
      <c r="CK538">
        <v>23</v>
      </c>
      <c r="CL538" t="s">
        <v>89</v>
      </c>
    </row>
    <row r="539" spans="1:90">
      <c r="A539" t="s">
        <v>72</v>
      </c>
      <c r="B539" t="s">
        <v>73</v>
      </c>
      <c r="C539" t="s">
        <v>74</v>
      </c>
      <c r="E539" t="str">
        <f>"FES1162726792"</f>
        <v>FES1162726792</v>
      </c>
      <c r="F539" s="3">
        <v>43804</v>
      </c>
      <c r="G539">
        <v>202006</v>
      </c>
      <c r="H539" t="s">
        <v>75</v>
      </c>
      <c r="I539" t="s">
        <v>76</v>
      </c>
      <c r="J539" t="s">
        <v>77</v>
      </c>
      <c r="K539" t="s">
        <v>78</v>
      </c>
      <c r="L539" t="s">
        <v>90</v>
      </c>
      <c r="M539" t="s">
        <v>91</v>
      </c>
      <c r="N539" t="s">
        <v>554</v>
      </c>
      <c r="O539" t="s">
        <v>82</v>
      </c>
      <c r="P539" t="str">
        <f>"2170720238                    "</f>
        <v xml:space="preserve">2170720238                    </v>
      </c>
      <c r="Q539">
        <v>0</v>
      </c>
      <c r="R539">
        <v>0</v>
      </c>
      <c r="S539">
        <v>0</v>
      </c>
      <c r="T539">
        <v>0</v>
      </c>
      <c r="U539">
        <v>0</v>
      </c>
      <c r="V539">
        <v>0</v>
      </c>
      <c r="W539">
        <v>0</v>
      </c>
      <c r="X539">
        <v>0</v>
      </c>
      <c r="Y539">
        <v>0</v>
      </c>
      <c r="Z539">
        <v>0</v>
      </c>
      <c r="AA539">
        <v>0</v>
      </c>
      <c r="AB539">
        <v>0</v>
      </c>
      <c r="AC539">
        <v>0</v>
      </c>
      <c r="AD539">
        <v>0</v>
      </c>
      <c r="AE539">
        <v>0</v>
      </c>
      <c r="AF539">
        <v>0</v>
      </c>
      <c r="AG539">
        <v>0</v>
      </c>
      <c r="AH539">
        <v>0</v>
      </c>
      <c r="AI539">
        <v>0</v>
      </c>
      <c r="AJ539">
        <v>0</v>
      </c>
      <c r="AK539">
        <v>0</v>
      </c>
      <c r="AL539">
        <v>0</v>
      </c>
      <c r="AM539">
        <v>8.58</v>
      </c>
      <c r="AN539">
        <v>0</v>
      </c>
      <c r="AO539">
        <v>0</v>
      </c>
      <c r="AP539">
        <v>0</v>
      </c>
      <c r="AQ539">
        <v>0</v>
      </c>
      <c r="AR539">
        <v>0</v>
      </c>
      <c r="AS539">
        <v>0</v>
      </c>
      <c r="AT539">
        <v>0</v>
      </c>
      <c r="AU539">
        <v>0</v>
      </c>
      <c r="AV539">
        <v>0</v>
      </c>
      <c r="AW539">
        <v>0</v>
      </c>
      <c r="AX539">
        <v>0</v>
      </c>
      <c r="AY539">
        <v>0</v>
      </c>
      <c r="AZ539">
        <v>0</v>
      </c>
      <c r="BA539">
        <v>0</v>
      </c>
      <c r="BB539">
        <v>0</v>
      </c>
      <c r="BC539">
        <v>0</v>
      </c>
      <c r="BD539">
        <v>0</v>
      </c>
      <c r="BE539">
        <v>0</v>
      </c>
      <c r="BF539">
        <v>0</v>
      </c>
      <c r="BG539">
        <v>0</v>
      </c>
      <c r="BH539">
        <v>1</v>
      </c>
      <c r="BI539">
        <v>1</v>
      </c>
      <c r="BJ539">
        <v>0.2</v>
      </c>
      <c r="BK539">
        <v>1</v>
      </c>
      <c r="BL539" s="4">
        <v>50.45</v>
      </c>
      <c r="BM539" s="4">
        <v>7.57</v>
      </c>
      <c r="BN539" s="4">
        <v>58.02</v>
      </c>
      <c r="BO539" s="4">
        <v>58.02</v>
      </c>
      <c r="BQ539" t="s">
        <v>147</v>
      </c>
      <c r="BR539" t="s">
        <v>84</v>
      </c>
      <c r="BS539" s="3">
        <v>43805</v>
      </c>
      <c r="BT539" s="5">
        <v>0.36388888888888887</v>
      </c>
      <c r="BU539" t="s">
        <v>555</v>
      </c>
      <c r="BV539" t="s">
        <v>86</v>
      </c>
      <c r="BY539">
        <v>1200</v>
      </c>
      <c r="CA539" t="s">
        <v>550</v>
      </c>
      <c r="CC539" t="s">
        <v>91</v>
      </c>
      <c r="CD539">
        <v>7560</v>
      </c>
      <c r="CE539" t="s">
        <v>88</v>
      </c>
      <c r="CF539" s="3">
        <v>43808</v>
      </c>
      <c r="CI539">
        <v>1</v>
      </c>
      <c r="CJ539">
        <v>1</v>
      </c>
      <c r="CK539">
        <v>21</v>
      </c>
      <c r="CL539" t="s">
        <v>89</v>
      </c>
    </row>
    <row r="540" spans="1:90">
      <c r="A540" t="s">
        <v>72</v>
      </c>
      <c r="B540" t="s">
        <v>73</v>
      </c>
      <c r="C540" t="s">
        <v>74</v>
      </c>
      <c r="E540" t="str">
        <f>"FES1162726864"</f>
        <v>FES1162726864</v>
      </c>
      <c r="F540" s="3">
        <v>43804</v>
      </c>
      <c r="G540">
        <v>202006</v>
      </c>
      <c r="H540" t="s">
        <v>75</v>
      </c>
      <c r="I540" t="s">
        <v>76</v>
      </c>
      <c r="J540" t="s">
        <v>77</v>
      </c>
      <c r="K540" t="s">
        <v>78</v>
      </c>
      <c r="L540" t="s">
        <v>332</v>
      </c>
      <c r="M540" t="s">
        <v>333</v>
      </c>
      <c r="N540" t="s">
        <v>701</v>
      </c>
      <c r="O540" t="s">
        <v>82</v>
      </c>
      <c r="P540" t="str">
        <f>"2170720306                    "</f>
        <v xml:space="preserve">2170720306                    </v>
      </c>
      <c r="Q540">
        <v>0</v>
      </c>
      <c r="R540">
        <v>0</v>
      </c>
      <c r="S540">
        <v>0</v>
      </c>
      <c r="T540">
        <v>0</v>
      </c>
      <c r="U540">
        <v>0</v>
      </c>
      <c r="V540">
        <v>0</v>
      </c>
      <c r="W540">
        <v>0</v>
      </c>
      <c r="X540">
        <v>0</v>
      </c>
      <c r="Y540">
        <v>0</v>
      </c>
      <c r="Z540">
        <v>0</v>
      </c>
      <c r="AA540">
        <v>0</v>
      </c>
      <c r="AB540">
        <v>0</v>
      </c>
      <c r="AC540">
        <v>0</v>
      </c>
      <c r="AD540">
        <v>0</v>
      </c>
      <c r="AE540">
        <v>0</v>
      </c>
      <c r="AF540">
        <v>0</v>
      </c>
      <c r="AG540">
        <v>0</v>
      </c>
      <c r="AH540">
        <v>0</v>
      </c>
      <c r="AI540">
        <v>0</v>
      </c>
      <c r="AJ540">
        <v>0</v>
      </c>
      <c r="AK540">
        <v>0</v>
      </c>
      <c r="AL540">
        <v>0</v>
      </c>
      <c r="AM540">
        <v>6.71</v>
      </c>
      <c r="AN540">
        <v>0</v>
      </c>
      <c r="AO540">
        <v>0</v>
      </c>
      <c r="AP540">
        <v>0</v>
      </c>
      <c r="AQ540">
        <v>0</v>
      </c>
      <c r="AR540">
        <v>0</v>
      </c>
      <c r="AS540">
        <v>0</v>
      </c>
      <c r="AT540">
        <v>0</v>
      </c>
      <c r="AU540">
        <v>0</v>
      </c>
      <c r="AV540">
        <v>0</v>
      </c>
      <c r="AW540">
        <v>0</v>
      </c>
      <c r="AX540">
        <v>0</v>
      </c>
      <c r="AY540">
        <v>0</v>
      </c>
      <c r="AZ540">
        <v>0</v>
      </c>
      <c r="BA540">
        <v>0</v>
      </c>
      <c r="BB540">
        <v>0</v>
      </c>
      <c r="BC540">
        <v>0</v>
      </c>
      <c r="BD540">
        <v>0</v>
      </c>
      <c r="BE540">
        <v>0</v>
      </c>
      <c r="BF540">
        <v>0</v>
      </c>
      <c r="BG540">
        <v>0</v>
      </c>
      <c r="BH540">
        <v>1</v>
      </c>
      <c r="BI540">
        <v>1</v>
      </c>
      <c r="BJ540">
        <v>0.2</v>
      </c>
      <c r="BK540">
        <v>1</v>
      </c>
      <c r="BL540" s="4">
        <v>39.42</v>
      </c>
      <c r="BM540" s="4">
        <v>5.91</v>
      </c>
      <c r="BN540" s="4">
        <v>45.33</v>
      </c>
      <c r="BO540" s="4">
        <v>45.33</v>
      </c>
      <c r="BQ540" t="s">
        <v>93</v>
      </c>
      <c r="BR540" t="s">
        <v>84</v>
      </c>
      <c r="BS540" s="3">
        <v>43805</v>
      </c>
      <c r="BT540" s="5">
        <v>0.39097222222222222</v>
      </c>
      <c r="BU540" t="s">
        <v>1017</v>
      </c>
      <c r="BV540" t="s">
        <v>86</v>
      </c>
      <c r="BY540">
        <v>1200</v>
      </c>
      <c r="CC540" t="s">
        <v>333</v>
      </c>
      <c r="CD540">
        <v>2094</v>
      </c>
      <c r="CE540" t="s">
        <v>88</v>
      </c>
      <c r="CF540" s="3">
        <v>43808</v>
      </c>
      <c r="CI540">
        <v>1</v>
      </c>
      <c r="CJ540">
        <v>1</v>
      </c>
      <c r="CK540">
        <v>22</v>
      </c>
      <c r="CL540" t="s">
        <v>89</v>
      </c>
    </row>
    <row r="541" spans="1:90">
      <c r="A541" t="s">
        <v>72</v>
      </c>
      <c r="B541" t="s">
        <v>73</v>
      </c>
      <c r="C541" t="s">
        <v>74</v>
      </c>
      <c r="E541" t="str">
        <f>"FES1162726791"</f>
        <v>FES1162726791</v>
      </c>
      <c r="F541" s="3">
        <v>43804</v>
      </c>
      <c r="G541">
        <v>202006</v>
      </c>
      <c r="H541" t="s">
        <v>75</v>
      </c>
      <c r="I541" t="s">
        <v>76</v>
      </c>
      <c r="J541" t="s">
        <v>77</v>
      </c>
      <c r="K541" t="s">
        <v>78</v>
      </c>
      <c r="L541" t="s">
        <v>332</v>
      </c>
      <c r="M541" t="s">
        <v>333</v>
      </c>
      <c r="N541" t="s">
        <v>840</v>
      </c>
      <c r="O541" t="s">
        <v>82</v>
      </c>
      <c r="P541" t="str">
        <f>"2170720236                    "</f>
        <v xml:space="preserve">2170720236                    </v>
      </c>
      <c r="Q541">
        <v>0</v>
      </c>
      <c r="R541">
        <v>0</v>
      </c>
      <c r="S541">
        <v>0</v>
      </c>
      <c r="T541">
        <v>0</v>
      </c>
      <c r="U541">
        <v>0</v>
      </c>
      <c r="V541">
        <v>0</v>
      </c>
      <c r="W541">
        <v>0</v>
      </c>
      <c r="X541">
        <v>0</v>
      </c>
      <c r="Y541">
        <v>0</v>
      </c>
      <c r="Z541">
        <v>0</v>
      </c>
      <c r="AA541">
        <v>0</v>
      </c>
      <c r="AB541">
        <v>0</v>
      </c>
      <c r="AC541">
        <v>0</v>
      </c>
      <c r="AD541">
        <v>0</v>
      </c>
      <c r="AE541">
        <v>0</v>
      </c>
      <c r="AF541">
        <v>0</v>
      </c>
      <c r="AG541">
        <v>0</v>
      </c>
      <c r="AH541">
        <v>0</v>
      </c>
      <c r="AI541">
        <v>0</v>
      </c>
      <c r="AJ541">
        <v>0</v>
      </c>
      <c r="AK541">
        <v>0</v>
      </c>
      <c r="AL541">
        <v>0</v>
      </c>
      <c r="AM541">
        <v>6.71</v>
      </c>
      <c r="AN541">
        <v>0</v>
      </c>
      <c r="AO541">
        <v>0</v>
      </c>
      <c r="AP541">
        <v>0</v>
      </c>
      <c r="AQ541">
        <v>0</v>
      </c>
      <c r="AR541">
        <v>0</v>
      </c>
      <c r="AS541">
        <v>0</v>
      </c>
      <c r="AT541">
        <v>0</v>
      </c>
      <c r="AU541">
        <v>0</v>
      </c>
      <c r="AV541">
        <v>0</v>
      </c>
      <c r="AW541">
        <v>0</v>
      </c>
      <c r="AX541">
        <v>0</v>
      </c>
      <c r="AY541">
        <v>0</v>
      </c>
      <c r="AZ541">
        <v>0</v>
      </c>
      <c r="BA541">
        <v>0</v>
      </c>
      <c r="BB541">
        <v>0</v>
      </c>
      <c r="BC541">
        <v>0</v>
      </c>
      <c r="BD541">
        <v>0</v>
      </c>
      <c r="BE541">
        <v>0</v>
      </c>
      <c r="BF541">
        <v>0</v>
      </c>
      <c r="BG541">
        <v>0</v>
      </c>
      <c r="BH541">
        <v>1</v>
      </c>
      <c r="BI541">
        <v>1</v>
      </c>
      <c r="BJ541">
        <v>0.2</v>
      </c>
      <c r="BK541">
        <v>1</v>
      </c>
      <c r="BL541" s="4">
        <v>39.42</v>
      </c>
      <c r="BM541" s="4">
        <v>5.91</v>
      </c>
      <c r="BN541" s="4">
        <v>45.33</v>
      </c>
      <c r="BO541" s="4">
        <v>45.33</v>
      </c>
      <c r="BR541" t="s">
        <v>84</v>
      </c>
      <c r="BS541" s="3">
        <v>43805</v>
      </c>
      <c r="BT541" s="5">
        <v>0.4291666666666667</v>
      </c>
      <c r="BU541" t="s">
        <v>899</v>
      </c>
      <c r="BV541" t="s">
        <v>86</v>
      </c>
      <c r="BY541">
        <v>1200</v>
      </c>
      <c r="CC541" t="s">
        <v>333</v>
      </c>
      <c r="CD541">
        <v>2110</v>
      </c>
      <c r="CE541" t="s">
        <v>88</v>
      </c>
      <c r="CF541" s="3">
        <v>43808</v>
      </c>
      <c r="CI541">
        <v>1</v>
      </c>
      <c r="CJ541">
        <v>1</v>
      </c>
      <c r="CK541">
        <v>22</v>
      </c>
      <c r="CL541" t="s">
        <v>89</v>
      </c>
    </row>
    <row r="542" spans="1:90">
      <c r="A542" t="s">
        <v>72</v>
      </c>
      <c r="B542" t="s">
        <v>73</v>
      </c>
      <c r="C542" t="s">
        <v>74</v>
      </c>
      <c r="E542" t="str">
        <f>"FES1162726934"</f>
        <v>FES1162726934</v>
      </c>
      <c r="F542" s="3">
        <v>43804</v>
      </c>
      <c r="G542">
        <v>202006</v>
      </c>
      <c r="H542" t="s">
        <v>75</v>
      </c>
      <c r="I542" t="s">
        <v>76</v>
      </c>
      <c r="J542" t="s">
        <v>77</v>
      </c>
      <c r="K542" t="s">
        <v>78</v>
      </c>
      <c r="L542" t="s">
        <v>169</v>
      </c>
      <c r="M542" t="s">
        <v>170</v>
      </c>
      <c r="N542" t="s">
        <v>890</v>
      </c>
      <c r="O542" t="s">
        <v>82</v>
      </c>
      <c r="P542" t="str">
        <f>"2170720388                    "</f>
        <v xml:space="preserve">2170720388                    </v>
      </c>
      <c r="Q542">
        <v>0</v>
      </c>
      <c r="R542">
        <v>0</v>
      </c>
      <c r="S542">
        <v>0</v>
      </c>
      <c r="T542">
        <v>0</v>
      </c>
      <c r="U542">
        <v>0</v>
      </c>
      <c r="V542">
        <v>0</v>
      </c>
      <c r="W542">
        <v>0</v>
      </c>
      <c r="X542">
        <v>0</v>
      </c>
      <c r="Y542">
        <v>0</v>
      </c>
      <c r="Z542">
        <v>0</v>
      </c>
      <c r="AA542">
        <v>0</v>
      </c>
      <c r="AB542">
        <v>0</v>
      </c>
      <c r="AC542">
        <v>0</v>
      </c>
      <c r="AD542">
        <v>0</v>
      </c>
      <c r="AE542">
        <v>0</v>
      </c>
      <c r="AF542">
        <v>0</v>
      </c>
      <c r="AG542">
        <v>0</v>
      </c>
      <c r="AH542">
        <v>0</v>
      </c>
      <c r="AI542">
        <v>0</v>
      </c>
      <c r="AJ542">
        <v>0</v>
      </c>
      <c r="AK542">
        <v>0</v>
      </c>
      <c r="AL542">
        <v>0</v>
      </c>
      <c r="AM542">
        <v>6.71</v>
      </c>
      <c r="AN542">
        <v>0</v>
      </c>
      <c r="AO542">
        <v>0</v>
      </c>
      <c r="AP542">
        <v>0</v>
      </c>
      <c r="AQ542">
        <v>0</v>
      </c>
      <c r="AR542">
        <v>0</v>
      </c>
      <c r="AS542">
        <v>0</v>
      </c>
      <c r="AT542">
        <v>0</v>
      </c>
      <c r="AU542">
        <v>0</v>
      </c>
      <c r="AV542">
        <v>0</v>
      </c>
      <c r="AW542">
        <v>0</v>
      </c>
      <c r="AX542">
        <v>0</v>
      </c>
      <c r="AY542">
        <v>0</v>
      </c>
      <c r="AZ542">
        <v>0</v>
      </c>
      <c r="BA542">
        <v>0</v>
      </c>
      <c r="BB542">
        <v>0</v>
      </c>
      <c r="BC542">
        <v>0</v>
      </c>
      <c r="BD542">
        <v>0</v>
      </c>
      <c r="BE542">
        <v>0</v>
      </c>
      <c r="BF542">
        <v>0</v>
      </c>
      <c r="BG542">
        <v>0</v>
      </c>
      <c r="BH542">
        <v>1</v>
      </c>
      <c r="BI542">
        <v>1</v>
      </c>
      <c r="BJ542">
        <v>0.2</v>
      </c>
      <c r="BK542">
        <v>1</v>
      </c>
      <c r="BL542" s="4">
        <v>39.42</v>
      </c>
      <c r="BM542" s="4">
        <v>5.91</v>
      </c>
      <c r="BN542" s="4">
        <v>45.33</v>
      </c>
      <c r="BO542" s="4">
        <v>45.33</v>
      </c>
      <c r="BQ542" t="s">
        <v>891</v>
      </c>
      <c r="BR542" t="s">
        <v>84</v>
      </c>
      <c r="BS542" s="3">
        <v>43805</v>
      </c>
      <c r="BT542" s="5">
        <v>0.33333333333333331</v>
      </c>
      <c r="BU542" t="s">
        <v>1009</v>
      </c>
      <c r="BV542" t="s">
        <v>86</v>
      </c>
      <c r="BY542">
        <v>1200</v>
      </c>
      <c r="CC542" t="s">
        <v>170</v>
      </c>
      <c r="CD542">
        <v>1459</v>
      </c>
      <c r="CE542" t="s">
        <v>88</v>
      </c>
      <c r="CF542" s="3">
        <v>43808</v>
      </c>
      <c r="CI542">
        <v>1</v>
      </c>
      <c r="CJ542">
        <v>1</v>
      </c>
      <c r="CK542">
        <v>22</v>
      </c>
      <c r="CL542" t="s">
        <v>89</v>
      </c>
    </row>
    <row r="543" spans="1:90">
      <c r="A543" t="s">
        <v>72</v>
      </c>
      <c r="B543" t="s">
        <v>73</v>
      </c>
      <c r="C543" t="s">
        <v>74</v>
      </c>
      <c r="E543" t="str">
        <f>"FES1162726874"</f>
        <v>FES1162726874</v>
      </c>
      <c r="F543" s="3">
        <v>43804</v>
      </c>
      <c r="G543">
        <v>202006</v>
      </c>
      <c r="H543" t="s">
        <v>75</v>
      </c>
      <c r="I543" t="s">
        <v>76</v>
      </c>
      <c r="J543" t="s">
        <v>77</v>
      </c>
      <c r="K543" t="s">
        <v>78</v>
      </c>
      <c r="L543" t="s">
        <v>714</v>
      </c>
      <c r="M543" t="s">
        <v>715</v>
      </c>
      <c r="N543" t="s">
        <v>1018</v>
      </c>
      <c r="O543" t="s">
        <v>82</v>
      </c>
      <c r="P543" t="str">
        <f>"2170720317                    "</f>
        <v xml:space="preserve">2170720317                    </v>
      </c>
      <c r="Q543">
        <v>0</v>
      </c>
      <c r="R543">
        <v>0</v>
      </c>
      <c r="S543">
        <v>0</v>
      </c>
      <c r="T543">
        <v>0</v>
      </c>
      <c r="U543">
        <v>0</v>
      </c>
      <c r="V543">
        <v>0</v>
      </c>
      <c r="W543">
        <v>0</v>
      </c>
      <c r="X543">
        <v>0</v>
      </c>
      <c r="Y543">
        <v>0</v>
      </c>
      <c r="Z543">
        <v>0</v>
      </c>
      <c r="AA543">
        <v>0</v>
      </c>
      <c r="AB543">
        <v>0</v>
      </c>
      <c r="AC543">
        <v>0</v>
      </c>
      <c r="AD543">
        <v>0</v>
      </c>
      <c r="AE543">
        <v>0</v>
      </c>
      <c r="AF543">
        <v>0</v>
      </c>
      <c r="AG543">
        <v>0</v>
      </c>
      <c r="AH543">
        <v>0</v>
      </c>
      <c r="AI543">
        <v>0</v>
      </c>
      <c r="AJ543">
        <v>0</v>
      </c>
      <c r="AK543">
        <v>0</v>
      </c>
      <c r="AL543">
        <v>0</v>
      </c>
      <c r="AM543">
        <v>6.71</v>
      </c>
      <c r="AN543">
        <v>0</v>
      </c>
      <c r="AO543">
        <v>0</v>
      </c>
      <c r="AP543">
        <v>0</v>
      </c>
      <c r="AQ543">
        <v>0</v>
      </c>
      <c r="AR543">
        <v>0</v>
      </c>
      <c r="AS543">
        <v>0</v>
      </c>
      <c r="AT543">
        <v>0</v>
      </c>
      <c r="AU543">
        <v>0</v>
      </c>
      <c r="AV543">
        <v>0</v>
      </c>
      <c r="AW543">
        <v>0</v>
      </c>
      <c r="AX543">
        <v>0</v>
      </c>
      <c r="AY543">
        <v>0</v>
      </c>
      <c r="AZ543">
        <v>0</v>
      </c>
      <c r="BA543">
        <v>0</v>
      </c>
      <c r="BB543">
        <v>0</v>
      </c>
      <c r="BC543">
        <v>0</v>
      </c>
      <c r="BD543">
        <v>0</v>
      </c>
      <c r="BE543">
        <v>0</v>
      </c>
      <c r="BF543">
        <v>0</v>
      </c>
      <c r="BG543">
        <v>0</v>
      </c>
      <c r="BH543">
        <v>1</v>
      </c>
      <c r="BI543">
        <v>1</v>
      </c>
      <c r="BJ543">
        <v>0.2</v>
      </c>
      <c r="BK543">
        <v>1</v>
      </c>
      <c r="BL543" s="4">
        <v>39.42</v>
      </c>
      <c r="BM543" s="4">
        <v>5.91</v>
      </c>
      <c r="BN543" s="4">
        <v>45.33</v>
      </c>
      <c r="BO543" s="4">
        <v>45.33</v>
      </c>
      <c r="BQ543" t="s">
        <v>147</v>
      </c>
      <c r="BR543" t="s">
        <v>84</v>
      </c>
      <c r="BS543" s="3">
        <v>43805</v>
      </c>
      <c r="BT543" s="5">
        <v>0.375</v>
      </c>
      <c r="BU543" t="s">
        <v>142</v>
      </c>
      <c r="BV543" t="s">
        <v>86</v>
      </c>
      <c r="BY543">
        <v>1200</v>
      </c>
      <c r="CC543" t="s">
        <v>715</v>
      </c>
      <c r="CD543">
        <v>1559</v>
      </c>
      <c r="CE543" t="s">
        <v>88</v>
      </c>
      <c r="CF543" s="3">
        <v>43808</v>
      </c>
      <c r="CI543">
        <v>1</v>
      </c>
      <c r="CJ543">
        <v>1</v>
      </c>
      <c r="CK543">
        <v>22</v>
      </c>
      <c r="CL543" t="s">
        <v>89</v>
      </c>
    </row>
    <row r="544" spans="1:90">
      <c r="A544" t="s">
        <v>72</v>
      </c>
      <c r="B544" t="s">
        <v>73</v>
      </c>
      <c r="C544" t="s">
        <v>74</v>
      </c>
      <c r="E544" t="str">
        <f>"FES1162726944"</f>
        <v>FES1162726944</v>
      </c>
      <c r="F544" s="3">
        <v>43804</v>
      </c>
      <c r="G544">
        <v>202006</v>
      </c>
      <c r="H544" t="s">
        <v>75</v>
      </c>
      <c r="I544" t="s">
        <v>76</v>
      </c>
      <c r="J544" t="s">
        <v>77</v>
      </c>
      <c r="K544" t="s">
        <v>78</v>
      </c>
      <c r="L544" t="s">
        <v>332</v>
      </c>
      <c r="M544" t="s">
        <v>333</v>
      </c>
      <c r="N544" t="s">
        <v>697</v>
      </c>
      <c r="O544" t="s">
        <v>82</v>
      </c>
      <c r="P544" t="str">
        <f>"2170720402                    "</f>
        <v xml:space="preserve">2170720402                    </v>
      </c>
      <c r="Q544">
        <v>0</v>
      </c>
      <c r="R544">
        <v>0</v>
      </c>
      <c r="S544">
        <v>0</v>
      </c>
      <c r="T544">
        <v>0</v>
      </c>
      <c r="U544">
        <v>0</v>
      </c>
      <c r="V544">
        <v>0</v>
      </c>
      <c r="W544">
        <v>0</v>
      </c>
      <c r="X544">
        <v>0</v>
      </c>
      <c r="Y544">
        <v>0</v>
      </c>
      <c r="Z544">
        <v>0</v>
      </c>
      <c r="AA544">
        <v>0</v>
      </c>
      <c r="AB544">
        <v>0</v>
      </c>
      <c r="AC544">
        <v>0</v>
      </c>
      <c r="AD544">
        <v>0</v>
      </c>
      <c r="AE544">
        <v>0</v>
      </c>
      <c r="AF544">
        <v>0</v>
      </c>
      <c r="AG544">
        <v>0</v>
      </c>
      <c r="AH544">
        <v>0</v>
      </c>
      <c r="AI544">
        <v>0</v>
      </c>
      <c r="AJ544">
        <v>0</v>
      </c>
      <c r="AK544">
        <v>0</v>
      </c>
      <c r="AL544">
        <v>0</v>
      </c>
      <c r="AM544">
        <v>6.71</v>
      </c>
      <c r="AN544">
        <v>0</v>
      </c>
      <c r="AO544">
        <v>0</v>
      </c>
      <c r="AP544">
        <v>0</v>
      </c>
      <c r="AQ544">
        <v>0</v>
      </c>
      <c r="AR544">
        <v>0</v>
      </c>
      <c r="AS544">
        <v>0</v>
      </c>
      <c r="AT544">
        <v>0</v>
      </c>
      <c r="AU544">
        <v>0</v>
      </c>
      <c r="AV544">
        <v>0</v>
      </c>
      <c r="AW544">
        <v>0</v>
      </c>
      <c r="AX544">
        <v>0</v>
      </c>
      <c r="AY544">
        <v>0</v>
      </c>
      <c r="AZ544">
        <v>0</v>
      </c>
      <c r="BA544">
        <v>0</v>
      </c>
      <c r="BB544">
        <v>0</v>
      </c>
      <c r="BC544">
        <v>0</v>
      </c>
      <c r="BD544">
        <v>0</v>
      </c>
      <c r="BE544">
        <v>0</v>
      </c>
      <c r="BF544">
        <v>0</v>
      </c>
      <c r="BG544">
        <v>0</v>
      </c>
      <c r="BH544">
        <v>1</v>
      </c>
      <c r="BI544">
        <v>1</v>
      </c>
      <c r="BJ544">
        <v>0.2</v>
      </c>
      <c r="BK544">
        <v>1</v>
      </c>
      <c r="BL544" s="4">
        <v>39.42</v>
      </c>
      <c r="BM544" s="4">
        <v>5.91</v>
      </c>
      <c r="BN544" s="4">
        <v>45.33</v>
      </c>
      <c r="BO544" s="4">
        <v>45.33</v>
      </c>
      <c r="BQ544" t="s">
        <v>698</v>
      </c>
      <c r="BR544" t="s">
        <v>84</v>
      </c>
      <c r="BS544" s="3">
        <v>43805</v>
      </c>
      <c r="BT544" s="5">
        <v>0.32013888888888892</v>
      </c>
      <c r="BU544" t="s">
        <v>1019</v>
      </c>
      <c r="BV544" t="s">
        <v>86</v>
      </c>
      <c r="BY544">
        <v>1200</v>
      </c>
      <c r="CC544" t="s">
        <v>333</v>
      </c>
      <c r="CD544">
        <v>2094</v>
      </c>
      <c r="CE544" t="s">
        <v>88</v>
      </c>
      <c r="CF544" s="3">
        <v>43808</v>
      </c>
      <c r="CI544">
        <v>1</v>
      </c>
      <c r="CJ544">
        <v>1</v>
      </c>
      <c r="CK544">
        <v>22</v>
      </c>
      <c r="CL544" t="s">
        <v>89</v>
      </c>
    </row>
    <row r="545" spans="1:90">
      <c r="A545" t="s">
        <v>72</v>
      </c>
      <c r="B545" t="s">
        <v>73</v>
      </c>
      <c r="C545" t="s">
        <v>74</v>
      </c>
      <c r="E545" t="str">
        <f>"FES1162726789"</f>
        <v>FES1162726789</v>
      </c>
      <c r="F545" s="3">
        <v>43804</v>
      </c>
      <c r="G545">
        <v>202006</v>
      </c>
      <c r="H545" t="s">
        <v>75</v>
      </c>
      <c r="I545" t="s">
        <v>76</v>
      </c>
      <c r="J545" t="s">
        <v>77</v>
      </c>
      <c r="K545" t="s">
        <v>78</v>
      </c>
      <c r="L545" t="s">
        <v>75</v>
      </c>
      <c r="M545" t="s">
        <v>76</v>
      </c>
      <c r="N545" t="s">
        <v>1020</v>
      </c>
      <c r="O545" t="s">
        <v>82</v>
      </c>
      <c r="P545" t="str">
        <f>"2170720233                    "</f>
        <v xml:space="preserve">2170720233                    </v>
      </c>
      <c r="Q545">
        <v>0</v>
      </c>
      <c r="R545">
        <v>0</v>
      </c>
      <c r="S545">
        <v>0</v>
      </c>
      <c r="T545">
        <v>0</v>
      </c>
      <c r="U545">
        <v>0</v>
      </c>
      <c r="V545">
        <v>0</v>
      </c>
      <c r="W545">
        <v>0</v>
      </c>
      <c r="X545">
        <v>0</v>
      </c>
      <c r="Y545">
        <v>0</v>
      </c>
      <c r="Z545">
        <v>0</v>
      </c>
      <c r="AA545">
        <v>0</v>
      </c>
      <c r="AB545">
        <v>0</v>
      </c>
      <c r="AC545">
        <v>0</v>
      </c>
      <c r="AD545">
        <v>0</v>
      </c>
      <c r="AE545">
        <v>0</v>
      </c>
      <c r="AF545">
        <v>0</v>
      </c>
      <c r="AG545">
        <v>0</v>
      </c>
      <c r="AH545">
        <v>0</v>
      </c>
      <c r="AI545">
        <v>0</v>
      </c>
      <c r="AJ545">
        <v>0</v>
      </c>
      <c r="AK545">
        <v>0</v>
      </c>
      <c r="AL545">
        <v>0</v>
      </c>
      <c r="AM545">
        <v>6.71</v>
      </c>
      <c r="AN545">
        <v>0</v>
      </c>
      <c r="AO545">
        <v>0</v>
      </c>
      <c r="AP545">
        <v>0</v>
      </c>
      <c r="AQ545">
        <v>0</v>
      </c>
      <c r="AR545">
        <v>0</v>
      </c>
      <c r="AS545">
        <v>0</v>
      </c>
      <c r="AT545">
        <v>0</v>
      </c>
      <c r="AU545">
        <v>0</v>
      </c>
      <c r="AV545">
        <v>0</v>
      </c>
      <c r="AW545">
        <v>0</v>
      </c>
      <c r="AX545">
        <v>0</v>
      </c>
      <c r="AY545">
        <v>0</v>
      </c>
      <c r="AZ545">
        <v>0</v>
      </c>
      <c r="BA545">
        <v>0</v>
      </c>
      <c r="BB545">
        <v>0</v>
      </c>
      <c r="BC545">
        <v>0</v>
      </c>
      <c r="BD545">
        <v>0</v>
      </c>
      <c r="BE545">
        <v>0</v>
      </c>
      <c r="BF545">
        <v>0</v>
      </c>
      <c r="BG545">
        <v>0</v>
      </c>
      <c r="BH545">
        <v>1</v>
      </c>
      <c r="BI545">
        <v>1</v>
      </c>
      <c r="BJ545">
        <v>0.2</v>
      </c>
      <c r="BK545">
        <v>1</v>
      </c>
      <c r="BL545" s="4">
        <v>39.42</v>
      </c>
      <c r="BM545" s="4">
        <v>5.91</v>
      </c>
      <c r="BN545" s="4">
        <v>45.33</v>
      </c>
      <c r="BO545" s="4">
        <v>45.33</v>
      </c>
      <c r="BQ545" t="s">
        <v>1021</v>
      </c>
      <c r="BR545" t="s">
        <v>84</v>
      </c>
      <c r="BS545" s="3">
        <v>43805</v>
      </c>
      <c r="BT545" s="5">
        <v>0.3979166666666667</v>
      </c>
      <c r="BU545" t="s">
        <v>1022</v>
      </c>
      <c r="BV545" t="s">
        <v>86</v>
      </c>
      <c r="BY545">
        <v>1200</v>
      </c>
      <c r="CC545" t="s">
        <v>76</v>
      </c>
      <c r="CD545">
        <v>1619</v>
      </c>
      <c r="CE545" t="s">
        <v>88</v>
      </c>
      <c r="CF545" s="3">
        <v>43808</v>
      </c>
      <c r="CI545">
        <v>1</v>
      </c>
      <c r="CJ545">
        <v>1</v>
      </c>
      <c r="CK545">
        <v>22</v>
      </c>
      <c r="CL545" t="s">
        <v>89</v>
      </c>
    </row>
    <row r="546" spans="1:90">
      <c r="A546" t="s">
        <v>72</v>
      </c>
      <c r="B546" t="s">
        <v>73</v>
      </c>
      <c r="C546" t="s">
        <v>74</v>
      </c>
      <c r="E546" t="str">
        <f>"FES1162726915"</f>
        <v>FES1162726915</v>
      </c>
      <c r="F546" s="3">
        <v>43804</v>
      </c>
      <c r="G546">
        <v>202006</v>
      </c>
      <c r="H546" t="s">
        <v>75</v>
      </c>
      <c r="I546" t="s">
        <v>76</v>
      </c>
      <c r="J546" t="s">
        <v>77</v>
      </c>
      <c r="K546" t="s">
        <v>78</v>
      </c>
      <c r="L546" t="s">
        <v>169</v>
      </c>
      <c r="M546" t="s">
        <v>170</v>
      </c>
      <c r="N546" t="s">
        <v>772</v>
      </c>
      <c r="O546" t="s">
        <v>82</v>
      </c>
      <c r="P546" t="str">
        <f>"2170720354                    "</f>
        <v xml:space="preserve">2170720354                    </v>
      </c>
      <c r="Q546">
        <v>0</v>
      </c>
      <c r="R546">
        <v>0</v>
      </c>
      <c r="S546">
        <v>0</v>
      </c>
      <c r="T546">
        <v>0</v>
      </c>
      <c r="U546">
        <v>0</v>
      </c>
      <c r="V546">
        <v>0</v>
      </c>
      <c r="W546">
        <v>0</v>
      </c>
      <c r="X546">
        <v>0</v>
      </c>
      <c r="Y546">
        <v>0</v>
      </c>
      <c r="Z546">
        <v>0</v>
      </c>
      <c r="AA546">
        <v>0</v>
      </c>
      <c r="AB546">
        <v>0</v>
      </c>
      <c r="AC546">
        <v>0</v>
      </c>
      <c r="AD546">
        <v>0</v>
      </c>
      <c r="AE546">
        <v>0</v>
      </c>
      <c r="AF546">
        <v>0</v>
      </c>
      <c r="AG546">
        <v>0</v>
      </c>
      <c r="AH546">
        <v>0</v>
      </c>
      <c r="AI546">
        <v>0</v>
      </c>
      <c r="AJ546">
        <v>0</v>
      </c>
      <c r="AK546">
        <v>0</v>
      </c>
      <c r="AL546">
        <v>0</v>
      </c>
      <c r="AM546">
        <v>6.71</v>
      </c>
      <c r="AN546">
        <v>0</v>
      </c>
      <c r="AO546">
        <v>0</v>
      </c>
      <c r="AP546">
        <v>0</v>
      </c>
      <c r="AQ546">
        <v>0</v>
      </c>
      <c r="AR546">
        <v>0</v>
      </c>
      <c r="AS546">
        <v>0</v>
      </c>
      <c r="AT546">
        <v>0</v>
      </c>
      <c r="AU546">
        <v>0</v>
      </c>
      <c r="AV546">
        <v>0</v>
      </c>
      <c r="AW546">
        <v>0</v>
      </c>
      <c r="AX546">
        <v>0</v>
      </c>
      <c r="AY546">
        <v>0</v>
      </c>
      <c r="AZ546">
        <v>0</v>
      </c>
      <c r="BA546">
        <v>0</v>
      </c>
      <c r="BB546">
        <v>0</v>
      </c>
      <c r="BC546">
        <v>0</v>
      </c>
      <c r="BD546">
        <v>0</v>
      </c>
      <c r="BE546">
        <v>0</v>
      </c>
      <c r="BF546">
        <v>0</v>
      </c>
      <c r="BG546">
        <v>0</v>
      </c>
      <c r="BH546">
        <v>1</v>
      </c>
      <c r="BI546">
        <v>1</v>
      </c>
      <c r="BJ546">
        <v>0.2</v>
      </c>
      <c r="BK546">
        <v>1</v>
      </c>
      <c r="BL546" s="4">
        <v>39.42</v>
      </c>
      <c r="BM546" s="4">
        <v>5.91</v>
      </c>
      <c r="BN546" s="4">
        <v>45.33</v>
      </c>
      <c r="BO546" s="4">
        <v>45.33</v>
      </c>
      <c r="BQ546" t="s">
        <v>147</v>
      </c>
      <c r="BR546" t="s">
        <v>84</v>
      </c>
      <c r="BS546" s="3">
        <v>43805</v>
      </c>
      <c r="BT546" s="5">
        <v>0.375</v>
      </c>
      <c r="BU546" t="s">
        <v>638</v>
      </c>
      <c r="BV546" t="s">
        <v>86</v>
      </c>
      <c r="BY546">
        <v>1200</v>
      </c>
      <c r="CC546" t="s">
        <v>170</v>
      </c>
      <c r="CD546">
        <v>1459</v>
      </c>
      <c r="CE546" t="s">
        <v>88</v>
      </c>
      <c r="CF546" s="3">
        <v>43808</v>
      </c>
      <c r="CI546">
        <v>1</v>
      </c>
      <c r="CJ546">
        <v>1</v>
      </c>
      <c r="CK546">
        <v>22</v>
      </c>
      <c r="CL546" t="s">
        <v>89</v>
      </c>
    </row>
    <row r="547" spans="1:90">
      <c r="A547" t="s">
        <v>72</v>
      </c>
      <c r="B547" t="s">
        <v>73</v>
      </c>
      <c r="C547" t="s">
        <v>74</v>
      </c>
      <c r="E547" t="str">
        <f>"FES1162726992"</f>
        <v>FES1162726992</v>
      </c>
      <c r="F547" s="3">
        <v>43804</v>
      </c>
      <c r="G547">
        <v>202006</v>
      </c>
      <c r="H547" t="s">
        <v>75</v>
      </c>
      <c r="I547" t="s">
        <v>76</v>
      </c>
      <c r="J547" t="s">
        <v>77</v>
      </c>
      <c r="K547" t="s">
        <v>78</v>
      </c>
      <c r="L547" t="s">
        <v>332</v>
      </c>
      <c r="M547" t="s">
        <v>333</v>
      </c>
      <c r="N547" t="s">
        <v>701</v>
      </c>
      <c r="O547" t="s">
        <v>82</v>
      </c>
      <c r="P547" t="str">
        <f>"2170720442                    "</f>
        <v xml:space="preserve">2170720442                    </v>
      </c>
      <c r="Q547">
        <v>0</v>
      </c>
      <c r="R547">
        <v>0</v>
      </c>
      <c r="S547">
        <v>0</v>
      </c>
      <c r="T547">
        <v>0</v>
      </c>
      <c r="U547">
        <v>0</v>
      </c>
      <c r="V547">
        <v>0</v>
      </c>
      <c r="W547">
        <v>0</v>
      </c>
      <c r="X547">
        <v>0</v>
      </c>
      <c r="Y547">
        <v>0</v>
      </c>
      <c r="Z547">
        <v>0</v>
      </c>
      <c r="AA547">
        <v>0</v>
      </c>
      <c r="AB547">
        <v>0</v>
      </c>
      <c r="AC547">
        <v>0</v>
      </c>
      <c r="AD547">
        <v>0</v>
      </c>
      <c r="AE547">
        <v>0</v>
      </c>
      <c r="AF547">
        <v>0</v>
      </c>
      <c r="AG547">
        <v>0</v>
      </c>
      <c r="AH547">
        <v>0</v>
      </c>
      <c r="AI547">
        <v>0</v>
      </c>
      <c r="AJ547">
        <v>0</v>
      </c>
      <c r="AK547">
        <v>0</v>
      </c>
      <c r="AL547">
        <v>0</v>
      </c>
      <c r="AM547">
        <v>6.71</v>
      </c>
      <c r="AN547">
        <v>0</v>
      </c>
      <c r="AO547">
        <v>0</v>
      </c>
      <c r="AP547">
        <v>0</v>
      </c>
      <c r="AQ547">
        <v>0</v>
      </c>
      <c r="AR547">
        <v>0</v>
      </c>
      <c r="AS547">
        <v>0</v>
      </c>
      <c r="AT547">
        <v>0</v>
      </c>
      <c r="AU547">
        <v>0</v>
      </c>
      <c r="AV547">
        <v>0</v>
      </c>
      <c r="AW547">
        <v>0</v>
      </c>
      <c r="AX547">
        <v>0</v>
      </c>
      <c r="AY547">
        <v>0</v>
      </c>
      <c r="AZ547">
        <v>0</v>
      </c>
      <c r="BA547">
        <v>0</v>
      </c>
      <c r="BB547">
        <v>0</v>
      </c>
      <c r="BC547">
        <v>0</v>
      </c>
      <c r="BD547">
        <v>0</v>
      </c>
      <c r="BE547">
        <v>0</v>
      </c>
      <c r="BF547">
        <v>0</v>
      </c>
      <c r="BG547">
        <v>0</v>
      </c>
      <c r="BH547">
        <v>1</v>
      </c>
      <c r="BI547">
        <v>1</v>
      </c>
      <c r="BJ547">
        <v>0.2</v>
      </c>
      <c r="BK547">
        <v>1</v>
      </c>
      <c r="BL547" s="4">
        <v>39.42</v>
      </c>
      <c r="BM547" s="4">
        <v>5.91</v>
      </c>
      <c r="BN547" s="4">
        <v>45.33</v>
      </c>
      <c r="BO547" s="4">
        <v>45.33</v>
      </c>
      <c r="BQ547" t="s">
        <v>93</v>
      </c>
      <c r="BR547" t="s">
        <v>84</v>
      </c>
      <c r="BS547" s="3">
        <v>43805</v>
      </c>
      <c r="BT547" s="5">
        <v>0.39027777777777778</v>
      </c>
      <c r="BU547" t="s">
        <v>1017</v>
      </c>
      <c r="BV547" t="s">
        <v>86</v>
      </c>
      <c r="BY547">
        <v>1200</v>
      </c>
      <c r="CC547" t="s">
        <v>333</v>
      </c>
      <c r="CD547">
        <v>2094</v>
      </c>
      <c r="CE547" t="s">
        <v>88</v>
      </c>
      <c r="CF547" s="3">
        <v>43808</v>
      </c>
      <c r="CI547">
        <v>1</v>
      </c>
      <c r="CJ547">
        <v>1</v>
      </c>
      <c r="CK547">
        <v>22</v>
      </c>
      <c r="CL547" t="s">
        <v>89</v>
      </c>
    </row>
    <row r="548" spans="1:90">
      <c r="A548" t="s">
        <v>72</v>
      </c>
      <c r="B548" t="s">
        <v>73</v>
      </c>
      <c r="C548" t="s">
        <v>74</v>
      </c>
      <c r="E548" t="str">
        <f>"FES1162726967"</f>
        <v>FES1162726967</v>
      </c>
      <c r="F548" s="3">
        <v>43804</v>
      </c>
      <c r="G548">
        <v>202006</v>
      </c>
      <c r="H548" t="s">
        <v>75</v>
      </c>
      <c r="I548" t="s">
        <v>76</v>
      </c>
      <c r="J548" t="s">
        <v>77</v>
      </c>
      <c r="K548" t="s">
        <v>78</v>
      </c>
      <c r="L548" t="s">
        <v>90</v>
      </c>
      <c r="M548" t="s">
        <v>91</v>
      </c>
      <c r="N548" t="s">
        <v>561</v>
      </c>
      <c r="O548" t="s">
        <v>82</v>
      </c>
      <c r="P548" t="str">
        <f>"2170720367                    "</f>
        <v xml:space="preserve">2170720367                    </v>
      </c>
      <c r="Q548">
        <v>0</v>
      </c>
      <c r="R548">
        <v>0</v>
      </c>
      <c r="S548">
        <v>0</v>
      </c>
      <c r="T548">
        <v>0</v>
      </c>
      <c r="U548">
        <v>0</v>
      </c>
      <c r="V548">
        <v>0</v>
      </c>
      <c r="W548">
        <v>0</v>
      </c>
      <c r="X548">
        <v>0</v>
      </c>
      <c r="Y548">
        <v>0</v>
      </c>
      <c r="Z548">
        <v>0</v>
      </c>
      <c r="AA548">
        <v>0</v>
      </c>
      <c r="AB548">
        <v>0</v>
      </c>
      <c r="AC548">
        <v>0</v>
      </c>
      <c r="AD548">
        <v>0</v>
      </c>
      <c r="AE548">
        <v>0</v>
      </c>
      <c r="AF548">
        <v>0</v>
      </c>
      <c r="AG548">
        <v>0</v>
      </c>
      <c r="AH548">
        <v>0</v>
      </c>
      <c r="AI548">
        <v>0</v>
      </c>
      <c r="AJ548">
        <v>0</v>
      </c>
      <c r="AK548">
        <v>0</v>
      </c>
      <c r="AL548">
        <v>0</v>
      </c>
      <c r="AM548">
        <v>8.58</v>
      </c>
      <c r="AN548">
        <v>0</v>
      </c>
      <c r="AO548">
        <v>0</v>
      </c>
      <c r="AP548">
        <v>0</v>
      </c>
      <c r="AQ548">
        <v>0</v>
      </c>
      <c r="AR548">
        <v>0</v>
      </c>
      <c r="AS548">
        <v>0</v>
      </c>
      <c r="AT548">
        <v>0</v>
      </c>
      <c r="AU548">
        <v>0</v>
      </c>
      <c r="AV548">
        <v>0</v>
      </c>
      <c r="AW548">
        <v>0</v>
      </c>
      <c r="AX548">
        <v>0</v>
      </c>
      <c r="AY548">
        <v>0</v>
      </c>
      <c r="AZ548">
        <v>0</v>
      </c>
      <c r="BA548">
        <v>0</v>
      </c>
      <c r="BB548">
        <v>0</v>
      </c>
      <c r="BC548">
        <v>0</v>
      </c>
      <c r="BD548">
        <v>0</v>
      </c>
      <c r="BE548">
        <v>0</v>
      </c>
      <c r="BF548">
        <v>0</v>
      </c>
      <c r="BG548">
        <v>0</v>
      </c>
      <c r="BH548">
        <v>1</v>
      </c>
      <c r="BI548">
        <v>1</v>
      </c>
      <c r="BJ548">
        <v>0.2</v>
      </c>
      <c r="BK548">
        <v>1</v>
      </c>
      <c r="BL548" s="4">
        <v>50.45</v>
      </c>
      <c r="BM548" s="4">
        <v>7.57</v>
      </c>
      <c r="BN548" s="4">
        <v>58.02</v>
      </c>
      <c r="BO548" s="4">
        <v>58.02</v>
      </c>
      <c r="BQ548" t="s">
        <v>172</v>
      </c>
      <c r="BR548" t="s">
        <v>84</v>
      </c>
      <c r="BS548" s="3">
        <v>43805</v>
      </c>
      <c r="BT548" s="5">
        <v>0.37708333333333338</v>
      </c>
      <c r="BU548" t="s">
        <v>943</v>
      </c>
      <c r="BV548" t="s">
        <v>86</v>
      </c>
      <c r="BY548">
        <v>1200</v>
      </c>
      <c r="CA548" t="s">
        <v>563</v>
      </c>
      <c r="CC548" t="s">
        <v>91</v>
      </c>
      <c r="CD548">
        <v>7460</v>
      </c>
      <c r="CE548" t="s">
        <v>88</v>
      </c>
      <c r="CF548" s="3">
        <v>43808</v>
      </c>
      <c r="CI548">
        <v>1</v>
      </c>
      <c r="CJ548">
        <v>1</v>
      </c>
      <c r="CK548">
        <v>21</v>
      </c>
      <c r="CL548" t="s">
        <v>89</v>
      </c>
    </row>
    <row r="549" spans="1:90">
      <c r="A549" t="s">
        <v>72</v>
      </c>
      <c r="B549" t="s">
        <v>73</v>
      </c>
      <c r="C549" t="s">
        <v>74</v>
      </c>
      <c r="E549" t="str">
        <f>"FES1162726925"</f>
        <v>FES1162726925</v>
      </c>
      <c r="F549" s="3">
        <v>43804</v>
      </c>
      <c r="G549">
        <v>202006</v>
      </c>
      <c r="H549" t="s">
        <v>75</v>
      </c>
      <c r="I549" t="s">
        <v>76</v>
      </c>
      <c r="J549" t="s">
        <v>77</v>
      </c>
      <c r="K549" t="s">
        <v>78</v>
      </c>
      <c r="L549" t="s">
        <v>201</v>
      </c>
      <c r="M549" t="s">
        <v>202</v>
      </c>
      <c r="N549" t="s">
        <v>1023</v>
      </c>
      <c r="O549" t="s">
        <v>82</v>
      </c>
      <c r="P549" t="str">
        <f>"2170720370                    "</f>
        <v xml:space="preserve">2170720370                    </v>
      </c>
      <c r="Q549">
        <v>0</v>
      </c>
      <c r="R549">
        <v>0</v>
      </c>
      <c r="S549">
        <v>0</v>
      </c>
      <c r="T549">
        <v>0</v>
      </c>
      <c r="U549">
        <v>0</v>
      </c>
      <c r="V549">
        <v>0</v>
      </c>
      <c r="W549">
        <v>0</v>
      </c>
      <c r="X549">
        <v>0</v>
      </c>
      <c r="Y549">
        <v>0</v>
      </c>
      <c r="Z549">
        <v>0</v>
      </c>
      <c r="AA549">
        <v>0</v>
      </c>
      <c r="AB549">
        <v>0</v>
      </c>
      <c r="AC549">
        <v>0</v>
      </c>
      <c r="AD549">
        <v>0</v>
      </c>
      <c r="AE549">
        <v>0</v>
      </c>
      <c r="AF549">
        <v>0</v>
      </c>
      <c r="AG549">
        <v>0</v>
      </c>
      <c r="AH549">
        <v>0</v>
      </c>
      <c r="AI549">
        <v>0</v>
      </c>
      <c r="AJ549">
        <v>0</v>
      </c>
      <c r="AK549">
        <v>0</v>
      </c>
      <c r="AL549">
        <v>0</v>
      </c>
      <c r="AM549">
        <v>8.58</v>
      </c>
      <c r="AN549">
        <v>0</v>
      </c>
      <c r="AO549">
        <v>0</v>
      </c>
      <c r="AP549">
        <v>0</v>
      </c>
      <c r="AQ549">
        <v>0</v>
      </c>
      <c r="AR549">
        <v>0</v>
      </c>
      <c r="AS549">
        <v>0</v>
      </c>
      <c r="AT549">
        <v>0</v>
      </c>
      <c r="AU549">
        <v>0</v>
      </c>
      <c r="AV549">
        <v>0</v>
      </c>
      <c r="AW549">
        <v>0</v>
      </c>
      <c r="AX549">
        <v>0</v>
      </c>
      <c r="AY549">
        <v>0</v>
      </c>
      <c r="AZ549">
        <v>0</v>
      </c>
      <c r="BA549">
        <v>0</v>
      </c>
      <c r="BB549">
        <v>0</v>
      </c>
      <c r="BC549">
        <v>0</v>
      </c>
      <c r="BD549">
        <v>0</v>
      </c>
      <c r="BE549">
        <v>0</v>
      </c>
      <c r="BF549">
        <v>0</v>
      </c>
      <c r="BG549">
        <v>0</v>
      </c>
      <c r="BH549">
        <v>1</v>
      </c>
      <c r="BI549">
        <v>1</v>
      </c>
      <c r="BJ549">
        <v>0.2</v>
      </c>
      <c r="BK549">
        <v>1</v>
      </c>
      <c r="BL549" s="4">
        <v>50.45</v>
      </c>
      <c r="BM549" s="4">
        <v>7.57</v>
      </c>
      <c r="BN549" s="4">
        <v>58.02</v>
      </c>
      <c r="BO549" s="4">
        <v>58.02</v>
      </c>
      <c r="BQ549" t="s">
        <v>93</v>
      </c>
      <c r="BR549" t="s">
        <v>84</v>
      </c>
      <c r="BS549" s="3">
        <v>43805</v>
      </c>
      <c r="BT549" s="5">
        <v>0.3972222222222222</v>
      </c>
      <c r="BU549" t="s">
        <v>1024</v>
      </c>
      <c r="BV549" t="s">
        <v>86</v>
      </c>
      <c r="BY549">
        <v>1200</v>
      </c>
      <c r="CA549" t="s">
        <v>205</v>
      </c>
      <c r="CC549" t="s">
        <v>202</v>
      </c>
      <c r="CD549">
        <v>3610</v>
      </c>
      <c r="CE549" t="s">
        <v>88</v>
      </c>
      <c r="CF549" s="3">
        <v>43808</v>
      </c>
      <c r="CI549">
        <v>1</v>
      </c>
      <c r="CJ549">
        <v>1</v>
      </c>
      <c r="CK549">
        <v>21</v>
      </c>
      <c r="CL549" t="s">
        <v>89</v>
      </c>
    </row>
    <row r="550" spans="1:90">
      <c r="A550" t="s">
        <v>72</v>
      </c>
      <c r="B550" t="s">
        <v>73</v>
      </c>
      <c r="C550" t="s">
        <v>74</v>
      </c>
      <c r="E550" t="str">
        <f>"FES1162726943"</f>
        <v>FES1162726943</v>
      </c>
      <c r="F550" s="3">
        <v>43804</v>
      </c>
      <c r="G550">
        <v>202006</v>
      </c>
      <c r="H550" t="s">
        <v>75</v>
      </c>
      <c r="I550" t="s">
        <v>76</v>
      </c>
      <c r="J550" t="s">
        <v>77</v>
      </c>
      <c r="K550" t="s">
        <v>78</v>
      </c>
      <c r="L550" t="s">
        <v>90</v>
      </c>
      <c r="M550" t="s">
        <v>91</v>
      </c>
      <c r="N550" t="s">
        <v>548</v>
      </c>
      <c r="O550" t="s">
        <v>82</v>
      </c>
      <c r="P550" t="str">
        <f>"2170720401                    "</f>
        <v xml:space="preserve">2170720401                    </v>
      </c>
      <c r="Q550">
        <v>0</v>
      </c>
      <c r="R550">
        <v>0</v>
      </c>
      <c r="S550">
        <v>0</v>
      </c>
      <c r="T550">
        <v>0</v>
      </c>
      <c r="U550">
        <v>0</v>
      </c>
      <c r="V550">
        <v>0</v>
      </c>
      <c r="W550">
        <v>0</v>
      </c>
      <c r="X550">
        <v>0</v>
      </c>
      <c r="Y550">
        <v>0</v>
      </c>
      <c r="Z550">
        <v>0</v>
      </c>
      <c r="AA550">
        <v>0</v>
      </c>
      <c r="AB550">
        <v>0</v>
      </c>
      <c r="AC550">
        <v>0</v>
      </c>
      <c r="AD550">
        <v>0</v>
      </c>
      <c r="AE550">
        <v>0</v>
      </c>
      <c r="AF550">
        <v>0</v>
      </c>
      <c r="AG550">
        <v>0</v>
      </c>
      <c r="AH550">
        <v>0</v>
      </c>
      <c r="AI550">
        <v>0</v>
      </c>
      <c r="AJ550">
        <v>0</v>
      </c>
      <c r="AK550">
        <v>0</v>
      </c>
      <c r="AL550">
        <v>0</v>
      </c>
      <c r="AM550">
        <v>8.58</v>
      </c>
      <c r="AN550">
        <v>0</v>
      </c>
      <c r="AO550">
        <v>0</v>
      </c>
      <c r="AP550">
        <v>0</v>
      </c>
      <c r="AQ550">
        <v>0</v>
      </c>
      <c r="AR550">
        <v>0</v>
      </c>
      <c r="AS550">
        <v>0</v>
      </c>
      <c r="AT550">
        <v>0</v>
      </c>
      <c r="AU550">
        <v>0</v>
      </c>
      <c r="AV550">
        <v>0</v>
      </c>
      <c r="AW550">
        <v>0</v>
      </c>
      <c r="AX550">
        <v>0</v>
      </c>
      <c r="AY550">
        <v>0</v>
      </c>
      <c r="AZ550">
        <v>0</v>
      </c>
      <c r="BA550">
        <v>0</v>
      </c>
      <c r="BB550">
        <v>0</v>
      </c>
      <c r="BC550">
        <v>0</v>
      </c>
      <c r="BD550">
        <v>0</v>
      </c>
      <c r="BE550">
        <v>0</v>
      </c>
      <c r="BF550">
        <v>0</v>
      </c>
      <c r="BG550">
        <v>0</v>
      </c>
      <c r="BH550">
        <v>1</v>
      </c>
      <c r="BI550">
        <v>1</v>
      </c>
      <c r="BJ550">
        <v>0.2</v>
      </c>
      <c r="BK550">
        <v>1</v>
      </c>
      <c r="BL550" s="4">
        <v>50.45</v>
      </c>
      <c r="BM550" s="4">
        <v>7.57</v>
      </c>
      <c r="BN550" s="4">
        <v>58.02</v>
      </c>
      <c r="BO550" s="4">
        <v>58.02</v>
      </c>
      <c r="BQ550" t="s">
        <v>147</v>
      </c>
      <c r="BR550" t="s">
        <v>84</v>
      </c>
      <c r="BS550" s="3">
        <v>43805</v>
      </c>
      <c r="BT550" s="5">
        <v>0.32083333333333336</v>
      </c>
      <c r="BU550" t="s">
        <v>977</v>
      </c>
      <c r="BV550" t="s">
        <v>86</v>
      </c>
      <c r="BY550">
        <v>1200</v>
      </c>
      <c r="CA550" t="s">
        <v>550</v>
      </c>
      <c r="CC550" t="s">
        <v>91</v>
      </c>
      <c r="CD550">
        <v>7530</v>
      </c>
      <c r="CE550" t="s">
        <v>88</v>
      </c>
      <c r="CF550" s="3">
        <v>43808</v>
      </c>
      <c r="CI550">
        <v>1</v>
      </c>
      <c r="CJ550">
        <v>1</v>
      </c>
      <c r="CK550">
        <v>21</v>
      </c>
      <c r="CL550" t="s">
        <v>89</v>
      </c>
    </row>
    <row r="551" spans="1:90">
      <c r="A551" t="s">
        <v>72</v>
      </c>
      <c r="B551" t="s">
        <v>73</v>
      </c>
      <c r="C551" t="s">
        <v>74</v>
      </c>
      <c r="E551" t="str">
        <f>"FES1162726970"</f>
        <v>FES1162726970</v>
      </c>
      <c r="F551" s="3">
        <v>43804</v>
      </c>
      <c r="G551">
        <v>202006</v>
      </c>
      <c r="H551" t="s">
        <v>75</v>
      </c>
      <c r="I551" t="s">
        <v>76</v>
      </c>
      <c r="J551" t="s">
        <v>77</v>
      </c>
      <c r="K551" t="s">
        <v>78</v>
      </c>
      <c r="L551" t="s">
        <v>75</v>
      </c>
      <c r="M551" t="s">
        <v>76</v>
      </c>
      <c r="N551" t="s">
        <v>1020</v>
      </c>
      <c r="O551" t="s">
        <v>82</v>
      </c>
      <c r="P551" t="str">
        <f>"2170720385                    "</f>
        <v xml:space="preserve">2170720385                    </v>
      </c>
      <c r="Q551">
        <v>0</v>
      </c>
      <c r="R551">
        <v>0</v>
      </c>
      <c r="S551">
        <v>0</v>
      </c>
      <c r="T551">
        <v>0</v>
      </c>
      <c r="U551">
        <v>0</v>
      </c>
      <c r="V551">
        <v>0</v>
      </c>
      <c r="W551">
        <v>0</v>
      </c>
      <c r="X551">
        <v>0</v>
      </c>
      <c r="Y551">
        <v>0</v>
      </c>
      <c r="Z551">
        <v>0</v>
      </c>
      <c r="AA551">
        <v>0</v>
      </c>
      <c r="AB551">
        <v>0</v>
      </c>
      <c r="AC551">
        <v>0</v>
      </c>
      <c r="AD551">
        <v>0</v>
      </c>
      <c r="AE551">
        <v>0</v>
      </c>
      <c r="AF551">
        <v>0</v>
      </c>
      <c r="AG551">
        <v>0</v>
      </c>
      <c r="AH551">
        <v>0</v>
      </c>
      <c r="AI551">
        <v>0</v>
      </c>
      <c r="AJ551">
        <v>0</v>
      </c>
      <c r="AK551">
        <v>0</v>
      </c>
      <c r="AL551">
        <v>0</v>
      </c>
      <c r="AM551">
        <v>6.71</v>
      </c>
      <c r="AN551">
        <v>0</v>
      </c>
      <c r="AO551">
        <v>0</v>
      </c>
      <c r="AP551">
        <v>0</v>
      </c>
      <c r="AQ551">
        <v>0</v>
      </c>
      <c r="AR551">
        <v>0</v>
      </c>
      <c r="AS551">
        <v>0</v>
      </c>
      <c r="AT551">
        <v>0</v>
      </c>
      <c r="AU551">
        <v>0</v>
      </c>
      <c r="AV551">
        <v>0</v>
      </c>
      <c r="AW551">
        <v>0</v>
      </c>
      <c r="AX551">
        <v>0</v>
      </c>
      <c r="AY551">
        <v>0</v>
      </c>
      <c r="AZ551">
        <v>0</v>
      </c>
      <c r="BA551">
        <v>0</v>
      </c>
      <c r="BB551">
        <v>0</v>
      </c>
      <c r="BC551">
        <v>0</v>
      </c>
      <c r="BD551">
        <v>0</v>
      </c>
      <c r="BE551">
        <v>0</v>
      </c>
      <c r="BF551">
        <v>0</v>
      </c>
      <c r="BG551">
        <v>0</v>
      </c>
      <c r="BH551">
        <v>1</v>
      </c>
      <c r="BI551">
        <v>1</v>
      </c>
      <c r="BJ551">
        <v>0.2</v>
      </c>
      <c r="BK551">
        <v>1</v>
      </c>
      <c r="BL551" s="4">
        <v>39.42</v>
      </c>
      <c r="BM551" s="4">
        <v>5.91</v>
      </c>
      <c r="BN551" s="4">
        <v>45.33</v>
      </c>
      <c r="BO551" s="4">
        <v>45.33</v>
      </c>
      <c r="BQ551" t="s">
        <v>1021</v>
      </c>
      <c r="BR551" t="s">
        <v>84</v>
      </c>
      <c r="BS551" s="3">
        <v>43805</v>
      </c>
      <c r="BT551" s="5">
        <v>0.39930555555555558</v>
      </c>
      <c r="BU551" t="s">
        <v>1022</v>
      </c>
      <c r="BV551" t="s">
        <v>86</v>
      </c>
      <c r="BY551">
        <v>1200</v>
      </c>
      <c r="CC551" t="s">
        <v>76</v>
      </c>
      <c r="CD551">
        <v>1619</v>
      </c>
      <c r="CE551" t="s">
        <v>88</v>
      </c>
      <c r="CF551" s="3">
        <v>43808</v>
      </c>
      <c r="CI551">
        <v>1</v>
      </c>
      <c r="CJ551">
        <v>1</v>
      </c>
      <c r="CK551">
        <v>22</v>
      </c>
      <c r="CL551" t="s">
        <v>89</v>
      </c>
    </row>
    <row r="552" spans="1:90">
      <c r="A552" t="s">
        <v>72</v>
      </c>
      <c r="B552" t="s">
        <v>73</v>
      </c>
      <c r="C552" t="s">
        <v>74</v>
      </c>
      <c r="E552" t="str">
        <f>"FES1162726941"</f>
        <v>FES1162726941</v>
      </c>
      <c r="F552" s="3">
        <v>43804</v>
      </c>
      <c r="G552">
        <v>202006</v>
      </c>
      <c r="H552" t="s">
        <v>75</v>
      </c>
      <c r="I552" t="s">
        <v>76</v>
      </c>
      <c r="J552" t="s">
        <v>77</v>
      </c>
      <c r="K552" t="s">
        <v>78</v>
      </c>
      <c r="L552" t="s">
        <v>90</v>
      </c>
      <c r="M552" t="s">
        <v>91</v>
      </c>
      <c r="N552" t="s">
        <v>582</v>
      </c>
      <c r="O552" t="s">
        <v>82</v>
      </c>
      <c r="P552" t="str">
        <f>"2170720395                    "</f>
        <v xml:space="preserve">2170720395                    </v>
      </c>
      <c r="Q552">
        <v>0</v>
      </c>
      <c r="R552">
        <v>0</v>
      </c>
      <c r="S552">
        <v>0</v>
      </c>
      <c r="T552">
        <v>0</v>
      </c>
      <c r="U552">
        <v>0</v>
      </c>
      <c r="V552">
        <v>0</v>
      </c>
      <c r="W552">
        <v>0</v>
      </c>
      <c r="X552">
        <v>0</v>
      </c>
      <c r="Y552">
        <v>0</v>
      </c>
      <c r="Z552">
        <v>0</v>
      </c>
      <c r="AA552">
        <v>0</v>
      </c>
      <c r="AB552">
        <v>0</v>
      </c>
      <c r="AC552">
        <v>0</v>
      </c>
      <c r="AD552">
        <v>0</v>
      </c>
      <c r="AE552">
        <v>0</v>
      </c>
      <c r="AF552">
        <v>0</v>
      </c>
      <c r="AG552">
        <v>0</v>
      </c>
      <c r="AH552">
        <v>0</v>
      </c>
      <c r="AI552">
        <v>0</v>
      </c>
      <c r="AJ552">
        <v>0</v>
      </c>
      <c r="AK552">
        <v>0</v>
      </c>
      <c r="AL552">
        <v>0</v>
      </c>
      <c r="AM552">
        <v>8.58</v>
      </c>
      <c r="AN552">
        <v>0</v>
      </c>
      <c r="AO552">
        <v>0</v>
      </c>
      <c r="AP552">
        <v>0</v>
      </c>
      <c r="AQ552">
        <v>0</v>
      </c>
      <c r="AR552">
        <v>0</v>
      </c>
      <c r="AS552">
        <v>0</v>
      </c>
      <c r="AT552">
        <v>0</v>
      </c>
      <c r="AU552">
        <v>0</v>
      </c>
      <c r="AV552">
        <v>0</v>
      </c>
      <c r="AW552">
        <v>0</v>
      </c>
      <c r="AX552">
        <v>0</v>
      </c>
      <c r="AY552">
        <v>0</v>
      </c>
      <c r="AZ552">
        <v>0</v>
      </c>
      <c r="BA552">
        <v>0</v>
      </c>
      <c r="BB552">
        <v>0</v>
      </c>
      <c r="BC552">
        <v>0</v>
      </c>
      <c r="BD552">
        <v>0</v>
      </c>
      <c r="BE552">
        <v>0</v>
      </c>
      <c r="BF552">
        <v>0</v>
      </c>
      <c r="BG552">
        <v>0</v>
      </c>
      <c r="BH552">
        <v>1</v>
      </c>
      <c r="BI552">
        <v>1</v>
      </c>
      <c r="BJ552">
        <v>0.2</v>
      </c>
      <c r="BK552">
        <v>1</v>
      </c>
      <c r="BL552" s="4">
        <v>50.45</v>
      </c>
      <c r="BM552" s="4">
        <v>7.57</v>
      </c>
      <c r="BN552" s="4">
        <v>58.02</v>
      </c>
      <c r="BO552" s="4">
        <v>58.02</v>
      </c>
      <c r="BQ552" t="s">
        <v>583</v>
      </c>
      <c r="BR552" t="s">
        <v>84</v>
      </c>
      <c r="BS552" s="3">
        <v>43805</v>
      </c>
      <c r="BT552" s="5">
        <v>0.36180555555555555</v>
      </c>
      <c r="BU552" t="s">
        <v>1025</v>
      </c>
      <c r="BV552" t="s">
        <v>86</v>
      </c>
      <c r="BY552">
        <v>1200</v>
      </c>
      <c r="CA552" t="s">
        <v>145</v>
      </c>
      <c r="CC552" t="s">
        <v>91</v>
      </c>
      <c r="CD552">
        <v>7441</v>
      </c>
      <c r="CE552" t="s">
        <v>88</v>
      </c>
      <c r="CF552" s="3">
        <v>43808</v>
      </c>
      <c r="CI552">
        <v>1</v>
      </c>
      <c r="CJ552">
        <v>1</v>
      </c>
      <c r="CK552">
        <v>21</v>
      </c>
      <c r="CL552" t="s">
        <v>89</v>
      </c>
    </row>
    <row r="553" spans="1:90">
      <c r="A553" t="s">
        <v>72</v>
      </c>
      <c r="B553" t="s">
        <v>73</v>
      </c>
      <c r="C553" t="s">
        <v>74</v>
      </c>
      <c r="E553" t="str">
        <f>"FES1162727002"</f>
        <v>FES1162727002</v>
      </c>
      <c r="F553" s="3">
        <v>43804</v>
      </c>
      <c r="G553">
        <v>202006</v>
      </c>
      <c r="H553" t="s">
        <v>75</v>
      </c>
      <c r="I553" t="s">
        <v>76</v>
      </c>
      <c r="J553" t="s">
        <v>77</v>
      </c>
      <c r="K553" t="s">
        <v>78</v>
      </c>
      <c r="L553" t="s">
        <v>849</v>
      </c>
      <c r="M553" t="s">
        <v>850</v>
      </c>
      <c r="N553" t="s">
        <v>851</v>
      </c>
      <c r="O553" t="s">
        <v>82</v>
      </c>
      <c r="P553" t="str">
        <f>"2170720458                    "</f>
        <v xml:space="preserve">2170720458                    </v>
      </c>
      <c r="Q553">
        <v>0</v>
      </c>
      <c r="R553">
        <v>0</v>
      </c>
      <c r="S553">
        <v>0</v>
      </c>
      <c r="T553">
        <v>0</v>
      </c>
      <c r="U553">
        <v>0</v>
      </c>
      <c r="V553">
        <v>0</v>
      </c>
      <c r="W553">
        <v>0</v>
      </c>
      <c r="X553">
        <v>0</v>
      </c>
      <c r="Y553">
        <v>0</v>
      </c>
      <c r="Z553">
        <v>0</v>
      </c>
      <c r="AA553">
        <v>0</v>
      </c>
      <c r="AB553">
        <v>0</v>
      </c>
      <c r="AC553">
        <v>0</v>
      </c>
      <c r="AD553">
        <v>0</v>
      </c>
      <c r="AE553">
        <v>0</v>
      </c>
      <c r="AF553">
        <v>0</v>
      </c>
      <c r="AG553">
        <v>0</v>
      </c>
      <c r="AH553">
        <v>0</v>
      </c>
      <c r="AI553">
        <v>0</v>
      </c>
      <c r="AJ553">
        <v>0</v>
      </c>
      <c r="AK553">
        <v>0</v>
      </c>
      <c r="AL553">
        <v>0</v>
      </c>
      <c r="AM553">
        <v>8.58</v>
      </c>
      <c r="AN553">
        <v>0</v>
      </c>
      <c r="AO553">
        <v>0</v>
      </c>
      <c r="AP553">
        <v>0</v>
      </c>
      <c r="AQ553">
        <v>0</v>
      </c>
      <c r="AR553">
        <v>0</v>
      </c>
      <c r="AS553">
        <v>0</v>
      </c>
      <c r="AT553">
        <v>0</v>
      </c>
      <c r="AU553">
        <v>0</v>
      </c>
      <c r="AV553">
        <v>0</v>
      </c>
      <c r="AW553">
        <v>0</v>
      </c>
      <c r="AX553">
        <v>0</v>
      </c>
      <c r="AY553">
        <v>0</v>
      </c>
      <c r="AZ553">
        <v>0</v>
      </c>
      <c r="BA553">
        <v>0</v>
      </c>
      <c r="BB553">
        <v>0</v>
      </c>
      <c r="BC553">
        <v>0</v>
      </c>
      <c r="BD553">
        <v>0</v>
      </c>
      <c r="BE553">
        <v>0</v>
      </c>
      <c r="BF553">
        <v>0</v>
      </c>
      <c r="BG553">
        <v>0</v>
      </c>
      <c r="BH553">
        <v>1</v>
      </c>
      <c r="BI553">
        <v>1</v>
      </c>
      <c r="BJ553">
        <v>0.2</v>
      </c>
      <c r="BK553">
        <v>1</v>
      </c>
      <c r="BL553" s="4">
        <v>50.45</v>
      </c>
      <c r="BM553" s="4">
        <v>7.57</v>
      </c>
      <c r="BN553" s="4">
        <v>58.02</v>
      </c>
      <c r="BO553" s="4">
        <v>58.02</v>
      </c>
      <c r="BQ553" t="s">
        <v>147</v>
      </c>
      <c r="BR553" t="s">
        <v>84</v>
      </c>
      <c r="BS553" s="3">
        <v>43805</v>
      </c>
      <c r="BT553" s="5">
        <v>0.4909722222222222</v>
      </c>
      <c r="BU553" t="s">
        <v>528</v>
      </c>
      <c r="BV553" t="s">
        <v>86</v>
      </c>
      <c r="BY553">
        <v>1200</v>
      </c>
      <c r="CA553" t="s">
        <v>1026</v>
      </c>
      <c r="CC553" t="s">
        <v>850</v>
      </c>
      <c r="CD553">
        <v>3290</v>
      </c>
      <c r="CE553" t="s">
        <v>88</v>
      </c>
      <c r="CF553" s="3">
        <v>43809</v>
      </c>
      <c r="CI553">
        <v>1</v>
      </c>
      <c r="CJ553">
        <v>1</v>
      </c>
      <c r="CK553">
        <v>21</v>
      </c>
      <c r="CL553" t="s">
        <v>89</v>
      </c>
    </row>
    <row r="554" spans="1:90">
      <c r="A554" t="s">
        <v>72</v>
      </c>
      <c r="B554" t="s">
        <v>73</v>
      </c>
      <c r="C554" t="s">
        <v>74</v>
      </c>
      <c r="E554" t="str">
        <f>"FES1162726912"</f>
        <v>FES1162726912</v>
      </c>
      <c r="F554" s="3">
        <v>43804</v>
      </c>
      <c r="G554">
        <v>202006</v>
      </c>
      <c r="H554" t="s">
        <v>75</v>
      </c>
      <c r="I554" t="s">
        <v>76</v>
      </c>
      <c r="J554" t="s">
        <v>77</v>
      </c>
      <c r="K554" t="s">
        <v>78</v>
      </c>
      <c r="L554" t="s">
        <v>164</v>
      </c>
      <c r="M554" t="s">
        <v>165</v>
      </c>
      <c r="N554" t="s">
        <v>1027</v>
      </c>
      <c r="O554" t="s">
        <v>82</v>
      </c>
      <c r="P554" t="str">
        <f>"2170720001                    "</f>
        <v xml:space="preserve">2170720001                    </v>
      </c>
      <c r="Q554">
        <v>0</v>
      </c>
      <c r="R554">
        <v>0</v>
      </c>
      <c r="S554">
        <v>0</v>
      </c>
      <c r="T554">
        <v>0</v>
      </c>
      <c r="U554">
        <v>0</v>
      </c>
      <c r="V554">
        <v>0</v>
      </c>
      <c r="W554">
        <v>0</v>
      </c>
      <c r="X554">
        <v>0</v>
      </c>
      <c r="Y554">
        <v>0</v>
      </c>
      <c r="Z554">
        <v>0</v>
      </c>
      <c r="AA554">
        <v>0</v>
      </c>
      <c r="AB554">
        <v>0</v>
      </c>
      <c r="AC554">
        <v>0</v>
      </c>
      <c r="AD554">
        <v>0</v>
      </c>
      <c r="AE554">
        <v>0</v>
      </c>
      <c r="AF554">
        <v>0</v>
      </c>
      <c r="AG554">
        <v>0</v>
      </c>
      <c r="AH554">
        <v>0</v>
      </c>
      <c r="AI554">
        <v>0</v>
      </c>
      <c r="AJ554">
        <v>0</v>
      </c>
      <c r="AK554">
        <v>0</v>
      </c>
      <c r="AL554">
        <v>0</v>
      </c>
      <c r="AM554">
        <v>8.58</v>
      </c>
      <c r="AN554">
        <v>0</v>
      </c>
      <c r="AO554">
        <v>0</v>
      </c>
      <c r="AP554">
        <v>0</v>
      </c>
      <c r="AQ554">
        <v>0</v>
      </c>
      <c r="AR554">
        <v>0</v>
      </c>
      <c r="AS554">
        <v>0</v>
      </c>
      <c r="AT554">
        <v>0</v>
      </c>
      <c r="AU554">
        <v>0</v>
      </c>
      <c r="AV554">
        <v>0</v>
      </c>
      <c r="AW554">
        <v>0</v>
      </c>
      <c r="AX554">
        <v>0</v>
      </c>
      <c r="AY554">
        <v>0</v>
      </c>
      <c r="AZ554">
        <v>0</v>
      </c>
      <c r="BA554">
        <v>0</v>
      </c>
      <c r="BB554">
        <v>0</v>
      </c>
      <c r="BC554">
        <v>0</v>
      </c>
      <c r="BD554">
        <v>0</v>
      </c>
      <c r="BE554">
        <v>0</v>
      </c>
      <c r="BF554">
        <v>0</v>
      </c>
      <c r="BG554">
        <v>0</v>
      </c>
      <c r="BH554">
        <v>1</v>
      </c>
      <c r="BI554">
        <v>1</v>
      </c>
      <c r="BJ554">
        <v>0.2</v>
      </c>
      <c r="BK554">
        <v>1</v>
      </c>
      <c r="BL554" s="4">
        <v>50.45</v>
      </c>
      <c r="BM554" s="4">
        <v>7.57</v>
      </c>
      <c r="BN554" s="4">
        <v>58.02</v>
      </c>
      <c r="BO554" s="4">
        <v>58.02</v>
      </c>
      <c r="BQ554" t="s">
        <v>93</v>
      </c>
      <c r="BR554" t="s">
        <v>84</v>
      </c>
      <c r="BS554" s="3">
        <v>43805</v>
      </c>
      <c r="BT554" s="5">
        <v>0.4069444444444445</v>
      </c>
      <c r="BU554" t="s">
        <v>1028</v>
      </c>
      <c r="BV554" t="s">
        <v>86</v>
      </c>
      <c r="BY554">
        <v>1200</v>
      </c>
      <c r="CA554" t="s">
        <v>168</v>
      </c>
      <c r="CC554" t="s">
        <v>165</v>
      </c>
      <c r="CD554">
        <v>5201</v>
      </c>
      <c r="CE554" t="s">
        <v>88</v>
      </c>
      <c r="CF554" s="3">
        <v>43809</v>
      </c>
      <c r="CI554">
        <v>1</v>
      </c>
      <c r="CJ554">
        <v>1</v>
      </c>
      <c r="CK554">
        <v>21</v>
      </c>
      <c r="CL554" t="s">
        <v>89</v>
      </c>
    </row>
    <row r="555" spans="1:90">
      <c r="A555" t="s">
        <v>72</v>
      </c>
      <c r="B555" t="s">
        <v>73</v>
      </c>
      <c r="C555" t="s">
        <v>74</v>
      </c>
      <c r="E555" t="str">
        <f>"FES1162726963"</f>
        <v>FES1162726963</v>
      </c>
      <c r="F555" s="3">
        <v>43804</v>
      </c>
      <c r="G555">
        <v>202006</v>
      </c>
      <c r="H555" t="s">
        <v>75</v>
      </c>
      <c r="I555" t="s">
        <v>76</v>
      </c>
      <c r="J555" t="s">
        <v>77</v>
      </c>
      <c r="K555" t="s">
        <v>78</v>
      </c>
      <c r="L555" t="s">
        <v>332</v>
      </c>
      <c r="M555" t="s">
        <v>333</v>
      </c>
      <c r="N555" t="s">
        <v>701</v>
      </c>
      <c r="O555" t="s">
        <v>82</v>
      </c>
      <c r="P555" t="str">
        <f>"2170720428                    "</f>
        <v xml:space="preserve">2170720428                    </v>
      </c>
      <c r="Q555">
        <v>0</v>
      </c>
      <c r="R555">
        <v>0</v>
      </c>
      <c r="S555">
        <v>0</v>
      </c>
      <c r="T555">
        <v>0</v>
      </c>
      <c r="U555">
        <v>0</v>
      </c>
      <c r="V555">
        <v>0</v>
      </c>
      <c r="W555">
        <v>0</v>
      </c>
      <c r="X555">
        <v>0</v>
      </c>
      <c r="Y555">
        <v>0</v>
      </c>
      <c r="Z555">
        <v>0</v>
      </c>
      <c r="AA555">
        <v>0</v>
      </c>
      <c r="AB555">
        <v>0</v>
      </c>
      <c r="AC555">
        <v>0</v>
      </c>
      <c r="AD555">
        <v>0</v>
      </c>
      <c r="AE555">
        <v>0</v>
      </c>
      <c r="AF555">
        <v>0</v>
      </c>
      <c r="AG555">
        <v>0</v>
      </c>
      <c r="AH555">
        <v>0</v>
      </c>
      <c r="AI555">
        <v>0</v>
      </c>
      <c r="AJ555">
        <v>0</v>
      </c>
      <c r="AK555">
        <v>0</v>
      </c>
      <c r="AL555">
        <v>0</v>
      </c>
      <c r="AM555">
        <v>6.71</v>
      </c>
      <c r="AN555">
        <v>0</v>
      </c>
      <c r="AO555">
        <v>0</v>
      </c>
      <c r="AP555">
        <v>0</v>
      </c>
      <c r="AQ555">
        <v>0</v>
      </c>
      <c r="AR555">
        <v>0</v>
      </c>
      <c r="AS555">
        <v>0</v>
      </c>
      <c r="AT555">
        <v>0</v>
      </c>
      <c r="AU555">
        <v>0</v>
      </c>
      <c r="AV555">
        <v>0</v>
      </c>
      <c r="AW555">
        <v>0</v>
      </c>
      <c r="AX555">
        <v>0</v>
      </c>
      <c r="AY555">
        <v>0</v>
      </c>
      <c r="AZ555">
        <v>0</v>
      </c>
      <c r="BA555">
        <v>0</v>
      </c>
      <c r="BB555">
        <v>0</v>
      </c>
      <c r="BC555">
        <v>0</v>
      </c>
      <c r="BD555">
        <v>0</v>
      </c>
      <c r="BE555">
        <v>0</v>
      </c>
      <c r="BF555">
        <v>0</v>
      </c>
      <c r="BG555">
        <v>0</v>
      </c>
      <c r="BH555">
        <v>1</v>
      </c>
      <c r="BI555">
        <v>2</v>
      </c>
      <c r="BJ555">
        <v>0.2</v>
      </c>
      <c r="BK555">
        <v>2</v>
      </c>
      <c r="BL555" s="4">
        <v>39.42</v>
      </c>
      <c r="BM555" s="4">
        <v>5.91</v>
      </c>
      <c r="BN555" s="4">
        <v>45.33</v>
      </c>
      <c r="BO555" s="4">
        <v>45.33</v>
      </c>
      <c r="BQ555" t="s">
        <v>93</v>
      </c>
      <c r="BR555" t="s">
        <v>84</v>
      </c>
      <c r="BS555" s="3">
        <v>43805</v>
      </c>
      <c r="BT555" s="5">
        <v>0.39097222222222222</v>
      </c>
      <c r="BU555" t="s">
        <v>142</v>
      </c>
      <c r="BV555" t="s">
        <v>86</v>
      </c>
      <c r="BY555">
        <v>1200</v>
      </c>
      <c r="CC555" t="s">
        <v>333</v>
      </c>
      <c r="CD555">
        <v>2094</v>
      </c>
      <c r="CE555" t="s">
        <v>88</v>
      </c>
      <c r="CF555" s="3">
        <v>43808</v>
      </c>
      <c r="CI555">
        <v>1</v>
      </c>
      <c r="CJ555">
        <v>1</v>
      </c>
      <c r="CK555">
        <v>22</v>
      </c>
      <c r="CL555" t="s">
        <v>89</v>
      </c>
    </row>
    <row r="556" spans="1:90">
      <c r="A556" t="s">
        <v>72</v>
      </c>
      <c r="B556" t="s">
        <v>73</v>
      </c>
      <c r="C556" t="s">
        <v>74</v>
      </c>
      <c r="E556" t="str">
        <f>"FES1162726628"</f>
        <v>FES1162726628</v>
      </c>
      <c r="F556" s="3">
        <v>43804</v>
      </c>
      <c r="G556">
        <v>202006</v>
      </c>
      <c r="H556" t="s">
        <v>75</v>
      </c>
      <c r="I556" t="s">
        <v>76</v>
      </c>
      <c r="J556" t="s">
        <v>77</v>
      </c>
      <c r="K556" t="s">
        <v>78</v>
      </c>
      <c r="L556" t="s">
        <v>164</v>
      </c>
      <c r="M556" t="s">
        <v>165</v>
      </c>
      <c r="N556" t="s">
        <v>379</v>
      </c>
      <c r="O556" t="s">
        <v>82</v>
      </c>
      <c r="P556" t="str">
        <f>"2170719730                    "</f>
        <v xml:space="preserve">2170719730                    </v>
      </c>
      <c r="Q556">
        <v>0</v>
      </c>
      <c r="R556">
        <v>0</v>
      </c>
      <c r="S556">
        <v>0</v>
      </c>
      <c r="T556">
        <v>0</v>
      </c>
      <c r="U556">
        <v>0</v>
      </c>
      <c r="V556">
        <v>0</v>
      </c>
      <c r="W556">
        <v>0</v>
      </c>
      <c r="X556">
        <v>0</v>
      </c>
      <c r="Y556">
        <v>0</v>
      </c>
      <c r="Z556">
        <v>0</v>
      </c>
      <c r="AA556">
        <v>0</v>
      </c>
      <c r="AB556">
        <v>0</v>
      </c>
      <c r="AC556">
        <v>0</v>
      </c>
      <c r="AD556">
        <v>0</v>
      </c>
      <c r="AE556">
        <v>0</v>
      </c>
      <c r="AF556">
        <v>0</v>
      </c>
      <c r="AG556">
        <v>0</v>
      </c>
      <c r="AH556">
        <v>0</v>
      </c>
      <c r="AI556">
        <v>0</v>
      </c>
      <c r="AJ556">
        <v>0</v>
      </c>
      <c r="AK556">
        <v>0</v>
      </c>
      <c r="AL556">
        <v>0</v>
      </c>
      <c r="AM556">
        <v>8.58</v>
      </c>
      <c r="AN556">
        <v>0</v>
      </c>
      <c r="AO556">
        <v>0</v>
      </c>
      <c r="AP556">
        <v>0</v>
      </c>
      <c r="AQ556">
        <v>0</v>
      </c>
      <c r="AR556">
        <v>0</v>
      </c>
      <c r="AS556">
        <v>0</v>
      </c>
      <c r="AT556">
        <v>0</v>
      </c>
      <c r="AU556">
        <v>0</v>
      </c>
      <c r="AV556">
        <v>0</v>
      </c>
      <c r="AW556">
        <v>0</v>
      </c>
      <c r="AX556">
        <v>0</v>
      </c>
      <c r="AY556">
        <v>0</v>
      </c>
      <c r="AZ556">
        <v>0</v>
      </c>
      <c r="BA556">
        <v>0</v>
      </c>
      <c r="BB556">
        <v>0</v>
      </c>
      <c r="BC556">
        <v>0</v>
      </c>
      <c r="BD556">
        <v>0</v>
      </c>
      <c r="BE556">
        <v>0</v>
      </c>
      <c r="BF556">
        <v>0</v>
      </c>
      <c r="BG556">
        <v>0</v>
      </c>
      <c r="BH556">
        <v>1</v>
      </c>
      <c r="BI556">
        <v>1</v>
      </c>
      <c r="BJ556">
        <v>0.2</v>
      </c>
      <c r="BK556">
        <v>1</v>
      </c>
      <c r="BL556" s="4">
        <v>50.45</v>
      </c>
      <c r="BM556" s="4">
        <v>7.57</v>
      </c>
      <c r="BN556" s="4">
        <v>58.02</v>
      </c>
      <c r="BO556" s="4">
        <v>58.02</v>
      </c>
      <c r="BQ556" t="s">
        <v>147</v>
      </c>
      <c r="BR556" t="s">
        <v>84</v>
      </c>
      <c r="BS556" s="3">
        <v>43805</v>
      </c>
      <c r="BT556" s="5">
        <v>0.42708333333333331</v>
      </c>
      <c r="BU556" t="s">
        <v>1029</v>
      </c>
      <c r="BV556" t="s">
        <v>86</v>
      </c>
      <c r="BY556">
        <v>1200</v>
      </c>
      <c r="CA556" t="s">
        <v>1030</v>
      </c>
      <c r="CC556" t="s">
        <v>165</v>
      </c>
      <c r="CD556">
        <v>5201</v>
      </c>
      <c r="CE556" t="s">
        <v>88</v>
      </c>
      <c r="CF556" s="3">
        <v>43809</v>
      </c>
      <c r="CI556">
        <v>1</v>
      </c>
      <c r="CJ556">
        <v>1</v>
      </c>
      <c r="CK556">
        <v>21</v>
      </c>
      <c r="CL556" t="s">
        <v>89</v>
      </c>
    </row>
    <row r="557" spans="1:90">
      <c r="A557" t="s">
        <v>72</v>
      </c>
      <c r="B557" t="s">
        <v>73</v>
      </c>
      <c r="C557" t="s">
        <v>74</v>
      </c>
      <c r="E557" t="str">
        <f>"FES1162726957"</f>
        <v>FES1162726957</v>
      </c>
      <c r="F557" s="3">
        <v>43804</v>
      </c>
      <c r="G557">
        <v>202006</v>
      </c>
      <c r="H557" t="s">
        <v>75</v>
      </c>
      <c r="I557" t="s">
        <v>76</v>
      </c>
      <c r="J557" t="s">
        <v>77</v>
      </c>
      <c r="K557" t="s">
        <v>78</v>
      </c>
      <c r="L557" t="s">
        <v>198</v>
      </c>
      <c r="M557" t="s">
        <v>199</v>
      </c>
      <c r="N557" t="s">
        <v>297</v>
      </c>
      <c r="O557" t="s">
        <v>82</v>
      </c>
      <c r="P557" t="str">
        <f>"2170720423                    "</f>
        <v xml:space="preserve">2170720423                    </v>
      </c>
      <c r="Q557">
        <v>0</v>
      </c>
      <c r="R557">
        <v>0</v>
      </c>
      <c r="S557">
        <v>0</v>
      </c>
      <c r="T557">
        <v>0</v>
      </c>
      <c r="U557">
        <v>0</v>
      </c>
      <c r="V557">
        <v>0</v>
      </c>
      <c r="W557">
        <v>0</v>
      </c>
      <c r="X557">
        <v>0</v>
      </c>
      <c r="Y557">
        <v>0</v>
      </c>
      <c r="Z557">
        <v>0</v>
      </c>
      <c r="AA557">
        <v>0</v>
      </c>
      <c r="AB557">
        <v>0</v>
      </c>
      <c r="AC557">
        <v>0</v>
      </c>
      <c r="AD557">
        <v>0</v>
      </c>
      <c r="AE557">
        <v>0</v>
      </c>
      <c r="AF557">
        <v>0</v>
      </c>
      <c r="AG557">
        <v>0</v>
      </c>
      <c r="AH557">
        <v>0</v>
      </c>
      <c r="AI557">
        <v>0</v>
      </c>
      <c r="AJ557">
        <v>0</v>
      </c>
      <c r="AK557">
        <v>0</v>
      </c>
      <c r="AL557">
        <v>0</v>
      </c>
      <c r="AM557">
        <v>8.58</v>
      </c>
      <c r="AN557">
        <v>0</v>
      </c>
      <c r="AO557">
        <v>0</v>
      </c>
      <c r="AP557">
        <v>0</v>
      </c>
      <c r="AQ557">
        <v>0</v>
      </c>
      <c r="AR557">
        <v>0</v>
      </c>
      <c r="AS557">
        <v>0</v>
      </c>
      <c r="AT557">
        <v>0</v>
      </c>
      <c r="AU557">
        <v>0</v>
      </c>
      <c r="AV557">
        <v>0</v>
      </c>
      <c r="AW557">
        <v>0</v>
      </c>
      <c r="AX557">
        <v>0</v>
      </c>
      <c r="AY557">
        <v>0</v>
      </c>
      <c r="AZ557">
        <v>0</v>
      </c>
      <c r="BA557">
        <v>0</v>
      </c>
      <c r="BB557">
        <v>0</v>
      </c>
      <c r="BC557">
        <v>0</v>
      </c>
      <c r="BD557">
        <v>0</v>
      </c>
      <c r="BE557">
        <v>0</v>
      </c>
      <c r="BF557">
        <v>0</v>
      </c>
      <c r="BG557">
        <v>0</v>
      </c>
      <c r="BH557">
        <v>1</v>
      </c>
      <c r="BI557">
        <v>1</v>
      </c>
      <c r="BJ557">
        <v>0.2</v>
      </c>
      <c r="BK557">
        <v>1</v>
      </c>
      <c r="BL557" s="4">
        <v>50.45</v>
      </c>
      <c r="BM557" s="4">
        <v>7.57</v>
      </c>
      <c r="BN557" s="4">
        <v>58.02</v>
      </c>
      <c r="BO557" s="4">
        <v>58.02</v>
      </c>
      <c r="BQ557" t="s">
        <v>172</v>
      </c>
      <c r="BR557" t="s">
        <v>84</v>
      </c>
      <c r="BS557" s="3">
        <v>43805</v>
      </c>
      <c r="BT557" s="5">
        <v>0.37708333333333338</v>
      </c>
      <c r="BU557" t="s">
        <v>542</v>
      </c>
      <c r="BV557" t="s">
        <v>86</v>
      </c>
      <c r="BY557">
        <v>1200</v>
      </c>
      <c r="CA557" t="s">
        <v>299</v>
      </c>
      <c r="CC557" t="s">
        <v>199</v>
      </c>
      <c r="CD557">
        <v>4000</v>
      </c>
      <c r="CE557" t="s">
        <v>88</v>
      </c>
      <c r="CF557" s="3">
        <v>43808</v>
      </c>
      <c r="CI557">
        <v>1</v>
      </c>
      <c r="CJ557">
        <v>1</v>
      </c>
      <c r="CK557">
        <v>21</v>
      </c>
      <c r="CL557" t="s">
        <v>89</v>
      </c>
    </row>
    <row r="558" spans="1:90">
      <c r="A558" t="s">
        <v>72</v>
      </c>
      <c r="B558" t="s">
        <v>73</v>
      </c>
      <c r="C558" t="s">
        <v>74</v>
      </c>
      <c r="E558" t="str">
        <f>"FES1162726998"</f>
        <v>FES1162726998</v>
      </c>
      <c r="F558" s="3">
        <v>43804</v>
      </c>
      <c r="G558">
        <v>202006</v>
      </c>
      <c r="H558" t="s">
        <v>75</v>
      </c>
      <c r="I558" t="s">
        <v>76</v>
      </c>
      <c r="J558" t="s">
        <v>77</v>
      </c>
      <c r="K558" t="s">
        <v>78</v>
      </c>
      <c r="L558" t="s">
        <v>198</v>
      </c>
      <c r="M558" t="s">
        <v>199</v>
      </c>
      <c r="N558" t="s">
        <v>1031</v>
      </c>
      <c r="O558" t="s">
        <v>82</v>
      </c>
      <c r="P558" t="str">
        <f>"2170710454                    "</f>
        <v xml:space="preserve">2170710454                    </v>
      </c>
      <c r="Q558">
        <v>0</v>
      </c>
      <c r="R558">
        <v>0</v>
      </c>
      <c r="S558">
        <v>0</v>
      </c>
      <c r="T558">
        <v>0</v>
      </c>
      <c r="U558">
        <v>0</v>
      </c>
      <c r="V558">
        <v>0</v>
      </c>
      <c r="W558">
        <v>0</v>
      </c>
      <c r="X558">
        <v>0</v>
      </c>
      <c r="Y558">
        <v>0</v>
      </c>
      <c r="Z558">
        <v>0</v>
      </c>
      <c r="AA558">
        <v>0</v>
      </c>
      <c r="AB558">
        <v>0</v>
      </c>
      <c r="AC558">
        <v>0</v>
      </c>
      <c r="AD558">
        <v>0</v>
      </c>
      <c r="AE558">
        <v>0</v>
      </c>
      <c r="AF558">
        <v>0</v>
      </c>
      <c r="AG558">
        <v>0</v>
      </c>
      <c r="AH558">
        <v>0</v>
      </c>
      <c r="AI558">
        <v>0</v>
      </c>
      <c r="AJ558">
        <v>0</v>
      </c>
      <c r="AK558">
        <v>0</v>
      </c>
      <c r="AL558">
        <v>0</v>
      </c>
      <c r="AM558">
        <v>21.45</v>
      </c>
      <c r="AN558">
        <v>0</v>
      </c>
      <c r="AO558">
        <v>0</v>
      </c>
      <c r="AP558">
        <v>0</v>
      </c>
      <c r="AQ558">
        <v>0</v>
      </c>
      <c r="AR558">
        <v>0</v>
      </c>
      <c r="AS558">
        <v>0</v>
      </c>
      <c r="AT558">
        <v>0</v>
      </c>
      <c r="AU558">
        <v>0</v>
      </c>
      <c r="AV558">
        <v>0</v>
      </c>
      <c r="AW558">
        <v>0</v>
      </c>
      <c r="AX558">
        <v>0</v>
      </c>
      <c r="AY558">
        <v>0</v>
      </c>
      <c r="AZ558">
        <v>0</v>
      </c>
      <c r="BA558">
        <v>0</v>
      </c>
      <c r="BB558">
        <v>0</v>
      </c>
      <c r="BC558">
        <v>0</v>
      </c>
      <c r="BD558">
        <v>0</v>
      </c>
      <c r="BE558">
        <v>0</v>
      </c>
      <c r="BF558">
        <v>0</v>
      </c>
      <c r="BG558">
        <v>0</v>
      </c>
      <c r="BH558">
        <v>1</v>
      </c>
      <c r="BI558">
        <v>3.2</v>
      </c>
      <c r="BJ558">
        <v>4.7</v>
      </c>
      <c r="BK558">
        <v>5</v>
      </c>
      <c r="BL558" s="4">
        <v>126.08</v>
      </c>
      <c r="BM558" s="4">
        <v>18.91</v>
      </c>
      <c r="BN558" s="4">
        <v>144.99</v>
      </c>
      <c r="BO558" s="4">
        <v>144.99</v>
      </c>
      <c r="BQ558" t="s">
        <v>93</v>
      </c>
      <c r="BR558" t="s">
        <v>84</v>
      </c>
      <c r="BS558" s="3">
        <v>43805</v>
      </c>
      <c r="BT558" s="5">
        <v>0.3298611111111111</v>
      </c>
      <c r="BU558" t="s">
        <v>1032</v>
      </c>
      <c r="BV558" t="s">
        <v>86</v>
      </c>
      <c r="BY558">
        <v>23298.6</v>
      </c>
      <c r="CA558" t="s">
        <v>288</v>
      </c>
      <c r="CC558" t="s">
        <v>199</v>
      </c>
      <c r="CD558">
        <v>4001</v>
      </c>
      <c r="CE558" t="s">
        <v>96</v>
      </c>
      <c r="CF558" s="3">
        <v>43808</v>
      </c>
      <c r="CI558">
        <v>1</v>
      </c>
      <c r="CJ558">
        <v>1</v>
      </c>
      <c r="CK558">
        <v>21</v>
      </c>
      <c r="CL558" t="s">
        <v>89</v>
      </c>
    </row>
    <row r="559" spans="1:90">
      <c r="A559" t="s">
        <v>72</v>
      </c>
      <c r="B559" t="s">
        <v>73</v>
      </c>
      <c r="C559" t="s">
        <v>74</v>
      </c>
      <c r="E559" t="str">
        <f>"FES162726959"</f>
        <v>FES162726959</v>
      </c>
      <c r="F559" s="3">
        <v>43804</v>
      </c>
      <c r="G559">
        <v>202006</v>
      </c>
      <c r="H559" t="s">
        <v>75</v>
      </c>
      <c r="I559" t="s">
        <v>76</v>
      </c>
      <c r="J559" t="s">
        <v>77</v>
      </c>
      <c r="K559" t="s">
        <v>78</v>
      </c>
      <c r="L559" t="s">
        <v>564</v>
      </c>
      <c r="M559" t="s">
        <v>565</v>
      </c>
      <c r="N559" t="s">
        <v>566</v>
      </c>
      <c r="O559" t="s">
        <v>82</v>
      </c>
      <c r="P559" t="str">
        <f>"2170720412                    "</f>
        <v xml:space="preserve">2170720412                    </v>
      </c>
      <c r="Q559">
        <v>0</v>
      </c>
      <c r="R559">
        <v>0</v>
      </c>
      <c r="S559">
        <v>0</v>
      </c>
      <c r="T559">
        <v>0</v>
      </c>
      <c r="U559">
        <v>0</v>
      </c>
      <c r="V559">
        <v>0</v>
      </c>
      <c r="W559">
        <v>0</v>
      </c>
      <c r="X559">
        <v>0</v>
      </c>
      <c r="Y559">
        <v>0</v>
      </c>
      <c r="Z559">
        <v>0</v>
      </c>
      <c r="AA559">
        <v>0</v>
      </c>
      <c r="AB559">
        <v>0</v>
      </c>
      <c r="AC559">
        <v>0</v>
      </c>
      <c r="AD559">
        <v>0</v>
      </c>
      <c r="AE559">
        <v>0</v>
      </c>
      <c r="AF559">
        <v>0</v>
      </c>
      <c r="AG559">
        <v>0</v>
      </c>
      <c r="AH559">
        <v>0</v>
      </c>
      <c r="AI559">
        <v>0</v>
      </c>
      <c r="AJ559">
        <v>0</v>
      </c>
      <c r="AK559">
        <v>0</v>
      </c>
      <c r="AL559">
        <v>0</v>
      </c>
      <c r="AM559">
        <v>16.63</v>
      </c>
      <c r="AN559">
        <v>0</v>
      </c>
      <c r="AO559">
        <v>0</v>
      </c>
      <c r="AP559">
        <v>0</v>
      </c>
      <c r="AQ559">
        <v>0</v>
      </c>
      <c r="AR559">
        <v>0</v>
      </c>
      <c r="AS559">
        <v>0</v>
      </c>
      <c r="AT559">
        <v>0</v>
      </c>
      <c r="AU559">
        <v>0</v>
      </c>
      <c r="AV559">
        <v>0</v>
      </c>
      <c r="AW559">
        <v>0</v>
      </c>
      <c r="AX559">
        <v>0</v>
      </c>
      <c r="AY559">
        <v>0</v>
      </c>
      <c r="AZ559">
        <v>0</v>
      </c>
      <c r="BA559">
        <v>0</v>
      </c>
      <c r="BB559">
        <v>0</v>
      </c>
      <c r="BC559">
        <v>0</v>
      </c>
      <c r="BD559">
        <v>0</v>
      </c>
      <c r="BE559">
        <v>0</v>
      </c>
      <c r="BF559">
        <v>0</v>
      </c>
      <c r="BG559">
        <v>0</v>
      </c>
      <c r="BH559">
        <v>1</v>
      </c>
      <c r="BI559">
        <v>1.2</v>
      </c>
      <c r="BJ559">
        <v>0.9</v>
      </c>
      <c r="BK559">
        <v>1.5</v>
      </c>
      <c r="BL559" s="4">
        <v>97.75</v>
      </c>
      <c r="BM559" s="4">
        <v>14.66</v>
      </c>
      <c r="BN559" s="4">
        <v>112.41</v>
      </c>
      <c r="BO559" s="4">
        <v>112.41</v>
      </c>
      <c r="BQ559" t="s">
        <v>135</v>
      </c>
      <c r="BR559" t="s">
        <v>84</v>
      </c>
      <c r="BS559" s="3">
        <v>43805</v>
      </c>
      <c r="BT559" s="5">
        <v>0.72222222222222221</v>
      </c>
      <c r="BU559" t="s">
        <v>1033</v>
      </c>
      <c r="BV559" t="s">
        <v>86</v>
      </c>
      <c r="BY559">
        <v>4651.92</v>
      </c>
      <c r="CC559" t="s">
        <v>565</v>
      </c>
      <c r="CD559">
        <v>4276</v>
      </c>
      <c r="CE559" t="s">
        <v>96</v>
      </c>
      <c r="CI559">
        <v>1</v>
      </c>
      <c r="CJ559">
        <v>1</v>
      </c>
      <c r="CK559">
        <v>23</v>
      </c>
      <c r="CL559" t="s">
        <v>89</v>
      </c>
    </row>
    <row r="560" spans="1:90">
      <c r="A560" t="s">
        <v>72</v>
      </c>
      <c r="B560" t="s">
        <v>73</v>
      </c>
      <c r="C560" t="s">
        <v>74</v>
      </c>
      <c r="E560" t="str">
        <f>"FES1162726988"</f>
        <v>FES1162726988</v>
      </c>
      <c r="F560" s="3">
        <v>43804</v>
      </c>
      <c r="G560">
        <v>202006</v>
      </c>
      <c r="H560" t="s">
        <v>75</v>
      </c>
      <c r="I560" t="s">
        <v>76</v>
      </c>
      <c r="J560" t="s">
        <v>77</v>
      </c>
      <c r="K560" t="s">
        <v>78</v>
      </c>
      <c r="L560" t="s">
        <v>221</v>
      </c>
      <c r="M560" t="s">
        <v>222</v>
      </c>
      <c r="N560" t="s">
        <v>1034</v>
      </c>
      <c r="O560" t="s">
        <v>82</v>
      </c>
      <c r="P560" t="str">
        <f>"21707120437                   "</f>
        <v xml:space="preserve">21707120437                   </v>
      </c>
      <c r="Q560">
        <v>0</v>
      </c>
      <c r="R560">
        <v>0</v>
      </c>
      <c r="S560">
        <v>0</v>
      </c>
      <c r="T560">
        <v>0</v>
      </c>
      <c r="U560">
        <v>0</v>
      </c>
      <c r="V560">
        <v>0</v>
      </c>
      <c r="W560">
        <v>0</v>
      </c>
      <c r="X560">
        <v>0</v>
      </c>
      <c r="Y560">
        <v>0</v>
      </c>
      <c r="Z560">
        <v>0</v>
      </c>
      <c r="AA560">
        <v>0</v>
      </c>
      <c r="AB560">
        <v>0</v>
      </c>
      <c r="AC560">
        <v>0</v>
      </c>
      <c r="AD560">
        <v>0</v>
      </c>
      <c r="AE560">
        <v>0</v>
      </c>
      <c r="AF560">
        <v>0</v>
      </c>
      <c r="AG560">
        <v>0</v>
      </c>
      <c r="AH560">
        <v>0</v>
      </c>
      <c r="AI560">
        <v>0</v>
      </c>
      <c r="AJ560">
        <v>0</v>
      </c>
      <c r="AK560">
        <v>0</v>
      </c>
      <c r="AL560">
        <v>0</v>
      </c>
      <c r="AM560">
        <v>8.58</v>
      </c>
      <c r="AN560">
        <v>0</v>
      </c>
      <c r="AO560">
        <v>0</v>
      </c>
      <c r="AP560">
        <v>0</v>
      </c>
      <c r="AQ560">
        <v>0</v>
      </c>
      <c r="AR560">
        <v>0</v>
      </c>
      <c r="AS560">
        <v>0</v>
      </c>
      <c r="AT560">
        <v>0</v>
      </c>
      <c r="AU560">
        <v>0</v>
      </c>
      <c r="AV560">
        <v>0</v>
      </c>
      <c r="AW560">
        <v>0</v>
      </c>
      <c r="AX560">
        <v>0</v>
      </c>
      <c r="AY560">
        <v>0</v>
      </c>
      <c r="AZ560">
        <v>0</v>
      </c>
      <c r="BA560">
        <v>0</v>
      </c>
      <c r="BB560">
        <v>0</v>
      </c>
      <c r="BC560">
        <v>0</v>
      </c>
      <c r="BD560">
        <v>0</v>
      </c>
      <c r="BE560">
        <v>0</v>
      </c>
      <c r="BF560">
        <v>0</v>
      </c>
      <c r="BG560">
        <v>0</v>
      </c>
      <c r="BH560">
        <v>1</v>
      </c>
      <c r="BI560">
        <v>1.1000000000000001</v>
      </c>
      <c r="BJ560">
        <v>1.9</v>
      </c>
      <c r="BK560">
        <v>2</v>
      </c>
      <c r="BL560" s="4">
        <v>50.45</v>
      </c>
      <c r="BM560" s="4">
        <v>7.57</v>
      </c>
      <c r="BN560" s="4">
        <v>58.02</v>
      </c>
      <c r="BO560" s="4">
        <v>58.02</v>
      </c>
      <c r="BQ560" t="s">
        <v>135</v>
      </c>
      <c r="BR560" t="s">
        <v>84</v>
      </c>
      <c r="BS560" s="3">
        <v>43805</v>
      </c>
      <c r="BT560" s="5">
        <v>0.42986111111111108</v>
      </c>
      <c r="BU560" t="s">
        <v>1035</v>
      </c>
      <c r="BV560" t="s">
        <v>86</v>
      </c>
      <c r="BY560">
        <v>9543.2000000000007</v>
      </c>
      <c r="CA560" t="s">
        <v>247</v>
      </c>
      <c r="CC560" t="s">
        <v>222</v>
      </c>
      <c r="CD560">
        <v>3201</v>
      </c>
      <c r="CE560" t="s">
        <v>96</v>
      </c>
      <c r="CF560" s="3">
        <v>43808</v>
      </c>
      <c r="CI560">
        <v>1</v>
      </c>
      <c r="CJ560">
        <v>1</v>
      </c>
      <c r="CK560">
        <v>21</v>
      </c>
      <c r="CL560" t="s">
        <v>89</v>
      </c>
    </row>
    <row r="561" spans="1:90">
      <c r="A561" t="s">
        <v>72</v>
      </c>
      <c r="B561" t="s">
        <v>73</v>
      </c>
      <c r="C561" t="s">
        <v>74</v>
      </c>
      <c r="E561" t="str">
        <f>"FES1162726960"</f>
        <v>FES1162726960</v>
      </c>
      <c r="F561" s="3">
        <v>43804</v>
      </c>
      <c r="G561">
        <v>202006</v>
      </c>
      <c r="H561" t="s">
        <v>75</v>
      </c>
      <c r="I561" t="s">
        <v>76</v>
      </c>
      <c r="J561" t="s">
        <v>77</v>
      </c>
      <c r="K561" t="s">
        <v>78</v>
      </c>
      <c r="L561" t="s">
        <v>564</v>
      </c>
      <c r="M561" t="s">
        <v>565</v>
      </c>
      <c r="N561" t="s">
        <v>566</v>
      </c>
      <c r="O561" t="s">
        <v>82</v>
      </c>
      <c r="P561" t="str">
        <f>"2170720414                    "</f>
        <v xml:space="preserve">2170720414                    </v>
      </c>
      <c r="Q561">
        <v>0</v>
      </c>
      <c r="R561">
        <v>0</v>
      </c>
      <c r="S561">
        <v>0</v>
      </c>
      <c r="T561">
        <v>0</v>
      </c>
      <c r="U561">
        <v>0</v>
      </c>
      <c r="V561">
        <v>0</v>
      </c>
      <c r="W561">
        <v>0</v>
      </c>
      <c r="X561">
        <v>0</v>
      </c>
      <c r="Y561">
        <v>0</v>
      </c>
      <c r="Z561">
        <v>0</v>
      </c>
      <c r="AA561">
        <v>0</v>
      </c>
      <c r="AB561">
        <v>0</v>
      </c>
      <c r="AC561">
        <v>0</v>
      </c>
      <c r="AD561">
        <v>0</v>
      </c>
      <c r="AE561">
        <v>0</v>
      </c>
      <c r="AF561">
        <v>0</v>
      </c>
      <c r="AG561">
        <v>0</v>
      </c>
      <c r="AH561">
        <v>0</v>
      </c>
      <c r="AI561">
        <v>0</v>
      </c>
      <c r="AJ561">
        <v>0</v>
      </c>
      <c r="AK561">
        <v>0</v>
      </c>
      <c r="AL561">
        <v>0</v>
      </c>
      <c r="AM561">
        <v>16.63</v>
      </c>
      <c r="AN561">
        <v>0</v>
      </c>
      <c r="AO561">
        <v>0</v>
      </c>
      <c r="AP561">
        <v>0</v>
      </c>
      <c r="AQ561">
        <v>0</v>
      </c>
      <c r="AR561">
        <v>0</v>
      </c>
      <c r="AS561">
        <v>0</v>
      </c>
      <c r="AT561">
        <v>0</v>
      </c>
      <c r="AU561">
        <v>0</v>
      </c>
      <c r="AV561">
        <v>0</v>
      </c>
      <c r="AW561">
        <v>0</v>
      </c>
      <c r="AX561">
        <v>0</v>
      </c>
      <c r="AY561">
        <v>0</v>
      </c>
      <c r="AZ561">
        <v>0</v>
      </c>
      <c r="BA561">
        <v>0</v>
      </c>
      <c r="BB561">
        <v>0</v>
      </c>
      <c r="BC561">
        <v>0</v>
      </c>
      <c r="BD561">
        <v>0</v>
      </c>
      <c r="BE561">
        <v>0</v>
      </c>
      <c r="BF561">
        <v>0</v>
      </c>
      <c r="BG561">
        <v>0</v>
      </c>
      <c r="BH561">
        <v>1</v>
      </c>
      <c r="BI561">
        <v>1</v>
      </c>
      <c r="BJ561">
        <v>0.2</v>
      </c>
      <c r="BK561">
        <v>1</v>
      </c>
      <c r="BL561" s="4">
        <v>97.75</v>
      </c>
      <c r="BM561" s="4">
        <v>14.66</v>
      </c>
      <c r="BN561" s="4">
        <v>112.41</v>
      </c>
      <c r="BO561" s="4">
        <v>112.41</v>
      </c>
      <c r="BQ561" t="s">
        <v>135</v>
      </c>
      <c r="BR561" t="s">
        <v>84</v>
      </c>
      <c r="BS561" s="3">
        <v>43805</v>
      </c>
      <c r="BT561" s="5">
        <v>0.70833333333333337</v>
      </c>
      <c r="BU561" t="s">
        <v>1033</v>
      </c>
      <c r="BV561" t="s">
        <v>86</v>
      </c>
      <c r="BY561">
        <v>1200</v>
      </c>
      <c r="CC561" t="s">
        <v>565</v>
      </c>
      <c r="CD561">
        <v>4276</v>
      </c>
      <c r="CE561" t="s">
        <v>88</v>
      </c>
      <c r="CF561" s="3">
        <v>43809</v>
      </c>
      <c r="CI561">
        <v>1</v>
      </c>
      <c r="CJ561">
        <v>1</v>
      </c>
      <c r="CK561">
        <v>23</v>
      </c>
      <c r="CL561" t="s">
        <v>89</v>
      </c>
    </row>
    <row r="562" spans="1:90">
      <c r="A562" t="s">
        <v>72</v>
      </c>
      <c r="B562" t="s">
        <v>73</v>
      </c>
      <c r="C562" t="s">
        <v>74</v>
      </c>
      <c r="E562" t="str">
        <f>"FES1162726958"</f>
        <v>FES1162726958</v>
      </c>
      <c r="F562" s="3">
        <v>43804</v>
      </c>
      <c r="G562">
        <v>202006</v>
      </c>
      <c r="H562" t="s">
        <v>75</v>
      </c>
      <c r="I562" t="s">
        <v>76</v>
      </c>
      <c r="J562" t="s">
        <v>77</v>
      </c>
      <c r="K562" t="s">
        <v>78</v>
      </c>
      <c r="L562" t="s">
        <v>198</v>
      </c>
      <c r="M562" t="s">
        <v>199</v>
      </c>
      <c r="N562" t="s">
        <v>503</v>
      </c>
      <c r="O562" t="s">
        <v>82</v>
      </c>
      <c r="P562" t="str">
        <f>"217071201796                  "</f>
        <v xml:space="preserve">217071201796                  </v>
      </c>
      <c r="Q562">
        <v>0</v>
      </c>
      <c r="R562">
        <v>0</v>
      </c>
      <c r="S562">
        <v>0</v>
      </c>
      <c r="T562">
        <v>0</v>
      </c>
      <c r="U562">
        <v>0</v>
      </c>
      <c r="V562">
        <v>0</v>
      </c>
      <c r="W562">
        <v>0</v>
      </c>
      <c r="X562">
        <v>0</v>
      </c>
      <c r="Y562">
        <v>0</v>
      </c>
      <c r="Z562">
        <v>0</v>
      </c>
      <c r="AA562">
        <v>0</v>
      </c>
      <c r="AB562">
        <v>0</v>
      </c>
      <c r="AC562">
        <v>0</v>
      </c>
      <c r="AD562">
        <v>0</v>
      </c>
      <c r="AE562">
        <v>0</v>
      </c>
      <c r="AF562">
        <v>0</v>
      </c>
      <c r="AG562">
        <v>0</v>
      </c>
      <c r="AH562">
        <v>0</v>
      </c>
      <c r="AI562">
        <v>0</v>
      </c>
      <c r="AJ562">
        <v>0</v>
      </c>
      <c r="AK562">
        <v>0</v>
      </c>
      <c r="AL562">
        <v>0</v>
      </c>
      <c r="AM562">
        <v>23.59</v>
      </c>
      <c r="AN562">
        <v>0</v>
      </c>
      <c r="AO562">
        <v>0</v>
      </c>
      <c r="AP562">
        <v>0</v>
      </c>
      <c r="AQ562">
        <v>0</v>
      </c>
      <c r="AR562">
        <v>0</v>
      </c>
      <c r="AS562">
        <v>0</v>
      </c>
      <c r="AT562">
        <v>0</v>
      </c>
      <c r="AU562">
        <v>0</v>
      </c>
      <c r="AV562">
        <v>0</v>
      </c>
      <c r="AW562">
        <v>0</v>
      </c>
      <c r="AX562">
        <v>0</v>
      </c>
      <c r="AY562">
        <v>0</v>
      </c>
      <c r="AZ562">
        <v>0</v>
      </c>
      <c r="BA562">
        <v>0</v>
      </c>
      <c r="BB562">
        <v>0</v>
      </c>
      <c r="BC562">
        <v>0</v>
      </c>
      <c r="BD562">
        <v>0</v>
      </c>
      <c r="BE562">
        <v>0</v>
      </c>
      <c r="BF562">
        <v>0</v>
      </c>
      <c r="BG562">
        <v>0</v>
      </c>
      <c r="BH562">
        <v>1</v>
      </c>
      <c r="BI562">
        <v>5.0999999999999996</v>
      </c>
      <c r="BJ562">
        <v>1.7</v>
      </c>
      <c r="BK562">
        <v>5.5</v>
      </c>
      <c r="BL562" s="4">
        <v>138.68</v>
      </c>
      <c r="BM562" s="4">
        <v>20.8</v>
      </c>
      <c r="BN562" s="4">
        <v>159.47999999999999</v>
      </c>
      <c r="BO562" s="4">
        <v>159.47999999999999</v>
      </c>
      <c r="BQ562" t="s">
        <v>93</v>
      </c>
      <c r="BR562" t="s">
        <v>84</v>
      </c>
      <c r="BS562" s="3">
        <v>43805</v>
      </c>
      <c r="BT562" s="5">
        <v>0.4284722222222222</v>
      </c>
      <c r="BU562" t="s">
        <v>1036</v>
      </c>
      <c r="BV562" t="s">
        <v>86</v>
      </c>
      <c r="BY562">
        <v>8704.18</v>
      </c>
      <c r="CA562" t="s">
        <v>212</v>
      </c>
      <c r="CC562" t="s">
        <v>199</v>
      </c>
      <c r="CD562">
        <v>4068</v>
      </c>
      <c r="CE562" t="s">
        <v>96</v>
      </c>
      <c r="CF562" s="3">
        <v>43808</v>
      </c>
      <c r="CI562">
        <v>1</v>
      </c>
      <c r="CJ562">
        <v>1</v>
      </c>
      <c r="CK562">
        <v>21</v>
      </c>
      <c r="CL562" t="s">
        <v>89</v>
      </c>
    </row>
    <row r="563" spans="1:90">
      <c r="A563" t="s">
        <v>72</v>
      </c>
      <c r="B563" t="s">
        <v>73</v>
      </c>
      <c r="C563" t="s">
        <v>74</v>
      </c>
      <c r="E563" t="str">
        <f>"FES162726617"</f>
        <v>FES162726617</v>
      </c>
      <c r="F563" s="3">
        <v>43804</v>
      </c>
      <c r="G563">
        <v>202006</v>
      </c>
      <c r="H563" t="s">
        <v>75</v>
      </c>
      <c r="I563" t="s">
        <v>76</v>
      </c>
      <c r="J563" t="s">
        <v>77</v>
      </c>
      <c r="K563" t="s">
        <v>78</v>
      </c>
      <c r="L563" t="s">
        <v>164</v>
      </c>
      <c r="M563" t="s">
        <v>165</v>
      </c>
      <c r="N563" t="s">
        <v>263</v>
      </c>
      <c r="O563" t="s">
        <v>82</v>
      </c>
      <c r="P563" t="str">
        <f>"21707120097                   "</f>
        <v xml:space="preserve">21707120097                   </v>
      </c>
      <c r="Q563">
        <v>0</v>
      </c>
      <c r="R563">
        <v>0</v>
      </c>
      <c r="S563">
        <v>0</v>
      </c>
      <c r="T563">
        <v>0</v>
      </c>
      <c r="U563">
        <v>0</v>
      </c>
      <c r="V563">
        <v>0</v>
      </c>
      <c r="W563">
        <v>0</v>
      </c>
      <c r="X563">
        <v>0</v>
      </c>
      <c r="Y563">
        <v>0</v>
      </c>
      <c r="Z563">
        <v>0</v>
      </c>
      <c r="AA563">
        <v>0</v>
      </c>
      <c r="AB563">
        <v>0</v>
      </c>
      <c r="AC563">
        <v>0</v>
      </c>
      <c r="AD563">
        <v>0</v>
      </c>
      <c r="AE563">
        <v>0</v>
      </c>
      <c r="AF563">
        <v>0</v>
      </c>
      <c r="AG563">
        <v>0</v>
      </c>
      <c r="AH563">
        <v>0</v>
      </c>
      <c r="AI563">
        <v>0</v>
      </c>
      <c r="AJ563">
        <v>0</v>
      </c>
      <c r="AK563">
        <v>0</v>
      </c>
      <c r="AL563">
        <v>0</v>
      </c>
      <c r="AM563">
        <v>40.75</v>
      </c>
      <c r="AN563">
        <v>0</v>
      </c>
      <c r="AO563">
        <v>0</v>
      </c>
      <c r="AP563">
        <v>0</v>
      </c>
      <c r="AQ563">
        <v>0</v>
      </c>
      <c r="AR563">
        <v>0</v>
      </c>
      <c r="AS563">
        <v>0</v>
      </c>
      <c r="AT563">
        <v>0</v>
      </c>
      <c r="AU563">
        <v>0</v>
      </c>
      <c r="AV563">
        <v>0</v>
      </c>
      <c r="AW563">
        <v>0</v>
      </c>
      <c r="AX563">
        <v>0</v>
      </c>
      <c r="AY563">
        <v>0</v>
      </c>
      <c r="AZ563">
        <v>0</v>
      </c>
      <c r="BA563">
        <v>0</v>
      </c>
      <c r="BB563">
        <v>0</v>
      </c>
      <c r="BC563">
        <v>0</v>
      </c>
      <c r="BD563">
        <v>0</v>
      </c>
      <c r="BE563">
        <v>0</v>
      </c>
      <c r="BF563">
        <v>0</v>
      </c>
      <c r="BG563">
        <v>0</v>
      </c>
      <c r="BH563">
        <v>1</v>
      </c>
      <c r="BI563">
        <v>9.5</v>
      </c>
      <c r="BJ563">
        <v>3.8</v>
      </c>
      <c r="BK563">
        <v>9.5</v>
      </c>
      <c r="BL563" s="4">
        <v>239.52</v>
      </c>
      <c r="BM563" s="4">
        <v>35.93</v>
      </c>
      <c r="BN563" s="4">
        <v>275.45</v>
      </c>
      <c r="BO563" s="4">
        <v>275.45</v>
      </c>
      <c r="BQ563" t="s">
        <v>147</v>
      </c>
      <c r="BR563" t="s">
        <v>84</v>
      </c>
      <c r="BS563" s="3">
        <v>43805</v>
      </c>
      <c r="BT563" s="5">
        <v>0.3611111111111111</v>
      </c>
      <c r="BU563" t="s">
        <v>1037</v>
      </c>
      <c r="BV563" t="s">
        <v>86</v>
      </c>
      <c r="BY563">
        <v>19205.900000000001</v>
      </c>
      <c r="CC563" t="s">
        <v>165</v>
      </c>
      <c r="CD563">
        <v>5201</v>
      </c>
      <c r="CE563" t="s">
        <v>96</v>
      </c>
      <c r="CI563">
        <v>1</v>
      </c>
      <c r="CJ563">
        <v>1</v>
      </c>
      <c r="CK563">
        <v>21</v>
      </c>
      <c r="CL563" t="s">
        <v>89</v>
      </c>
    </row>
    <row r="564" spans="1:90">
      <c r="A564" t="s">
        <v>72</v>
      </c>
      <c r="B564" t="s">
        <v>73</v>
      </c>
      <c r="C564" t="s">
        <v>74</v>
      </c>
      <c r="E564" t="str">
        <f>"FES1162726962"</f>
        <v>FES1162726962</v>
      </c>
      <c r="F564" s="3">
        <v>43804</v>
      </c>
      <c r="G564">
        <v>202006</v>
      </c>
      <c r="H564" t="s">
        <v>75</v>
      </c>
      <c r="I564" t="s">
        <v>76</v>
      </c>
      <c r="J564" t="s">
        <v>77</v>
      </c>
      <c r="K564" t="s">
        <v>78</v>
      </c>
      <c r="L564" t="s">
        <v>90</v>
      </c>
      <c r="M564" t="s">
        <v>91</v>
      </c>
      <c r="N564" t="s">
        <v>548</v>
      </c>
      <c r="O564" t="s">
        <v>82</v>
      </c>
      <c r="P564" t="str">
        <f>"21707120424                   "</f>
        <v xml:space="preserve">21707120424                   </v>
      </c>
      <c r="Q564">
        <v>0</v>
      </c>
      <c r="R564">
        <v>0</v>
      </c>
      <c r="S564">
        <v>0</v>
      </c>
      <c r="T564">
        <v>0</v>
      </c>
      <c r="U564">
        <v>0</v>
      </c>
      <c r="V564">
        <v>0</v>
      </c>
      <c r="W564">
        <v>0</v>
      </c>
      <c r="X564">
        <v>0</v>
      </c>
      <c r="Y564">
        <v>0</v>
      </c>
      <c r="Z564">
        <v>0</v>
      </c>
      <c r="AA564">
        <v>0</v>
      </c>
      <c r="AB564">
        <v>0</v>
      </c>
      <c r="AC564">
        <v>0</v>
      </c>
      <c r="AD564">
        <v>0</v>
      </c>
      <c r="AE564">
        <v>0</v>
      </c>
      <c r="AF564">
        <v>0</v>
      </c>
      <c r="AG564">
        <v>0</v>
      </c>
      <c r="AH564">
        <v>0</v>
      </c>
      <c r="AI564">
        <v>0</v>
      </c>
      <c r="AJ564">
        <v>0</v>
      </c>
      <c r="AK564">
        <v>0</v>
      </c>
      <c r="AL564">
        <v>0</v>
      </c>
      <c r="AM564">
        <v>25.74</v>
      </c>
      <c r="AN564">
        <v>0</v>
      </c>
      <c r="AO564">
        <v>0</v>
      </c>
      <c r="AP564">
        <v>0</v>
      </c>
      <c r="AQ564">
        <v>0</v>
      </c>
      <c r="AR564">
        <v>0</v>
      </c>
      <c r="AS564">
        <v>0</v>
      </c>
      <c r="AT564">
        <v>0</v>
      </c>
      <c r="AU564">
        <v>0</v>
      </c>
      <c r="AV564">
        <v>0</v>
      </c>
      <c r="AW564">
        <v>0</v>
      </c>
      <c r="AX564">
        <v>0</v>
      </c>
      <c r="AY564">
        <v>0</v>
      </c>
      <c r="AZ564">
        <v>0</v>
      </c>
      <c r="BA564">
        <v>0</v>
      </c>
      <c r="BB564">
        <v>0</v>
      </c>
      <c r="BC564">
        <v>0</v>
      </c>
      <c r="BD564">
        <v>0</v>
      </c>
      <c r="BE564">
        <v>0</v>
      </c>
      <c r="BF564">
        <v>0</v>
      </c>
      <c r="BG564">
        <v>0</v>
      </c>
      <c r="BH564">
        <v>1</v>
      </c>
      <c r="BI564">
        <v>3</v>
      </c>
      <c r="BJ564">
        <v>5.9</v>
      </c>
      <c r="BK564">
        <v>6</v>
      </c>
      <c r="BL564" s="4">
        <v>151.29</v>
      </c>
      <c r="BM564" s="4">
        <v>22.69</v>
      </c>
      <c r="BN564" s="4">
        <v>173.98</v>
      </c>
      <c r="BO564" s="4">
        <v>173.98</v>
      </c>
      <c r="BQ564" t="s">
        <v>147</v>
      </c>
      <c r="BR564" t="s">
        <v>84</v>
      </c>
      <c r="BS564" s="3">
        <v>43805</v>
      </c>
      <c r="BT564" s="5">
        <v>0.32083333333333336</v>
      </c>
      <c r="BU564" t="s">
        <v>977</v>
      </c>
      <c r="BV564" t="s">
        <v>86</v>
      </c>
      <c r="BY564">
        <v>29415.279999999999</v>
      </c>
      <c r="CA564" t="s">
        <v>550</v>
      </c>
      <c r="CC564" t="s">
        <v>91</v>
      </c>
      <c r="CD564">
        <v>7530</v>
      </c>
      <c r="CE564" t="s">
        <v>116</v>
      </c>
      <c r="CF564" s="3">
        <v>43808</v>
      </c>
      <c r="CI564">
        <v>1</v>
      </c>
      <c r="CJ564">
        <v>1</v>
      </c>
      <c r="CK564">
        <v>21</v>
      </c>
      <c r="CL564" t="s">
        <v>89</v>
      </c>
    </row>
    <row r="565" spans="1:90">
      <c r="A565" t="s">
        <v>72</v>
      </c>
      <c r="B565" t="s">
        <v>73</v>
      </c>
      <c r="C565" t="s">
        <v>74</v>
      </c>
      <c r="E565" t="str">
        <f>"FES1162726996"</f>
        <v>FES1162726996</v>
      </c>
      <c r="F565" s="3">
        <v>43804</v>
      </c>
      <c r="G565">
        <v>202006</v>
      </c>
      <c r="H565" t="s">
        <v>75</v>
      </c>
      <c r="I565" t="s">
        <v>76</v>
      </c>
      <c r="J565" t="s">
        <v>77</v>
      </c>
      <c r="K565" t="s">
        <v>78</v>
      </c>
      <c r="L565" t="s">
        <v>186</v>
      </c>
      <c r="M565" t="s">
        <v>187</v>
      </c>
      <c r="N565" t="s">
        <v>266</v>
      </c>
      <c r="O565" t="s">
        <v>82</v>
      </c>
      <c r="P565" t="str">
        <f>"2170710451                    "</f>
        <v xml:space="preserve">2170710451                    </v>
      </c>
      <c r="Q565">
        <v>0</v>
      </c>
      <c r="R565">
        <v>0</v>
      </c>
      <c r="S565">
        <v>0</v>
      </c>
      <c r="T565">
        <v>0</v>
      </c>
      <c r="U565">
        <v>0</v>
      </c>
      <c r="V565">
        <v>0</v>
      </c>
      <c r="W565">
        <v>0</v>
      </c>
      <c r="X565">
        <v>0</v>
      </c>
      <c r="Y565">
        <v>0</v>
      </c>
      <c r="Z565">
        <v>0</v>
      </c>
      <c r="AA565">
        <v>0</v>
      </c>
      <c r="AB565">
        <v>0</v>
      </c>
      <c r="AC565">
        <v>0</v>
      </c>
      <c r="AD565">
        <v>0</v>
      </c>
      <c r="AE565">
        <v>0</v>
      </c>
      <c r="AF565">
        <v>0</v>
      </c>
      <c r="AG565">
        <v>0</v>
      </c>
      <c r="AH565">
        <v>0</v>
      </c>
      <c r="AI565">
        <v>0</v>
      </c>
      <c r="AJ565">
        <v>0</v>
      </c>
      <c r="AK565">
        <v>0</v>
      </c>
      <c r="AL565">
        <v>0</v>
      </c>
      <c r="AM565">
        <v>16.63</v>
      </c>
      <c r="AN565">
        <v>0</v>
      </c>
      <c r="AO565">
        <v>0</v>
      </c>
      <c r="AP565">
        <v>0</v>
      </c>
      <c r="AQ565">
        <v>0</v>
      </c>
      <c r="AR565">
        <v>0</v>
      </c>
      <c r="AS565">
        <v>0</v>
      </c>
      <c r="AT565">
        <v>0</v>
      </c>
      <c r="AU565">
        <v>0</v>
      </c>
      <c r="AV565">
        <v>0</v>
      </c>
      <c r="AW565">
        <v>0</v>
      </c>
      <c r="AX565">
        <v>0</v>
      </c>
      <c r="AY565">
        <v>0</v>
      </c>
      <c r="AZ565">
        <v>0</v>
      </c>
      <c r="BA565">
        <v>0</v>
      </c>
      <c r="BB565">
        <v>0</v>
      </c>
      <c r="BC565">
        <v>0</v>
      </c>
      <c r="BD565">
        <v>0</v>
      </c>
      <c r="BE565">
        <v>0</v>
      </c>
      <c r="BF565">
        <v>0</v>
      </c>
      <c r="BG565">
        <v>0</v>
      </c>
      <c r="BH565">
        <v>1</v>
      </c>
      <c r="BI565">
        <v>1.9</v>
      </c>
      <c r="BJ565">
        <v>1.6</v>
      </c>
      <c r="BK565">
        <v>2</v>
      </c>
      <c r="BL565" s="4">
        <v>97.75</v>
      </c>
      <c r="BM565" s="4">
        <v>14.66</v>
      </c>
      <c r="BN565" s="4">
        <v>112.41</v>
      </c>
      <c r="BO565" s="4">
        <v>112.41</v>
      </c>
      <c r="BQ565" t="s">
        <v>135</v>
      </c>
      <c r="BR565" t="s">
        <v>84</v>
      </c>
      <c r="BS565" s="3">
        <v>43808</v>
      </c>
      <c r="BT565" s="5">
        <v>0.37847222222222227</v>
      </c>
      <c r="BU565" t="s">
        <v>267</v>
      </c>
      <c r="BV565" t="s">
        <v>86</v>
      </c>
      <c r="BY565">
        <v>7820.23</v>
      </c>
      <c r="CA565" t="s">
        <v>190</v>
      </c>
      <c r="CC565" t="s">
        <v>187</v>
      </c>
      <c r="CD565">
        <v>6850</v>
      </c>
      <c r="CE565" t="s">
        <v>96</v>
      </c>
      <c r="CF565" s="3">
        <v>43809</v>
      </c>
      <c r="CI565">
        <v>3</v>
      </c>
      <c r="CJ565">
        <v>2</v>
      </c>
      <c r="CK565">
        <v>23</v>
      </c>
      <c r="CL565" t="s">
        <v>89</v>
      </c>
    </row>
    <row r="566" spans="1:90">
      <c r="A566" t="s">
        <v>72</v>
      </c>
      <c r="B566" t="s">
        <v>73</v>
      </c>
      <c r="C566" t="s">
        <v>74</v>
      </c>
      <c r="E566" t="str">
        <f>"FES1162726956"</f>
        <v>FES1162726956</v>
      </c>
      <c r="F566" s="3">
        <v>43804</v>
      </c>
      <c r="G566">
        <v>202006</v>
      </c>
      <c r="H566" t="s">
        <v>75</v>
      </c>
      <c r="I566" t="s">
        <v>76</v>
      </c>
      <c r="J566" t="s">
        <v>77</v>
      </c>
      <c r="K566" t="s">
        <v>78</v>
      </c>
      <c r="L566" t="s">
        <v>332</v>
      </c>
      <c r="M566" t="s">
        <v>333</v>
      </c>
      <c r="N566" t="s">
        <v>701</v>
      </c>
      <c r="O566" t="s">
        <v>82</v>
      </c>
      <c r="P566" t="str">
        <f>"21707120421                   "</f>
        <v xml:space="preserve">21707120421                   </v>
      </c>
      <c r="Q566">
        <v>0</v>
      </c>
      <c r="R566">
        <v>0</v>
      </c>
      <c r="S566">
        <v>0</v>
      </c>
      <c r="T566">
        <v>0</v>
      </c>
      <c r="U566">
        <v>0</v>
      </c>
      <c r="V566">
        <v>0</v>
      </c>
      <c r="W566">
        <v>0</v>
      </c>
      <c r="X566">
        <v>0</v>
      </c>
      <c r="Y566">
        <v>0</v>
      </c>
      <c r="Z566">
        <v>0</v>
      </c>
      <c r="AA566">
        <v>0</v>
      </c>
      <c r="AB566">
        <v>0</v>
      </c>
      <c r="AC566">
        <v>0</v>
      </c>
      <c r="AD566">
        <v>0</v>
      </c>
      <c r="AE566">
        <v>0</v>
      </c>
      <c r="AF566">
        <v>0</v>
      </c>
      <c r="AG566">
        <v>0</v>
      </c>
      <c r="AH566">
        <v>0</v>
      </c>
      <c r="AI566">
        <v>0</v>
      </c>
      <c r="AJ566">
        <v>0</v>
      </c>
      <c r="AK566">
        <v>0</v>
      </c>
      <c r="AL566">
        <v>0</v>
      </c>
      <c r="AM566">
        <v>10.72</v>
      </c>
      <c r="AN566">
        <v>0</v>
      </c>
      <c r="AO566">
        <v>0</v>
      </c>
      <c r="AP566">
        <v>0</v>
      </c>
      <c r="AQ566">
        <v>0</v>
      </c>
      <c r="AR566">
        <v>0</v>
      </c>
      <c r="AS566">
        <v>0</v>
      </c>
      <c r="AT566">
        <v>0</v>
      </c>
      <c r="AU566">
        <v>0</v>
      </c>
      <c r="AV566">
        <v>0</v>
      </c>
      <c r="AW566">
        <v>0</v>
      </c>
      <c r="AX566">
        <v>0</v>
      </c>
      <c r="AY566">
        <v>0</v>
      </c>
      <c r="AZ566">
        <v>0</v>
      </c>
      <c r="BA566">
        <v>0</v>
      </c>
      <c r="BB566">
        <v>0</v>
      </c>
      <c r="BC566">
        <v>0</v>
      </c>
      <c r="BD566">
        <v>0</v>
      </c>
      <c r="BE566">
        <v>0</v>
      </c>
      <c r="BF566">
        <v>0</v>
      </c>
      <c r="BG566">
        <v>0</v>
      </c>
      <c r="BH566">
        <v>1</v>
      </c>
      <c r="BI566">
        <v>4.5</v>
      </c>
      <c r="BJ566">
        <v>1.6</v>
      </c>
      <c r="BK566">
        <v>4.5</v>
      </c>
      <c r="BL566" s="4">
        <v>63.03</v>
      </c>
      <c r="BM566" s="4">
        <v>9.4499999999999993</v>
      </c>
      <c r="BN566" s="4">
        <v>72.48</v>
      </c>
      <c r="BO566" s="4">
        <v>72.48</v>
      </c>
      <c r="BQ566" t="s">
        <v>93</v>
      </c>
      <c r="BR566" t="s">
        <v>84</v>
      </c>
      <c r="BS566" s="3">
        <v>43805</v>
      </c>
      <c r="BT566" s="5">
        <v>0.39166666666666666</v>
      </c>
      <c r="BU566" t="s">
        <v>142</v>
      </c>
      <c r="BV566" t="s">
        <v>86</v>
      </c>
      <c r="BY566">
        <v>8008.11</v>
      </c>
      <c r="CC566" t="s">
        <v>333</v>
      </c>
      <c r="CD566">
        <v>2094</v>
      </c>
      <c r="CE566" t="s">
        <v>96</v>
      </c>
      <c r="CF566" s="3">
        <v>43808</v>
      </c>
      <c r="CI566">
        <v>1</v>
      </c>
      <c r="CJ566">
        <v>1</v>
      </c>
      <c r="CK566">
        <v>22</v>
      </c>
      <c r="CL566" t="s">
        <v>89</v>
      </c>
    </row>
    <row r="567" spans="1:90">
      <c r="A567" t="s">
        <v>72</v>
      </c>
      <c r="B567" t="s">
        <v>73</v>
      </c>
      <c r="C567" t="s">
        <v>74</v>
      </c>
      <c r="E567" t="str">
        <f>"FES1162726986"</f>
        <v>FES1162726986</v>
      </c>
      <c r="F567" s="3">
        <v>43804</v>
      </c>
      <c r="G567">
        <v>202006</v>
      </c>
      <c r="H567" t="s">
        <v>75</v>
      </c>
      <c r="I567" t="s">
        <v>76</v>
      </c>
      <c r="J567" t="s">
        <v>77</v>
      </c>
      <c r="K567" t="s">
        <v>78</v>
      </c>
      <c r="L567" t="s">
        <v>75</v>
      </c>
      <c r="M567" t="s">
        <v>76</v>
      </c>
      <c r="N567" t="s">
        <v>1038</v>
      </c>
      <c r="O567" t="s">
        <v>82</v>
      </c>
      <c r="P567" t="str">
        <f>"21707120121                   "</f>
        <v xml:space="preserve">21707120121                   </v>
      </c>
      <c r="Q567">
        <v>0</v>
      </c>
      <c r="R567">
        <v>0</v>
      </c>
      <c r="S567">
        <v>0</v>
      </c>
      <c r="T567">
        <v>0</v>
      </c>
      <c r="U567">
        <v>0</v>
      </c>
      <c r="V567">
        <v>0</v>
      </c>
      <c r="W567">
        <v>0</v>
      </c>
      <c r="X567">
        <v>0</v>
      </c>
      <c r="Y567">
        <v>0</v>
      </c>
      <c r="Z567">
        <v>0</v>
      </c>
      <c r="AA567">
        <v>0</v>
      </c>
      <c r="AB567">
        <v>0</v>
      </c>
      <c r="AC567">
        <v>0</v>
      </c>
      <c r="AD567">
        <v>0</v>
      </c>
      <c r="AE567">
        <v>0</v>
      </c>
      <c r="AF567">
        <v>0</v>
      </c>
      <c r="AG567">
        <v>0</v>
      </c>
      <c r="AH567">
        <v>0</v>
      </c>
      <c r="AI567">
        <v>0</v>
      </c>
      <c r="AJ567">
        <v>0</v>
      </c>
      <c r="AK567">
        <v>0</v>
      </c>
      <c r="AL567">
        <v>0</v>
      </c>
      <c r="AM567">
        <v>6.71</v>
      </c>
      <c r="AN567">
        <v>0</v>
      </c>
      <c r="AO567">
        <v>0</v>
      </c>
      <c r="AP567">
        <v>0</v>
      </c>
      <c r="AQ567">
        <v>0</v>
      </c>
      <c r="AR567">
        <v>0</v>
      </c>
      <c r="AS567">
        <v>0</v>
      </c>
      <c r="AT567">
        <v>0</v>
      </c>
      <c r="AU567">
        <v>0</v>
      </c>
      <c r="AV567">
        <v>0</v>
      </c>
      <c r="AW567">
        <v>0</v>
      </c>
      <c r="AX567">
        <v>0</v>
      </c>
      <c r="AY567">
        <v>0</v>
      </c>
      <c r="AZ567">
        <v>0</v>
      </c>
      <c r="BA567">
        <v>0</v>
      </c>
      <c r="BB567">
        <v>0</v>
      </c>
      <c r="BC567">
        <v>0</v>
      </c>
      <c r="BD567">
        <v>0</v>
      </c>
      <c r="BE567">
        <v>0</v>
      </c>
      <c r="BF567">
        <v>0</v>
      </c>
      <c r="BG567">
        <v>0</v>
      </c>
      <c r="BH567">
        <v>1</v>
      </c>
      <c r="BI567">
        <v>1.9</v>
      </c>
      <c r="BJ567">
        <v>0.7</v>
      </c>
      <c r="BK567">
        <v>2</v>
      </c>
      <c r="BL567" s="4">
        <v>39.42</v>
      </c>
      <c r="BM567" s="4">
        <v>5.91</v>
      </c>
      <c r="BN567" s="4">
        <v>45.33</v>
      </c>
      <c r="BO567" s="4">
        <v>45.33</v>
      </c>
      <c r="BQ567" t="s">
        <v>93</v>
      </c>
      <c r="BR567" t="s">
        <v>84</v>
      </c>
      <c r="BS567" s="3">
        <v>43805</v>
      </c>
      <c r="BT567" s="5">
        <v>0.39374999999999999</v>
      </c>
      <c r="BU567" t="s">
        <v>1039</v>
      </c>
      <c r="BV567" t="s">
        <v>86</v>
      </c>
      <c r="BY567">
        <v>3253.98</v>
      </c>
      <c r="CA567" t="s">
        <v>588</v>
      </c>
      <c r="CC567" t="s">
        <v>76</v>
      </c>
      <c r="CD567">
        <v>1625</v>
      </c>
      <c r="CE567" t="s">
        <v>96</v>
      </c>
      <c r="CI567">
        <v>1</v>
      </c>
      <c r="CJ567">
        <v>1</v>
      </c>
      <c r="CK567">
        <v>22</v>
      </c>
      <c r="CL567" t="s">
        <v>89</v>
      </c>
    </row>
    <row r="568" spans="1:90">
      <c r="A568" t="s">
        <v>72</v>
      </c>
      <c r="B568" t="s">
        <v>73</v>
      </c>
      <c r="C568" t="s">
        <v>74</v>
      </c>
      <c r="E568" t="str">
        <f>"FES1162726900"</f>
        <v>FES1162726900</v>
      </c>
      <c r="F568" s="3">
        <v>43804</v>
      </c>
      <c r="G568">
        <v>202006</v>
      </c>
      <c r="H568" t="s">
        <v>75</v>
      </c>
      <c r="I568" t="s">
        <v>76</v>
      </c>
      <c r="J568" t="s">
        <v>77</v>
      </c>
      <c r="K568" t="s">
        <v>78</v>
      </c>
      <c r="L568" t="s">
        <v>332</v>
      </c>
      <c r="M568" t="s">
        <v>333</v>
      </c>
      <c r="N568" t="s">
        <v>1040</v>
      </c>
      <c r="O568" t="s">
        <v>82</v>
      </c>
      <c r="P568" t="str">
        <f>"2170720338                    "</f>
        <v xml:space="preserve">2170720338                    </v>
      </c>
      <c r="Q568">
        <v>0</v>
      </c>
      <c r="R568">
        <v>0</v>
      </c>
      <c r="S568">
        <v>0</v>
      </c>
      <c r="T568">
        <v>0</v>
      </c>
      <c r="U568">
        <v>0</v>
      </c>
      <c r="V568">
        <v>0</v>
      </c>
      <c r="W568">
        <v>0</v>
      </c>
      <c r="X568">
        <v>0</v>
      </c>
      <c r="Y568">
        <v>0</v>
      </c>
      <c r="Z568">
        <v>0</v>
      </c>
      <c r="AA568">
        <v>0</v>
      </c>
      <c r="AB568">
        <v>0</v>
      </c>
      <c r="AC568">
        <v>0</v>
      </c>
      <c r="AD568">
        <v>0</v>
      </c>
      <c r="AE568">
        <v>0</v>
      </c>
      <c r="AF568">
        <v>0</v>
      </c>
      <c r="AG568">
        <v>0</v>
      </c>
      <c r="AH568">
        <v>0</v>
      </c>
      <c r="AI568">
        <v>0</v>
      </c>
      <c r="AJ568">
        <v>0</v>
      </c>
      <c r="AK568">
        <v>0</v>
      </c>
      <c r="AL568">
        <v>0</v>
      </c>
      <c r="AM568">
        <v>13.13</v>
      </c>
      <c r="AN568">
        <v>0</v>
      </c>
      <c r="AO568">
        <v>0</v>
      </c>
      <c r="AP568">
        <v>0</v>
      </c>
      <c r="AQ568">
        <v>0</v>
      </c>
      <c r="AR568">
        <v>0</v>
      </c>
      <c r="AS568">
        <v>0</v>
      </c>
      <c r="AT568">
        <v>0</v>
      </c>
      <c r="AU568">
        <v>0</v>
      </c>
      <c r="AV568">
        <v>0</v>
      </c>
      <c r="AW568">
        <v>0</v>
      </c>
      <c r="AX568">
        <v>0</v>
      </c>
      <c r="AY568">
        <v>0</v>
      </c>
      <c r="AZ568">
        <v>0</v>
      </c>
      <c r="BA568">
        <v>0</v>
      </c>
      <c r="BB568">
        <v>0</v>
      </c>
      <c r="BC568">
        <v>0</v>
      </c>
      <c r="BD568">
        <v>0</v>
      </c>
      <c r="BE568">
        <v>0</v>
      </c>
      <c r="BF568">
        <v>0</v>
      </c>
      <c r="BG568">
        <v>0</v>
      </c>
      <c r="BH568">
        <v>1</v>
      </c>
      <c r="BI568">
        <v>2</v>
      </c>
      <c r="BJ568">
        <v>5.7</v>
      </c>
      <c r="BK568">
        <v>6</v>
      </c>
      <c r="BL568" s="4">
        <v>77.2</v>
      </c>
      <c r="BM568" s="4">
        <v>11.58</v>
      </c>
      <c r="BN568" s="4">
        <v>88.78</v>
      </c>
      <c r="BO568" s="4">
        <v>88.78</v>
      </c>
      <c r="BQ568" t="s">
        <v>135</v>
      </c>
      <c r="BR568" t="s">
        <v>84</v>
      </c>
      <c r="BS568" s="3">
        <v>43805</v>
      </c>
      <c r="BT568" s="5">
        <v>0.36874999999999997</v>
      </c>
      <c r="BU568" t="s">
        <v>1041</v>
      </c>
      <c r="BV568" t="s">
        <v>86</v>
      </c>
      <c r="BY568">
        <v>28332.55</v>
      </c>
      <c r="CC568" t="s">
        <v>333</v>
      </c>
      <c r="CD568">
        <v>2001</v>
      </c>
      <c r="CE568" t="s">
        <v>116</v>
      </c>
      <c r="CF568" s="3">
        <v>43808</v>
      </c>
      <c r="CI568">
        <v>1</v>
      </c>
      <c r="CJ568">
        <v>1</v>
      </c>
      <c r="CK568">
        <v>22</v>
      </c>
      <c r="CL568" t="s">
        <v>89</v>
      </c>
    </row>
    <row r="569" spans="1:90">
      <c r="A569" t="s">
        <v>72</v>
      </c>
      <c r="B569" t="s">
        <v>73</v>
      </c>
      <c r="C569" t="s">
        <v>74</v>
      </c>
      <c r="E569" t="str">
        <f>"FES1162727006"</f>
        <v>FES1162727006</v>
      </c>
      <c r="F569" s="3">
        <v>43804</v>
      </c>
      <c r="G569">
        <v>202006</v>
      </c>
      <c r="H569" t="s">
        <v>75</v>
      </c>
      <c r="I569" t="s">
        <v>76</v>
      </c>
      <c r="J569" t="s">
        <v>77</v>
      </c>
      <c r="K569" t="s">
        <v>78</v>
      </c>
      <c r="L569" t="s">
        <v>90</v>
      </c>
      <c r="M569" t="s">
        <v>91</v>
      </c>
      <c r="N569" t="s">
        <v>219</v>
      </c>
      <c r="O569" t="s">
        <v>82</v>
      </c>
      <c r="P569" t="str">
        <f>"2170720464                    "</f>
        <v xml:space="preserve">2170720464                    </v>
      </c>
      <c r="Q569">
        <v>0</v>
      </c>
      <c r="R569">
        <v>0</v>
      </c>
      <c r="S569">
        <v>0</v>
      </c>
      <c r="T569">
        <v>0</v>
      </c>
      <c r="U569">
        <v>0</v>
      </c>
      <c r="V569">
        <v>0</v>
      </c>
      <c r="W569">
        <v>0</v>
      </c>
      <c r="X569">
        <v>0</v>
      </c>
      <c r="Y569">
        <v>0</v>
      </c>
      <c r="Z569">
        <v>0</v>
      </c>
      <c r="AA569">
        <v>0</v>
      </c>
      <c r="AB569">
        <v>0</v>
      </c>
      <c r="AC569">
        <v>0</v>
      </c>
      <c r="AD569">
        <v>0</v>
      </c>
      <c r="AE569">
        <v>0</v>
      </c>
      <c r="AF569">
        <v>0</v>
      </c>
      <c r="AG569">
        <v>0</v>
      </c>
      <c r="AH569">
        <v>0</v>
      </c>
      <c r="AI569">
        <v>0</v>
      </c>
      <c r="AJ569">
        <v>0</v>
      </c>
      <c r="AK569">
        <v>0</v>
      </c>
      <c r="AL569">
        <v>0</v>
      </c>
      <c r="AM569">
        <v>10.73</v>
      </c>
      <c r="AN569">
        <v>0</v>
      </c>
      <c r="AO569">
        <v>0</v>
      </c>
      <c r="AP569">
        <v>0</v>
      </c>
      <c r="AQ569">
        <v>0</v>
      </c>
      <c r="AR569">
        <v>0</v>
      </c>
      <c r="AS569">
        <v>0</v>
      </c>
      <c r="AT569">
        <v>0</v>
      </c>
      <c r="AU569">
        <v>0</v>
      </c>
      <c r="AV569">
        <v>0</v>
      </c>
      <c r="AW569">
        <v>0</v>
      </c>
      <c r="AX569">
        <v>0</v>
      </c>
      <c r="AY569">
        <v>0</v>
      </c>
      <c r="AZ569">
        <v>0</v>
      </c>
      <c r="BA569">
        <v>0</v>
      </c>
      <c r="BB569">
        <v>0</v>
      </c>
      <c r="BC569">
        <v>0</v>
      </c>
      <c r="BD569">
        <v>0</v>
      </c>
      <c r="BE569">
        <v>0</v>
      </c>
      <c r="BF569">
        <v>0</v>
      </c>
      <c r="BG569">
        <v>0</v>
      </c>
      <c r="BH569">
        <v>1</v>
      </c>
      <c r="BI569">
        <v>2.1</v>
      </c>
      <c r="BJ569">
        <v>1.8</v>
      </c>
      <c r="BK569">
        <v>2.5</v>
      </c>
      <c r="BL569" s="4">
        <v>63.06</v>
      </c>
      <c r="BM569" s="4">
        <v>9.4600000000000009</v>
      </c>
      <c r="BN569" s="4">
        <v>72.52</v>
      </c>
      <c r="BO569" s="4">
        <v>72.52</v>
      </c>
      <c r="BQ569" t="s">
        <v>147</v>
      </c>
      <c r="BR569" t="s">
        <v>84</v>
      </c>
      <c r="BS569" s="3">
        <v>43805</v>
      </c>
      <c r="BT569" s="5">
        <v>0.36527777777777781</v>
      </c>
      <c r="BU569" t="s">
        <v>976</v>
      </c>
      <c r="BV569" t="s">
        <v>86</v>
      </c>
      <c r="BY569">
        <v>9158.3799999999992</v>
      </c>
      <c r="CA569" t="s">
        <v>112</v>
      </c>
      <c r="CC569" t="s">
        <v>91</v>
      </c>
      <c r="CD569">
        <v>7441</v>
      </c>
      <c r="CE569" t="s">
        <v>96</v>
      </c>
      <c r="CF569" s="3">
        <v>43808</v>
      </c>
      <c r="CI569">
        <v>1</v>
      </c>
      <c r="CJ569">
        <v>1</v>
      </c>
      <c r="CK569">
        <v>21</v>
      </c>
      <c r="CL569" t="s">
        <v>89</v>
      </c>
    </row>
    <row r="570" spans="1:90">
      <c r="A570" t="s">
        <v>72</v>
      </c>
      <c r="B570" t="s">
        <v>73</v>
      </c>
      <c r="C570" t="s">
        <v>74</v>
      </c>
      <c r="E570" t="str">
        <f>"FES1162727014"</f>
        <v>FES1162727014</v>
      </c>
      <c r="F570" s="3">
        <v>43804</v>
      </c>
      <c r="G570">
        <v>202006</v>
      </c>
      <c r="H570" t="s">
        <v>75</v>
      </c>
      <c r="I570" t="s">
        <v>76</v>
      </c>
      <c r="J570" t="s">
        <v>77</v>
      </c>
      <c r="K570" t="s">
        <v>78</v>
      </c>
      <c r="L570" t="s">
        <v>90</v>
      </c>
      <c r="M570" t="s">
        <v>91</v>
      </c>
      <c r="N570" t="s">
        <v>207</v>
      </c>
      <c r="O570" t="s">
        <v>82</v>
      </c>
      <c r="P570" t="str">
        <f>"217071473                     "</f>
        <v xml:space="preserve">217071473                     </v>
      </c>
      <c r="Q570">
        <v>0</v>
      </c>
      <c r="R570">
        <v>0</v>
      </c>
      <c r="S570">
        <v>0</v>
      </c>
      <c r="T570">
        <v>0</v>
      </c>
      <c r="U570">
        <v>0</v>
      </c>
      <c r="V570">
        <v>0</v>
      </c>
      <c r="W570">
        <v>0</v>
      </c>
      <c r="X570">
        <v>0</v>
      </c>
      <c r="Y570">
        <v>0</v>
      </c>
      <c r="Z570">
        <v>0</v>
      </c>
      <c r="AA570">
        <v>0</v>
      </c>
      <c r="AB570">
        <v>0</v>
      </c>
      <c r="AC570">
        <v>0</v>
      </c>
      <c r="AD570">
        <v>0</v>
      </c>
      <c r="AE570">
        <v>0</v>
      </c>
      <c r="AF570">
        <v>0</v>
      </c>
      <c r="AG570">
        <v>0</v>
      </c>
      <c r="AH570">
        <v>0</v>
      </c>
      <c r="AI570">
        <v>0</v>
      </c>
      <c r="AJ570">
        <v>0</v>
      </c>
      <c r="AK570">
        <v>0</v>
      </c>
      <c r="AL570">
        <v>0</v>
      </c>
      <c r="AM570">
        <v>8.58</v>
      </c>
      <c r="AN570">
        <v>0</v>
      </c>
      <c r="AO570">
        <v>0</v>
      </c>
      <c r="AP570">
        <v>0</v>
      </c>
      <c r="AQ570">
        <v>0</v>
      </c>
      <c r="AR570">
        <v>0</v>
      </c>
      <c r="AS570">
        <v>0</v>
      </c>
      <c r="AT570">
        <v>0</v>
      </c>
      <c r="AU570">
        <v>0</v>
      </c>
      <c r="AV570">
        <v>0</v>
      </c>
      <c r="AW570">
        <v>0</v>
      </c>
      <c r="AX570">
        <v>0</v>
      </c>
      <c r="AY570">
        <v>0</v>
      </c>
      <c r="AZ570">
        <v>0</v>
      </c>
      <c r="BA570">
        <v>0</v>
      </c>
      <c r="BB570">
        <v>0</v>
      </c>
      <c r="BC570">
        <v>0</v>
      </c>
      <c r="BD570">
        <v>0</v>
      </c>
      <c r="BE570">
        <v>0</v>
      </c>
      <c r="BF570">
        <v>0</v>
      </c>
      <c r="BG570">
        <v>0</v>
      </c>
      <c r="BH570">
        <v>1</v>
      </c>
      <c r="BI570">
        <v>2</v>
      </c>
      <c r="BJ570">
        <v>1.1000000000000001</v>
      </c>
      <c r="BK570">
        <v>2</v>
      </c>
      <c r="BL570" s="4">
        <v>50.45</v>
      </c>
      <c r="BM570" s="4">
        <v>7.57</v>
      </c>
      <c r="BN570" s="4">
        <v>58.02</v>
      </c>
      <c r="BO570" s="4">
        <v>58.02</v>
      </c>
      <c r="BQ570" t="s">
        <v>147</v>
      </c>
      <c r="BR570" t="s">
        <v>84</v>
      </c>
      <c r="BS570" s="3">
        <v>43805</v>
      </c>
      <c r="BT570" s="5">
        <v>0.37847222222222227</v>
      </c>
      <c r="BU570" t="s">
        <v>1042</v>
      </c>
      <c r="BV570" t="s">
        <v>86</v>
      </c>
      <c r="BY570">
        <v>5427.24</v>
      </c>
      <c r="CA570" t="s">
        <v>209</v>
      </c>
      <c r="CC570" t="s">
        <v>91</v>
      </c>
      <c r="CD570">
        <v>7441</v>
      </c>
      <c r="CE570" t="s">
        <v>96</v>
      </c>
      <c r="CF570" s="3">
        <v>43808</v>
      </c>
      <c r="CI570">
        <v>1</v>
      </c>
      <c r="CJ570">
        <v>1</v>
      </c>
      <c r="CK570">
        <v>21</v>
      </c>
      <c r="CL570" t="s">
        <v>89</v>
      </c>
    </row>
    <row r="571" spans="1:90">
      <c r="A571" t="s">
        <v>72</v>
      </c>
      <c r="B571" t="s">
        <v>73</v>
      </c>
      <c r="C571" t="s">
        <v>74</v>
      </c>
      <c r="E571" t="str">
        <f>"FES1162726940"</f>
        <v>FES1162726940</v>
      </c>
      <c r="F571" s="3">
        <v>43804</v>
      </c>
      <c r="G571">
        <v>202006</v>
      </c>
      <c r="H571" t="s">
        <v>75</v>
      </c>
      <c r="I571" t="s">
        <v>76</v>
      </c>
      <c r="J571" t="s">
        <v>77</v>
      </c>
      <c r="K571" t="s">
        <v>78</v>
      </c>
      <c r="L571" t="s">
        <v>201</v>
      </c>
      <c r="M571" t="s">
        <v>202</v>
      </c>
      <c r="N571" t="s">
        <v>511</v>
      </c>
      <c r="O571" t="s">
        <v>82</v>
      </c>
      <c r="P571" t="str">
        <f>"21707240400                   "</f>
        <v xml:space="preserve">21707240400                   </v>
      </c>
      <c r="Q571">
        <v>0</v>
      </c>
      <c r="R571">
        <v>0</v>
      </c>
      <c r="S571">
        <v>0</v>
      </c>
      <c r="T571">
        <v>0</v>
      </c>
      <c r="U571">
        <v>0</v>
      </c>
      <c r="V571">
        <v>0</v>
      </c>
      <c r="W571">
        <v>0</v>
      </c>
      <c r="X571">
        <v>0</v>
      </c>
      <c r="Y571">
        <v>0</v>
      </c>
      <c r="Z571">
        <v>0</v>
      </c>
      <c r="AA571">
        <v>0</v>
      </c>
      <c r="AB571">
        <v>0</v>
      </c>
      <c r="AC571">
        <v>0</v>
      </c>
      <c r="AD571">
        <v>0</v>
      </c>
      <c r="AE571">
        <v>0</v>
      </c>
      <c r="AF571">
        <v>0</v>
      </c>
      <c r="AG571">
        <v>0</v>
      </c>
      <c r="AH571">
        <v>0</v>
      </c>
      <c r="AI571">
        <v>0</v>
      </c>
      <c r="AJ571">
        <v>0</v>
      </c>
      <c r="AK571">
        <v>0</v>
      </c>
      <c r="AL571">
        <v>0</v>
      </c>
      <c r="AM571">
        <v>8.58</v>
      </c>
      <c r="AN571">
        <v>0</v>
      </c>
      <c r="AO571">
        <v>0</v>
      </c>
      <c r="AP571">
        <v>0</v>
      </c>
      <c r="AQ571">
        <v>0</v>
      </c>
      <c r="AR571">
        <v>0</v>
      </c>
      <c r="AS571">
        <v>0</v>
      </c>
      <c r="AT571">
        <v>0</v>
      </c>
      <c r="AU571">
        <v>0</v>
      </c>
      <c r="AV571">
        <v>0</v>
      </c>
      <c r="AW571">
        <v>0</v>
      </c>
      <c r="AX571">
        <v>0</v>
      </c>
      <c r="AY571">
        <v>0</v>
      </c>
      <c r="AZ571">
        <v>0</v>
      </c>
      <c r="BA571">
        <v>0</v>
      </c>
      <c r="BB571">
        <v>0</v>
      </c>
      <c r="BC571">
        <v>0</v>
      </c>
      <c r="BD571">
        <v>0</v>
      </c>
      <c r="BE571">
        <v>0</v>
      </c>
      <c r="BF571">
        <v>0</v>
      </c>
      <c r="BG571">
        <v>0</v>
      </c>
      <c r="BH571">
        <v>1</v>
      </c>
      <c r="BI571">
        <v>1.4</v>
      </c>
      <c r="BJ571">
        <v>1</v>
      </c>
      <c r="BK571">
        <v>1.5</v>
      </c>
      <c r="BL571" s="4">
        <v>50.45</v>
      </c>
      <c r="BM571" s="4">
        <v>7.57</v>
      </c>
      <c r="BN571" s="4">
        <v>58.02</v>
      </c>
      <c r="BO571" s="4">
        <v>58.02</v>
      </c>
      <c r="BQ571" t="s">
        <v>93</v>
      </c>
      <c r="BR571" t="s">
        <v>84</v>
      </c>
      <c r="BS571" s="3">
        <v>43805</v>
      </c>
      <c r="BT571" s="5">
        <v>0.41111111111111115</v>
      </c>
      <c r="BU571" t="s">
        <v>512</v>
      </c>
      <c r="BV571" t="s">
        <v>86</v>
      </c>
      <c r="BY571">
        <v>5152.1400000000003</v>
      </c>
      <c r="CA571" t="s">
        <v>288</v>
      </c>
      <c r="CC571" t="s">
        <v>202</v>
      </c>
      <c r="CD571">
        <v>3610</v>
      </c>
      <c r="CE571" t="s">
        <v>96</v>
      </c>
      <c r="CF571" s="3">
        <v>43808</v>
      </c>
      <c r="CI571">
        <v>1</v>
      </c>
      <c r="CJ571">
        <v>1</v>
      </c>
      <c r="CK571">
        <v>21</v>
      </c>
      <c r="CL571" t="s">
        <v>89</v>
      </c>
    </row>
    <row r="572" spans="1:90">
      <c r="A572" t="s">
        <v>72</v>
      </c>
      <c r="B572" t="s">
        <v>73</v>
      </c>
      <c r="C572" t="s">
        <v>74</v>
      </c>
      <c r="E572" t="str">
        <f>"FES1162726964"</f>
        <v>FES1162726964</v>
      </c>
      <c r="F572" s="3">
        <v>43804</v>
      </c>
      <c r="G572">
        <v>202006</v>
      </c>
      <c r="H572" t="s">
        <v>75</v>
      </c>
      <c r="I572" t="s">
        <v>76</v>
      </c>
      <c r="J572" t="s">
        <v>77</v>
      </c>
      <c r="K572" t="s">
        <v>78</v>
      </c>
      <c r="L572" t="s">
        <v>198</v>
      </c>
      <c r="M572" t="s">
        <v>199</v>
      </c>
      <c r="N572" t="s">
        <v>1043</v>
      </c>
      <c r="O572" t="s">
        <v>82</v>
      </c>
      <c r="P572" t="str">
        <f>"2170720429                    "</f>
        <v xml:space="preserve">2170720429                    </v>
      </c>
      <c r="Q572">
        <v>0</v>
      </c>
      <c r="R572">
        <v>0</v>
      </c>
      <c r="S572">
        <v>0</v>
      </c>
      <c r="T572">
        <v>0</v>
      </c>
      <c r="U572">
        <v>0</v>
      </c>
      <c r="V572">
        <v>0</v>
      </c>
      <c r="W572">
        <v>0</v>
      </c>
      <c r="X572">
        <v>0</v>
      </c>
      <c r="Y572">
        <v>0</v>
      </c>
      <c r="Z572">
        <v>0</v>
      </c>
      <c r="AA572">
        <v>0</v>
      </c>
      <c r="AB572">
        <v>0</v>
      </c>
      <c r="AC572">
        <v>0</v>
      </c>
      <c r="AD572">
        <v>0</v>
      </c>
      <c r="AE572">
        <v>0</v>
      </c>
      <c r="AF572">
        <v>0</v>
      </c>
      <c r="AG572">
        <v>0</v>
      </c>
      <c r="AH572">
        <v>0</v>
      </c>
      <c r="AI572">
        <v>0</v>
      </c>
      <c r="AJ572">
        <v>0</v>
      </c>
      <c r="AK572">
        <v>0</v>
      </c>
      <c r="AL572">
        <v>0</v>
      </c>
      <c r="AM572">
        <v>8.58</v>
      </c>
      <c r="AN572">
        <v>0</v>
      </c>
      <c r="AO572">
        <v>0</v>
      </c>
      <c r="AP572">
        <v>0</v>
      </c>
      <c r="AQ572">
        <v>0</v>
      </c>
      <c r="AR572">
        <v>0</v>
      </c>
      <c r="AS572">
        <v>0</v>
      </c>
      <c r="AT572">
        <v>0</v>
      </c>
      <c r="AU572">
        <v>0</v>
      </c>
      <c r="AV572">
        <v>0</v>
      </c>
      <c r="AW572">
        <v>0</v>
      </c>
      <c r="AX572">
        <v>0</v>
      </c>
      <c r="AY572">
        <v>0</v>
      </c>
      <c r="AZ572">
        <v>0</v>
      </c>
      <c r="BA572">
        <v>0</v>
      </c>
      <c r="BB572">
        <v>0</v>
      </c>
      <c r="BC572">
        <v>0</v>
      </c>
      <c r="BD572">
        <v>0</v>
      </c>
      <c r="BE572">
        <v>0</v>
      </c>
      <c r="BF572">
        <v>0</v>
      </c>
      <c r="BG572">
        <v>0</v>
      </c>
      <c r="BH572">
        <v>1</v>
      </c>
      <c r="BI572">
        <v>1</v>
      </c>
      <c r="BJ572">
        <v>0.9</v>
      </c>
      <c r="BK572">
        <v>1</v>
      </c>
      <c r="BL572" s="4">
        <v>50.45</v>
      </c>
      <c r="BM572" s="4">
        <v>7.57</v>
      </c>
      <c r="BN572" s="4">
        <v>58.02</v>
      </c>
      <c r="BO572" s="4">
        <v>58.02</v>
      </c>
      <c r="BQ572" t="s">
        <v>277</v>
      </c>
      <c r="BR572" t="s">
        <v>84</v>
      </c>
      <c r="BS572" s="3">
        <v>43805</v>
      </c>
      <c r="BT572" s="5">
        <v>0.4284722222222222</v>
      </c>
      <c r="BU572" t="s">
        <v>1044</v>
      </c>
      <c r="BV572" t="s">
        <v>86</v>
      </c>
      <c r="BY572">
        <v>4711.95</v>
      </c>
      <c r="CA572" t="s">
        <v>408</v>
      </c>
      <c r="CC572" t="s">
        <v>199</v>
      </c>
      <c r="CD572">
        <v>4052</v>
      </c>
      <c r="CE572" t="s">
        <v>96</v>
      </c>
      <c r="CF572" s="3">
        <v>43808</v>
      </c>
      <c r="CI572">
        <v>1</v>
      </c>
      <c r="CJ572">
        <v>1</v>
      </c>
      <c r="CK572">
        <v>21</v>
      </c>
      <c r="CL572" t="s">
        <v>89</v>
      </c>
    </row>
    <row r="573" spans="1:90">
      <c r="A573" t="s">
        <v>72</v>
      </c>
      <c r="B573" t="s">
        <v>73</v>
      </c>
      <c r="C573" t="s">
        <v>74</v>
      </c>
      <c r="E573" t="str">
        <f>"FES1162726929"</f>
        <v>FES1162726929</v>
      </c>
      <c r="F573" s="3">
        <v>43804</v>
      </c>
      <c r="G573">
        <v>202006</v>
      </c>
      <c r="H573" t="s">
        <v>75</v>
      </c>
      <c r="I573" t="s">
        <v>76</v>
      </c>
      <c r="J573" t="s">
        <v>77</v>
      </c>
      <c r="K573" t="s">
        <v>78</v>
      </c>
      <c r="L573" t="s">
        <v>132</v>
      </c>
      <c r="M573" t="s">
        <v>133</v>
      </c>
      <c r="N573" t="s">
        <v>1045</v>
      </c>
      <c r="O573" t="s">
        <v>82</v>
      </c>
      <c r="P573" t="str">
        <f>"2170720382                    "</f>
        <v xml:space="preserve">2170720382                    </v>
      </c>
      <c r="Q573">
        <v>0</v>
      </c>
      <c r="R573">
        <v>0</v>
      </c>
      <c r="S573">
        <v>0</v>
      </c>
      <c r="T573">
        <v>0</v>
      </c>
      <c r="U573">
        <v>0</v>
      </c>
      <c r="V573">
        <v>0</v>
      </c>
      <c r="W573">
        <v>0</v>
      </c>
      <c r="X573">
        <v>0</v>
      </c>
      <c r="Y573">
        <v>0</v>
      </c>
      <c r="Z573">
        <v>0</v>
      </c>
      <c r="AA573">
        <v>0</v>
      </c>
      <c r="AB573">
        <v>0</v>
      </c>
      <c r="AC573">
        <v>0</v>
      </c>
      <c r="AD573">
        <v>0</v>
      </c>
      <c r="AE573">
        <v>0</v>
      </c>
      <c r="AF573">
        <v>0</v>
      </c>
      <c r="AG573">
        <v>0</v>
      </c>
      <c r="AH573">
        <v>0</v>
      </c>
      <c r="AI573">
        <v>0</v>
      </c>
      <c r="AJ573">
        <v>0</v>
      </c>
      <c r="AK573">
        <v>0</v>
      </c>
      <c r="AL573">
        <v>0</v>
      </c>
      <c r="AM573">
        <v>8.58</v>
      </c>
      <c r="AN573">
        <v>0</v>
      </c>
      <c r="AO573">
        <v>0</v>
      </c>
      <c r="AP573">
        <v>0</v>
      </c>
      <c r="AQ573">
        <v>0</v>
      </c>
      <c r="AR573">
        <v>0</v>
      </c>
      <c r="AS573">
        <v>0</v>
      </c>
      <c r="AT573">
        <v>0</v>
      </c>
      <c r="AU573">
        <v>0</v>
      </c>
      <c r="AV573">
        <v>0</v>
      </c>
      <c r="AW573">
        <v>0</v>
      </c>
      <c r="AX573">
        <v>0</v>
      </c>
      <c r="AY573">
        <v>0</v>
      </c>
      <c r="AZ573">
        <v>0</v>
      </c>
      <c r="BA573">
        <v>0</v>
      </c>
      <c r="BB573">
        <v>0</v>
      </c>
      <c r="BC573">
        <v>0</v>
      </c>
      <c r="BD573">
        <v>0</v>
      </c>
      <c r="BE573">
        <v>0</v>
      </c>
      <c r="BF573">
        <v>0</v>
      </c>
      <c r="BG573">
        <v>0</v>
      </c>
      <c r="BH573">
        <v>1</v>
      </c>
      <c r="BI573">
        <v>0.9</v>
      </c>
      <c r="BJ573">
        <v>1.7</v>
      </c>
      <c r="BK573">
        <v>2</v>
      </c>
      <c r="BL573" s="4">
        <v>50.45</v>
      </c>
      <c r="BM573" s="4">
        <v>7.57</v>
      </c>
      <c r="BN573" s="4">
        <v>58.02</v>
      </c>
      <c r="BO573" s="4">
        <v>58.02</v>
      </c>
      <c r="BQ573" t="s">
        <v>147</v>
      </c>
      <c r="BR573" t="s">
        <v>84</v>
      </c>
      <c r="BS573" s="3">
        <v>43805</v>
      </c>
      <c r="BT573" s="5">
        <v>0.43611111111111112</v>
      </c>
      <c r="BU573" t="s">
        <v>1046</v>
      </c>
      <c r="BV573" t="s">
        <v>86</v>
      </c>
      <c r="BY573">
        <v>8656.5</v>
      </c>
      <c r="CA573" t="s">
        <v>137</v>
      </c>
      <c r="CC573" t="s">
        <v>133</v>
      </c>
      <c r="CD573">
        <v>157</v>
      </c>
      <c r="CE573" t="s">
        <v>96</v>
      </c>
      <c r="CI573">
        <v>1</v>
      </c>
      <c r="CJ573">
        <v>1</v>
      </c>
      <c r="CK573">
        <v>21</v>
      </c>
      <c r="CL573" t="s">
        <v>89</v>
      </c>
    </row>
    <row r="574" spans="1:90">
      <c r="A574" t="s">
        <v>72</v>
      </c>
      <c r="B574" t="s">
        <v>73</v>
      </c>
      <c r="C574" t="s">
        <v>74</v>
      </c>
      <c r="E574" t="str">
        <f>"FES1162726881"</f>
        <v>FES1162726881</v>
      </c>
      <c r="F574" s="3">
        <v>43804</v>
      </c>
      <c r="G574">
        <v>202006</v>
      </c>
      <c r="H574" t="s">
        <v>75</v>
      </c>
      <c r="I574" t="s">
        <v>76</v>
      </c>
      <c r="J574" t="s">
        <v>77</v>
      </c>
      <c r="K574" t="s">
        <v>78</v>
      </c>
      <c r="L574" t="s">
        <v>151</v>
      </c>
      <c r="M574" t="s">
        <v>102</v>
      </c>
      <c r="N574" t="s">
        <v>681</v>
      </c>
      <c r="O574" t="s">
        <v>82</v>
      </c>
      <c r="P574" t="str">
        <f>"217071308                     "</f>
        <v xml:space="preserve">217071308                     </v>
      </c>
      <c r="Q574">
        <v>0</v>
      </c>
      <c r="R574">
        <v>0</v>
      </c>
      <c r="S574">
        <v>0</v>
      </c>
      <c r="T574">
        <v>0</v>
      </c>
      <c r="U574">
        <v>0</v>
      </c>
      <c r="V574">
        <v>0</v>
      </c>
      <c r="W574">
        <v>0</v>
      </c>
      <c r="X574">
        <v>0</v>
      </c>
      <c r="Y574">
        <v>0</v>
      </c>
      <c r="Z574">
        <v>0</v>
      </c>
      <c r="AA574">
        <v>0</v>
      </c>
      <c r="AB574">
        <v>0</v>
      </c>
      <c r="AC574">
        <v>0</v>
      </c>
      <c r="AD574">
        <v>0</v>
      </c>
      <c r="AE574">
        <v>0</v>
      </c>
      <c r="AF574">
        <v>0</v>
      </c>
      <c r="AG574">
        <v>0</v>
      </c>
      <c r="AH574">
        <v>0</v>
      </c>
      <c r="AI574">
        <v>0</v>
      </c>
      <c r="AJ574">
        <v>0</v>
      </c>
      <c r="AK574">
        <v>0</v>
      </c>
      <c r="AL574">
        <v>0</v>
      </c>
      <c r="AM574">
        <v>8.58</v>
      </c>
      <c r="AN574">
        <v>0</v>
      </c>
      <c r="AO574">
        <v>0</v>
      </c>
      <c r="AP574">
        <v>0</v>
      </c>
      <c r="AQ574">
        <v>0</v>
      </c>
      <c r="AR574">
        <v>0</v>
      </c>
      <c r="AS574">
        <v>0</v>
      </c>
      <c r="AT574">
        <v>0</v>
      </c>
      <c r="AU574">
        <v>0</v>
      </c>
      <c r="AV574">
        <v>0</v>
      </c>
      <c r="AW574">
        <v>0</v>
      </c>
      <c r="AX574">
        <v>0</v>
      </c>
      <c r="AY574">
        <v>0</v>
      </c>
      <c r="AZ574">
        <v>0</v>
      </c>
      <c r="BA574">
        <v>0</v>
      </c>
      <c r="BB574">
        <v>0</v>
      </c>
      <c r="BC574">
        <v>0</v>
      </c>
      <c r="BD574">
        <v>0</v>
      </c>
      <c r="BE574">
        <v>0</v>
      </c>
      <c r="BF574">
        <v>0</v>
      </c>
      <c r="BG574">
        <v>0</v>
      </c>
      <c r="BH574">
        <v>1</v>
      </c>
      <c r="BI574">
        <v>1.8</v>
      </c>
      <c r="BJ574">
        <v>1.7</v>
      </c>
      <c r="BK574">
        <v>2</v>
      </c>
      <c r="BL574" s="4">
        <v>50.45</v>
      </c>
      <c r="BM574" s="4">
        <v>7.57</v>
      </c>
      <c r="BN574" s="4">
        <v>58.02</v>
      </c>
      <c r="BO574" s="4">
        <v>58.02</v>
      </c>
      <c r="BR574" t="s">
        <v>84</v>
      </c>
      <c r="BS574" s="3">
        <v>43805</v>
      </c>
      <c r="BT574" s="5">
        <v>0.3611111111111111</v>
      </c>
      <c r="BU574" t="s">
        <v>1047</v>
      </c>
      <c r="BV574" t="s">
        <v>86</v>
      </c>
      <c r="BY574">
        <v>8304.9</v>
      </c>
      <c r="CA574" t="s">
        <v>137</v>
      </c>
      <c r="CC574" t="s">
        <v>102</v>
      </c>
      <c r="CD574">
        <v>1</v>
      </c>
      <c r="CE574" t="s">
        <v>96</v>
      </c>
      <c r="CI574">
        <v>1</v>
      </c>
      <c r="CJ574">
        <v>1</v>
      </c>
      <c r="CK574">
        <v>21</v>
      </c>
      <c r="CL574" t="s">
        <v>89</v>
      </c>
    </row>
    <row r="575" spans="1:90">
      <c r="A575" t="s">
        <v>72</v>
      </c>
      <c r="B575" t="s">
        <v>73</v>
      </c>
      <c r="C575" t="s">
        <v>74</v>
      </c>
      <c r="E575" t="str">
        <f>"FES1162726979"</f>
        <v>FES1162726979</v>
      </c>
      <c r="F575" s="3">
        <v>43804</v>
      </c>
      <c r="G575">
        <v>202006</v>
      </c>
      <c r="H575" t="s">
        <v>75</v>
      </c>
      <c r="I575" t="s">
        <v>76</v>
      </c>
      <c r="J575" t="s">
        <v>77</v>
      </c>
      <c r="K575" t="s">
        <v>78</v>
      </c>
      <c r="L575" t="s">
        <v>169</v>
      </c>
      <c r="M575" t="s">
        <v>170</v>
      </c>
      <c r="N575" t="s">
        <v>1048</v>
      </c>
      <c r="O575" t="s">
        <v>82</v>
      </c>
      <c r="P575" t="str">
        <f>"2170720242                    "</f>
        <v xml:space="preserve">2170720242                    </v>
      </c>
      <c r="Q575">
        <v>0</v>
      </c>
      <c r="R575">
        <v>0</v>
      </c>
      <c r="S575">
        <v>0</v>
      </c>
      <c r="T575">
        <v>0</v>
      </c>
      <c r="U575">
        <v>0</v>
      </c>
      <c r="V575">
        <v>0</v>
      </c>
      <c r="W575">
        <v>0</v>
      </c>
      <c r="X575">
        <v>0</v>
      </c>
      <c r="Y575">
        <v>0</v>
      </c>
      <c r="Z575">
        <v>0</v>
      </c>
      <c r="AA575">
        <v>0</v>
      </c>
      <c r="AB575">
        <v>0</v>
      </c>
      <c r="AC575">
        <v>0</v>
      </c>
      <c r="AD575">
        <v>0</v>
      </c>
      <c r="AE575">
        <v>0</v>
      </c>
      <c r="AF575">
        <v>0</v>
      </c>
      <c r="AG575">
        <v>0</v>
      </c>
      <c r="AH575">
        <v>0</v>
      </c>
      <c r="AI575">
        <v>0</v>
      </c>
      <c r="AJ575">
        <v>0</v>
      </c>
      <c r="AK575">
        <v>0</v>
      </c>
      <c r="AL575">
        <v>0</v>
      </c>
      <c r="AM575">
        <v>6.71</v>
      </c>
      <c r="AN575">
        <v>0</v>
      </c>
      <c r="AO575">
        <v>0</v>
      </c>
      <c r="AP575">
        <v>0</v>
      </c>
      <c r="AQ575">
        <v>0</v>
      </c>
      <c r="AR575">
        <v>0</v>
      </c>
      <c r="AS575">
        <v>0</v>
      </c>
      <c r="AT575">
        <v>0</v>
      </c>
      <c r="AU575">
        <v>0</v>
      </c>
      <c r="AV575">
        <v>0</v>
      </c>
      <c r="AW575">
        <v>0</v>
      </c>
      <c r="AX575">
        <v>0</v>
      </c>
      <c r="AY575">
        <v>0</v>
      </c>
      <c r="AZ575">
        <v>0</v>
      </c>
      <c r="BA575">
        <v>0</v>
      </c>
      <c r="BB575">
        <v>0</v>
      </c>
      <c r="BC575">
        <v>0</v>
      </c>
      <c r="BD575">
        <v>0</v>
      </c>
      <c r="BE575">
        <v>0</v>
      </c>
      <c r="BF575">
        <v>0</v>
      </c>
      <c r="BG575">
        <v>0</v>
      </c>
      <c r="BH575">
        <v>1</v>
      </c>
      <c r="BI575">
        <v>1</v>
      </c>
      <c r="BJ575">
        <v>0.2</v>
      </c>
      <c r="BK575">
        <v>1</v>
      </c>
      <c r="BL575" s="4">
        <v>39.42</v>
      </c>
      <c r="BM575" s="4">
        <v>5.91</v>
      </c>
      <c r="BN575" s="4">
        <v>45.33</v>
      </c>
      <c r="BO575" s="4">
        <v>45.33</v>
      </c>
      <c r="BR575" t="s">
        <v>84</v>
      </c>
      <c r="BS575" s="3">
        <v>43805</v>
      </c>
      <c r="BT575" s="5">
        <v>0.27916666666666667</v>
      </c>
      <c r="BU575" t="s">
        <v>1049</v>
      </c>
      <c r="BV575" t="s">
        <v>86</v>
      </c>
      <c r="BY575">
        <v>1200</v>
      </c>
      <c r="CA575" t="s">
        <v>250</v>
      </c>
      <c r="CC575" t="s">
        <v>170</v>
      </c>
      <c r="CD575">
        <v>1459</v>
      </c>
      <c r="CE575" t="s">
        <v>88</v>
      </c>
      <c r="CF575" s="3">
        <v>43808</v>
      </c>
      <c r="CI575">
        <v>1</v>
      </c>
      <c r="CJ575">
        <v>1</v>
      </c>
      <c r="CK575">
        <v>22</v>
      </c>
      <c r="CL575" t="s">
        <v>89</v>
      </c>
    </row>
    <row r="576" spans="1:90">
      <c r="A576" t="s">
        <v>72</v>
      </c>
      <c r="B576" t="s">
        <v>73</v>
      </c>
      <c r="C576" t="s">
        <v>74</v>
      </c>
      <c r="E576" t="str">
        <f>"FES1162726908"</f>
        <v>FES1162726908</v>
      </c>
      <c r="F576" s="3">
        <v>43804</v>
      </c>
      <c r="G576">
        <v>202006</v>
      </c>
      <c r="H576" t="s">
        <v>75</v>
      </c>
      <c r="I576" t="s">
        <v>76</v>
      </c>
      <c r="J576" t="s">
        <v>77</v>
      </c>
      <c r="K576" t="s">
        <v>78</v>
      </c>
      <c r="L576" t="s">
        <v>860</v>
      </c>
      <c r="M576" t="s">
        <v>861</v>
      </c>
      <c r="N576" t="s">
        <v>907</v>
      </c>
      <c r="O576" t="s">
        <v>82</v>
      </c>
      <c r="P576" t="str">
        <f>"2170720349                    "</f>
        <v xml:space="preserve">2170720349                    </v>
      </c>
      <c r="Q576">
        <v>0</v>
      </c>
      <c r="R576">
        <v>0</v>
      </c>
      <c r="S576">
        <v>0</v>
      </c>
      <c r="T576">
        <v>0</v>
      </c>
      <c r="U576">
        <v>0</v>
      </c>
      <c r="V576">
        <v>0</v>
      </c>
      <c r="W576">
        <v>0</v>
      </c>
      <c r="X576">
        <v>0</v>
      </c>
      <c r="Y576">
        <v>0</v>
      </c>
      <c r="Z576">
        <v>0</v>
      </c>
      <c r="AA576">
        <v>0</v>
      </c>
      <c r="AB576">
        <v>0</v>
      </c>
      <c r="AC576">
        <v>0</v>
      </c>
      <c r="AD576">
        <v>0</v>
      </c>
      <c r="AE576">
        <v>0</v>
      </c>
      <c r="AF576">
        <v>0</v>
      </c>
      <c r="AG576">
        <v>0</v>
      </c>
      <c r="AH576">
        <v>0</v>
      </c>
      <c r="AI576">
        <v>0</v>
      </c>
      <c r="AJ576">
        <v>0</v>
      </c>
      <c r="AK576">
        <v>0</v>
      </c>
      <c r="AL576">
        <v>0</v>
      </c>
      <c r="AM576">
        <v>6.71</v>
      </c>
      <c r="AN576">
        <v>0</v>
      </c>
      <c r="AO576">
        <v>0</v>
      </c>
      <c r="AP576">
        <v>0</v>
      </c>
      <c r="AQ576">
        <v>0</v>
      </c>
      <c r="AR576">
        <v>0</v>
      </c>
      <c r="AS576">
        <v>0</v>
      </c>
      <c r="AT576">
        <v>0</v>
      </c>
      <c r="AU576">
        <v>0</v>
      </c>
      <c r="AV576">
        <v>0</v>
      </c>
      <c r="AW576">
        <v>0</v>
      </c>
      <c r="AX576">
        <v>0</v>
      </c>
      <c r="AY576">
        <v>0</v>
      </c>
      <c r="AZ576">
        <v>0</v>
      </c>
      <c r="BA576">
        <v>0</v>
      </c>
      <c r="BB576">
        <v>0</v>
      </c>
      <c r="BC576">
        <v>0</v>
      </c>
      <c r="BD576">
        <v>0</v>
      </c>
      <c r="BE576">
        <v>0</v>
      </c>
      <c r="BF576">
        <v>0</v>
      </c>
      <c r="BG576">
        <v>0</v>
      </c>
      <c r="BH576">
        <v>1</v>
      </c>
      <c r="BI576">
        <v>1</v>
      </c>
      <c r="BJ576">
        <v>0.2</v>
      </c>
      <c r="BK576">
        <v>1</v>
      </c>
      <c r="BL576" s="4">
        <v>39.42</v>
      </c>
      <c r="BM576" s="4">
        <v>5.91</v>
      </c>
      <c r="BN576" s="4">
        <v>45.33</v>
      </c>
      <c r="BO576" s="4">
        <v>45.33</v>
      </c>
      <c r="BR576" t="s">
        <v>84</v>
      </c>
      <c r="BS576" s="3">
        <v>43805</v>
      </c>
      <c r="BT576" s="5">
        <v>0.32291666666666669</v>
      </c>
      <c r="BU576" t="s">
        <v>1050</v>
      </c>
      <c r="BV576" t="s">
        <v>86</v>
      </c>
      <c r="BY576">
        <v>1200</v>
      </c>
      <c r="CC576" t="s">
        <v>861</v>
      </c>
      <c r="CD576">
        <v>2194</v>
      </c>
      <c r="CE576" t="s">
        <v>88</v>
      </c>
      <c r="CF576" s="3">
        <v>43808</v>
      </c>
      <c r="CI576">
        <v>1</v>
      </c>
      <c r="CJ576">
        <v>1</v>
      </c>
      <c r="CK576">
        <v>22</v>
      </c>
      <c r="CL576" t="s">
        <v>89</v>
      </c>
    </row>
    <row r="577" spans="1:90">
      <c r="A577" t="s">
        <v>72</v>
      </c>
      <c r="B577" t="s">
        <v>73</v>
      </c>
      <c r="C577" t="s">
        <v>74</v>
      </c>
      <c r="E577" t="str">
        <f>"FES1162726907"</f>
        <v>FES1162726907</v>
      </c>
      <c r="F577" s="3">
        <v>43804</v>
      </c>
      <c r="G577">
        <v>202006</v>
      </c>
      <c r="H577" t="s">
        <v>75</v>
      </c>
      <c r="I577" t="s">
        <v>76</v>
      </c>
      <c r="J577" t="s">
        <v>77</v>
      </c>
      <c r="K577" t="s">
        <v>78</v>
      </c>
      <c r="L577" t="s">
        <v>1051</v>
      </c>
      <c r="M577" t="s">
        <v>1052</v>
      </c>
      <c r="N577" t="s">
        <v>1053</v>
      </c>
      <c r="O577" t="s">
        <v>82</v>
      </c>
      <c r="P577" t="str">
        <f>"2170720348                    "</f>
        <v xml:space="preserve">2170720348                    </v>
      </c>
      <c r="Q577">
        <v>0</v>
      </c>
      <c r="R577">
        <v>0</v>
      </c>
      <c r="S577">
        <v>0</v>
      </c>
      <c r="T577">
        <v>0</v>
      </c>
      <c r="U577">
        <v>0</v>
      </c>
      <c r="V577">
        <v>0</v>
      </c>
      <c r="W577">
        <v>0</v>
      </c>
      <c r="X577">
        <v>0</v>
      </c>
      <c r="Y577">
        <v>0</v>
      </c>
      <c r="Z577">
        <v>0</v>
      </c>
      <c r="AA577">
        <v>0</v>
      </c>
      <c r="AB577">
        <v>0</v>
      </c>
      <c r="AC577">
        <v>0</v>
      </c>
      <c r="AD577">
        <v>0</v>
      </c>
      <c r="AE577">
        <v>0</v>
      </c>
      <c r="AF577">
        <v>0</v>
      </c>
      <c r="AG577">
        <v>0</v>
      </c>
      <c r="AH577">
        <v>0</v>
      </c>
      <c r="AI577">
        <v>0</v>
      </c>
      <c r="AJ577">
        <v>0</v>
      </c>
      <c r="AK577">
        <v>0</v>
      </c>
      <c r="AL577">
        <v>0</v>
      </c>
      <c r="AM577">
        <v>12.07</v>
      </c>
      <c r="AN577">
        <v>0</v>
      </c>
      <c r="AO577">
        <v>0</v>
      </c>
      <c r="AP577">
        <v>0</v>
      </c>
      <c r="AQ577">
        <v>0</v>
      </c>
      <c r="AR577">
        <v>0</v>
      </c>
      <c r="AS577">
        <v>0</v>
      </c>
      <c r="AT577">
        <v>0</v>
      </c>
      <c r="AU577">
        <v>0</v>
      </c>
      <c r="AV577">
        <v>0</v>
      </c>
      <c r="AW577">
        <v>0</v>
      </c>
      <c r="AX577">
        <v>0</v>
      </c>
      <c r="AY577">
        <v>0</v>
      </c>
      <c r="AZ577">
        <v>0</v>
      </c>
      <c r="BA577">
        <v>0</v>
      </c>
      <c r="BB577">
        <v>0</v>
      </c>
      <c r="BC577">
        <v>0</v>
      </c>
      <c r="BD577">
        <v>0</v>
      </c>
      <c r="BE577">
        <v>0</v>
      </c>
      <c r="BF577">
        <v>0</v>
      </c>
      <c r="BG577">
        <v>0</v>
      </c>
      <c r="BH577">
        <v>1</v>
      </c>
      <c r="BI577">
        <v>1</v>
      </c>
      <c r="BJ577">
        <v>0.2</v>
      </c>
      <c r="BK577">
        <v>1</v>
      </c>
      <c r="BL577" s="4">
        <v>70.95</v>
      </c>
      <c r="BM577" s="4">
        <v>10.64</v>
      </c>
      <c r="BN577" s="4">
        <v>81.59</v>
      </c>
      <c r="BO577" s="4">
        <v>81.59</v>
      </c>
      <c r="BQ577" t="s">
        <v>1054</v>
      </c>
      <c r="BR577" t="s">
        <v>84</v>
      </c>
      <c r="BS577" s="3">
        <v>43805</v>
      </c>
      <c r="BT577" s="5">
        <v>0.3666666666666667</v>
      </c>
      <c r="BU577" t="s">
        <v>899</v>
      </c>
      <c r="BV577" t="s">
        <v>86</v>
      </c>
      <c r="BY577">
        <v>1200</v>
      </c>
      <c r="CC577" t="s">
        <v>1052</v>
      </c>
      <c r="CD577">
        <v>1754</v>
      </c>
      <c r="CE577" t="s">
        <v>88</v>
      </c>
      <c r="CF577" s="3">
        <v>43808</v>
      </c>
      <c r="CI577">
        <v>1</v>
      </c>
      <c r="CJ577">
        <v>1</v>
      </c>
      <c r="CK577">
        <v>24</v>
      </c>
      <c r="CL577" t="s">
        <v>89</v>
      </c>
    </row>
    <row r="578" spans="1:90">
      <c r="A578" t="s">
        <v>72</v>
      </c>
      <c r="B578" t="s">
        <v>73</v>
      </c>
      <c r="C578" t="s">
        <v>74</v>
      </c>
      <c r="E578" t="str">
        <f>"FES1162726924"</f>
        <v>FES1162726924</v>
      </c>
      <c r="F578" s="3">
        <v>43804</v>
      </c>
      <c r="G578">
        <v>202006</v>
      </c>
      <c r="H578" t="s">
        <v>75</v>
      </c>
      <c r="I578" t="s">
        <v>76</v>
      </c>
      <c r="J578" t="s">
        <v>77</v>
      </c>
      <c r="K578" t="s">
        <v>78</v>
      </c>
      <c r="L578" t="s">
        <v>1051</v>
      </c>
      <c r="M578" t="s">
        <v>1052</v>
      </c>
      <c r="N578" t="s">
        <v>1055</v>
      </c>
      <c r="O578" t="s">
        <v>82</v>
      </c>
      <c r="P578" t="str">
        <f>"2170720059                    "</f>
        <v xml:space="preserve">2170720059                    </v>
      </c>
      <c r="Q578">
        <v>0</v>
      </c>
      <c r="R578">
        <v>0</v>
      </c>
      <c r="S578">
        <v>0</v>
      </c>
      <c r="T578">
        <v>0</v>
      </c>
      <c r="U578">
        <v>0</v>
      </c>
      <c r="V578">
        <v>0</v>
      </c>
      <c r="W578">
        <v>0</v>
      </c>
      <c r="X578">
        <v>0</v>
      </c>
      <c r="Y578">
        <v>0</v>
      </c>
      <c r="Z578">
        <v>0</v>
      </c>
      <c r="AA578">
        <v>0</v>
      </c>
      <c r="AB578">
        <v>0</v>
      </c>
      <c r="AC578">
        <v>0</v>
      </c>
      <c r="AD578">
        <v>0</v>
      </c>
      <c r="AE578">
        <v>0</v>
      </c>
      <c r="AF578">
        <v>0</v>
      </c>
      <c r="AG578">
        <v>0</v>
      </c>
      <c r="AH578">
        <v>0</v>
      </c>
      <c r="AI578">
        <v>0</v>
      </c>
      <c r="AJ578">
        <v>0</v>
      </c>
      <c r="AK578">
        <v>0</v>
      </c>
      <c r="AL578">
        <v>0</v>
      </c>
      <c r="AM578">
        <v>12.07</v>
      </c>
      <c r="AN578">
        <v>0</v>
      </c>
      <c r="AO578">
        <v>0</v>
      </c>
      <c r="AP578">
        <v>0</v>
      </c>
      <c r="AQ578">
        <v>0</v>
      </c>
      <c r="AR578">
        <v>0</v>
      </c>
      <c r="AS578">
        <v>0</v>
      </c>
      <c r="AT578">
        <v>0</v>
      </c>
      <c r="AU578">
        <v>0</v>
      </c>
      <c r="AV578">
        <v>0</v>
      </c>
      <c r="AW578">
        <v>0</v>
      </c>
      <c r="AX578">
        <v>0</v>
      </c>
      <c r="AY578">
        <v>0</v>
      </c>
      <c r="AZ578">
        <v>0</v>
      </c>
      <c r="BA578">
        <v>0</v>
      </c>
      <c r="BB578">
        <v>0</v>
      </c>
      <c r="BC578">
        <v>0</v>
      </c>
      <c r="BD578">
        <v>0</v>
      </c>
      <c r="BE578">
        <v>0</v>
      </c>
      <c r="BF578">
        <v>0</v>
      </c>
      <c r="BG578">
        <v>0</v>
      </c>
      <c r="BH578">
        <v>1</v>
      </c>
      <c r="BI578">
        <v>1</v>
      </c>
      <c r="BJ578">
        <v>0.2</v>
      </c>
      <c r="BK578">
        <v>1</v>
      </c>
      <c r="BL578" s="4">
        <v>70.95</v>
      </c>
      <c r="BM578" s="4">
        <v>10.64</v>
      </c>
      <c r="BN578" s="4">
        <v>81.59</v>
      </c>
      <c r="BO578" s="4">
        <v>81.59</v>
      </c>
      <c r="BQ578" t="s">
        <v>147</v>
      </c>
      <c r="BR578" t="s">
        <v>84</v>
      </c>
      <c r="BS578" s="3">
        <v>43805</v>
      </c>
      <c r="BT578" s="5">
        <v>0.46527777777777773</v>
      </c>
      <c r="BU578" t="s">
        <v>1056</v>
      </c>
      <c r="BV578" t="s">
        <v>86</v>
      </c>
      <c r="BY578">
        <v>1200</v>
      </c>
      <c r="CC578" t="s">
        <v>1052</v>
      </c>
      <c r="CD578">
        <v>1739</v>
      </c>
      <c r="CE578" t="s">
        <v>88</v>
      </c>
      <c r="CF578" s="3">
        <v>43808</v>
      </c>
      <c r="CI578">
        <v>1</v>
      </c>
      <c r="CJ578">
        <v>1</v>
      </c>
      <c r="CK578">
        <v>24</v>
      </c>
      <c r="CL578" t="s">
        <v>89</v>
      </c>
    </row>
    <row r="579" spans="1:90">
      <c r="A579" t="s">
        <v>72</v>
      </c>
      <c r="B579" t="s">
        <v>73</v>
      </c>
      <c r="C579" t="s">
        <v>74</v>
      </c>
      <c r="E579" t="str">
        <f>"FES1162727034"</f>
        <v>FES1162727034</v>
      </c>
      <c r="F579" s="3">
        <v>43804</v>
      </c>
      <c r="G579">
        <v>202006</v>
      </c>
      <c r="H579" t="s">
        <v>75</v>
      </c>
      <c r="I579" t="s">
        <v>76</v>
      </c>
      <c r="J579" t="s">
        <v>77</v>
      </c>
      <c r="K579" t="s">
        <v>78</v>
      </c>
      <c r="L579" t="s">
        <v>198</v>
      </c>
      <c r="M579" t="s">
        <v>199</v>
      </c>
      <c r="N579" t="s">
        <v>297</v>
      </c>
      <c r="O579" t="s">
        <v>82</v>
      </c>
      <c r="P579" t="str">
        <f>"2170720495                    "</f>
        <v xml:space="preserve">2170720495                    </v>
      </c>
      <c r="Q579">
        <v>0</v>
      </c>
      <c r="R579">
        <v>0</v>
      </c>
      <c r="S579">
        <v>0</v>
      </c>
      <c r="T579">
        <v>0</v>
      </c>
      <c r="U579">
        <v>0</v>
      </c>
      <c r="V579">
        <v>0</v>
      </c>
      <c r="W579">
        <v>0</v>
      </c>
      <c r="X579">
        <v>0</v>
      </c>
      <c r="Y579">
        <v>0</v>
      </c>
      <c r="Z579">
        <v>0</v>
      </c>
      <c r="AA579">
        <v>0</v>
      </c>
      <c r="AB579">
        <v>0</v>
      </c>
      <c r="AC579">
        <v>0</v>
      </c>
      <c r="AD579">
        <v>0</v>
      </c>
      <c r="AE579">
        <v>0</v>
      </c>
      <c r="AF579">
        <v>0</v>
      </c>
      <c r="AG579">
        <v>0</v>
      </c>
      <c r="AH579">
        <v>0</v>
      </c>
      <c r="AI579">
        <v>0</v>
      </c>
      <c r="AJ579">
        <v>0</v>
      </c>
      <c r="AK579">
        <v>0</v>
      </c>
      <c r="AL579">
        <v>0</v>
      </c>
      <c r="AM579">
        <v>8.58</v>
      </c>
      <c r="AN579">
        <v>0</v>
      </c>
      <c r="AO579">
        <v>0</v>
      </c>
      <c r="AP579">
        <v>0</v>
      </c>
      <c r="AQ579">
        <v>0</v>
      </c>
      <c r="AR579">
        <v>0</v>
      </c>
      <c r="AS579">
        <v>0</v>
      </c>
      <c r="AT579">
        <v>0</v>
      </c>
      <c r="AU579">
        <v>0</v>
      </c>
      <c r="AV579">
        <v>0</v>
      </c>
      <c r="AW579">
        <v>0</v>
      </c>
      <c r="AX579">
        <v>0</v>
      </c>
      <c r="AY579">
        <v>0</v>
      </c>
      <c r="AZ579">
        <v>0</v>
      </c>
      <c r="BA579">
        <v>0</v>
      </c>
      <c r="BB579">
        <v>0</v>
      </c>
      <c r="BC579">
        <v>0</v>
      </c>
      <c r="BD579">
        <v>0</v>
      </c>
      <c r="BE579">
        <v>0</v>
      </c>
      <c r="BF579">
        <v>0</v>
      </c>
      <c r="BG579">
        <v>0</v>
      </c>
      <c r="BH579">
        <v>1</v>
      </c>
      <c r="BI579">
        <v>1</v>
      </c>
      <c r="BJ579">
        <v>0.2</v>
      </c>
      <c r="BK579">
        <v>1</v>
      </c>
      <c r="BL579" s="4">
        <v>50.45</v>
      </c>
      <c r="BM579" s="4">
        <v>7.57</v>
      </c>
      <c r="BN579" s="4">
        <v>58.02</v>
      </c>
      <c r="BO579" s="4">
        <v>58.02</v>
      </c>
      <c r="BQ579" t="s">
        <v>172</v>
      </c>
      <c r="BR579" t="s">
        <v>84</v>
      </c>
      <c r="BS579" s="3">
        <v>43805</v>
      </c>
      <c r="BT579" s="5">
        <v>0.37708333333333338</v>
      </c>
      <c r="BU579" t="s">
        <v>542</v>
      </c>
      <c r="BV579" t="s">
        <v>86</v>
      </c>
      <c r="BY579">
        <v>1200</v>
      </c>
      <c r="CA579" t="s">
        <v>299</v>
      </c>
      <c r="CC579" t="s">
        <v>199</v>
      </c>
      <c r="CD579">
        <v>4000</v>
      </c>
      <c r="CE579" t="s">
        <v>88</v>
      </c>
      <c r="CF579" s="3">
        <v>43808</v>
      </c>
      <c r="CI579">
        <v>1</v>
      </c>
      <c r="CJ579">
        <v>1</v>
      </c>
      <c r="CK579">
        <v>21</v>
      </c>
      <c r="CL579" t="s">
        <v>89</v>
      </c>
    </row>
    <row r="580" spans="1:90">
      <c r="A580" t="s">
        <v>72</v>
      </c>
      <c r="B580" t="s">
        <v>73</v>
      </c>
      <c r="C580" t="s">
        <v>74</v>
      </c>
      <c r="E580" t="str">
        <f>"FES1162726582"</f>
        <v>FES1162726582</v>
      </c>
      <c r="F580" s="3">
        <v>43804</v>
      </c>
      <c r="G580">
        <v>202006</v>
      </c>
      <c r="H580" t="s">
        <v>75</v>
      </c>
      <c r="I580" t="s">
        <v>76</v>
      </c>
      <c r="J580" t="s">
        <v>77</v>
      </c>
      <c r="K580" t="s">
        <v>78</v>
      </c>
      <c r="L580" t="s">
        <v>164</v>
      </c>
      <c r="M580" t="s">
        <v>165</v>
      </c>
      <c r="N580" t="s">
        <v>369</v>
      </c>
      <c r="O580" t="s">
        <v>82</v>
      </c>
      <c r="P580" t="str">
        <f>"2170720054                    "</f>
        <v xml:space="preserve">2170720054                    </v>
      </c>
      <c r="Q580">
        <v>0</v>
      </c>
      <c r="R580">
        <v>0</v>
      </c>
      <c r="S580">
        <v>0</v>
      </c>
      <c r="T580">
        <v>0</v>
      </c>
      <c r="U580">
        <v>0</v>
      </c>
      <c r="V580">
        <v>0</v>
      </c>
      <c r="W580">
        <v>0</v>
      </c>
      <c r="X580">
        <v>0</v>
      </c>
      <c r="Y580">
        <v>0</v>
      </c>
      <c r="Z580">
        <v>0</v>
      </c>
      <c r="AA580">
        <v>0</v>
      </c>
      <c r="AB580">
        <v>0</v>
      </c>
      <c r="AC580">
        <v>0</v>
      </c>
      <c r="AD580">
        <v>0</v>
      </c>
      <c r="AE580">
        <v>0</v>
      </c>
      <c r="AF580">
        <v>0</v>
      </c>
      <c r="AG580">
        <v>0</v>
      </c>
      <c r="AH580">
        <v>0</v>
      </c>
      <c r="AI580">
        <v>0</v>
      </c>
      <c r="AJ580">
        <v>0</v>
      </c>
      <c r="AK580">
        <v>0</v>
      </c>
      <c r="AL580">
        <v>0</v>
      </c>
      <c r="AM580">
        <v>8.58</v>
      </c>
      <c r="AN580">
        <v>0</v>
      </c>
      <c r="AO580">
        <v>0</v>
      </c>
      <c r="AP580">
        <v>0</v>
      </c>
      <c r="AQ580">
        <v>0</v>
      </c>
      <c r="AR580">
        <v>0</v>
      </c>
      <c r="AS580">
        <v>0</v>
      </c>
      <c r="AT580">
        <v>0</v>
      </c>
      <c r="AU580">
        <v>0</v>
      </c>
      <c r="AV580">
        <v>0</v>
      </c>
      <c r="AW580">
        <v>0</v>
      </c>
      <c r="AX580">
        <v>0</v>
      </c>
      <c r="AY580">
        <v>0</v>
      </c>
      <c r="AZ580">
        <v>0</v>
      </c>
      <c r="BA580">
        <v>0</v>
      </c>
      <c r="BB580">
        <v>0</v>
      </c>
      <c r="BC580">
        <v>0</v>
      </c>
      <c r="BD580">
        <v>0</v>
      </c>
      <c r="BE580">
        <v>0</v>
      </c>
      <c r="BF580">
        <v>0</v>
      </c>
      <c r="BG580">
        <v>0</v>
      </c>
      <c r="BH580">
        <v>1</v>
      </c>
      <c r="BI580">
        <v>1</v>
      </c>
      <c r="BJ580">
        <v>0.2</v>
      </c>
      <c r="BK580">
        <v>1</v>
      </c>
      <c r="BL580" s="4">
        <v>50.45</v>
      </c>
      <c r="BM580" s="4">
        <v>7.57</v>
      </c>
      <c r="BN580" s="4">
        <v>58.02</v>
      </c>
      <c r="BO580" s="4">
        <v>58.02</v>
      </c>
      <c r="BQ580" t="s">
        <v>93</v>
      </c>
      <c r="BR580" t="s">
        <v>84</v>
      </c>
      <c r="BS580" s="3">
        <v>43805</v>
      </c>
      <c r="BT580" s="5">
        <v>0.36458333333333331</v>
      </c>
      <c r="BU580" t="s">
        <v>1013</v>
      </c>
      <c r="BV580" t="s">
        <v>86</v>
      </c>
      <c r="BY580">
        <v>1200</v>
      </c>
      <c r="CA580" t="s">
        <v>371</v>
      </c>
      <c r="CC580" t="s">
        <v>165</v>
      </c>
      <c r="CD580">
        <v>5201</v>
      </c>
      <c r="CE580" t="s">
        <v>88</v>
      </c>
      <c r="CF580" s="3">
        <v>43809</v>
      </c>
      <c r="CI580">
        <v>1</v>
      </c>
      <c r="CJ580">
        <v>1</v>
      </c>
      <c r="CK580">
        <v>21</v>
      </c>
      <c r="CL580" t="s">
        <v>89</v>
      </c>
    </row>
    <row r="581" spans="1:90">
      <c r="A581" t="s">
        <v>72</v>
      </c>
      <c r="B581" t="s">
        <v>73</v>
      </c>
      <c r="C581" t="s">
        <v>74</v>
      </c>
      <c r="E581" t="str">
        <f>"FES1162726732"</f>
        <v>FES1162726732</v>
      </c>
      <c r="F581" s="3">
        <v>43804</v>
      </c>
      <c r="G581">
        <v>202006</v>
      </c>
      <c r="H581" t="s">
        <v>75</v>
      </c>
      <c r="I581" t="s">
        <v>76</v>
      </c>
      <c r="J581" t="s">
        <v>77</v>
      </c>
      <c r="K581" t="s">
        <v>78</v>
      </c>
      <c r="L581" t="s">
        <v>709</v>
      </c>
      <c r="M581" t="s">
        <v>710</v>
      </c>
      <c r="N581" t="s">
        <v>1057</v>
      </c>
      <c r="O581" t="s">
        <v>82</v>
      </c>
      <c r="P581" t="str">
        <f>"2170710163                    "</f>
        <v xml:space="preserve">2170710163                    </v>
      </c>
      <c r="Q581">
        <v>0</v>
      </c>
      <c r="R581">
        <v>0</v>
      </c>
      <c r="S581">
        <v>0</v>
      </c>
      <c r="T581">
        <v>0</v>
      </c>
      <c r="U581">
        <v>0</v>
      </c>
      <c r="V581">
        <v>0</v>
      </c>
      <c r="W581">
        <v>0</v>
      </c>
      <c r="X581">
        <v>0</v>
      </c>
      <c r="Y581">
        <v>0</v>
      </c>
      <c r="Z581">
        <v>0</v>
      </c>
      <c r="AA581">
        <v>0</v>
      </c>
      <c r="AB581">
        <v>0</v>
      </c>
      <c r="AC581">
        <v>0</v>
      </c>
      <c r="AD581">
        <v>0</v>
      </c>
      <c r="AE581">
        <v>0</v>
      </c>
      <c r="AF581">
        <v>0</v>
      </c>
      <c r="AG581">
        <v>0</v>
      </c>
      <c r="AH581">
        <v>0</v>
      </c>
      <c r="AI581">
        <v>0</v>
      </c>
      <c r="AJ581">
        <v>0</v>
      </c>
      <c r="AK581">
        <v>0</v>
      </c>
      <c r="AL581">
        <v>0</v>
      </c>
      <c r="AM581">
        <v>12.07</v>
      </c>
      <c r="AN581">
        <v>0</v>
      </c>
      <c r="AO581">
        <v>0</v>
      </c>
      <c r="AP581">
        <v>0</v>
      </c>
      <c r="AQ581">
        <v>0</v>
      </c>
      <c r="AR581">
        <v>0</v>
      </c>
      <c r="AS581">
        <v>0</v>
      </c>
      <c r="AT581">
        <v>0</v>
      </c>
      <c r="AU581">
        <v>0</v>
      </c>
      <c r="AV581">
        <v>0</v>
      </c>
      <c r="AW581">
        <v>0</v>
      </c>
      <c r="AX581">
        <v>0</v>
      </c>
      <c r="AY581">
        <v>0</v>
      </c>
      <c r="AZ581">
        <v>0</v>
      </c>
      <c r="BA581">
        <v>0</v>
      </c>
      <c r="BB581">
        <v>0</v>
      </c>
      <c r="BC581">
        <v>0</v>
      </c>
      <c r="BD581">
        <v>0</v>
      </c>
      <c r="BE581">
        <v>0</v>
      </c>
      <c r="BF581">
        <v>0</v>
      </c>
      <c r="BG581">
        <v>0</v>
      </c>
      <c r="BH581">
        <v>1</v>
      </c>
      <c r="BI581">
        <v>1.4</v>
      </c>
      <c r="BJ581">
        <v>1</v>
      </c>
      <c r="BK581">
        <v>1.5</v>
      </c>
      <c r="BL581" s="4">
        <v>70.95</v>
      </c>
      <c r="BM581" s="4">
        <v>10.64</v>
      </c>
      <c r="BN581" s="4">
        <v>81.59</v>
      </c>
      <c r="BO581" s="4">
        <v>81.59</v>
      </c>
      <c r="BQ581" t="s">
        <v>147</v>
      </c>
      <c r="BR581" t="s">
        <v>84</v>
      </c>
      <c r="BS581" s="3">
        <v>43805</v>
      </c>
      <c r="BT581" s="5">
        <v>0.33333333333333331</v>
      </c>
      <c r="BU581" t="s">
        <v>1058</v>
      </c>
      <c r="BV581" t="s">
        <v>86</v>
      </c>
      <c r="BY581">
        <v>4839.3</v>
      </c>
      <c r="CA581" t="s">
        <v>713</v>
      </c>
      <c r="CC581" t="s">
        <v>710</v>
      </c>
      <c r="CD581">
        <v>1873</v>
      </c>
      <c r="CE581" t="s">
        <v>96</v>
      </c>
      <c r="CF581" s="3">
        <v>43808</v>
      </c>
      <c r="CI581">
        <v>1</v>
      </c>
      <c r="CJ581">
        <v>1</v>
      </c>
      <c r="CK581">
        <v>24</v>
      </c>
      <c r="CL581" t="s">
        <v>89</v>
      </c>
    </row>
    <row r="582" spans="1:90">
      <c r="A582" t="s">
        <v>72</v>
      </c>
      <c r="B582" t="s">
        <v>73</v>
      </c>
      <c r="C582" t="s">
        <v>74</v>
      </c>
      <c r="E582" t="str">
        <f>"FES1162726724"</f>
        <v>FES1162726724</v>
      </c>
      <c r="F582" s="3">
        <v>43804</v>
      </c>
      <c r="G582">
        <v>202006</v>
      </c>
      <c r="H582" t="s">
        <v>75</v>
      </c>
      <c r="I582" t="s">
        <v>76</v>
      </c>
      <c r="J582" t="s">
        <v>77</v>
      </c>
      <c r="K582" t="s">
        <v>78</v>
      </c>
      <c r="L582" t="s">
        <v>75</v>
      </c>
      <c r="M582" t="s">
        <v>76</v>
      </c>
      <c r="N582" t="s">
        <v>194</v>
      </c>
      <c r="O582" t="s">
        <v>82</v>
      </c>
      <c r="P582" t="str">
        <f>"2170720153                    "</f>
        <v xml:space="preserve">2170720153                    </v>
      </c>
      <c r="Q582">
        <v>0</v>
      </c>
      <c r="R582">
        <v>0</v>
      </c>
      <c r="S582">
        <v>0</v>
      </c>
      <c r="T582">
        <v>0</v>
      </c>
      <c r="U582">
        <v>0</v>
      </c>
      <c r="V582">
        <v>0</v>
      </c>
      <c r="W582">
        <v>0</v>
      </c>
      <c r="X582">
        <v>0</v>
      </c>
      <c r="Y582">
        <v>0</v>
      </c>
      <c r="Z582">
        <v>0</v>
      </c>
      <c r="AA582">
        <v>0</v>
      </c>
      <c r="AB582">
        <v>0</v>
      </c>
      <c r="AC582">
        <v>0</v>
      </c>
      <c r="AD582">
        <v>0</v>
      </c>
      <c r="AE582">
        <v>0</v>
      </c>
      <c r="AF582">
        <v>0</v>
      </c>
      <c r="AG582">
        <v>0</v>
      </c>
      <c r="AH582">
        <v>0</v>
      </c>
      <c r="AI582">
        <v>0</v>
      </c>
      <c r="AJ582">
        <v>0</v>
      </c>
      <c r="AK582">
        <v>0</v>
      </c>
      <c r="AL582">
        <v>0</v>
      </c>
      <c r="AM582">
        <v>6.71</v>
      </c>
      <c r="AN582">
        <v>0</v>
      </c>
      <c r="AO582">
        <v>0</v>
      </c>
      <c r="AP582">
        <v>0</v>
      </c>
      <c r="AQ582">
        <v>0</v>
      </c>
      <c r="AR582">
        <v>0</v>
      </c>
      <c r="AS582">
        <v>0</v>
      </c>
      <c r="AT582">
        <v>0</v>
      </c>
      <c r="AU582">
        <v>0</v>
      </c>
      <c r="AV582">
        <v>0</v>
      </c>
      <c r="AW582">
        <v>0</v>
      </c>
      <c r="AX582">
        <v>0</v>
      </c>
      <c r="AY582">
        <v>0</v>
      </c>
      <c r="AZ582">
        <v>0</v>
      </c>
      <c r="BA582">
        <v>0</v>
      </c>
      <c r="BB582">
        <v>0</v>
      </c>
      <c r="BC582">
        <v>0</v>
      </c>
      <c r="BD582">
        <v>0</v>
      </c>
      <c r="BE582">
        <v>0</v>
      </c>
      <c r="BF582">
        <v>0</v>
      </c>
      <c r="BG582">
        <v>0</v>
      </c>
      <c r="BH582">
        <v>1</v>
      </c>
      <c r="BI582">
        <v>1</v>
      </c>
      <c r="BJ582">
        <v>0.2</v>
      </c>
      <c r="BK582">
        <v>1</v>
      </c>
      <c r="BL582" s="4">
        <v>39.42</v>
      </c>
      <c r="BM582" s="4">
        <v>5.91</v>
      </c>
      <c r="BN582" s="4">
        <v>45.33</v>
      </c>
      <c r="BO582" s="4">
        <v>45.33</v>
      </c>
      <c r="BQ582" t="s">
        <v>195</v>
      </c>
      <c r="BR582" t="s">
        <v>84</v>
      </c>
      <c r="BS582" s="3">
        <v>43805</v>
      </c>
      <c r="BT582" s="5">
        <v>0.25416666666666665</v>
      </c>
      <c r="BU582" t="s">
        <v>1059</v>
      </c>
      <c r="BV582" t="s">
        <v>86</v>
      </c>
      <c r="BY582">
        <v>1200</v>
      </c>
      <c r="CA582" t="s">
        <v>588</v>
      </c>
      <c r="CC582" t="s">
        <v>76</v>
      </c>
      <c r="CD582">
        <v>1600</v>
      </c>
      <c r="CE582" t="s">
        <v>88</v>
      </c>
      <c r="CF582" s="3">
        <v>43808</v>
      </c>
      <c r="CI582">
        <v>1</v>
      </c>
      <c r="CJ582">
        <v>1</v>
      </c>
      <c r="CK582">
        <v>22</v>
      </c>
      <c r="CL582" t="s">
        <v>89</v>
      </c>
    </row>
    <row r="583" spans="1:90">
      <c r="A583" t="s">
        <v>72</v>
      </c>
      <c r="B583" t="s">
        <v>73</v>
      </c>
      <c r="C583" t="s">
        <v>74</v>
      </c>
      <c r="E583" t="str">
        <f>"FES1162726872"</f>
        <v>FES1162726872</v>
      </c>
      <c r="F583" s="3">
        <v>43804</v>
      </c>
      <c r="G583">
        <v>202006</v>
      </c>
      <c r="H583" t="s">
        <v>75</v>
      </c>
      <c r="I583" t="s">
        <v>76</v>
      </c>
      <c r="J583" t="s">
        <v>77</v>
      </c>
      <c r="K583" t="s">
        <v>78</v>
      </c>
      <c r="L583" t="s">
        <v>332</v>
      </c>
      <c r="M583" t="s">
        <v>333</v>
      </c>
      <c r="N583" t="s">
        <v>701</v>
      </c>
      <c r="O583" t="s">
        <v>82</v>
      </c>
      <c r="P583" t="str">
        <f>"2170720315                    "</f>
        <v xml:space="preserve">2170720315                    </v>
      </c>
      <c r="Q583">
        <v>0</v>
      </c>
      <c r="R583">
        <v>0</v>
      </c>
      <c r="S583">
        <v>0</v>
      </c>
      <c r="T583">
        <v>0</v>
      </c>
      <c r="U583">
        <v>0</v>
      </c>
      <c r="V583">
        <v>0</v>
      </c>
      <c r="W583">
        <v>0</v>
      </c>
      <c r="X583">
        <v>0</v>
      </c>
      <c r="Y583">
        <v>0</v>
      </c>
      <c r="Z583">
        <v>0</v>
      </c>
      <c r="AA583">
        <v>0</v>
      </c>
      <c r="AB583">
        <v>0</v>
      </c>
      <c r="AC583">
        <v>0</v>
      </c>
      <c r="AD583">
        <v>0</v>
      </c>
      <c r="AE583">
        <v>0</v>
      </c>
      <c r="AF583">
        <v>0</v>
      </c>
      <c r="AG583">
        <v>0</v>
      </c>
      <c r="AH583">
        <v>0</v>
      </c>
      <c r="AI583">
        <v>0</v>
      </c>
      <c r="AJ583">
        <v>0</v>
      </c>
      <c r="AK583">
        <v>0</v>
      </c>
      <c r="AL583">
        <v>0</v>
      </c>
      <c r="AM583">
        <v>6.71</v>
      </c>
      <c r="AN583">
        <v>0</v>
      </c>
      <c r="AO583">
        <v>0</v>
      </c>
      <c r="AP583">
        <v>0</v>
      </c>
      <c r="AQ583">
        <v>0</v>
      </c>
      <c r="AR583">
        <v>0</v>
      </c>
      <c r="AS583">
        <v>0</v>
      </c>
      <c r="AT583">
        <v>0</v>
      </c>
      <c r="AU583">
        <v>0</v>
      </c>
      <c r="AV583">
        <v>0</v>
      </c>
      <c r="AW583">
        <v>0</v>
      </c>
      <c r="AX583">
        <v>0</v>
      </c>
      <c r="AY583">
        <v>0</v>
      </c>
      <c r="AZ583">
        <v>0</v>
      </c>
      <c r="BA583">
        <v>0</v>
      </c>
      <c r="BB583">
        <v>0</v>
      </c>
      <c r="BC583">
        <v>0</v>
      </c>
      <c r="BD583">
        <v>0</v>
      </c>
      <c r="BE583">
        <v>0</v>
      </c>
      <c r="BF583">
        <v>0</v>
      </c>
      <c r="BG583">
        <v>0</v>
      </c>
      <c r="BH583">
        <v>1</v>
      </c>
      <c r="BI583">
        <v>1</v>
      </c>
      <c r="BJ583">
        <v>0.2</v>
      </c>
      <c r="BK583">
        <v>1</v>
      </c>
      <c r="BL583" s="4">
        <v>39.42</v>
      </c>
      <c r="BM583" s="4">
        <v>5.91</v>
      </c>
      <c r="BN583" s="4">
        <v>45.33</v>
      </c>
      <c r="BO583" s="4">
        <v>45.33</v>
      </c>
      <c r="BQ583" t="s">
        <v>93</v>
      </c>
      <c r="BR583" t="s">
        <v>84</v>
      </c>
      <c r="BS583" s="3">
        <v>43805</v>
      </c>
      <c r="BT583" s="5">
        <v>0.39166666666666666</v>
      </c>
      <c r="BU583" t="s">
        <v>142</v>
      </c>
      <c r="BV583" t="s">
        <v>86</v>
      </c>
      <c r="BY583">
        <v>1200</v>
      </c>
      <c r="CC583" t="s">
        <v>333</v>
      </c>
      <c r="CD583">
        <v>2094</v>
      </c>
      <c r="CE583" t="s">
        <v>88</v>
      </c>
      <c r="CF583" s="3">
        <v>43808</v>
      </c>
      <c r="CI583">
        <v>1</v>
      </c>
      <c r="CJ583">
        <v>1</v>
      </c>
      <c r="CK583">
        <v>22</v>
      </c>
      <c r="CL583" t="s">
        <v>89</v>
      </c>
    </row>
    <row r="584" spans="1:90">
      <c r="A584" t="s">
        <v>72</v>
      </c>
      <c r="B584" t="s">
        <v>73</v>
      </c>
      <c r="C584" t="s">
        <v>74</v>
      </c>
      <c r="E584" t="str">
        <f>"FES1162726904"</f>
        <v>FES1162726904</v>
      </c>
      <c r="F584" s="3">
        <v>43804</v>
      </c>
      <c r="G584">
        <v>202006</v>
      </c>
      <c r="H584" t="s">
        <v>75</v>
      </c>
      <c r="I584" t="s">
        <v>76</v>
      </c>
      <c r="J584" t="s">
        <v>77</v>
      </c>
      <c r="K584" t="s">
        <v>78</v>
      </c>
      <c r="L584" t="s">
        <v>350</v>
      </c>
      <c r="M584" t="s">
        <v>351</v>
      </c>
      <c r="N584" t="s">
        <v>1060</v>
      </c>
      <c r="O584" t="s">
        <v>82</v>
      </c>
      <c r="P584" t="str">
        <f>"2170720343                    "</f>
        <v xml:space="preserve">2170720343                    </v>
      </c>
      <c r="Q584">
        <v>0</v>
      </c>
      <c r="R584">
        <v>0</v>
      </c>
      <c r="S584">
        <v>0</v>
      </c>
      <c r="T584">
        <v>0</v>
      </c>
      <c r="U584">
        <v>0</v>
      </c>
      <c r="V584">
        <v>0</v>
      </c>
      <c r="W584">
        <v>0</v>
      </c>
      <c r="X584">
        <v>0</v>
      </c>
      <c r="Y584">
        <v>0</v>
      </c>
      <c r="Z584">
        <v>0</v>
      </c>
      <c r="AA584">
        <v>0</v>
      </c>
      <c r="AB584">
        <v>0</v>
      </c>
      <c r="AC584">
        <v>0</v>
      </c>
      <c r="AD584">
        <v>0</v>
      </c>
      <c r="AE584">
        <v>0</v>
      </c>
      <c r="AF584">
        <v>0</v>
      </c>
      <c r="AG584">
        <v>0</v>
      </c>
      <c r="AH584">
        <v>0</v>
      </c>
      <c r="AI584">
        <v>0</v>
      </c>
      <c r="AJ584">
        <v>0</v>
      </c>
      <c r="AK584">
        <v>0</v>
      </c>
      <c r="AL584">
        <v>0</v>
      </c>
      <c r="AM584">
        <v>6.71</v>
      </c>
      <c r="AN584">
        <v>0</v>
      </c>
      <c r="AO584">
        <v>0</v>
      </c>
      <c r="AP584">
        <v>0</v>
      </c>
      <c r="AQ584">
        <v>0</v>
      </c>
      <c r="AR584">
        <v>0</v>
      </c>
      <c r="AS584">
        <v>0</v>
      </c>
      <c r="AT584">
        <v>0</v>
      </c>
      <c r="AU584">
        <v>0</v>
      </c>
      <c r="AV584">
        <v>0</v>
      </c>
      <c r="AW584">
        <v>0</v>
      </c>
      <c r="AX584">
        <v>0</v>
      </c>
      <c r="AY584">
        <v>0</v>
      </c>
      <c r="AZ584">
        <v>0</v>
      </c>
      <c r="BA584">
        <v>0</v>
      </c>
      <c r="BB584">
        <v>0</v>
      </c>
      <c r="BC584">
        <v>0</v>
      </c>
      <c r="BD584">
        <v>0</v>
      </c>
      <c r="BE584">
        <v>0</v>
      </c>
      <c r="BF584">
        <v>0</v>
      </c>
      <c r="BG584">
        <v>0</v>
      </c>
      <c r="BH584">
        <v>1</v>
      </c>
      <c r="BI584">
        <v>0.6</v>
      </c>
      <c r="BJ584">
        <v>1.6</v>
      </c>
      <c r="BK584">
        <v>2</v>
      </c>
      <c r="BL584" s="4">
        <v>39.42</v>
      </c>
      <c r="BM584" s="4">
        <v>5.91</v>
      </c>
      <c r="BN584" s="4">
        <v>45.33</v>
      </c>
      <c r="BO584" s="4">
        <v>45.33</v>
      </c>
      <c r="BR584" t="s">
        <v>84</v>
      </c>
      <c r="BS584" s="3">
        <v>43805</v>
      </c>
      <c r="BT584" s="5">
        <v>0.33333333333333331</v>
      </c>
      <c r="BU584" t="s">
        <v>625</v>
      </c>
      <c r="BV584" t="s">
        <v>86</v>
      </c>
      <c r="BY584">
        <v>8143.88</v>
      </c>
      <c r="CA584" t="s">
        <v>729</v>
      </c>
      <c r="CC584" t="s">
        <v>351</v>
      </c>
      <c r="CD584">
        <v>1500</v>
      </c>
      <c r="CE584" t="s">
        <v>88</v>
      </c>
      <c r="CF584" s="3">
        <v>43808</v>
      </c>
      <c r="CI584">
        <v>1</v>
      </c>
      <c r="CJ584">
        <v>1</v>
      </c>
      <c r="CK584">
        <v>22</v>
      </c>
      <c r="CL584" t="s">
        <v>89</v>
      </c>
    </row>
    <row r="585" spans="1:90">
      <c r="A585" t="s">
        <v>72</v>
      </c>
      <c r="B585" t="s">
        <v>73</v>
      </c>
      <c r="C585" t="s">
        <v>74</v>
      </c>
      <c r="E585" t="str">
        <f>"FES1162726723"</f>
        <v>FES1162726723</v>
      </c>
      <c r="F585" s="3">
        <v>43804</v>
      </c>
      <c r="G585">
        <v>202006</v>
      </c>
      <c r="H585" t="s">
        <v>75</v>
      </c>
      <c r="I585" t="s">
        <v>76</v>
      </c>
      <c r="J585" t="s">
        <v>77</v>
      </c>
      <c r="K585" t="s">
        <v>78</v>
      </c>
      <c r="L585" t="s">
        <v>75</v>
      </c>
      <c r="M585" t="s">
        <v>76</v>
      </c>
      <c r="N585" t="s">
        <v>1061</v>
      </c>
      <c r="O585" t="s">
        <v>82</v>
      </c>
      <c r="P585" t="str">
        <f>"2170720150                    "</f>
        <v xml:space="preserve">2170720150                    </v>
      </c>
      <c r="Q585">
        <v>0</v>
      </c>
      <c r="R585">
        <v>0</v>
      </c>
      <c r="S585">
        <v>0</v>
      </c>
      <c r="T585">
        <v>0</v>
      </c>
      <c r="U585">
        <v>0</v>
      </c>
      <c r="V585">
        <v>0</v>
      </c>
      <c r="W585">
        <v>0</v>
      </c>
      <c r="X585">
        <v>0</v>
      </c>
      <c r="Y585">
        <v>0</v>
      </c>
      <c r="Z585">
        <v>0</v>
      </c>
      <c r="AA585">
        <v>0</v>
      </c>
      <c r="AB585">
        <v>0</v>
      </c>
      <c r="AC585">
        <v>0</v>
      </c>
      <c r="AD585">
        <v>0</v>
      </c>
      <c r="AE585">
        <v>0</v>
      </c>
      <c r="AF585">
        <v>0</v>
      </c>
      <c r="AG585">
        <v>0</v>
      </c>
      <c r="AH585">
        <v>0</v>
      </c>
      <c r="AI585">
        <v>0</v>
      </c>
      <c r="AJ585">
        <v>0</v>
      </c>
      <c r="AK585">
        <v>0</v>
      </c>
      <c r="AL585">
        <v>0</v>
      </c>
      <c r="AM585">
        <v>6.71</v>
      </c>
      <c r="AN585">
        <v>0</v>
      </c>
      <c r="AO585">
        <v>0</v>
      </c>
      <c r="AP585">
        <v>0</v>
      </c>
      <c r="AQ585">
        <v>0</v>
      </c>
      <c r="AR585">
        <v>0</v>
      </c>
      <c r="AS585">
        <v>0</v>
      </c>
      <c r="AT585">
        <v>0</v>
      </c>
      <c r="AU585">
        <v>0</v>
      </c>
      <c r="AV585">
        <v>0</v>
      </c>
      <c r="AW585">
        <v>0</v>
      </c>
      <c r="AX585">
        <v>0</v>
      </c>
      <c r="AY585">
        <v>0</v>
      </c>
      <c r="AZ585">
        <v>0</v>
      </c>
      <c r="BA585">
        <v>0</v>
      </c>
      <c r="BB585">
        <v>0</v>
      </c>
      <c r="BC585">
        <v>0</v>
      </c>
      <c r="BD585">
        <v>0</v>
      </c>
      <c r="BE585">
        <v>0</v>
      </c>
      <c r="BF585">
        <v>0</v>
      </c>
      <c r="BG585">
        <v>0</v>
      </c>
      <c r="BH585">
        <v>1</v>
      </c>
      <c r="BI585">
        <v>1</v>
      </c>
      <c r="BJ585">
        <v>0.2</v>
      </c>
      <c r="BK585">
        <v>1</v>
      </c>
      <c r="BL585" s="4">
        <v>39.42</v>
      </c>
      <c r="BM585" s="4">
        <v>5.91</v>
      </c>
      <c r="BN585" s="4">
        <v>45.33</v>
      </c>
      <c r="BO585" s="4">
        <v>45.33</v>
      </c>
      <c r="BQ585" t="s">
        <v>135</v>
      </c>
      <c r="BR585" t="s">
        <v>84</v>
      </c>
      <c r="BS585" s="3">
        <v>43805</v>
      </c>
      <c r="BT585" s="5">
        <v>0.35902777777777778</v>
      </c>
      <c r="BU585" t="s">
        <v>1062</v>
      </c>
      <c r="BV585" t="s">
        <v>86</v>
      </c>
      <c r="BY585">
        <v>1200</v>
      </c>
      <c r="CA585" t="s">
        <v>746</v>
      </c>
      <c r="CC585" t="s">
        <v>76</v>
      </c>
      <c r="CD585">
        <v>1600</v>
      </c>
      <c r="CE585" t="s">
        <v>88</v>
      </c>
      <c r="CF585" s="3">
        <v>43808</v>
      </c>
      <c r="CI585">
        <v>1</v>
      </c>
      <c r="CJ585">
        <v>1</v>
      </c>
      <c r="CK585">
        <v>22</v>
      </c>
      <c r="CL585" t="s">
        <v>89</v>
      </c>
    </row>
    <row r="586" spans="1:90">
      <c r="A586" t="s">
        <v>72</v>
      </c>
      <c r="B586" t="s">
        <v>73</v>
      </c>
      <c r="C586" t="s">
        <v>74</v>
      </c>
      <c r="E586" t="str">
        <f>"FES1162726790"</f>
        <v>FES1162726790</v>
      </c>
      <c r="F586" s="3">
        <v>43804</v>
      </c>
      <c r="G586">
        <v>202006</v>
      </c>
      <c r="H586" t="s">
        <v>75</v>
      </c>
      <c r="I586" t="s">
        <v>76</v>
      </c>
      <c r="J586" t="s">
        <v>77</v>
      </c>
      <c r="K586" t="s">
        <v>78</v>
      </c>
      <c r="L586" t="s">
        <v>90</v>
      </c>
      <c r="M586" t="s">
        <v>91</v>
      </c>
      <c r="N586" t="s">
        <v>1063</v>
      </c>
      <c r="O586" t="s">
        <v>82</v>
      </c>
      <c r="P586" t="str">
        <f>"2170720235                    "</f>
        <v xml:space="preserve">2170720235                    </v>
      </c>
      <c r="Q586">
        <v>0</v>
      </c>
      <c r="R586">
        <v>0</v>
      </c>
      <c r="S586">
        <v>0</v>
      </c>
      <c r="T586">
        <v>0</v>
      </c>
      <c r="U586">
        <v>0</v>
      </c>
      <c r="V586">
        <v>0</v>
      </c>
      <c r="W586">
        <v>0</v>
      </c>
      <c r="X586">
        <v>0</v>
      </c>
      <c r="Y586">
        <v>0</v>
      </c>
      <c r="Z586">
        <v>0</v>
      </c>
      <c r="AA586">
        <v>0</v>
      </c>
      <c r="AB586">
        <v>0</v>
      </c>
      <c r="AC586">
        <v>0</v>
      </c>
      <c r="AD586">
        <v>0</v>
      </c>
      <c r="AE586">
        <v>0</v>
      </c>
      <c r="AF586">
        <v>0</v>
      </c>
      <c r="AG586">
        <v>0</v>
      </c>
      <c r="AH586">
        <v>0</v>
      </c>
      <c r="AI586">
        <v>0</v>
      </c>
      <c r="AJ586">
        <v>0</v>
      </c>
      <c r="AK586">
        <v>0</v>
      </c>
      <c r="AL586">
        <v>0</v>
      </c>
      <c r="AM586">
        <v>8.58</v>
      </c>
      <c r="AN586">
        <v>0</v>
      </c>
      <c r="AO586">
        <v>0</v>
      </c>
      <c r="AP586">
        <v>0</v>
      </c>
      <c r="AQ586">
        <v>0</v>
      </c>
      <c r="AR586">
        <v>0</v>
      </c>
      <c r="AS586">
        <v>0</v>
      </c>
      <c r="AT586">
        <v>0</v>
      </c>
      <c r="AU586">
        <v>0</v>
      </c>
      <c r="AV586">
        <v>0</v>
      </c>
      <c r="AW586">
        <v>0</v>
      </c>
      <c r="AX586">
        <v>0</v>
      </c>
      <c r="AY586">
        <v>0</v>
      </c>
      <c r="AZ586">
        <v>0</v>
      </c>
      <c r="BA586">
        <v>0</v>
      </c>
      <c r="BB586">
        <v>0</v>
      </c>
      <c r="BC586">
        <v>0</v>
      </c>
      <c r="BD586">
        <v>0</v>
      </c>
      <c r="BE586">
        <v>0</v>
      </c>
      <c r="BF586">
        <v>0</v>
      </c>
      <c r="BG586">
        <v>0</v>
      </c>
      <c r="BH586">
        <v>1</v>
      </c>
      <c r="BI586">
        <v>1</v>
      </c>
      <c r="BJ586">
        <v>0.2</v>
      </c>
      <c r="BK586">
        <v>1</v>
      </c>
      <c r="BL586" s="4">
        <v>50.45</v>
      </c>
      <c r="BM586" s="4">
        <v>7.57</v>
      </c>
      <c r="BN586" s="4">
        <v>58.02</v>
      </c>
      <c r="BO586" s="4">
        <v>58.02</v>
      </c>
      <c r="BR586" t="s">
        <v>84</v>
      </c>
      <c r="BS586" s="3">
        <v>43805</v>
      </c>
      <c r="BT586" s="5">
        <v>0.43402777777777773</v>
      </c>
      <c r="BU586" t="s">
        <v>1064</v>
      </c>
      <c r="BV586" t="s">
        <v>86</v>
      </c>
      <c r="BY586">
        <v>1200</v>
      </c>
      <c r="CA586" t="s">
        <v>563</v>
      </c>
      <c r="CC586" t="s">
        <v>91</v>
      </c>
      <c r="CD586">
        <v>7460</v>
      </c>
      <c r="CE586" t="s">
        <v>88</v>
      </c>
      <c r="CF586" s="3">
        <v>43808</v>
      </c>
      <c r="CI586">
        <v>1</v>
      </c>
      <c r="CJ586">
        <v>1</v>
      </c>
      <c r="CK586">
        <v>21</v>
      </c>
      <c r="CL586" t="s">
        <v>89</v>
      </c>
    </row>
    <row r="587" spans="1:90">
      <c r="A587" t="s">
        <v>72</v>
      </c>
      <c r="B587" t="s">
        <v>73</v>
      </c>
      <c r="C587" t="s">
        <v>74</v>
      </c>
      <c r="E587" t="str">
        <f>"FES1162726910"</f>
        <v>FES1162726910</v>
      </c>
      <c r="F587" s="3">
        <v>43804</v>
      </c>
      <c r="G587">
        <v>202006</v>
      </c>
      <c r="H587" t="s">
        <v>75</v>
      </c>
      <c r="I587" t="s">
        <v>76</v>
      </c>
      <c r="J587" t="s">
        <v>77</v>
      </c>
      <c r="K587" t="s">
        <v>78</v>
      </c>
      <c r="L587" t="s">
        <v>117</v>
      </c>
      <c r="M587" t="s">
        <v>118</v>
      </c>
      <c r="N587" t="s">
        <v>119</v>
      </c>
      <c r="O587" t="s">
        <v>82</v>
      </c>
      <c r="P587" t="str">
        <f>"2170720351                    "</f>
        <v xml:space="preserve">2170720351                    </v>
      </c>
      <c r="Q587">
        <v>0</v>
      </c>
      <c r="R587">
        <v>0</v>
      </c>
      <c r="S587">
        <v>0</v>
      </c>
      <c r="T587">
        <v>0</v>
      </c>
      <c r="U587">
        <v>0</v>
      </c>
      <c r="V587">
        <v>0</v>
      </c>
      <c r="W587">
        <v>0</v>
      </c>
      <c r="X587">
        <v>0</v>
      </c>
      <c r="Y587">
        <v>0</v>
      </c>
      <c r="Z587">
        <v>0</v>
      </c>
      <c r="AA587">
        <v>0</v>
      </c>
      <c r="AB587">
        <v>0</v>
      </c>
      <c r="AC587">
        <v>0</v>
      </c>
      <c r="AD587">
        <v>0</v>
      </c>
      <c r="AE587">
        <v>0</v>
      </c>
      <c r="AF587">
        <v>0</v>
      </c>
      <c r="AG587">
        <v>0</v>
      </c>
      <c r="AH587">
        <v>0</v>
      </c>
      <c r="AI587">
        <v>0</v>
      </c>
      <c r="AJ587">
        <v>0</v>
      </c>
      <c r="AK587">
        <v>0</v>
      </c>
      <c r="AL587">
        <v>0</v>
      </c>
      <c r="AM587">
        <v>19.559999999999999</v>
      </c>
      <c r="AN587">
        <v>0</v>
      </c>
      <c r="AO587">
        <v>0</v>
      </c>
      <c r="AP587">
        <v>0</v>
      </c>
      <c r="AQ587">
        <v>0</v>
      </c>
      <c r="AR587">
        <v>0</v>
      </c>
      <c r="AS587">
        <v>0</v>
      </c>
      <c r="AT587">
        <v>0</v>
      </c>
      <c r="AU587">
        <v>0</v>
      </c>
      <c r="AV587">
        <v>0</v>
      </c>
      <c r="AW587">
        <v>0</v>
      </c>
      <c r="AX587">
        <v>0</v>
      </c>
      <c r="AY587">
        <v>0</v>
      </c>
      <c r="AZ587">
        <v>0</v>
      </c>
      <c r="BA587">
        <v>0</v>
      </c>
      <c r="BB587">
        <v>0</v>
      </c>
      <c r="BC587">
        <v>0</v>
      </c>
      <c r="BD587">
        <v>0</v>
      </c>
      <c r="BE587">
        <v>0</v>
      </c>
      <c r="BF587">
        <v>0</v>
      </c>
      <c r="BG587">
        <v>0</v>
      </c>
      <c r="BH587">
        <v>1</v>
      </c>
      <c r="BI587">
        <v>9.8000000000000007</v>
      </c>
      <c r="BJ587">
        <v>3.5</v>
      </c>
      <c r="BK587">
        <v>10</v>
      </c>
      <c r="BL587" s="4">
        <v>114.99</v>
      </c>
      <c r="BM587" s="4">
        <v>17.25</v>
      </c>
      <c r="BN587" s="4">
        <v>132.24</v>
      </c>
      <c r="BO587" s="4">
        <v>132.24</v>
      </c>
      <c r="BQ587" t="s">
        <v>147</v>
      </c>
      <c r="BR587" t="s">
        <v>84</v>
      </c>
      <c r="BS587" s="3">
        <v>43805</v>
      </c>
      <c r="BT587" s="5">
        <v>0.44444444444444442</v>
      </c>
      <c r="BU587" t="s">
        <v>1065</v>
      </c>
      <c r="BV587" t="s">
        <v>89</v>
      </c>
      <c r="BW587" t="s">
        <v>228</v>
      </c>
      <c r="BX587" t="s">
        <v>1066</v>
      </c>
      <c r="BY587">
        <v>17576.400000000001</v>
      </c>
      <c r="CA587" t="s">
        <v>905</v>
      </c>
      <c r="CC587" t="s">
        <v>118</v>
      </c>
      <c r="CD587">
        <v>1540</v>
      </c>
      <c r="CE587" t="s">
        <v>96</v>
      </c>
      <c r="CF587" s="3">
        <v>43808</v>
      </c>
      <c r="CI587">
        <v>1</v>
      </c>
      <c r="CJ587">
        <v>1</v>
      </c>
      <c r="CK587">
        <v>22</v>
      </c>
      <c r="CL587" t="s">
        <v>89</v>
      </c>
    </row>
    <row r="588" spans="1:90">
      <c r="A588" t="s">
        <v>72</v>
      </c>
      <c r="B588" t="s">
        <v>73</v>
      </c>
      <c r="C588" t="s">
        <v>74</v>
      </c>
      <c r="E588" t="str">
        <f>"FES1162726835"</f>
        <v>FES1162726835</v>
      </c>
      <c r="F588" s="3">
        <v>43804</v>
      </c>
      <c r="G588">
        <v>202006</v>
      </c>
      <c r="H588" t="s">
        <v>75</v>
      </c>
      <c r="I588" t="s">
        <v>76</v>
      </c>
      <c r="J588" t="s">
        <v>77</v>
      </c>
      <c r="K588" t="s">
        <v>78</v>
      </c>
      <c r="L588" t="s">
        <v>332</v>
      </c>
      <c r="M588" t="s">
        <v>333</v>
      </c>
      <c r="N588" t="s">
        <v>978</v>
      </c>
      <c r="O588" t="s">
        <v>82</v>
      </c>
      <c r="P588" t="str">
        <f>"2170720279                    "</f>
        <v xml:space="preserve">2170720279                    </v>
      </c>
      <c r="Q588">
        <v>0</v>
      </c>
      <c r="R588">
        <v>0</v>
      </c>
      <c r="S588">
        <v>0</v>
      </c>
      <c r="T588">
        <v>0</v>
      </c>
      <c r="U588">
        <v>0</v>
      </c>
      <c r="V588">
        <v>0</v>
      </c>
      <c r="W588">
        <v>0</v>
      </c>
      <c r="X588">
        <v>0</v>
      </c>
      <c r="Y588">
        <v>0</v>
      </c>
      <c r="Z588">
        <v>0</v>
      </c>
      <c r="AA588">
        <v>0</v>
      </c>
      <c r="AB588">
        <v>0</v>
      </c>
      <c r="AC588">
        <v>0</v>
      </c>
      <c r="AD588">
        <v>0</v>
      </c>
      <c r="AE588">
        <v>0</v>
      </c>
      <c r="AF588">
        <v>0</v>
      </c>
      <c r="AG588">
        <v>0</v>
      </c>
      <c r="AH588">
        <v>0</v>
      </c>
      <c r="AI588">
        <v>0</v>
      </c>
      <c r="AJ588">
        <v>0</v>
      </c>
      <c r="AK588">
        <v>0</v>
      </c>
      <c r="AL588">
        <v>0</v>
      </c>
      <c r="AM588">
        <v>6.71</v>
      </c>
      <c r="AN588">
        <v>0</v>
      </c>
      <c r="AO588">
        <v>0</v>
      </c>
      <c r="AP588">
        <v>0</v>
      </c>
      <c r="AQ588">
        <v>0</v>
      </c>
      <c r="AR588">
        <v>0</v>
      </c>
      <c r="AS588">
        <v>0</v>
      </c>
      <c r="AT588">
        <v>0</v>
      </c>
      <c r="AU588">
        <v>0</v>
      </c>
      <c r="AV588">
        <v>0</v>
      </c>
      <c r="AW588">
        <v>0</v>
      </c>
      <c r="AX588">
        <v>0</v>
      </c>
      <c r="AY588">
        <v>0</v>
      </c>
      <c r="AZ588">
        <v>0</v>
      </c>
      <c r="BA588">
        <v>0</v>
      </c>
      <c r="BB588">
        <v>0</v>
      </c>
      <c r="BC588">
        <v>0</v>
      </c>
      <c r="BD588">
        <v>0</v>
      </c>
      <c r="BE588">
        <v>0</v>
      </c>
      <c r="BF588">
        <v>0</v>
      </c>
      <c r="BG588">
        <v>0</v>
      </c>
      <c r="BH588">
        <v>1</v>
      </c>
      <c r="BI588">
        <v>1</v>
      </c>
      <c r="BJ588">
        <v>0.2</v>
      </c>
      <c r="BK588">
        <v>1</v>
      </c>
      <c r="BL588" s="4">
        <v>39.42</v>
      </c>
      <c r="BM588" s="4">
        <v>5.91</v>
      </c>
      <c r="BN588" s="4">
        <v>45.33</v>
      </c>
      <c r="BO588" s="4">
        <v>45.33</v>
      </c>
      <c r="BR588" t="s">
        <v>84</v>
      </c>
      <c r="BS588" s="3">
        <v>43805</v>
      </c>
      <c r="BT588" s="5">
        <v>0.51666666666666672</v>
      </c>
      <c r="BU588" t="s">
        <v>1067</v>
      </c>
      <c r="BV588" t="s">
        <v>89</v>
      </c>
      <c r="BY588">
        <v>1200</v>
      </c>
      <c r="CA588" t="s">
        <v>1008</v>
      </c>
      <c r="CC588" t="s">
        <v>333</v>
      </c>
      <c r="CD588">
        <v>2013</v>
      </c>
      <c r="CE588" t="s">
        <v>88</v>
      </c>
      <c r="CF588" s="3">
        <v>43808</v>
      </c>
      <c r="CI588">
        <v>1</v>
      </c>
      <c r="CJ588">
        <v>1</v>
      </c>
      <c r="CK588">
        <v>22</v>
      </c>
      <c r="CL588" t="s">
        <v>89</v>
      </c>
    </row>
    <row r="589" spans="1:90">
      <c r="A589" t="s">
        <v>72</v>
      </c>
      <c r="B589" t="s">
        <v>73</v>
      </c>
      <c r="C589" t="s">
        <v>74</v>
      </c>
      <c r="E589" t="str">
        <f>"FES1162727491"</f>
        <v>FES1162727491</v>
      </c>
      <c r="F589" s="3">
        <v>43809</v>
      </c>
      <c r="G589">
        <v>202006</v>
      </c>
      <c r="H589" t="s">
        <v>75</v>
      </c>
      <c r="I589" t="s">
        <v>76</v>
      </c>
      <c r="J589" t="s">
        <v>77</v>
      </c>
      <c r="K589" t="s">
        <v>78</v>
      </c>
      <c r="L589" t="s">
        <v>198</v>
      </c>
      <c r="M589" t="s">
        <v>199</v>
      </c>
      <c r="N589" t="s">
        <v>485</v>
      </c>
      <c r="O589" t="s">
        <v>82</v>
      </c>
      <c r="P589" t="str">
        <f>"2170719271                    "</f>
        <v xml:space="preserve">2170719271                    </v>
      </c>
      <c r="Q589">
        <v>0</v>
      </c>
      <c r="R589">
        <v>0</v>
      </c>
      <c r="S589">
        <v>0</v>
      </c>
      <c r="T589">
        <v>0</v>
      </c>
      <c r="U589">
        <v>0</v>
      </c>
      <c r="V589">
        <v>0</v>
      </c>
      <c r="W589">
        <v>0</v>
      </c>
      <c r="X589">
        <v>0</v>
      </c>
      <c r="Y589">
        <v>0</v>
      </c>
      <c r="Z589">
        <v>0</v>
      </c>
      <c r="AA589">
        <v>0</v>
      </c>
      <c r="AB589">
        <v>0</v>
      </c>
      <c r="AC589">
        <v>0</v>
      </c>
      <c r="AD589">
        <v>0</v>
      </c>
      <c r="AE589">
        <v>0</v>
      </c>
      <c r="AF589">
        <v>0</v>
      </c>
      <c r="AG589">
        <v>0</v>
      </c>
      <c r="AH589">
        <v>0</v>
      </c>
      <c r="AI589">
        <v>0</v>
      </c>
      <c r="AJ589">
        <v>0</v>
      </c>
      <c r="AK589">
        <v>0</v>
      </c>
      <c r="AL589">
        <v>0</v>
      </c>
      <c r="AM589">
        <v>8.58</v>
      </c>
      <c r="AN589">
        <v>0</v>
      </c>
      <c r="AO589">
        <v>0</v>
      </c>
      <c r="AP589">
        <v>0</v>
      </c>
      <c r="AQ589">
        <v>0</v>
      </c>
      <c r="AR589">
        <v>0</v>
      </c>
      <c r="AS589">
        <v>0</v>
      </c>
      <c r="AT589">
        <v>0</v>
      </c>
      <c r="AU589">
        <v>0</v>
      </c>
      <c r="AV589">
        <v>0</v>
      </c>
      <c r="AW589">
        <v>0</v>
      </c>
      <c r="AX589">
        <v>0</v>
      </c>
      <c r="AY589">
        <v>0</v>
      </c>
      <c r="AZ589">
        <v>0</v>
      </c>
      <c r="BA589">
        <v>0</v>
      </c>
      <c r="BB589">
        <v>0</v>
      </c>
      <c r="BC589">
        <v>0</v>
      </c>
      <c r="BD589">
        <v>0</v>
      </c>
      <c r="BE589">
        <v>0</v>
      </c>
      <c r="BF589">
        <v>0</v>
      </c>
      <c r="BG589">
        <v>0</v>
      </c>
      <c r="BH589">
        <v>1</v>
      </c>
      <c r="BI589">
        <v>1</v>
      </c>
      <c r="BJ589">
        <v>0.2</v>
      </c>
      <c r="BK589">
        <v>1</v>
      </c>
      <c r="BL589" s="4">
        <v>50.45</v>
      </c>
      <c r="BM589" s="4">
        <v>7.57</v>
      </c>
      <c r="BN589" s="4">
        <v>58.02</v>
      </c>
      <c r="BO589" s="4">
        <v>58.02</v>
      </c>
      <c r="BQ589" t="s">
        <v>486</v>
      </c>
      <c r="BR589" t="s">
        <v>84</v>
      </c>
      <c r="BS589" s="3">
        <v>43810</v>
      </c>
      <c r="BT589" s="5">
        <v>0.32430555555555557</v>
      </c>
      <c r="BU589" t="s">
        <v>742</v>
      </c>
      <c r="BV589" t="s">
        <v>86</v>
      </c>
      <c r="BY589">
        <v>1200</v>
      </c>
      <c r="CA589" t="s">
        <v>488</v>
      </c>
      <c r="CC589" t="s">
        <v>199</v>
      </c>
      <c r="CD589">
        <v>4001</v>
      </c>
      <c r="CE589" t="s">
        <v>88</v>
      </c>
      <c r="CF589" s="3">
        <v>43811</v>
      </c>
      <c r="CI589">
        <v>1</v>
      </c>
      <c r="CJ589">
        <v>1</v>
      </c>
      <c r="CK589">
        <v>21</v>
      </c>
      <c r="CL589" t="s">
        <v>89</v>
      </c>
    </row>
    <row r="590" spans="1:90">
      <c r="A590" t="s">
        <v>72</v>
      </c>
      <c r="B590" t="s">
        <v>73</v>
      </c>
      <c r="C590" t="s">
        <v>74</v>
      </c>
      <c r="E590" t="str">
        <f>"FES1162727545"</f>
        <v>FES1162727545</v>
      </c>
      <c r="F590" s="3">
        <v>43809</v>
      </c>
      <c r="G590">
        <v>202006</v>
      </c>
      <c r="H590" t="s">
        <v>75</v>
      </c>
      <c r="I590" t="s">
        <v>76</v>
      </c>
      <c r="J590" t="s">
        <v>77</v>
      </c>
      <c r="K590" t="s">
        <v>78</v>
      </c>
      <c r="L590" t="s">
        <v>90</v>
      </c>
      <c r="M590" t="s">
        <v>91</v>
      </c>
      <c r="N590" t="s">
        <v>1068</v>
      </c>
      <c r="O590" t="s">
        <v>82</v>
      </c>
      <c r="P590" t="str">
        <f>"2170712161                    "</f>
        <v xml:space="preserve">2170712161                    </v>
      </c>
      <c r="Q590">
        <v>0</v>
      </c>
      <c r="R590">
        <v>0</v>
      </c>
      <c r="S590">
        <v>0</v>
      </c>
      <c r="T590">
        <v>0</v>
      </c>
      <c r="U590">
        <v>0</v>
      </c>
      <c r="V590">
        <v>0</v>
      </c>
      <c r="W590">
        <v>0</v>
      </c>
      <c r="X590">
        <v>0</v>
      </c>
      <c r="Y590">
        <v>0</v>
      </c>
      <c r="Z590">
        <v>0</v>
      </c>
      <c r="AA590">
        <v>0</v>
      </c>
      <c r="AB590">
        <v>0</v>
      </c>
      <c r="AC590">
        <v>0</v>
      </c>
      <c r="AD590">
        <v>0</v>
      </c>
      <c r="AE590">
        <v>0</v>
      </c>
      <c r="AF590">
        <v>0</v>
      </c>
      <c r="AG590">
        <v>0</v>
      </c>
      <c r="AH590">
        <v>0</v>
      </c>
      <c r="AI590">
        <v>0</v>
      </c>
      <c r="AJ590">
        <v>0</v>
      </c>
      <c r="AK590">
        <v>0</v>
      </c>
      <c r="AL590">
        <v>0</v>
      </c>
      <c r="AM590">
        <v>8.58</v>
      </c>
      <c r="AN590">
        <v>0</v>
      </c>
      <c r="AO590">
        <v>0</v>
      </c>
      <c r="AP590">
        <v>0</v>
      </c>
      <c r="AQ590">
        <v>0</v>
      </c>
      <c r="AR590">
        <v>0</v>
      </c>
      <c r="AS590">
        <v>0</v>
      </c>
      <c r="AT590">
        <v>0</v>
      </c>
      <c r="AU590">
        <v>0</v>
      </c>
      <c r="AV590">
        <v>0</v>
      </c>
      <c r="AW590">
        <v>0</v>
      </c>
      <c r="AX590">
        <v>0</v>
      </c>
      <c r="AY590">
        <v>0</v>
      </c>
      <c r="AZ590">
        <v>0</v>
      </c>
      <c r="BA590">
        <v>0</v>
      </c>
      <c r="BB590">
        <v>0</v>
      </c>
      <c r="BC590">
        <v>0</v>
      </c>
      <c r="BD590">
        <v>0</v>
      </c>
      <c r="BE590">
        <v>0</v>
      </c>
      <c r="BF590">
        <v>0</v>
      </c>
      <c r="BG590">
        <v>0</v>
      </c>
      <c r="BH590">
        <v>1</v>
      </c>
      <c r="BI590">
        <v>1</v>
      </c>
      <c r="BJ590">
        <v>0.2</v>
      </c>
      <c r="BK590">
        <v>1</v>
      </c>
      <c r="BL590" s="4">
        <v>50.45</v>
      </c>
      <c r="BM590" s="4">
        <v>7.57</v>
      </c>
      <c r="BN590" s="4">
        <v>58.02</v>
      </c>
      <c r="BO590" s="4">
        <v>58.02</v>
      </c>
      <c r="BQ590" t="s">
        <v>466</v>
      </c>
      <c r="BR590" t="s">
        <v>84</v>
      </c>
      <c r="BS590" s="3">
        <v>43810</v>
      </c>
      <c r="BT590" s="5">
        <v>0.34513888888888888</v>
      </c>
      <c r="BU590" t="s">
        <v>1069</v>
      </c>
      <c r="BV590" t="s">
        <v>86</v>
      </c>
      <c r="BY590">
        <v>1200</v>
      </c>
      <c r="CA590" t="s">
        <v>532</v>
      </c>
      <c r="CC590" t="s">
        <v>91</v>
      </c>
      <c r="CD590">
        <v>7405</v>
      </c>
      <c r="CE590" t="s">
        <v>88</v>
      </c>
      <c r="CF590" s="3">
        <v>43811</v>
      </c>
      <c r="CI590">
        <v>1</v>
      </c>
      <c r="CJ590">
        <v>1</v>
      </c>
      <c r="CK590">
        <v>21</v>
      </c>
      <c r="CL590" t="s">
        <v>89</v>
      </c>
    </row>
    <row r="591" spans="1:90">
      <c r="A591" t="s">
        <v>72</v>
      </c>
      <c r="B591" t="s">
        <v>73</v>
      </c>
      <c r="C591" t="s">
        <v>74</v>
      </c>
      <c r="E591" t="str">
        <f>"FES1162727562"</f>
        <v>FES1162727562</v>
      </c>
      <c r="F591" s="3">
        <v>43809</v>
      </c>
      <c r="G591">
        <v>202006</v>
      </c>
      <c r="H591" t="s">
        <v>75</v>
      </c>
      <c r="I591" t="s">
        <v>76</v>
      </c>
      <c r="J591" t="s">
        <v>77</v>
      </c>
      <c r="K591" t="s">
        <v>78</v>
      </c>
      <c r="L591" t="s">
        <v>90</v>
      </c>
      <c r="M591" t="s">
        <v>91</v>
      </c>
      <c r="N591" t="s">
        <v>315</v>
      </c>
      <c r="O591" t="s">
        <v>82</v>
      </c>
      <c r="P591" t="str">
        <f>"217071042                     "</f>
        <v xml:space="preserve">217071042                     </v>
      </c>
      <c r="Q591">
        <v>0</v>
      </c>
      <c r="R591">
        <v>0</v>
      </c>
      <c r="S591">
        <v>0</v>
      </c>
      <c r="T591">
        <v>0</v>
      </c>
      <c r="U591">
        <v>0</v>
      </c>
      <c r="V591">
        <v>0</v>
      </c>
      <c r="W591">
        <v>0</v>
      </c>
      <c r="X591">
        <v>0</v>
      </c>
      <c r="Y591">
        <v>0</v>
      </c>
      <c r="Z591">
        <v>0</v>
      </c>
      <c r="AA591">
        <v>0</v>
      </c>
      <c r="AB591">
        <v>0</v>
      </c>
      <c r="AC591">
        <v>0</v>
      </c>
      <c r="AD591">
        <v>0</v>
      </c>
      <c r="AE591">
        <v>0</v>
      </c>
      <c r="AF591">
        <v>0</v>
      </c>
      <c r="AG591">
        <v>0</v>
      </c>
      <c r="AH591">
        <v>0</v>
      </c>
      <c r="AI591">
        <v>0</v>
      </c>
      <c r="AJ591">
        <v>0</v>
      </c>
      <c r="AK591">
        <v>0</v>
      </c>
      <c r="AL591">
        <v>0</v>
      </c>
      <c r="AM591">
        <v>8.58</v>
      </c>
      <c r="AN591">
        <v>0</v>
      </c>
      <c r="AO591">
        <v>0</v>
      </c>
      <c r="AP591">
        <v>0</v>
      </c>
      <c r="AQ591">
        <v>0</v>
      </c>
      <c r="AR591">
        <v>0</v>
      </c>
      <c r="AS591">
        <v>0</v>
      </c>
      <c r="AT591">
        <v>0</v>
      </c>
      <c r="AU591">
        <v>0</v>
      </c>
      <c r="AV591">
        <v>0</v>
      </c>
      <c r="AW591">
        <v>0</v>
      </c>
      <c r="AX591">
        <v>0</v>
      </c>
      <c r="AY591">
        <v>0</v>
      </c>
      <c r="AZ591">
        <v>0</v>
      </c>
      <c r="BA591">
        <v>0</v>
      </c>
      <c r="BB591">
        <v>0</v>
      </c>
      <c r="BC591">
        <v>0</v>
      </c>
      <c r="BD591">
        <v>0</v>
      </c>
      <c r="BE591">
        <v>0</v>
      </c>
      <c r="BF591">
        <v>0</v>
      </c>
      <c r="BG591">
        <v>0</v>
      </c>
      <c r="BH591">
        <v>1</v>
      </c>
      <c r="BI591">
        <v>1</v>
      </c>
      <c r="BJ591">
        <v>0.2</v>
      </c>
      <c r="BK591">
        <v>1</v>
      </c>
      <c r="BL591" s="4">
        <v>50.45</v>
      </c>
      <c r="BM591" s="4">
        <v>7.57</v>
      </c>
      <c r="BN591" s="4">
        <v>58.02</v>
      </c>
      <c r="BO591" s="4">
        <v>58.02</v>
      </c>
      <c r="BQ591" t="s">
        <v>135</v>
      </c>
      <c r="BR591" t="s">
        <v>84</v>
      </c>
      <c r="BS591" s="3">
        <v>43810</v>
      </c>
      <c r="BT591" s="5">
        <v>0.36249999999999999</v>
      </c>
      <c r="BU591" t="s">
        <v>316</v>
      </c>
      <c r="BV591" t="s">
        <v>86</v>
      </c>
      <c r="BY591">
        <v>1200</v>
      </c>
      <c r="CA591" t="s">
        <v>273</v>
      </c>
      <c r="CC591" t="s">
        <v>91</v>
      </c>
      <c r="CD591">
        <v>7800</v>
      </c>
      <c r="CE591" t="s">
        <v>88</v>
      </c>
      <c r="CF591" s="3">
        <v>43811</v>
      </c>
      <c r="CI591">
        <v>1</v>
      </c>
      <c r="CJ591">
        <v>1</v>
      </c>
      <c r="CK591">
        <v>21</v>
      </c>
      <c r="CL591" t="s">
        <v>89</v>
      </c>
    </row>
    <row r="592" spans="1:90">
      <c r="A592" t="s">
        <v>72</v>
      </c>
      <c r="B592" t="s">
        <v>73</v>
      </c>
      <c r="C592" t="s">
        <v>74</v>
      </c>
      <c r="E592" t="str">
        <f>"FES1162727474"</f>
        <v>FES1162727474</v>
      </c>
      <c r="F592" s="3">
        <v>43809</v>
      </c>
      <c r="G592">
        <v>202006</v>
      </c>
      <c r="H592" t="s">
        <v>75</v>
      </c>
      <c r="I592" t="s">
        <v>76</v>
      </c>
      <c r="J592" t="s">
        <v>77</v>
      </c>
      <c r="K592" t="s">
        <v>78</v>
      </c>
      <c r="L592" t="s">
        <v>79</v>
      </c>
      <c r="M592" t="s">
        <v>80</v>
      </c>
      <c r="N592" t="s">
        <v>300</v>
      </c>
      <c r="O592" t="s">
        <v>82</v>
      </c>
      <c r="P592" t="str">
        <f>"2170871952                    "</f>
        <v xml:space="preserve">2170871952                    </v>
      </c>
      <c r="Q592">
        <v>0</v>
      </c>
      <c r="R592">
        <v>0</v>
      </c>
      <c r="S592">
        <v>0</v>
      </c>
      <c r="T592">
        <v>0</v>
      </c>
      <c r="U592">
        <v>0</v>
      </c>
      <c r="V592">
        <v>0</v>
      </c>
      <c r="W592">
        <v>0</v>
      </c>
      <c r="X592">
        <v>0</v>
      </c>
      <c r="Y592">
        <v>0</v>
      </c>
      <c r="Z592">
        <v>0</v>
      </c>
      <c r="AA592">
        <v>0</v>
      </c>
      <c r="AB592">
        <v>0</v>
      </c>
      <c r="AC592">
        <v>0</v>
      </c>
      <c r="AD592">
        <v>0</v>
      </c>
      <c r="AE592">
        <v>0</v>
      </c>
      <c r="AF592">
        <v>0</v>
      </c>
      <c r="AG592">
        <v>0</v>
      </c>
      <c r="AH592">
        <v>0</v>
      </c>
      <c r="AI592">
        <v>0</v>
      </c>
      <c r="AJ592">
        <v>0</v>
      </c>
      <c r="AK592">
        <v>0</v>
      </c>
      <c r="AL592">
        <v>0</v>
      </c>
      <c r="AM592">
        <v>8.58</v>
      </c>
      <c r="AN592">
        <v>0</v>
      </c>
      <c r="AO592">
        <v>0</v>
      </c>
      <c r="AP592">
        <v>0</v>
      </c>
      <c r="AQ592">
        <v>0</v>
      </c>
      <c r="AR592">
        <v>0</v>
      </c>
      <c r="AS592">
        <v>0</v>
      </c>
      <c r="AT592">
        <v>0</v>
      </c>
      <c r="AU592">
        <v>0</v>
      </c>
      <c r="AV592">
        <v>0</v>
      </c>
      <c r="AW592">
        <v>0</v>
      </c>
      <c r="AX592">
        <v>0</v>
      </c>
      <c r="AY592">
        <v>0</v>
      </c>
      <c r="AZ592">
        <v>0</v>
      </c>
      <c r="BA592">
        <v>0</v>
      </c>
      <c r="BB592">
        <v>0</v>
      </c>
      <c r="BC592">
        <v>0</v>
      </c>
      <c r="BD592">
        <v>0</v>
      </c>
      <c r="BE592">
        <v>0</v>
      </c>
      <c r="BF592">
        <v>0</v>
      </c>
      <c r="BG592">
        <v>0</v>
      </c>
      <c r="BH592">
        <v>1</v>
      </c>
      <c r="BI592">
        <v>1</v>
      </c>
      <c r="BJ592">
        <v>0.2</v>
      </c>
      <c r="BK592">
        <v>1</v>
      </c>
      <c r="BL592" s="4">
        <v>50.45</v>
      </c>
      <c r="BM592" s="4">
        <v>7.57</v>
      </c>
      <c r="BN592" s="4">
        <v>58.02</v>
      </c>
      <c r="BO592" s="4">
        <v>58.02</v>
      </c>
      <c r="BQ592" t="s">
        <v>147</v>
      </c>
      <c r="BR592" t="s">
        <v>84</v>
      </c>
      <c r="BS592" s="3">
        <v>43810</v>
      </c>
      <c r="BT592" s="5">
        <v>0.39583333333333331</v>
      </c>
      <c r="BU592" t="s">
        <v>403</v>
      </c>
      <c r="BV592" t="s">
        <v>86</v>
      </c>
      <c r="BY592">
        <v>1200</v>
      </c>
      <c r="CA592" t="s">
        <v>99</v>
      </c>
      <c r="CC592" t="s">
        <v>80</v>
      </c>
      <c r="CD592">
        <v>6001</v>
      </c>
      <c r="CE592" t="s">
        <v>88</v>
      </c>
      <c r="CF592" s="3">
        <v>43811</v>
      </c>
      <c r="CI592">
        <v>1</v>
      </c>
      <c r="CJ592">
        <v>1</v>
      </c>
      <c r="CK592">
        <v>21</v>
      </c>
      <c r="CL592" t="s">
        <v>89</v>
      </c>
    </row>
    <row r="593" spans="1:90">
      <c r="A593" t="s">
        <v>72</v>
      </c>
      <c r="B593" t="s">
        <v>73</v>
      </c>
      <c r="C593" t="s">
        <v>74</v>
      </c>
      <c r="E593" t="str">
        <f>"FES1162726633"</f>
        <v>FES1162726633</v>
      </c>
      <c r="F593" s="3">
        <v>43804</v>
      </c>
      <c r="G593">
        <v>202006</v>
      </c>
      <c r="H593" t="s">
        <v>75</v>
      </c>
      <c r="I593" t="s">
        <v>76</v>
      </c>
      <c r="J593" t="s">
        <v>77</v>
      </c>
      <c r="K593" t="s">
        <v>78</v>
      </c>
      <c r="L593" t="s">
        <v>164</v>
      </c>
      <c r="M593" t="s">
        <v>165</v>
      </c>
      <c r="N593" t="s">
        <v>658</v>
      </c>
      <c r="O593" t="s">
        <v>104</v>
      </c>
      <c r="P593" t="str">
        <f>"21707198036                   "</f>
        <v xml:space="preserve">21707198036                   </v>
      </c>
      <c r="Q593">
        <v>0</v>
      </c>
      <c r="R593">
        <v>0</v>
      </c>
      <c r="S593">
        <v>0</v>
      </c>
      <c r="T593">
        <v>0</v>
      </c>
      <c r="U593">
        <v>0</v>
      </c>
      <c r="V593">
        <v>0</v>
      </c>
      <c r="W593">
        <v>0</v>
      </c>
      <c r="X593">
        <v>0</v>
      </c>
      <c r="Y593">
        <v>0</v>
      </c>
      <c r="Z593">
        <v>0</v>
      </c>
      <c r="AA593">
        <v>0</v>
      </c>
      <c r="AB593">
        <v>0</v>
      </c>
      <c r="AC593">
        <v>0</v>
      </c>
      <c r="AD593">
        <v>0</v>
      </c>
      <c r="AE593">
        <v>0</v>
      </c>
      <c r="AF593">
        <v>0</v>
      </c>
      <c r="AG593">
        <v>0</v>
      </c>
      <c r="AH593">
        <v>0</v>
      </c>
      <c r="AI593">
        <v>0</v>
      </c>
      <c r="AJ593">
        <v>0</v>
      </c>
      <c r="AK593">
        <v>0</v>
      </c>
      <c r="AL593">
        <v>0</v>
      </c>
      <c r="AM593">
        <v>25.85</v>
      </c>
      <c r="AN593">
        <v>0</v>
      </c>
      <c r="AO593">
        <v>0</v>
      </c>
      <c r="AP593">
        <v>0</v>
      </c>
      <c r="AQ593">
        <v>0</v>
      </c>
      <c r="AR593">
        <v>0</v>
      </c>
      <c r="AS593">
        <v>0</v>
      </c>
      <c r="AT593">
        <v>0</v>
      </c>
      <c r="AU593">
        <v>0</v>
      </c>
      <c r="AV593">
        <v>0</v>
      </c>
      <c r="AW593">
        <v>0</v>
      </c>
      <c r="AX593">
        <v>0</v>
      </c>
      <c r="AY593">
        <v>0</v>
      </c>
      <c r="AZ593">
        <v>0</v>
      </c>
      <c r="BA593">
        <v>0</v>
      </c>
      <c r="BB593">
        <v>0</v>
      </c>
      <c r="BC593">
        <v>0</v>
      </c>
      <c r="BD593">
        <v>0</v>
      </c>
      <c r="BE593">
        <v>0</v>
      </c>
      <c r="BF593">
        <v>0</v>
      </c>
      <c r="BG593">
        <v>0</v>
      </c>
      <c r="BH593">
        <v>1</v>
      </c>
      <c r="BI593">
        <v>25.6</v>
      </c>
      <c r="BJ593">
        <v>10.1</v>
      </c>
      <c r="BK593">
        <v>26</v>
      </c>
      <c r="BL593" s="4">
        <v>156.93</v>
      </c>
      <c r="BM593" s="4">
        <v>23.54</v>
      </c>
      <c r="BN593" s="4">
        <v>180.47</v>
      </c>
      <c r="BO593" s="4">
        <v>180.47</v>
      </c>
      <c r="BR593" t="s">
        <v>84</v>
      </c>
      <c r="BS593" s="3">
        <v>43805</v>
      </c>
      <c r="BT593" s="5">
        <v>0.42708333333333331</v>
      </c>
      <c r="BU593" t="s">
        <v>1029</v>
      </c>
      <c r="BV593" t="s">
        <v>86</v>
      </c>
      <c r="BY593">
        <v>50281.49</v>
      </c>
      <c r="CA593" t="s">
        <v>1030</v>
      </c>
      <c r="CC593" t="s">
        <v>165</v>
      </c>
      <c r="CD593">
        <v>5200</v>
      </c>
      <c r="CE593" t="s">
        <v>96</v>
      </c>
      <c r="CF593" s="3">
        <v>43809</v>
      </c>
      <c r="CI593">
        <v>2</v>
      </c>
      <c r="CJ593">
        <v>1</v>
      </c>
      <c r="CK593" t="s">
        <v>1070</v>
      </c>
      <c r="CL593" t="s">
        <v>89</v>
      </c>
    </row>
    <row r="594" spans="1:90">
      <c r="A594" t="s">
        <v>72</v>
      </c>
      <c r="B594" t="s">
        <v>73</v>
      </c>
      <c r="C594" t="s">
        <v>74</v>
      </c>
      <c r="E594" t="str">
        <f>"FES1162726892"</f>
        <v>FES1162726892</v>
      </c>
      <c r="F594" s="3">
        <v>43804</v>
      </c>
      <c r="G594">
        <v>202006</v>
      </c>
      <c r="H594" t="s">
        <v>75</v>
      </c>
      <c r="I594" t="s">
        <v>76</v>
      </c>
      <c r="J594" t="s">
        <v>77</v>
      </c>
      <c r="K594" t="s">
        <v>78</v>
      </c>
      <c r="L594" t="s">
        <v>169</v>
      </c>
      <c r="M594" t="s">
        <v>170</v>
      </c>
      <c r="N594" t="s">
        <v>570</v>
      </c>
      <c r="O594" t="s">
        <v>104</v>
      </c>
      <c r="P594" t="str">
        <f>"2170719938                    "</f>
        <v xml:space="preserve">2170719938                    </v>
      </c>
      <c r="Q594">
        <v>0</v>
      </c>
      <c r="R594">
        <v>0</v>
      </c>
      <c r="S594">
        <v>0</v>
      </c>
      <c r="T594">
        <v>0</v>
      </c>
      <c r="U594">
        <v>0</v>
      </c>
      <c r="V594">
        <v>0</v>
      </c>
      <c r="W594">
        <v>0</v>
      </c>
      <c r="X594">
        <v>0</v>
      </c>
      <c r="Y594">
        <v>0</v>
      </c>
      <c r="Z594">
        <v>0</v>
      </c>
      <c r="AA594">
        <v>0</v>
      </c>
      <c r="AB594">
        <v>0</v>
      </c>
      <c r="AC594">
        <v>0</v>
      </c>
      <c r="AD594">
        <v>0</v>
      </c>
      <c r="AE594">
        <v>0</v>
      </c>
      <c r="AF594">
        <v>0</v>
      </c>
      <c r="AG594">
        <v>0</v>
      </c>
      <c r="AH594">
        <v>0</v>
      </c>
      <c r="AI594">
        <v>0</v>
      </c>
      <c r="AJ594">
        <v>0</v>
      </c>
      <c r="AK594">
        <v>0</v>
      </c>
      <c r="AL594">
        <v>0</v>
      </c>
      <c r="AM594">
        <v>13.69</v>
      </c>
      <c r="AN594">
        <v>0</v>
      </c>
      <c r="AO594">
        <v>0</v>
      </c>
      <c r="AP594">
        <v>0</v>
      </c>
      <c r="AQ594">
        <v>0</v>
      </c>
      <c r="AR594">
        <v>0</v>
      </c>
      <c r="AS594">
        <v>0</v>
      </c>
      <c r="AT594">
        <v>0</v>
      </c>
      <c r="AU594">
        <v>0</v>
      </c>
      <c r="AV594">
        <v>0</v>
      </c>
      <c r="AW594">
        <v>0</v>
      </c>
      <c r="AX594">
        <v>0</v>
      </c>
      <c r="AY594">
        <v>0</v>
      </c>
      <c r="AZ594">
        <v>0</v>
      </c>
      <c r="BA594">
        <v>0</v>
      </c>
      <c r="BB594">
        <v>0</v>
      </c>
      <c r="BC594">
        <v>0</v>
      </c>
      <c r="BD594">
        <v>0</v>
      </c>
      <c r="BE594">
        <v>0</v>
      </c>
      <c r="BF594">
        <v>0</v>
      </c>
      <c r="BG594">
        <v>0</v>
      </c>
      <c r="BH594">
        <v>2</v>
      </c>
      <c r="BI594">
        <v>18.2</v>
      </c>
      <c r="BJ594">
        <v>9.8000000000000007</v>
      </c>
      <c r="BK594">
        <v>19</v>
      </c>
      <c r="BL594" s="4">
        <v>85.45</v>
      </c>
      <c r="BM594" s="4">
        <v>12.82</v>
      </c>
      <c r="BN594" s="4">
        <v>98.27</v>
      </c>
      <c r="BO594" s="4">
        <v>98.27</v>
      </c>
      <c r="BR594" t="s">
        <v>84</v>
      </c>
      <c r="BS594" s="3">
        <v>43805</v>
      </c>
      <c r="BT594" s="5">
        <v>0.3125</v>
      </c>
      <c r="BU594" t="s">
        <v>985</v>
      </c>
      <c r="BV594" t="s">
        <v>86</v>
      </c>
      <c r="BY594">
        <v>48834.12</v>
      </c>
      <c r="CA594" t="s">
        <v>174</v>
      </c>
      <c r="CC594" t="s">
        <v>170</v>
      </c>
      <c r="CD594">
        <v>1460</v>
      </c>
      <c r="CE594" t="s">
        <v>413</v>
      </c>
      <c r="CF594" s="3">
        <v>43808</v>
      </c>
      <c r="CI594">
        <v>1</v>
      </c>
      <c r="CJ594">
        <v>1</v>
      </c>
      <c r="CK594" t="s">
        <v>123</v>
      </c>
      <c r="CL594" t="s">
        <v>89</v>
      </c>
    </row>
    <row r="595" spans="1:90">
      <c r="A595" t="s">
        <v>72</v>
      </c>
      <c r="B595" t="s">
        <v>73</v>
      </c>
      <c r="C595" t="s">
        <v>74</v>
      </c>
      <c r="E595" t="str">
        <f>"FES1162726801"</f>
        <v>FES1162726801</v>
      </c>
      <c r="F595" s="3">
        <v>43803</v>
      </c>
      <c r="G595">
        <v>202006</v>
      </c>
      <c r="H595" t="s">
        <v>75</v>
      </c>
      <c r="I595" t="s">
        <v>76</v>
      </c>
      <c r="J595" t="s">
        <v>77</v>
      </c>
      <c r="K595" t="s">
        <v>78</v>
      </c>
      <c r="L595" t="s">
        <v>109</v>
      </c>
      <c r="M595" t="s">
        <v>91</v>
      </c>
      <c r="N595" t="s">
        <v>548</v>
      </c>
      <c r="O595" t="s">
        <v>104</v>
      </c>
      <c r="P595" t="str">
        <f>"21707120408                   "</f>
        <v xml:space="preserve">21707120408                   </v>
      </c>
      <c r="Q595">
        <v>0</v>
      </c>
      <c r="R595">
        <v>0</v>
      </c>
      <c r="S595">
        <v>0</v>
      </c>
      <c r="T595">
        <v>0</v>
      </c>
      <c r="U595">
        <v>0</v>
      </c>
      <c r="V595">
        <v>0</v>
      </c>
      <c r="W595">
        <v>0</v>
      </c>
      <c r="X595">
        <v>0</v>
      </c>
      <c r="Y595">
        <v>0</v>
      </c>
      <c r="Z595">
        <v>0</v>
      </c>
      <c r="AA595">
        <v>0</v>
      </c>
      <c r="AB595">
        <v>0</v>
      </c>
      <c r="AC595">
        <v>0</v>
      </c>
      <c r="AD595">
        <v>0</v>
      </c>
      <c r="AE595">
        <v>0</v>
      </c>
      <c r="AF595">
        <v>0</v>
      </c>
      <c r="AG595">
        <v>0</v>
      </c>
      <c r="AH595">
        <v>0</v>
      </c>
      <c r="AI595">
        <v>0</v>
      </c>
      <c r="AJ595">
        <v>0</v>
      </c>
      <c r="AK595">
        <v>0</v>
      </c>
      <c r="AL595">
        <v>0</v>
      </c>
      <c r="AM595">
        <v>35.630000000000003</v>
      </c>
      <c r="AN595">
        <v>0</v>
      </c>
      <c r="AO595">
        <v>0</v>
      </c>
      <c r="AP595">
        <v>0</v>
      </c>
      <c r="AQ595">
        <v>0</v>
      </c>
      <c r="AR595">
        <v>0</v>
      </c>
      <c r="AS595">
        <v>0</v>
      </c>
      <c r="AT595">
        <v>0</v>
      </c>
      <c r="AU595">
        <v>0</v>
      </c>
      <c r="AV595">
        <v>0</v>
      </c>
      <c r="AW595">
        <v>0</v>
      </c>
      <c r="AX595">
        <v>0</v>
      </c>
      <c r="AY595">
        <v>0</v>
      </c>
      <c r="AZ595">
        <v>0</v>
      </c>
      <c r="BA595">
        <v>0</v>
      </c>
      <c r="BB595">
        <v>0</v>
      </c>
      <c r="BC595">
        <v>0</v>
      </c>
      <c r="BD595">
        <v>0</v>
      </c>
      <c r="BE595">
        <v>0</v>
      </c>
      <c r="BF595">
        <v>0</v>
      </c>
      <c r="BG595">
        <v>0</v>
      </c>
      <c r="BH595">
        <v>1</v>
      </c>
      <c r="BI595">
        <v>20.8</v>
      </c>
      <c r="BJ595">
        <v>38.1</v>
      </c>
      <c r="BK595">
        <v>39</v>
      </c>
      <c r="BL595" s="4">
        <v>214.42</v>
      </c>
      <c r="BM595" s="4">
        <v>32.159999999999997</v>
      </c>
      <c r="BN595" s="4">
        <v>246.58</v>
      </c>
      <c r="BO595" s="4">
        <v>246.58</v>
      </c>
      <c r="BQ595" t="s">
        <v>147</v>
      </c>
      <c r="BR595" t="s">
        <v>84</v>
      </c>
      <c r="BS595" s="3">
        <v>43805</v>
      </c>
      <c r="BT595" s="5">
        <v>0.43611111111111112</v>
      </c>
      <c r="BU595" t="s">
        <v>1071</v>
      </c>
      <c r="BV595" t="s">
        <v>86</v>
      </c>
      <c r="BY595">
        <v>190506.65</v>
      </c>
      <c r="CA595" t="s">
        <v>1072</v>
      </c>
      <c r="CC595" t="s">
        <v>91</v>
      </c>
      <c r="CD595">
        <v>7530</v>
      </c>
      <c r="CE595" t="s">
        <v>96</v>
      </c>
      <c r="CF595" s="3">
        <v>43808</v>
      </c>
      <c r="CI595">
        <v>2</v>
      </c>
      <c r="CJ595">
        <v>2</v>
      </c>
      <c r="CK595" t="s">
        <v>113</v>
      </c>
      <c r="CL595" t="s">
        <v>89</v>
      </c>
    </row>
    <row r="596" spans="1:90">
      <c r="A596" t="s">
        <v>72</v>
      </c>
      <c r="B596" t="s">
        <v>73</v>
      </c>
      <c r="C596" t="s">
        <v>74</v>
      </c>
      <c r="E596" t="str">
        <f>"FES1162726370"</f>
        <v>FES1162726370</v>
      </c>
      <c r="F596" s="3">
        <v>43803</v>
      </c>
      <c r="G596">
        <v>202006</v>
      </c>
      <c r="H596" t="s">
        <v>75</v>
      </c>
      <c r="I596" t="s">
        <v>76</v>
      </c>
      <c r="J596" t="s">
        <v>77</v>
      </c>
      <c r="K596" t="s">
        <v>78</v>
      </c>
      <c r="L596" t="s">
        <v>186</v>
      </c>
      <c r="M596" t="s">
        <v>187</v>
      </c>
      <c r="N596" t="s">
        <v>188</v>
      </c>
      <c r="O596" t="s">
        <v>104</v>
      </c>
      <c r="P596" t="str">
        <f>"2170715354                    "</f>
        <v xml:space="preserve">2170715354                    </v>
      </c>
      <c r="Q596">
        <v>0</v>
      </c>
      <c r="R596">
        <v>0</v>
      </c>
      <c r="S596">
        <v>0</v>
      </c>
      <c r="T596">
        <v>0</v>
      </c>
      <c r="U596">
        <v>0</v>
      </c>
      <c r="V596">
        <v>0</v>
      </c>
      <c r="W596">
        <v>0</v>
      </c>
      <c r="X596">
        <v>0</v>
      </c>
      <c r="Y596">
        <v>0</v>
      </c>
      <c r="Z596">
        <v>0</v>
      </c>
      <c r="AA596">
        <v>0</v>
      </c>
      <c r="AB596">
        <v>0</v>
      </c>
      <c r="AC596">
        <v>0</v>
      </c>
      <c r="AD596">
        <v>0</v>
      </c>
      <c r="AE596">
        <v>0</v>
      </c>
      <c r="AF596">
        <v>0</v>
      </c>
      <c r="AG596">
        <v>0</v>
      </c>
      <c r="AH596">
        <v>0</v>
      </c>
      <c r="AI596">
        <v>0</v>
      </c>
      <c r="AJ596">
        <v>0</v>
      </c>
      <c r="AK596">
        <v>0</v>
      </c>
      <c r="AL596">
        <v>0</v>
      </c>
      <c r="AM596">
        <v>34.5</v>
      </c>
      <c r="AN596">
        <v>0</v>
      </c>
      <c r="AO596">
        <v>0</v>
      </c>
      <c r="AP596">
        <v>0</v>
      </c>
      <c r="AQ596">
        <v>0</v>
      </c>
      <c r="AR596">
        <v>0</v>
      </c>
      <c r="AS596">
        <v>0</v>
      </c>
      <c r="AT596">
        <v>0</v>
      </c>
      <c r="AU596">
        <v>0</v>
      </c>
      <c r="AV596">
        <v>0</v>
      </c>
      <c r="AW596">
        <v>0</v>
      </c>
      <c r="AX596">
        <v>0</v>
      </c>
      <c r="AY596">
        <v>0</v>
      </c>
      <c r="AZ596">
        <v>0</v>
      </c>
      <c r="BA596">
        <v>0</v>
      </c>
      <c r="BB596">
        <v>0</v>
      </c>
      <c r="BC596">
        <v>0</v>
      </c>
      <c r="BD596">
        <v>0</v>
      </c>
      <c r="BE596">
        <v>0</v>
      </c>
      <c r="BF596">
        <v>0</v>
      </c>
      <c r="BG596">
        <v>0</v>
      </c>
      <c r="BH596">
        <v>2</v>
      </c>
      <c r="BI596">
        <v>26</v>
      </c>
      <c r="BJ596">
        <v>12</v>
      </c>
      <c r="BK596">
        <v>26</v>
      </c>
      <c r="BL596" s="4">
        <v>207.78</v>
      </c>
      <c r="BM596" s="4">
        <v>31.17</v>
      </c>
      <c r="BN596" s="4">
        <v>238.95</v>
      </c>
      <c r="BO596" s="4">
        <v>238.95</v>
      </c>
      <c r="BQ596" t="s">
        <v>93</v>
      </c>
      <c r="BR596" t="s">
        <v>84</v>
      </c>
      <c r="BS596" s="3">
        <v>43808</v>
      </c>
      <c r="BT596" s="5">
        <v>0.37083333333333335</v>
      </c>
      <c r="BU596" t="s">
        <v>971</v>
      </c>
      <c r="BV596" t="s">
        <v>86</v>
      </c>
      <c r="BY596">
        <v>60188.29</v>
      </c>
      <c r="CA596" t="s">
        <v>190</v>
      </c>
      <c r="CC596" t="s">
        <v>187</v>
      </c>
      <c r="CD596">
        <v>6849</v>
      </c>
      <c r="CE596" t="s">
        <v>1073</v>
      </c>
      <c r="CF596" s="3">
        <v>43809</v>
      </c>
      <c r="CI596">
        <v>3</v>
      </c>
      <c r="CJ596">
        <v>3</v>
      </c>
      <c r="CK596" t="s">
        <v>1074</v>
      </c>
      <c r="CL596" t="s">
        <v>89</v>
      </c>
    </row>
    <row r="597" spans="1:90">
      <c r="A597" t="s">
        <v>72</v>
      </c>
      <c r="B597" t="s">
        <v>73</v>
      </c>
      <c r="C597" t="s">
        <v>74</v>
      </c>
      <c r="E597" t="str">
        <f>"FES1162726947"</f>
        <v>FES1162726947</v>
      </c>
      <c r="F597" s="3">
        <v>43804</v>
      </c>
      <c r="G597">
        <v>202006</v>
      </c>
      <c r="H597" t="s">
        <v>75</v>
      </c>
      <c r="I597" t="s">
        <v>76</v>
      </c>
      <c r="J597" t="s">
        <v>77</v>
      </c>
      <c r="K597" t="s">
        <v>78</v>
      </c>
      <c r="L597" t="s">
        <v>221</v>
      </c>
      <c r="M597" t="s">
        <v>222</v>
      </c>
      <c r="N597" t="s">
        <v>845</v>
      </c>
      <c r="O597" t="s">
        <v>104</v>
      </c>
      <c r="P597" t="str">
        <f>"2017072049                    "</f>
        <v xml:space="preserve">2017072049                    </v>
      </c>
      <c r="Q597">
        <v>0</v>
      </c>
      <c r="R597">
        <v>0</v>
      </c>
      <c r="S597">
        <v>0</v>
      </c>
      <c r="T597">
        <v>0</v>
      </c>
      <c r="U597">
        <v>0</v>
      </c>
      <c r="V597">
        <v>0</v>
      </c>
      <c r="W597">
        <v>0</v>
      </c>
      <c r="X597">
        <v>0</v>
      </c>
      <c r="Y597">
        <v>0</v>
      </c>
      <c r="Z597">
        <v>0</v>
      </c>
      <c r="AA597">
        <v>0</v>
      </c>
      <c r="AB597">
        <v>0</v>
      </c>
      <c r="AC597">
        <v>0</v>
      </c>
      <c r="AD597">
        <v>0</v>
      </c>
      <c r="AE597">
        <v>0</v>
      </c>
      <c r="AF597">
        <v>0</v>
      </c>
      <c r="AG597">
        <v>0</v>
      </c>
      <c r="AH597">
        <v>0</v>
      </c>
      <c r="AI597">
        <v>0</v>
      </c>
      <c r="AJ597">
        <v>0</v>
      </c>
      <c r="AK597">
        <v>0</v>
      </c>
      <c r="AL597">
        <v>0</v>
      </c>
      <c r="AM597">
        <v>21.62</v>
      </c>
      <c r="AN597">
        <v>0</v>
      </c>
      <c r="AO597">
        <v>0</v>
      </c>
      <c r="AP597">
        <v>0</v>
      </c>
      <c r="AQ597">
        <v>0</v>
      </c>
      <c r="AR597">
        <v>0</v>
      </c>
      <c r="AS597">
        <v>0</v>
      </c>
      <c r="AT597">
        <v>0</v>
      </c>
      <c r="AU597">
        <v>0</v>
      </c>
      <c r="AV597">
        <v>0</v>
      </c>
      <c r="AW597">
        <v>0</v>
      </c>
      <c r="AX597">
        <v>0</v>
      </c>
      <c r="AY597">
        <v>0</v>
      </c>
      <c r="AZ597">
        <v>0</v>
      </c>
      <c r="BA597">
        <v>0</v>
      </c>
      <c r="BB597">
        <v>0</v>
      </c>
      <c r="BC597">
        <v>0</v>
      </c>
      <c r="BD597">
        <v>0</v>
      </c>
      <c r="BE597">
        <v>0</v>
      </c>
      <c r="BF597">
        <v>0</v>
      </c>
      <c r="BG597">
        <v>0</v>
      </c>
      <c r="BH597">
        <v>1</v>
      </c>
      <c r="BI597">
        <v>20.100000000000001</v>
      </c>
      <c r="BJ597">
        <v>14.7</v>
      </c>
      <c r="BK597">
        <v>21</v>
      </c>
      <c r="BL597" s="4">
        <v>132.06</v>
      </c>
      <c r="BM597" s="4">
        <v>19.809999999999999</v>
      </c>
      <c r="BN597" s="4">
        <v>151.87</v>
      </c>
      <c r="BO597" s="4">
        <v>151.87</v>
      </c>
      <c r="BQ597" t="s">
        <v>93</v>
      </c>
      <c r="BR597" t="s">
        <v>84</v>
      </c>
      <c r="BS597" s="3">
        <v>43805</v>
      </c>
      <c r="BT597" s="5">
        <v>0.34027777777777773</v>
      </c>
      <c r="BU597" t="s">
        <v>1075</v>
      </c>
      <c r="BV597" t="s">
        <v>86</v>
      </c>
      <c r="BY597">
        <v>73483.199999999997</v>
      </c>
      <c r="CA597" t="s">
        <v>847</v>
      </c>
      <c r="CC597" t="s">
        <v>222</v>
      </c>
      <c r="CD597">
        <v>3201</v>
      </c>
      <c r="CE597" t="s">
        <v>96</v>
      </c>
      <c r="CF597" s="3">
        <v>43808</v>
      </c>
      <c r="CI597">
        <v>1</v>
      </c>
      <c r="CJ597">
        <v>1</v>
      </c>
      <c r="CK597" t="s">
        <v>741</v>
      </c>
      <c r="CL597" t="s">
        <v>89</v>
      </c>
    </row>
    <row r="598" spans="1:90">
      <c r="A598" t="s">
        <v>72</v>
      </c>
      <c r="B598" t="s">
        <v>73</v>
      </c>
      <c r="C598" t="s">
        <v>74</v>
      </c>
      <c r="E598" t="str">
        <f>"FES1162726164"</f>
        <v>FES1162726164</v>
      </c>
      <c r="F598" s="3">
        <v>43801</v>
      </c>
      <c r="G598">
        <v>202006</v>
      </c>
      <c r="H598" t="s">
        <v>75</v>
      </c>
      <c r="I598" t="s">
        <v>76</v>
      </c>
      <c r="J598" t="s">
        <v>77</v>
      </c>
      <c r="K598" t="s">
        <v>78</v>
      </c>
      <c r="L598" t="s">
        <v>79</v>
      </c>
      <c r="M598" t="s">
        <v>80</v>
      </c>
      <c r="N598" t="s">
        <v>388</v>
      </c>
      <c r="O598" t="s">
        <v>104</v>
      </c>
      <c r="P598" t="str">
        <f>"2170719652                    "</f>
        <v xml:space="preserve">2170719652                    </v>
      </c>
      <c r="Q598">
        <v>0</v>
      </c>
      <c r="R598">
        <v>0</v>
      </c>
      <c r="S598">
        <v>0</v>
      </c>
      <c r="T598">
        <v>0</v>
      </c>
      <c r="U598">
        <v>0</v>
      </c>
      <c r="V598">
        <v>0</v>
      </c>
      <c r="W598">
        <v>0</v>
      </c>
      <c r="X598">
        <v>0</v>
      </c>
      <c r="Y598">
        <v>0</v>
      </c>
      <c r="Z598">
        <v>0</v>
      </c>
      <c r="AA598">
        <v>0</v>
      </c>
      <c r="AB598">
        <v>0</v>
      </c>
      <c r="AC598">
        <v>0</v>
      </c>
      <c r="AD598">
        <v>0</v>
      </c>
      <c r="AE598">
        <v>0</v>
      </c>
      <c r="AF598">
        <v>0</v>
      </c>
      <c r="AG598">
        <v>0</v>
      </c>
      <c r="AH598">
        <v>0</v>
      </c>
      <c r="AI598">
        <v>0</v>
      </c>
      <c r="AJ598">
        <v>0</v>
      </c>
      <c r="AK598">
        <v>0</v>
      </c>
      <c r="AL598">
        <v>0</v>
      </c>
      <c r="AM598">
        <v>17.57</v>
      </c>
      <c r="AN598">
        <v>0</v>
      </c>
      <c r="AO598">
        <v>0</v>
      </c>
      <c r="AP598">
        <v>0</v>
      </c>
      <c r="AQ598">
        <v>0</v>
      </c>
      <c r="AR598">
        <v>0</v>
      </c>
      <c r="AS598">
        <v>0</v>
      </c>
      <c r="AT598">
        <v>0</v>
      </c>
      <c r="AU598">
        <v>0</v>
      </c>
      <c r="AV598">
        <v>0</v>
      </c>
      <c r="AW598">
        <v>0</v>
      </c>
      <c r="AX598">
        <v>0</v>
      </c>
      <c r="AY598">
        <v>0</v>
      </c>
      <c r="AZ598">
        <v>0</v>
      </c>
      <c r="BA598">
        <v>0</v>
      </c>
      <c r="BB598">
        <v>0</v>
      </c>
      <c r="BC598">
        <v>0</v>
      </c>
      <c r="BD598">
        <v>0</v>
      </c>
      <c r="BE598">
        <v>0</v>
      </c>
      <c r="BF598">
        <v>0</v>
      </c>
      <c r="BG598">
        <v>0</v>
      </c>
      <c r="BH598">
        <v>1</v>
      </c>
      <c r="BI598">
        <v>3</v>
      </c>
      <c r="BJ598">
        <v>0.6</v>
      </c>
      <c r="BK598">
        <v>3</v>
      </c>
      <c r="BL598" s="4">
        <v>108.28</v>
      </c>
      <c r="BM598" s="4">
        <v>16.239999999999998</v>
      </c>
      <c r="BN598" s="4">
        <v>124.52</v>
      </c>
      <c r="BO598" s="4">
        <v>124.52</v>
      </c>
      <c r="BP598" t="s">
        <v>1076</v>
      </c>
      <c r="BQ598" t="s">
        <v>147</v>
      </c>
      <c r="BR598" t="s">
        <v>84</v>
      </c>
      <c r="BS598" s="3">
        <v>43802</v>
      </c>
      <c r="BT598" s="5">
        <v>0.35833333333333334</v>
      </c>
      <c r="BU598" t="s">
        <v>368</v>
      </c>
      <c r="BV598" t="s">
        <v>86</v>
      </c>
      <c r="BY598">
        <v>2970</v>
      </c>
      <c r="CA598" t="s">
        <v>131</v>
      </c>
      <c r="CC598" t="s">
        <v>80</v>
      </c>
      <c r="CD598">
        <v>6001</v>
      </c>
      <c r="CE598" t="s">
        <v>116</v>
      </c>
      <c r="CF598" s="3">
        <v>43804</v>
      </c>
      <c r="CI598">
        <v>2</v>
      </c>
      <c r="CJ598">
        <v>1</v>
      </c>
      <c r="CK598" t="s">
        <v>113</v>
      </c>
      <c r="CL598" t="s">
        <v>89</v>
      </c>
    </row>
    <row r="599" spans="1:90">
      <c r="A599" t="s">
        <v>72</v>
      </c>
      <c r="B599" t="s">
        <v>73</v>
      </c>
      <c r="C599" t="s">
        <v>74</v>
      </c>
      <c r="E599" t="str">
        <f>"FES1162727033"</f>
        <v>FES1162727033</v>
      </c>
      <c r="F599" s="3">
        <v>43804</v>
      </c>
      <c r="G599">
        <v>202006</v>
      </c>
      <c r="H599" t="s">
        <v>75</v>
      </c>
      <c r="I599" t="s">
        <v>76</v>
      </c>
      <c r="J599" t="s">
        <v>77</v>
      </c>
      <c r="K599" t="s">
        <v>78</v>
      </c>
      <c r="L599" t="s">
        <v>332</v>
      </c>
      <c r="M599" t="s">
        <v>333</v>
      </c>
      <c r="N599" t="s">
        <v>978</v>
      </c>
      <c r="O599" t="s">
        <v>82</v>
      </c>
      <c r="P599" t="str">
        <f>"217070494                     "</f>
        <v xml:space="preserve">217070494                     </v>
      </c>
      <c r="Q599">
        <v>0</v>
      </c>
      <c r="R599">
        <v>0</v>
      </c>
      <c r="S599">
        <v>0</v>
      </c>
      <c r="T599">
        <v>0</v>
      </c>
      <c r="U599">
        <v>0</v>
      </c>
      <c r="V599">
        <v>0</v>
      </c>
      <c r="W599">
        <v>0</v>
      </c>
      <c r="X599">
        <v>0</v>
      </c>
      <c r="Y599">
        <v>0</v>
      </c>
      <c r="Z599">
        <v>0</v>
      </c>
      <c r="AA599">
        <v>0</v>
      </c>
      <c r="AB599">
        <v>0</v>
      </c>
      <c r="AC599">
        <v>0</v>
      </c>
      <c r="AD599">
        <v>0</v>
      </c>
      <c r="AE599">
        <v>0</v>
      </c>
      <c r="AF599">
        <v>0</v>
      </c>
      <c r="AG599">
        <v>0</v>
      </c>
      <c r="AH599">
        <v>0</v>
      </c>
      <c r="AI599">
        <v>0</v>
      </c>
      <c r="AJ599">
        <v>0</v>
      </c>
      <c r="AK599">
        <v>0</v>
      </c>
      <c r="AL599">
        <v>0</v>
      </c>
      <c r="AM599">
        <v>6.71</v>
      </c>
      <c r="AN599">
        <v>0</v>
      </c>
      <c r="AO599">
        <v>0</v>
      </c>
      <c r="AP599">
        <v>0</v>
      </c>
      <c r="AQ599">
        <v>0</v>
      </c>
      <c r="AR599">
        <v>0</v>
      </c>
      <c r="AS599">
        <v>0</v>
      </c>
      <c r="AT599">
        <v>0</v>
      </c>
      <c r="AU599">
        <v>0</v>
      </c>
      <c r="AV599">
        <v>0</v>
      </c>
      <c r="AW599">
        <v>0</v>
      </c>
      <c r="AX599">
        <v>0</v>
      </c>
      <c r="AY599">
        <v>0</v>
      </c>
      <c r="AZ599">
        <v>0</v>
      </c>
      <c r="BA599">
        <v>0</v>
      </c>
      <c r="BB599">
        <v>0</v>
      </c>
      <c r="BC599">
        <v>0</v>
      </c>
      <c r="BD599">
        <v>0</v>
      </c>
      <c r="BE599">
        <v>0</v>
      </c>
      <c r="BF599">
        <v>0</v>
      </c>
      <c r="BG599">
        <v>0</v>
      </c>
      <c r="BH599">
        <v>1</v>
      </c>
      <c r="BI599">
        <v>1</v>
      </c>
      <c r="BJ599">
        <v>0.2</v>
      </c>
      <c r="BK599">
        <v>1</v>
      </c>
      <c r="BL599" s="4">
        <v>39.42</v>
      </c>
      <c r="BM599" s="4">
        <v>5.91</v>
      </c>
      <c r="BN599" s="4">
        <v>45.33</v>
      </c>
      <c r="BO599" s="4">
        <v>45.33</v>
      </c>
      <c r="BR599" t="s">
        <v>84</v>
      </c>
      <c r="BS599" s="3">
        <v>43805</v>
      </c>
      <c r="BT599" s="5">
        <v>0.38750000000000001</v>
      </c>
      <c r="BU599" t="s">
        <v>1077</v>
      </c>
      <c r="BV599" t="s">
        <v>86</v>
      </c>
      <c r="BY599">
        <v>1200</v>
      </c>
      <c r="CA599" t="s">
        <v>1008</v>
      </c>
      <c r="CC599" t="s">
        <v>333</v>
      </c>
      <c r="CD599">
        <v>2013</v>
      </c>
      <c r="CE599" t="s">
        <v>88</v>
      </c>
      <c r="CF599" s="3">
        <v>43808</v>
      </c>
      <c r="CI599">
        <v>1</v>
      </c>
      <c r="CJ599">
        <v>1</v>
      </c>
      <c r="CK599">
        <v>22</v>
      </c>
      <c r="CL599" t="s">
        <v>89</v>
      </c>
    </row>
    <row r="600" spans="1:90">
      <c r="A600" t="s">
        <v>72</v>
      </c>
      <c r="B600" t="s">
        <v>73</v>
      </c>
      <c r="C600" t="s">
        <v>74</v>
      </c>
      <c r="E600" t="str">
        <f>"RFES1162726377"</f>
        <v>RFES1162726377</v>
      </c>
      <c r="F600" s="3">
        <v>43804</v>
      </c>
      <c r="G600">
        <v>202006</v>
      </c>
      <c r="H600" t="s">
        <v>515</v>
      </c>
      <c r="I600" t="s">
        <v>516</v>
      </c>
      <c r="J600" t="s">
        <v>517</v>
      </c>
      <c r="K600" t="s">
        <v>78</v>
      </c>
      <c r="L600" t="s">
        <v>75</v>
      </c>
      <c r="M600" t="s">
        <v>76</v>
      </c>
      <c r="N600" t="s">
        <v>77</v>
      </c>
      <c r="O600" t="s">
        <v>82</v>
      </c>
      <c r="P600" t="str">
        <f>"2170716777                    "</f>
        <v xml:space="preserve">2170716777                    </v>
      </c>
      <c r="Q600">
        <v>0</v>
      </c>
      <c r="R600">
        <v>0</v>
      </c>
      <c r="S600">
        <v>0</v>
      </c>
      <c r="T600">
        <v>0</v>
      </c>
      <c r="U600">
        <v>0</v>
      </c>
      <c r="V600">
        <v>0</v>
      </c>
      <c r="W600">
        <v>0</v>
      </c>
      <c r="X600">
        <v>0</v>
      </c>
      <c r="Y600">
        <v>0</v>
      </c>
      <c r="Z600">
        <v>0</v>
      </c>
      <c r="AA600">
        <v>0</v>
      </c>
      <c r="AB600">
        <v>0</v>
      </c>
      <c r="AC600">
        <v>0</v>
      </c>
      <c r="AD600">
        <v>0</v>
      </c>
      <c r="AE600">
        <v>0</v>
      </c>
      <c r="AF600">
        <v>0</v>
      </c>
      <c r="AG600">
        <v>0</v>
      </c>
      <c r="AH600">
        <v>0</v>
      </c>
      <c r="AI600">
        <v>0</v>
      </c>
      <c r="AJ600">
        <v>0</v>
      </c>
      <c r="AK600">
        <v>0</v>
      </c>
      <c r="AL600">
        <v>0</v>
      </c>
      <c r="AM600">
        <v>12.87</v>
      </c>
      <c r="AN600">
        <v>0</v>
      </c>
      <c r="AO600">
        <v>0</v>
      </c>
      <c r="AP600">
        <v>0</v>
      </c>
      <c r="AQ600">
        <v>0</v>
      </c>
      <c r="AR600">
        <v>0</v>
      </c>
      <c r="AS600">
        <v>0</v>
      </c>
      <c r="AT600">
        <v>0</v>
      </c>
      <c r="AU600">
        <v>0</v>
      </c>
      <c r="AV600">
        <v>0</v>
      </c>
      <c r="AW600">
        <v>0</v>
      </c>
      <c r="AX600">
        <v>0</v>
      </c>
      <c r="AY600">
        <v>0</v>
      </c>
      <c r="AZ600">
        <v>0</v>
      </c>
      <c r="BA600">
        <v>0</v>
      </c>
      <c r="BB600">
        <v>0</v>
      </c>
      <c r="BC600">
        <v>0</v>
      </c>
      <c r="BD600">
        <v>0</v>
      </c>
      <c r="BE600">
        <v>0</v>
      </c>
      <c r="BF600">
        <v>0</v>
      </c>
      <c r="BG600">
        <v>0</v>
      </c>
      <c r="BH600">
        <v>1</v>
      </c>
      <c r="BI600">
        <v>2.9</v>
      </c>
      <c r="BJ600">
        <v>1.5</v>
      </c>
      <c r="BK600">
        <v>3</v>
      </c>
      <c r="BL600" s="4">
        <v>75.66</v>
      </c>
      <c r="BM600" s="4">
        <v>11.35</v>
      </c>
      <c r="BN600" s="4">
        <v>87.01</v>
      </c>
      <c r="BO600" s="4">
        <v>87.01</v>
      </c>
      <c r="BQ600" t="s">
        <v>84</v>
      </c>
      <c r="BR600" t="s">
        <v>147</v>
      </c>
      <c r="BS600" s="3">
        <v>43805</v>
      </c>
      <c r="BT600" s="5">
        <v>0.42569444444444443</v>
      </c>
      <c r="BU600" t="s">
        <v>1078</v>
      </c>
      <c r="BV600" t="s">
        <v>86</v>
      </c>
      <c r="BY600">
        <v>7291.39</v>
      </c>
      <c r="CA600" t="s">
        <v>746</v>
      </c>
      <c r="CC600" t="s">
        <v>76</v>
      </c>
      <c r="CD600">
        <v>1601</v>
      </c>
      <c r="CE600" t="s">
        <v>1079</v>
      </c>
      <c r="CF600" s="3">
        <v>43808</v>
      </c>
      <c r="CI600">
        <v>1</v>
      </c>
      <c r="CJ600">
        <v>1</v>
      </c>
      <c r="CK600">
        <v>21</v>
      </c>
      <c r="CL600" t="s">
        <v>89</v>
      </c>
    </row>
    <row r="601" spans="1:90">
      <c r="A601" t="s">
        <v>72</v>
      </c>
      <c r="B601" t="s">
        <v>73</v>
      </c>
      <c r="C601" t="s">
        <v>74</v>
      </c>
      <c r="E601" t="str">
        <f>"FES1162726871"</f>
        <v>FES1162726871</v>
      </c>
      <c r="F601" s="3">
        <v>43804</v>
      </c>
      <c r="G601">
        <v>202006</v>
      </c>
      <c r="H601" t="s">
        <v>75</v>
      </c>
      <c r="I601" t="s">
        <v>76</v>
      </c>
      <c r="J601" t="s">
        <v>77</v>
      </c>
      <c r="K601" t="s">
        <v>78</v>
      </c>
      <c r="L601" t="s">
        <v>213</v>
      </c>
      <c r="M601" t="s">
        <v>214</v>
      </c>
      <c r="N601" t="s">
        <v>303</v>
      </c>
      <c r="O601" t="s">
        <v>82</v>
      </c>
      <c r="P601" t="str">
        <f>"2170720314                    "</f>
        <v xml:space="preserve">2170720314                    </v>
      </c>
      <c r="Q601">
        <v>0</v>
      </c>
      <c r="R601">
        <v>0</v>
      </c>
      <c r="S601">
        <v>0</v>
      </c>
      <c r="T601">
        <v>0</v>
      </c>
      <c r="U601">
        <v>0</v>
      </c>
      <c r="V601">
        <v>0</v>
      </c>
      <c r="W601">
        <v>0</v>
      </c>
      <c r="X601">
        <v>0</v>
      </c>
      <c r="Y601">
        <v>0</v>
      </c>
      <c r="Z601">
        <v>0</v>
      </c>
      <c r="AA601">
        <v>0</v>
      </c>
      <c r="AB601">
        <v>0</v>
      </c>
      <c r="AC601">
        <v>0</v>
      </c>
      <c r="AD601">
        <v>0</v>
      </c>
      <c r="AE601">
        <v>0</v>
      </c>
      <c r="AF601">
        <v>0</v>
      </c>
      <c r="AG601">
        <v>0</v>
      </c>
      <c r="AH601">
        <v>0</v>
      </c>
      <c r="AI601">
        <v>0</v>
      </c>
      <c r="AJ601">
        <v>0</v>
      </c>
      <c r="AK601">
        <v>0</v>
      </c>
      <c r="AL601">
        <v>0</v>
      </c>
      <c r="AM601">
        <v>8.58</v>
      </c>
      <c r="AN601">
        <v>0</v>
      </c>
      <c r="AO601">
        <v>0</v>
      </c>
      <c r="AP601">
        <v>0</v>
      </c>
      <c r="AQ601">
        <v>0</v>
      </c>
      <c r="AR601">
        <v>0</v>
      </c>
      <c r="AS601">
        <v>0</v>
      </c>
      <c r="AT601">
        <v>0</v>
      </c>
      <c r="AU601">
        <v>0</v>
      </c>
      <c r="AV601">
        <v>0</v>
      </c>
      <c r="AW601">
        <v>0</v>
      </c>
      <c r="AX601">
        <v>0</v>
      </c>
      <c r="AY601">
        <v>0</v>
      </c>
      <c r="AZ601">
        <v>0</v>
      </c>
      <c r="BA601">
        <v>0</v>
      </c>
      <c r="BB601">
        <v>0</v>
      </c>
      <c r="BC601">
        <v>0</v>
      </c>
      <c r="BD601">
        <v>0</v>
      </c>
      <c r="BE601">
        <v>0</v>
      </c>
      <c r="BF601">
        <v>0</v>
      </c>
      <c r="BG601">
        <v>0</v>
      </c>
      <c r="BH601">
        <v>1</v>
      </c>
      <c r="BI601">
        <v>1</v>
      </c>
      <c r="BJ601">
        <v>0.2</v>
      </c>
      <c r="BK601">
        <v>1</v>
      </c>
      <c r="BL601" s="4">
        <v>50.45</v>
      </c>
      <c r="BM601" s="4">
        <v>7.57</v>
      </c>
      <c r="BN601" s="4">
        <v>58.02</v>
      </c>
      <c r="BO601" s="4">
        <v>58.02</v>
      </c>
      <c r="BQ601" t="s">
        <v>147</v>
      </c>
      <c r="BR601" t="s">
        <v>84</v>
      </c>
      <c r="BS601" s="3">
        <v>43805</v>
      </c>
      <c r="BT601" s="5">
        <v>0.3263888888888889</v>
      </c>
      <c r="BU601" t="s">
        <v>1014</v>
      </c>
      <c r="BV601" t="s">
        <v>86</v>
      </c>
      <c r="BY601">
        <v>1200</v>
      </c>
      <c r="CA601" t="s">
        <v>99</v>
      </c>
      <c r="CC601" t="s">
        <v>214</v>
      </c>
      <c r="CD601">
        <v>6230</v>
      </c>
      <c r="CE601" t="s">
        <v>88</v>
      </c>
      <c r="CF601" s="3">
        <v>43808</v>
      </c>
      <c r="CI601">
        <v>1</v>
      </c>
      <c r="CJ601">
        <v>1</v>
      </c>
      <c r="CK601">
        <v>21</v>
      </c>
      <c r="CL601" t="s">
        <v>89</v>
      </c>
    </row>
    <row r="602" spans="1:90">
      <c r="A602" t="s">
        <v>72</v>
      </c>
      <c r="B602" t="s">
        <v>73</v>
      </c>
      <c r="C602" t="s">
        <v>74</v>
      </c>
      <c r="E602" t="str">
        <f>"FES1162726708"</f>
        <v>FES1162726708</v>
      </c>
      <c r="F602" s="3">
        <v>43804</v>
      </c>
      <c r="G602">
        <v>202006</v>
      </c>
      <c r="H602" t="s">
        <v>75</v>
      </c>
      <c r="I602" t="s">
        <v>76</v>
      </c>
      <c r="J602" t="s">
        <v>77</v>
      </c>
      <c r="K602" t="s">
        <v>78</v>
      </c>
      <c r="L602" t="s">
        <v>79</v>
      </c>
      <c r="M602" t="s">
        <v>80</v>
      </c>
      <c r="N602" t="s">
        <v>689</v>
      </c>
      <c r="O602" t="s">
        <v>82</v>
      </c>
      <c r="P602" t="str">
        <f>"2170720101                    "</f>
        <v xml:space="preserve">2170720101                    </v>
      </c>
      <c r="Q602">
        <v>0</v>
      </c>
      <c r="R602">
        <v>0</v>
      </c>
      <c r="S602">
        <v>0</v>
      </c>
      <c r="T602">
        <v>0</v>
      </c>
      <c r="U602">
        <v>0</v>
      </c>
      <c r="V602">
        <v>0</v>
      </c>
      <c r="W602">
        <v>0</v>
      </c>
      <c r="X602">
        <v>0</v>
      </c>
      <c r="Y602">
        <v>0</v>
      </c>
      <c r="Z602">
        <v>0</v>
      </c>
      <c r="AA602">
        <v>0</v>
      </c>
      <c r="AB602">
        <v>0</v>
      </c>
      <c r="AC602">
        <v>0</v>
      </c>
      <c r="AD602">
        <v>0</v>
      </c>
      <c r="AE602">
        <v>0</v>
      </c>
      <c r="AF602">
        <v>0</v>
      </c>
      <c r="AG602">
        <v>0</v>
      </c>
      <c r="AH602">
        <v>0</v>
      </c>
      <c r="AI602">
        <v>0</v>
      </c>
      <c r="AJ602">
        <v>0</v>
      </c>
      <c r="AK602">
        <v>0</v>
      </c>
      <c r="AL602">
        <v>0</v>
      </c>
      <c r="AM602">
        <v>8.58</v>
      </c>
      <c r="AN602">
        <v>0</v>
      </c>
      <c r="AO602">
        <v>0</v>
      </c>
      <c r="AP602">
        <v>0</v>
      </c>
      <c r="AQ602">
        <v>0</v>
      </c>
      <c r="AR602">
        <v>0</v>
      </c>
      <c r="AS602">
        <v>0</v>
      </c>
      <c r="AT602">
        <v>0</v>
      </c>
      <c r="AU602">
        <v>0</v>
      </c>
      <c r="AV602">
        <v>0</v>
      </c>
      <c r="AW602">
        <v>0</v>
      </c>
      <c r="AX602">
        <v>0</v>
      </c>
      <c r="AY602">
        <v>0</v>
      </c>
      <c r="AZ602">
        <v>0</v>
      </c>
      <c r="BA602">
        <v>0</v>
      </c>
      <c r="BB602">
        <v>0</v>
      </c>
      <c r="BC602">
        <v>0</v>
      </c>
      <c r="BD602">
        <v>0</v>
      </c>
      <c r="BE602">
        <v>0</v>
      </c>
      <c r="BF602">
        <v>0</v>
      </c>
      <c r="BG602">
        <v>0</v>
      </c>
      <c r="BH602">
        <v>1</v>
      </c>
      <c r="BI602">
        <v>1</v>
      </c>
      <c r="BJ602">
        <v>0.2</v>
      </c>
      <c r="BK602">
        <v>1</v>
      </c>
      <c r="BL602" s="4">
        <v>50.45</v>
      </c>
      <c r="BM602" s="4">
        <v>7.57</v>
      </c>
      <c r="BN602" s="4">
        <v>58.02</v>
      </c>
      <c r="BO602" s="4">
        <v>58.02</v>
      </c>
      <c r="BQ602" t="s">
        <v>147</v>
      </c>
      <c r="BR602" t="s">
        <v>84</v>
      </c>
      <c r="BS602" s="3">
        <v>43805</v>
      </c>
      <c r="BT602" s="5">
        <v>0.33819444444444446</v>
      </c>
      <c r="BU602" t="s">
        <v>1080</v>
      </c>
      <c r="BV602" t="s">
        <v>86</v>
      </c>
      <c r="BY602">
        <v>1200</v>
      </c>
      <c r="CA602" t="s">
        <v>185</v>
      </c>
      <c r="CC602" t="s">
        <v>80</v>
      </c>
      <c r="CD602">
        <v>6001</v>
      </c>
      <c r="CE602" t="s">
        <v>88</v>
      </c>
      <c r="CF602" s="3">
        <v>43808</v>
      </c>
      <c r="CI602">
        <v>1</v>
      </c>
      <c r="CJ602">
        <v>1</v>
      </c>
      <c r="CK602">
        <v>21</v>
      </c>
      <c r="CL602" t="s">
        <v>89</v>
      </c>
    </row>
    <row r="603" spans="1:90">
      <c r="A603" t="s">
        <v>72</v>
      </c>
      <c r="B603" t="s">
        <v>73</v>
      </c>
      <c r="C603" t="s">
        <v>74</v>
      </c>
      <c r="E603" t="str">
        <f>"FES1162727105"</f>
        <v>FES1162727105</v>
      </c>
      <c r="F603" s="3">
        <v>43804</v>
      </c>
      <c r="G603">
        <v>202006</v>
      </c>
      <c r="H603" t="s">
        <v>75</v>
      </c>
      <c r="I603" t="s">
        <v>76</v>
      </c>
      <c r="J603" t="s">
        <v>77</v>
      </c>
      <c r="K603" t="s">
        <v>78</v>
      </c>
      <c r="L603" t="s">
        <v>169</v>
      </c>
      <c r="M603" t="s">
        <v>170</v>
      </c>
      <c r="N603" t="s">
        <v>969</v>
      </c>
      <c r="O603" t="s">
        <v>82</v>
      </c>
      <c r="P603" t="str">
        <f>"21707020569                   "</f>
        <v xml:space="preserve">21707020569                   </v>
      </c>
      <c r="Q603">
        <v>0</v>
      </c>
      <c r="R603">
        <v>0</v>
      </c>
      <c r="S603">
        <v>0</v>
      </c>
      <c r="T603">
        <v>0</v>
      </c>
      <c r="U603">
        <v>0</v>
      </c>
      <c r="V603">
        <v>0</v>
      </c>
      <c r="W603">
        <v>0</v>
      </c>
      <c r="X603">
        <v>0</v>
      </c>
      <c r="Y603">
        <v>0</v>
      </c>
      <c r="Z603">
        <v>0</v>
      </c>
      <c r="AA603">
        <v>0</v>
      </c>
      <c r="AB603">
        <v>0</v>
      </c>
      <c r="AC603">
        <v>0</v>
      </c>
      <c r="AD603">
        <v>0</v>
      </c>
      <c r="AE603">
        <v>0</v>
      </c>
      <c r="AF603">
        <v>0</v>
      </c>
      <c r="AG603">
        <v>0</v>
      </c>
      <c r="AH603">
        <v>0</v>
      </c>
      <c r="AI603">
        <v>0</v>
      </c>
      <c r="AJ603">
        <v>0</v>
      </c>
      <c r="AK603">
        <v>0</v>
      </c>
      <c r="AL603">
        <v>0</v>
      </c>
      <c r="AM603">
        <v>6.71</v>
      </c>
      <c r="AN603">
        <v>0</v>
      </c>
      <c r="AO603">
        <v>0</v>
      </c>
      <c r="AP603">
        <v>0</v>
      </c>
      <c r="AQ603">
        <v>0</v>
      </c>
      <c r="AR603">
        <v>0</v>
      </c>
      <c r="AS603">
        <v>0</v>
      </c>
      <c r="AT603">
        <v>0</v>
      </c>
      <c r="AU603">
        <v>0</v>
      </c>
      <c r="AV603">
        <v>0</v>
      </c>
      <c r="AW603">
        <v>0</v>
      </c>
      <c r="AX603">
        <v>0</v>
      </c>
      <c r="AY603">
        <v>0</v>
      </c>
      <c r="AZ603">
        <v>0</v>
      </c>
      <c r="BA603">
        <v>0</v>
      </c>
      <c r="BB603">
        <v>0</v>
      </c>
      <c r="BC603">
        <v>0</v>
      </c>
      <c r="BD603">
        <v>0</v>
      </c>
      <c r="BE603">
        <v>0</v>
      </c>
      <c r="BF603">
        <v>0</v>
      </c>
      <c r="BG603">
        <v>0</v>
      </c>
      <c r="BH603">
        <v>1</v>
      </c>
      <c r="BI603">
        <v>1</v>
      </c>
      <c r="BJ603">
        <v>0.2</v>
      </c>
      <c r="BK603">
        <v>1</v>
      </c>
      <c r="BL603" s="4">
        <v>39.42</v>
      </c>
      <c r="BM603" s="4">
        <v>5.91</v>
      </c>
      <c r="BN603" s="4">
        <v>45.33</v>
      </c>
      <c r="BO603" s="4">
        <v>45.33</v>
      </c>
      <c r="BQ603" t="s">
        <v>93</v>
      </c>
      <c r="BR603" t="s">
        <v>84</v>
      </c>
      <c r="BS603" s="3">
        <v>43805</v>
      </c>
      <c r="BT603" s="5">
        <v>0.3354166666666667</v>
      </c>
      <c r="BU603" t="s">
        <v>970</v>
      </c>
      <c r="BV603" t="s">
        <v>86</v>
      </c>
      <c r="BY603">
        <v>1200</v>
      </c>
      <c r="CA603" t="s">
        <v>250</v>
      </c>
      <c r="CC603" t="s">
        <v>170</v>
      </c>
      <c r="CD603">
        <v>1459</v>
      </c>
      <c r="CE603" t="s">
        <v>88</v>
      </c>
      <c r="CF603" s="3">
        <v>43808</v>
      </c>
      <c r="CI603">
        <v>1</v>
      </c>
      <c r="CJ603">
        <v>1</v>
      </c>
      <c r="CK603">
        <v>22</v>
      </c>
      <c r="CL603" t="s">
        <v>89</v>
      </c>
    </row>
    <row r="604" spans="1:90">
      <c r="A604" t="s">
        <v>72</v>
      </c>
      <c r="B604" t="s">
        <v>73</v>
      </c>
      <c r="C604" t="s">
        <v>74</v>
      </c>
      <c r="E604" t="str">
        <f>"FES1162727015"</f>
        <v>FES1162727015</v>
      </c>
      <c r="F604" s="3">
        <v>43804</v>
      </c>
      <c r="G604">
        <v>202006</v>
      </c>
      <c r="H604" t="s">
        <v>75</v>
      </c>
      <c r="I604" t="s">
        <v>76</v>
      </c>
      <c r="J604" t="s">
        <v>77</v>
      </c>
      <c r="K604" t="s">
        <v>78</v>
      </c>
      <c r="L604" t="s">
        <v>332</v>
      </c>
      <c r="M604" t="s">
        <v>333</v>
      </c>
      <c r="N604" t="s">
        <v>1081</v>
      </c>
      <c r="O604" t="s">
        <v>82</v>
      </c>
      <c r="P604" t="str">
        <f>"217070474                     "</f>
        <v xml:space="preserve">217070474                     </v>
      </c>
      <c r="Q604">
        <v>0</v>
      </c>
      <c r="R604">
        <v>0</v>
      </c>
      <c r="S604">
        <v>0</v>
      </c>
      <c r="T604">
        <v>0</v>
      </c>
      <c r="U604">
        <v>0</v>
      </c>
      <c r="V604">
        <v>0</v>
      </c>
      <c r="W604">
        <v>0</v>
      </c>
      <c r="X604">
        <v>0</v>
      </c>
      <c r="Y604">
        <v>0</v>
      </c>
      <c r="Z604">
        <v>0</v>
      </c>
      <c r="AA604">
        <v>0</v>
      </c>
      <c r="AB604">
        <v>0</v>
      </c>
      <c r="AC604">
        <v>0</v>
      </c>
      <c r="AD604">
        <v>0</v>
      </c>
      <c r="AE604">
        <v>0</v>
      </c>
      <c r="AF604">
        <v>0</v>
      </c>
      <c r="AG604">
        <v>0</v>
      </c>
      <c r="AH604">
        <v>0</v>
      </c>
      <c r="AI604">
        <v>0</v>
      </c>
      <c r="AJ604">
        <v>0</v>
      </c>
      <c r="AK604">
        <v>0</v>
      </c>
      <c r="AL604">
        <v>0</v>
      </c>
      <c r="AM604">
        <v>6.71</v>
      </c>
      <c r="AN604">
        <v>0</v>
      </c>
      <c r="AO604">
        <v>0</v>
      </c>
      <c r="AP604">
        <v>0</v>
      </c>
      <c r="AQ604">
        <v>0</v>
      </c>
      <c r="AR604">
        <v>0</v>
      </c>
      <c r="AS604">
        <v>0</v>
      </c>
      <c r="AT604">
        <v>0</v>
      </c>
      <c r="AU604">
        <v>0</v>
      </c>
      <c r="AV604">
        <v>0</v>
      </c>
      <c r="AW604">
        <v>0</v>
      </c>
      <c r="AX604">
        <v>0</v>
      </c>
      <c r="AY604">
        <v>0</v>
      </c>
      <c r="AZ604">
        <v>0</v>
      </c>
      <c r="BA604">
        <v>0</v>
      </c>
      <c r="BB604">
        <v>0</v>
      </c>
      <c r="BC604">
        <v>0</v>
      </c>
      <c r="BD604">
        <v>0</v>
      </c>
      <c r="BE604">
        <v>0</v>
      </c>
      <c r="BF604">
        <v>0</v>
      </c>
      <c r="BG604">
        <v>0</v>
      </c>
      <c r="BH604">
        <v>1</v>
      </c>
      <c r="BI604">
        <v>0.2</v>
      </c>
      <c r="BJ604">
        <v>1</v>
      </c>
      <c r="BK604">
        <v>1</v>
      </c>
      <c r="BL604" s="4">
        <v>39.42</v>
      </c>
      <c r="BM604" s="4">
        <v>5.91</v>
      </c>
      <c r="BN604" s="4">
        <v>45.33</v>
      </c>
      <c r="BO604" s="4">
        <v>45.33</v>
      </c>
      <c r="BQ604" t="s">
        <v>147</v>
      </c>
      <c r="BR604" t="s">
        <v>84</v>
      </c>
      <c r="BS604" s="3">
        <v>43805</v>
      </c>
      <c r="BT604" s="5">
        <v>0.3263888888888889</v>
      </c>
      <c r="BU604" t="s">
        <v>1082</v>
      </c>
      <c r="BV604" t="s">
        <v>86</v>
      </c>
      <c r="BY604">
        <v>5201.28</v>
      </c>
      <c r="CA604" t="s">
        <v>344</v>
      </c>
      <c r="CC604" t="s">
        <v>333</v>
      </c>
      <c r="CD604">
        <v>1832</v>
      </c>
      <c r="CE604" t="s">
        <v>88</v>
      </c>
      <c r="CF604" s="3">
        <v>43808</v>
      </c>
      <c r="CI604">
        <v>1</v>
      </c>
      <c r="CJ604">
        <v>1</v>
      </c>
      <c r="CK604">
        <v>22</v>
      </c>
      <c r="CL604" t="s">
        <v>89</v>
      </c>
    </row>
    <row r="605" spans="1:90">
      <c r="A605" t="s">
        <v>72</v>
      </c>
      <c r="B605" t="s">
        <v>73</v>
      </c>
      <c r="C605" t="s">
        <v>74</v>
      </c>
      <c r="E605" t="str">
        <f>"FES1162727003"</f>
        <v>FES1162727003</v>
      </c>
      <c r="F605" s="3">
        <v>43804</v>
      </c>
      <c r="G605">
        <v>202006</v>
      </c>
      <c r="H605" t="s">
        <v>75</v>
      </c>
      <c r="I605" t="s">
        <v>76</v>
      </c>
      <c r="J605" t="s">
        <v>77</v>
      </c>
      <c r="K605" t="s">
        <v>78</v>
      </c>
      <c r="L605" t="s">
        <v>632</v>
      </c>
      <c r="M605" t="s">
        <v>633</v>
      </c>
      <c r="N605" t="s">
        <v>1083</v>
      </c>
      <c r="O605" t="s">
        <v>82</v>
      </c>
      <c r="P605" t="str">
        <f>"2170710459                    "</f>
        <v xml:space="preserve">2170710459                    </v>
      </c>
      <c r="Q605">
        <v>0</v>
      </c>
      <c r="R605">
        <v>0</v>
      </c>
      <c r="S605">
        <v>0</v>
      </c>
      <c r="T605">
        <v>0</v>
      </c>
      <c r="U605">
        <v>0</v>
      </c>
      <c r="V605">
        <v>0</v>
      </c>
      <c r="W605">
        <v>0</v>
      </c>
      <c r="X605">
        <v>0</v>
      </c>
      <c r="Y605">
        <v>0</v>
      </c>
      <c r="Z605">
        <v>0</v>
      </c>
      <c r="AA605">
        <v>0</v>
      </c>
      <c r="AB605">
        <v>0</v>
      </c>
      <c r="AC605">
        <v>0</v>
      </c>
      <c r="AD605">
        <v>0</v>
      </c>
      <c r="AE605">
        <v>0</v>
      </c>
      <c r="AF605">
        <v>0</v>
      </c>
      <c r="AG605">
        <v>0</v>
      </c>
      <c r="AH605">
        <v>0</v>
      </c>
      <c r="AI605">
        <v>0</v>
      </c>
      <c r="AJ605">
        <v>0</v>
      </c>
      <c r="AK605">
        <v>0</v>
      </c>
      <c r="AL605">
        <v>0</v>
      </c>
      <c r="AM605">
        <v>6.71</v>
      </c>
      <c r="AN605">
        <v>0</v>
      </c>
      <c r="AO605">
        <v>0</v>
      </c>
      <c r="AP605">
        <v>0</v>
      </c>
      <c r="AQ605">
        <v>0</v>
      </c>
      <c r="AR605">
        <v>0</v>
      </c>
      <c r="AS605">
        <v>0</v>
      </c>
      <c r="AT605">
        <v>0</v>
      </c>
      <c r="AU605">
        <v>0</v>
      </c>
      <c r="AV605">
        <v>0</v>
      </c>
      <c r="AW605">
        <v>0</v>
      </c>
      <c r="AX605">
        <v>0</v>
      </c>
      <c r="AY605">
        <v>0</v>
      </c>
      <c r="AZ605">
        <v>0</v>
      </c>
      <c r="BA605">
        <v>0</v>
      </c>
      <c r="BB605">
        <v>0</v>
      </c>
      <c r="BC605">
        <v>0</v>
      </c>
      <c r="BD605">
        <v>0</v>
      </c>
      <c r="BE605">
        <v>0</v>
      </c>
      <c r="BF605">
        <v>0</v>
      </c>
      <c r="BG605">
        <v>0</v>
      </c>
      <c r="BH605">
        <v>1</v>
      </c>
      <c r="BI605">
        <v>1</v>
      </c>
      <c r="BJ605">
        <v>0.2</v>
      </c>
      <c r="BK605">
        <v>1</v>
      </c>
      <c r="BL605" s="4">
        <v>39.42</v>
      </c>
      <c r="BM605" s="4">
        <v>5.91</v>
      </c>
      <c r="BN605" s="4">
        <v>45.33</v>
      </c>
      <c r="BO605" s="4">
        <v>45.33</v>
      </c>
      <c r="BQ605" t="s">
        <v>147</v>
      </c>
      <c r="BR605" t="s">
        <v>84</v>
      </c>
      <c r="BS605" s="3">
        <v>43805</v>
      </c>
      <c r="BT605" s="5">
        <v>0.43194444444444446</v>
      </c>
      <c r="BU605" t="s">
        <v>884</v>
      </c>
      <c r="BV605" t="s">
        <v>86</v>
      </c>
      <c r="BY605">
        <v>1200</v>
      </c>
      <c r="CC605" t="s">
        <v>633</v>
      </c>
      <c r="CD605">
        <v>1451</v>
      </c>
      <c r="CE605" t="s">
        <v>88</v>
      </c>
      <c r="CF605" s="3">
        <v>43808</v>
      </c>
      <c r="CI605">
        <v>1</v>
      </c>
      <c r="CJ605">
        <v>1</v>
      </c>
      <c r="CK605">
        <v>22</v>
      </c>
      <c r="CL605" t="s">
        <v>89</v>
      </c>
    </row>
    <row r="606" spans="1:90">
      <c r="A606" t="s">
        <v>72</v>
      </c>
      <c r="B606" t="s">
        <v>73</v>
      </c>
      <c r="C606" t="s">
        <v>74</v>
      </c>
      <c r="E606" t="str">
        <f>"FES1162726985"</f>
        <v>FES1162726985</v>
      </c>
      <c r="F606" s="3">
        <v>43804</v>
      </c>
      <c r="G606">
        <v>202006</v>
      </c>
      <c r="H606" t="s">
        <v>75</v>
      </c>
      <c r="I606" t="s">
        <v>76</v>
      </c>
      <c r="J606" t="s">
        <v>77</v>
      </c>
      <c r="K606" t="s">
        <v>78</v>
      </c>
      <c r="L606" t="s">
        <v>75</v>
      </c>
      <c r="M606" t="s">
        <v>76</v>
      </c>
      <c r="N606" t="s">
        <v>1038</v>
      </c>
      <c r="O606" t="s">
        <v>82</v>
      </c>
      <c r="P606" t="str">
        <f>"217719703                     "</f>
        <v xml:space="preserve">217719703                     </v>
      </c>
      <c r="Q606">
        <v>0</v>
      </c>
      <c r="R606">
        <v>0</v>
      </c>
      <c r="S606">
        <v>0</v>
      </c>
      <c r="T606">
        <v>0</v>
      </c>
      <c r="U606">
        <v>0</v>
      </c>
      <c r="V606">
        <v>0</v>
      </c>
      <c r="W606">
        <v>0</v>
      </c>
      <c r="X606">
        <v>0</v>
      </c>
      <c r="Y606">
        <v>0</v>
      </c>
      <c r="Z606">
        <v>0</v>
      </c>
      <c r="AA606">
        <v>0</v>
      </c>
      <c r="AB606">
        <v>0</v>
      </c>
      <c r="AC606">
        <v>0</v>
      </c>
      <c r="AD606">
        <v>0</v>
      </c>
      <c r="AE606">
        <v>0</v>
      </c>
      <c r="AF606">
        <v>0</v>
      </c>
      <c r="AG606">
        <v>0</v>
      </c>
      <c r="AH606">
        <v>0</v>
      </c>
      <c r="AI606">
        <v>0</v>
      </c>
      <c r="AJ606">
        <v>0</v>
      </c>
      <c r="AK606">
        <v>0</v>
      </c>
      <c r="AL606">
        <v>0</v>
      </c>
      <c r="AM606">
        <v>8.31</v>
      </c>
      <c r="AN606">
        <v>0</v>
      </c>
      <c r="AO606">
        <v>0</v>
      </c>
      <c r="AP606">
        <v>0</v>
      </c>
      <c r="AQ606">
        <v>0</v>
      </c>
      <c r="AR606">
        <v>0</v>
      </c>
      <c r="AS606">
        <v>0</v>
      </c>
      <c r="AT606">
        <v>0</v>
      </c>
      <c r="AU606">
        <v>0</v>
      </c>
      <c r="AV606">
        <v>0</v>
      </c>
      <c r="AW606">
        <v>0</v>
      </c>
      <c r="AX606">
        <v>0</v>
      </c>
      <c r="AY606">
        <v>0</v>
      </c>
      <c r="AZ606">
        <v>0</v>
      </c>
      <c r="BA606">
        <v>0</v>
      </c>
      <c r="BB606">
        <v>0</v>
      </c>
      <c r="BC606">
        <v>0</v>
      </c>
      <c r="BD606">
        <v>0</v>
      </c>
      <c r="BE606">
        <v>0</v>
      </c>
      <c r="BF606">
        <v>0</v>
      </c>
      <c r="BG606">
        <v>0</v>
      </c>
      <c r="BH606">
        <v>1</v>
      </c>
      <c r="BI606">
        <v>2.6</v>
      </c>
      <c r="BJ606">
        <v>1.3</v>
      </c>
      <c r="BK606">
        <v>3</v>
      </c>
      <c r="BL606" s="4">
        <v>48.86</v>
      </c>
      <c r="BM606" s="4">
        <v>7.33</v>
      </c>
      <c r="BN606" s="4">
        <v>56.19</v>
      </c>
      <c r="BO606" s="4">
        <v>56.19</v>
      </c>
      <c r="BQ606" t="s">
        <v>93</v>
      </c>
      <c r="BR606" t="s">
        <v>84</v>
      </c>
      <c r="BS606" s="3">
        <v>43805</v>
      </c>
      <c r="BT606" s="5">
        <v>0.39374999999999999</v>
      </c>
      <c r="BU606" t="s">
        <v>1039</v>
      </c>
      <c r="BV606" t="s">
        <v>86</v>
      </c>
      <c r="BY606">
        <v>6456.96</v>
      </c>
      <c r="CA606" t="s">
        <v>588</v>
      </c>
      <c r="CC606" t="s">
        <v>76</v>
      </c>
      <c r="CD606">
        <v>1625</v>
      </c>
      <c r="CE606" t="s">
        <v>96</v>
      </c>
      <c r="CF606" s="3">
        <v>43808</v>
      </c>
      <c r="CI606">
        <v>1</v>
      </c>
      <c r="CJ606">
        <v>1</v>
      </c>
      <c r="CK606">
        <v>22</v>
      </c>
      <c r="CL606" t="s">
        <v>89</v>
      </c>
    </row>
    <row r="607" spans="1:90">
      <c r="A607" t="s">
        <v>72</v>
      </c>
      <c r="B607" t="s">
        <v>73</v>
      </c>
      <c r="C607" t="s">
        <v>74</v>
      </c>
      <c r="E607" t="str">
        <f>"FES1162727008"</f>
        <v>FES1162727008</v>
      </c>
      <c r="F607" s="3">
        <v>43804</v>
      </c>
      <c r="G607">
        <v>202006</v>
      </c>
      <c r="H607" t="s">
        <v>75</v>
      </c>
      <c r="I607" t="s">
        <v>76</v>
      </c>
      <c r="J607" t="s">
        <v>77</v>
      </c>
      <c r="K607" t="s">
        <v>78</v>
      </c>
      <c r="L607" t="s">
        <v>632</v>
      </c>
      <c r="M607" t="s">
        <v>633</v>
      </c>
      <c r="N607" t="s">
        <v>775</v>
      </c>
      <c r="O607" t="s">
        <v>82</v>
      </c>
      <c r="P607" t="str">
        <f>"2170720404                    "</f>
        <v xml:space="preserve">2170720404                    </v>
      </c>
      <c r="Q607">
        <v>0</v>
      </c>
      <c r="R607">
        <v>0</v>
      </c>
      <c r="S607">
        <v>0</v>
      </c>
      <c r="T607">
        <v>0</v>
      </c>
      <c r="U607">
        <v>0</v>
      </c>
      <c r="V607">
        <v>0</v>
      </c>
      <c r="W607">
        <v>0</v>
      </c>
      <c r="X607">
        <v>0</v>
      </c>
      <c r="Y607">
        <v>0</v>
      </c>
      <c r="Z607">
        <v>0</v>
      </c>
      <c r="AA607">
        <v>0</v>
      </c>
      <c r="AB607">
        <v>0</v>
      </c>
      <c r="AC607">
        <v>0</v>
      </c>
      <c r="AD607">
        <v>0</v>
      </c>
      <c r="AE607">
        <v>0</v>
      </c>
      <c r="AF607">
        <v>0</v>
      </c>
      <c r="AG607">
        <v>0</v>
      </c>
      <c r="AH607">
        <v>0</v>
      </c>
      <c r="AI607">
        <v>0</v>
      </c>
      <c r="AJ607">
        <v>0</v>
      </c>
      <c r="AK607">
        <v>0</v>
      </c>
      <c r="AL607">
        <v>0</v>
      </c>
      <c r="AM607">
        <v>7.51</v>
      </c>
      <c r="AN607">
        <v>0</v>
      </c>
      <c r="AO607">
        <v>0</v>
      </c>
      <c r="AP607">
        <v>0</v>
      </c>
      <c r="AQ607">
        <v>0</v>
      </c>
      <c r="AR607">
        <v>0</v>
      </c>
      <c r="AS607">
        <v>0</v>
      </c>
      <c r="AT607">
        <v>0</v>
      </c>
      <c r="AU607">
        <v>0</v>
      </c>
      <c r="AV607">
        <v>0</v>
      </c>
      <c r="AW607">
        <v>0</v>
      </c>
      <c r="AX607">
        <v>0</v>
      </c>
      <c r="AY607">
        <v>0</v>
      </c>
      <c r="AZ607">
        <v>0</v>
      </c>
      <c r="BA607">
        <v>0</v>
      </c>
      <c r="BB607">
        <v>0</v>
      </c>
      <c r="BC607">
        <v>0</v>
      </c>
      <c r="BD607">
        <v>0</v>
      </c>
      <c r="BE607">
        <v>0</v>
      </c>
      <c r="BF607">
        <v>0</v>
      </c>
      <c r="BG607">
        <v>0</v>
      </c>
      <c r="BH607">
        <v>1</v>
      </c>
      <c r="BI607">
        <v>2.2999999999999998</v>
      </c>
      <c r="BJ607">
        <v>1</v>
      </c>
      <c r="BK607">
        <v>2.5</v>
      </c>
      <c r="BL607" s="4">
        <v>44.14</v>
      </c>
      <c r="BM607" s="4">
        <v>6.62</v>
      </c>
      <c r="BN607" s="4">
        <v>50.76</v>
      </c>
      <c r="BO607" s="4">
        <v>50.76</v>
      </c>
      <c r="BQ607" t="s">
        <v>147</v>
      </c>
      <c r="BR607" t="s">
        <v>84</v>
      </c>
      <c r="BS607" s="3">
        <v>43805</v>
      </c>
      <c r="BT607" s="5">
        <v>0.375</v>
      </c>
      <c r="BU607" t="s">
        <v>1084</v>
      </c>
      <c r="BV607" t="s">
        <v>86</v>
      </c>
      <c r="BY607">
        <v>5217.78</v>
      </c>
      <c r="CC607" t="s">
        <v>633</v>
      </c>
      <c r="CD607">
        <v>1451</v>
      </c>
      <c r="CE607" t="s">
        <v>96</v>
      </c>
      <c r="CF607" s="3">
        <v>43808</v>
      </c>
      <c r="CI607">
        <v>1</v>
      </c>
      <c r="CJ607">
        <v>1</v>
      </c>
      <c r="CK607">
        <v>22</v>
      </c>
      <c r="CL607" t="s">
        <v>89</v>
      </c>
    </row>
    <row r="608" spans="1:90">
      <c r="A608" t="s">
        <v>72</v>
      </c>
      <c r="B608" t="s">
        <v>73</v>
      </c>
      <c r="C608" t="s">
        <v>74</v>
      </c>
      <c r="E608" t="str">
        <f>"FES1162726896"</f>
        <v>FES1162726896</v>
      </c>
      <c r="F608" s="3">
        <v>43804</v>
      </c>
      <c r="G608">
        <v>202006</v>
      </c>
      <c r="H608" t="s">
        <v>75</v>
      </c>
      <c r="I608" t="s">
        <v>76</v>
      </c>
      <c r="J608" t="s">
        <v>77</v>
      </c>
      <c r="K608" t="s">
        <v>78</v>
      </c>
      <c r="L608" t="s">
        <v>164</v>
      </c>
      <c r="M608" t="s">
        <v>165</v>
      </c>
      <c r="N608" t="s">
        <v>1027</v>
      </c>
      <c r="O608" t="s">
        <v>82</v>
      </c>
      <c r="P608" t="str">
        <f>"2170720092                    "</f>
        <v xml:space="preserve">2170720092                    </v>
      </c>
      <c r="Q608">
        <v>0</v>
      </c>
      <c r="R608">
        <v>0</v>
      </c>
      <c r="S608">
        <v>0</v>
      </c>
      <c r="T608">
        <v>0</v>
      </c>
      <c r="U608">
        <v>0</v>
      </c>
      <c r="V608">
        <v>0</v>
      </c>
      <c r="W608">
        <v>0</v>
      </c>
      <c r="X608">
        <v>0</v>
      </c>
      <c r="Y608">
        <v>0</v>
      </c>
      <c r="Z608">
        <v>0</v>
      </c>
      <c r="AA608">
        <v>0</v>
      </c>
      <c r="AB608">
        <v>0</v>
      </c>
      <c r="AC608">
        <v>0</v>
      </c>
      <c r="AD608">
        <v>0</v>
      </c>
      <c r="AE608">
        <v>0</v>
      </c>
      <c r="AF608">
        <v>0</v>
      </c>
      <c r="AG608">
        <v>0</v>
      </c>
      <c r="AH608">
        <v>0</v>
      </c>
      <c r="AI608">
        <v>0</v>
      </c>
      <c r="AJ608">
        <v>0</v>
      </c>
      <c r="AK608">
        <v>0</v>
      </c>
      <c r="AL608">
        <v>0</v>
      </c>
      <c r="AM608">
        <v>25.74</v>
      </c>
      <c r="AN608">
        <v>0</v>
      </c>
      <c r="AO608">
        <v>0</v>
      </c>
      <c r="AP608">
        <v>0</v>
      </c>
      <c r="AQ608">
        <v>0</v>
      </c>
      <c r="AR608">
        <v>0</v>
      </c>
      <c r="AS608">
        <v>0</v>
      </c>
      <c r="AT608">
        <v>0</v>
      </c>
      <c r="AU608">
        <v>0</v>
      </c>
      <c r="AV608">
        <v>0</v>
      </c>
      <c r="AW608">
        <v>0</v>
      </c>
      <c r="AX608">
        <v>0</v>
      </c>
      <c r="AY608">
        <v>0</v>
      </c>
      <c r="AZ608">
        <v>0</v>
      </c>
      <c r="BA608">
        <v>0</v>
      </c>
      <c r="BB608">
        <v>0</v>
      </c>
      <c r="BC608">
        <v>0</v>
      </c>
      <c r="BD608">
        <v>0</v>
      </c>
      <c r="BE608">
        <v>0</v>
      </c>
      <c r="BF608">
        <v>0</v>
      </c>
      <c r="BG608">
        <v>0</v>
      </c>
      <c r="BH608">
        <v>1</v>
      </c>
      <c r="BI608">
        <v>5.9</v>
      </c>
      <c r="BJ608">
        <v>2.8</v>
      </c>
      <c r="BK608">
        <v>6</v>
      </c>
      <c r="BL608" s="4">
        <v>151.29</v>
      </c>
      <c r="BM608" s="4">
        <v>22.69</v>
      </c>
      <c r="BN608" s="4">
        <v>173.98</v>
      </c>
      <c r="BO608" s="4">
        <v>173.98</v>
      </c>
      <c r="BQ608" t="s">
        <v>93</v>
      </c>
      <c r="BR608" t="s">
        <v>84</v>
      </c>
      <c r="BS608" s="3">
        <v>43805</v>
      </c>
      <c r="BT608" s="5">
        <v>0.40625</v>
      </c>
      <c r="BU608" t="s">
        <v>1028</v>
      </c>
      <c r="BV608" t="s">
        <v>86</v>
      </c>
      <c r="BY608">
        <v>14100.48</v>
      </c>
      <c r="CA608" t="s">
        <v>168</v>
      </c>
      <c r="CC608" t="s">
        <v>165</v>
      </c>
      <c r="CD608">
        <v>5201</v>
      </c>
      <c r="CE608" t="s">
        <v>96</v>
      </c>
      <c r="CF608" s="3">
        <v>43809</v>
      </c>
      <c r="CI608">
        <v>1</v>
      </c>
      <c r="CJ608">
        <v>1</v>
      </c>
      <c r="CK608">
        <v>21</v>
      </c>
      <c r="CL608" t="s">
        <v>89</v>
      </c>
    </row>
    <row r="609" spans="1:90">
      <c r="A609" t="s">
        <v>72</v>
      </c>
      <c r="B609" t="s">
        <v>73</v>
      </c>
      <c r="C609" t="s">
        <v>74</v>
      </c>
      <c r="E609" t="str">
        <f>"FES1162727046"</f>
        <v>FES1162727046</v>
      </c>
      <c r="F609" s="3">
        <v>43804</v>
      </c>
      <c r="G609">
        <v>202006</v>
      </c>
      <c r="H609" t="s">
        <v>75</v>
      </c>
      <c r="I609" t="s">
        <v>76</v>
      </c>
      <c r="J609" t="s">
        <v>77</v>
      </c>
      <c r="K609" t="s">
        <v>78</v>
      </c>
      <c r="L609" t="s">
        <v>221</v>
      </c>
      <c r="M609" t="s">
        <v>222</v>
      </c>
      <c r="N609" t="s">
        <v>521</v>
      </c>
      <c r="O609" t="s">
        <v>82</v>
      </c>
      <c r="P609" t="str">
        <f>"2170720514                    "</f>
        <v xml:space="preserve">2170720514                    </v>
      </c>
      <c r="Q609">
        <v>0</v>
      </c>
      <c r="R609">
        <v>0</v>
      </c>
      <c r="S609">
        <v>0</v>
      </c>
      <c r="T609">
        <v>0</v>
      </c>
      <c r="U609">
        <v>0</v>
      </c>
      <c r="V609">
        <v>0</v>
      </c>
      <c r="W609">
        <v>0</v>
      </c>
      <c r="X609">
        <v>0</v>
      </c>
      <c r="Y609">
        <v>0</v>
      </c>
      <c r="Z609">
        <v>0</v>
      </c>
      <c r="AA609">
        <v>0</v>
      </c>
      <c r="AB609">
        <v>0</v>
      </c>
      <c r="AC609">
        <v>0</v>
      </c>
      <c r="AD609">
        <v>0</v>
      </c>
      <c r="AE609">
        <v>0</v>
      </c>
      <c r="AF609">
        <v>0</v>
      </c>
      <c r="AG609">
        <v>0</v>
      </c>
      <c r="AH609">
        <v>0</v>
      </c>
      <c r="AI609">
        <v>0</v>
      </c>
      <c r="AJ609">
        <v>0</v>
      </c>
      <c r="AK609">
        <v>0</v>
      </c>
      <c r="AL609">
        <v>0</v>
      </c>
      <c r="AM609">
        <v>8.58</v>
      </c>
      <c r="AN609">
        <v>0</v>
      </c>
      <c r="AO609">
        <v>0</v>
      </c>
      <c r="AP609">
        <v>0</v>
      </c>
      <c r="AQ609">
        <v>0</v>
      </c>
      <c r="AR609">
        <v>0</v>
      </c>
      <c r="AS609">
        <v>0</v>
      </c>
      <c r="AT609">
        <v>0</v>
      </c>
      <c r="AU609">
        <v>0</v>
      </c>
      <c r="AV609">
        <v>0</v>
      </c>
      <c r="AW609">
        <v>0</v>
      </c>
      <c r="AX609">
        <v>0</v>
      </c>
      <c r="AY609">
        <v>0</v>
      </c>
      <c r="AZ609">
        <v>0</v>
      </c>
      <c r="BA609">
        <v>0</v>
      </c>
      <c r="BB609">
        <v>0</v>
      </c>
      <c r="BC609">
        <v>0</v>
      </c>
      <c r="BD609">
        <v>0</v>
      </c>
      <c r="BE609">
        <v>0</v>
      </c>
      <c r="BF609">
        <v>0</v>
      </c>
      <c r="BG609">
        <v>0</v>
      </c>
      <c r="BH609">
        <v>1</v>
      </c>
      <c r="BI609">
        <v>1</v>
      </c>
      <c r="BJ609">
        <v>0.2</v>
      </c>
      <c r="BK609">
        <v>1</v>
      </c>
      <c r="BL609" s="4">
        <v>50.45</v>
      </c>
      <c r="BM609" s="4">
        <v>7.57</v>
      </c>
      <c r="BN609" s="4">
        <v>58.02</v>
      </c>
      <c r="BO609" s="4">
        <v>58.02</v>
      </c>
      <c r="BQ609" t="s">
        <v>522</v>
      </c>
      <c r="BR609" t="s">
        <v>84</v>
      </c>
      <c r="BS609" s="3">
        <v>43805</v>
      </c>
      <c r="BT609" s="5">
        <v>0.39930555555555558</v>
      </c>
      <c r="BU609" t="s">
        <v>523</v>
      </c>
      <c r="BV609" t="s">
        <v>86</v>
      </c>
      <c r="BY609">
        <v>1200</v>
      </c>
      <c r="CA609" t="s">
        <v>225</v>
      </c>
      <c r="CC609" t="s">
        <v>222</v>
      </c>
      <c r="CD609">
        <v>3201</v>
      </c>
      <c r="CE609" t="s">
        <v>88</v>
      </c>
      <c r="CF609" s="3">
        <v>43808</v>
      </c>
      <c r="CI609">
        <v>1</v>
      </c>
      <c r="CJ609">
        <v>1</v>
      </c>
      <c r="CK609">
        <v>21</v>
      </c>
      <c r="CL609" t="s">
        <v>89</v>
      </c>
    </row>
    <row r="610" spans="1:90">
      <c r="A610" t="s">
        <v>72</v>
      </c>
      <c r="B610" t="s">
        <v>73</v>
      </c>
      <c r="C610" t="s">
        <v>74</v>
      </c>
      <c r="E610" t="str">
        <f>"FES1162727069"</f>
        <v>FES1162727069</v>
      </c>
      <c r="F610" s="3">
        <v>43804</v>
      </c>
      <c r="G610">
        <v>202006</v>
      </c>
      <c r="H610" t="s">
        <v>75</v>
      </c>
      <c r="I610" t="s">
        <v>76</v>
      </c>
      <c r="J610" t="s">
        <v>77</v>
      </c>
      <c r="K610" t="s">
        <v>78</v>
      </c>
      <c r="L610" t="s">
        <v>198</v>
      </c>
      <c r="M610" t="s">
        <v>199</v>
      </c>
      <c r="N610" t="s">
        <v>297</v>
      </c>
      <c r="O610" t="s">
        <v>82</v>
      </c>
      <c r="P610" t="str">
        <f>"2170720541                    "</f>
        <v xml:space="preserve">2170720541                    </v>
      </c>
      <c r="Q610">
        <v>0</v>
      </c>
      <c r="R610">
        <v>0</v>
      </c>
      <c r="S610">
        <v>0</v>
      </c>
      <c r="T610">
        <v>0</v>
      </c>
      <c r="U610">
        <v>0</v>
      </c>
      <c r="V610">
        <v>0</v>
      </c>
      <c r="W610">
        <v>0</v>
      </c>
      <c r="X610">
        <v>0</v>
      </c>
      <c r="Y610">
        <v>0</v>
      </c>
      <c r="Z610">
        <v>0</v>
      </c>
      <c r="AA610">
        <v>0</v>
      </c>
      <c r="AB610">
        <v>0</v>
      </c>
      <c r="AC610">
        <v>0</v>
      </c>
      <c r="AD610">
        <v>0</v>
      </c>
      <c r="AE610">
        <v>0</v>
      </c>
      <c r="AF610">
        <v>0</v>
      </c>
      <c r="AG610">
        <v>0</v>
      </c>
      <c r="AH610">
        <v>0</v>
      </c>
      <c r="AI610">
        <v>0</v>
      </c>
      <c r="AJ610">
        <v>0</v>
      </c>
      <c r="AK610">
        <v>0</v>
      </c>
      <c r="AL610">
        <v>0</v>
      </c>
      <c r="AM610">
        <v>8.58</v>
      </c>
      <c r="AN610">
        <v>0</v>
      </c>
      <c r="AO610">
        <v>0</v>
      </c>
      <c r="AP610">
        <v>0</v>
      </c>
      <c r="AQ610">
        <v>0</v>
      </c>
      <c r="AR610">
        <v>0</v>
      </c>
      <c r="AS610">
        <v>0</v>
      </c>
      <c r="AT610">
        <v>0</v>
      </c>
      <c r="AU610">
        <v>0</v>
      </c>
      <c r="AV610">
        <v>0</v>
      </c>
      <c r="AW610">
        <v>0</v>
      </c>
      <c r="AX610">
        <v>0</v>
      </c>
      <c r="AY610">
        <v>0</v>
      </c>
      <c r="AZ610">
        <v>0</v>
      </c>
      <c r="BA610">
        <v>0</v>
      </c>
      <c r="BB610">
        <v>0</v>
      </c>
      <c r="BC610">
        <v>0</v>
      </c>
      <c r="BD610">
        <v>0</v>
      </c>
      <c r="BE610">
        <v>0</v>
      </c>
      <c r="BF610">
        <v>0</v>
      </c>
      <c r="BG610">
        <v>0</v>
      </c>
      <c r="BH610">
        <v>1</v>
      </c>
      <c r="BI610">
        <v>1</v>
      </c>
      <c r="BJ610">
        <v>0.2</v>
      </c>
      <c r="BK610">
        <v>1</v>
      </c>
      <c r="BL610" s="4">
        <v>50.45</v>
      </c>
      <c r="BM610" s="4">
        <v>7.57</v>
      </c>
      <c r="BN610" s="4">
        <v>58.02</v>
      </c>
      <c r="BO610" s="4">
        <v>58.02</v>
      </c>
      <c r="BQ610" t="s">
        <v>172</v>
      </c>
      <c r="BR610" t="s">
        <v>84</v>
      </c>
      <c r="BS610" s="3">
        <v>43805</v>
      </c>
      <c r="BT610" s="5">
        <v>0.37708333333333338</v>
      </c>
      <c r="BU610" t="s">
        <v>542</v>
      </c>
      <c r="BV610" t="s">
        <v>86</v>
      </c>
      <c r="BY610">
        <v>1200</v>
      </c>
      <c r="CA610" t="s">
        <v>299</v>
      </c>
      <c r="CC610" t="s">
        <v>199</v>
      </c>
      <c r="CD610">
        <v>4000</v>
      </c>
      <c r="CE610" t="s">
        <v>88</v>
      </c>
      <c r="CF610" s="3">
        <v>43808</v>
      </c>
      <c r="CI610">
        <v>1</v>
      </c>
      <c r="CJ610">
        <v>1</v>
      </c>
      <c r="CK610">
        <v>21</v>
      </c>
      <c r="CL610" t="s">
        <v>89</v>
      </c>
    </row>
    <row r="611" spans="1:90">
      <c r="A611" t="s">
        <v>72</v>
      </c>
      <c r="B611" t="s">
        <v>73</v>
      </c>
      <c r="C611" t="s">
        <v>74</v>
      </c>
      <c r="E611" t="str">
        <f>"FES1162726914"</f>
        <v>FES1162726914</v>
      </c>
      <c r="F611" s="3">
        <v>43804</v>
      </c>
      <c r="G611">
        <v>202006</v>
      </c>
      <c r="H611" t="s">
        <v>75</v>
      </c>
      <c r="I611" t="s">
        <v>76</v>
      </c>
      <c r="J611" t="s">
        <v>77</v>
      </c>
      <c r="K611" t="s">
        <v>78</v>
      </c>
      <c r="L611" t="s">
        <v>79</v>
      </c>
      <c r="M611" t="s">
        <v>80</v>
      </c>
      <c r="N611" t="s">
        <v>420</v>
      </c>
      <c r="O611" t="s">
        <v>82</v>
      </c>
      <c r="P611" t="str">
        <f>"2170720353                    "</f>
        <v xml:space="preserve">2170720353                    </v>
      </c>
      <c r="Q611">
        <v>0</v>
      </c>
      <c r="R611">
        <v>0</v>
      </c>
      <c r="S611">
        <v>0</v>
      </c>
      <c r="T611">
        <v>0</v>
      </c>
      <c r="U611">
        <v>0</v>
      </c>
      <c r="V611">
        <v>0</v>
      </c>
      <c r="W611">
        <v>0</v>
      </c>
      <c r="X611">
        <v>0</v>
      </c>
      <c r="Y611">
        <v>0</v>
      </c>
      <c r="Z611">
        <v>0</v>
      </c>
      <c r="AA611">
        <v>0</v>
      </c>
      <c r="AB611">
        <v>0</v>
      </c>
      <c r="AC611">
        <v>0</v>
      </c>
      <c r="AD611">
        <v>0</v>
      </c>
      <c r="AE611">
        <v>0</v>
      </c>
      <c r="AF611">
        <v>0</v>
      </c>
      <c r="AG611">
        <v>0</v>
      </c>
      <c r="AH611">
        <v>0</v>
      </c>
      <c r="AI611">
        <v>0</v>
      </c>
      <c r="AJ611">
        <v>0</v>
      </c>
      <c r="AK611">
        <v>0</v>
      </c>
      <c r="AL611">
        <v>0</v>
      </c>
      <c r="AM611">
        <v>17.16</v>
      </c>
      <c r="AN611">
        <v>0</v>
      </c>
      <c r="AO611">
        <v>0</v>
      </c>
      <c r="AP611">
        <v>0</v>
      </c>
      <c r="AQ611">
        <v>0</v>
      </c>
      <c r="AR611">
        <v>0</v>
      </c>
      <c r="AS611">
        <v>0</v>
      </c>
      <c r="AT611">
        <v>0</v>
      </c>
      <c r="AU611">
        <v>0</v>
      </c>
      <c r="AV611">
        <v>0</v>
      </c>
      <c r="AW611">
        <v>0</v>
      </c>
      <c r="AX611">
        <v>0</v>
      </c>
      <c r="AY611">
        <v>0</v>
      </c>
      <c r="AZ611">
        <v>0</v>
      </c>
      <c r="BA611">
        <v>0</v>
      </c>
      <c r="BB611">
        <v>0</v>
      </c>
      <c r="BC611">
        <v>0</v>
      </c>
      <c r="BD611">
        <v>0</v>
      </c>
      <c r="BE611">
        <v>0</v>
      </c>
      <c r="BF611">
        <v>0</v>
      </c>
      <c r="BG611">
        <v>0</v>
      </c>
      <c r="BH611">
        <v>1</v>
      </c>
      <c r="BI611">
        <v>3.7</v>
      </c>
      <c r="BJ611">
        <v>1</v>
      </c>
      <c r="BK611">
        <v>4</v>
      </c>
      <c r="BL611" s="4">
        <v>100.87</v>
      </c>
      <c r="BM611" s="4">
        <v>15.13</v>
      </c>
      <c r="BN611" s="4">
        <v>116</v>
      </c>
      <c r="BO611" s="4">
        <v>116</v>
      </c>
      <c r="BQ611" t="s">
        <v>147</v>
      </c>
      <c r="BR611" t="s">
        <v>84</v>
      </c>
      <c r="BS611" s="3">
        <v>43805</v>
      </c>
      <c r="BT611" s="5">
        <v>0.36041666666666666</v>
      </c>
      <c r="BU611" t="s">
        <v>1085</v>
      </c>
      <c r="BV611" t="s">
        <v>86</v>
      </c>
      <c r="BY611">
        <v>4945.7</v>
      </c>
      <c r="CA611" t="s">
        <v>185</v>
      </c>
      <c r="CC611" t="s">
        <v>80</v>
      </c>
      <c r="CD611">
        <v>6001</v>
      </c>
      <c r="CE611" t="s">
        <v>96</v>
      </c>
      <c r="CF611" s="3">
        <v>43808</v>
      </c>
      <c r="CI611">
        <v>1</v>
      </c>
      <c r="CJ611">
        <v>1</v>
      </c>
      <c r="CK611">
        <v>21</v>
      </c>
      <c r="CL611" t="s">
        <v>89</v>
      </c>
    </row>
    <row r="612" spans="1:90">
      <c r="A612" t="s">
        <v>72</v>
      </c>
      <c r="B612" t="s">
        <v>73</v>
      </c>
      <c r="C612" t="s">
        <v>74</v>
      </c>
      <c r="E612" t="str">
        <f>"FES1162726718"</f>
        <v>FES1162726718</v>
      </c>
      <c r="F612" s="3">
        <v>43804</v>
      </c>
      <c r="G612">
        <v>202006</v>
      </c>
      <c r="H612" t="s">
        <v>75</v>
      </c>
      <c r="I612" t="s">
        <v>76</v>
      </c>
      <c r="J612" t="s">
        <v>77</v>
      </c>
      <c r="K612" t="s">
        <v>78</v>
      </c>
      <c r="L612" t="s">
        <v>164</v>
      </c>
      <c r="M612" t="s">
        <v>165</v>
      </c>
      <c r="N612" t="s">
        <v>1086</v>
      </c>
      <c r="O612" t="s">
        <v>82</v>
      </c>
      <c r="P612" t="str">
        <f>"2170720143                    "</f>
        <v xml:space="preserve">2170720143                    </v>
      </c>
      <c r="Q612">
        <v>0</v>
      </c>
      <c r="R612">
        <v>0</v>
      </c>
      <c r="S612">
        <v>0</v>
      </c>
      <c r="T612">
        <v>0</v>
      </c>
      <c r="U612">
        <v>0</v>
      </c>
      <c r="V612">
        <v>0</v>
      </c>
      <c r="W612">
        <v>0</v>
      </c>
      <c r="X612">
        <v>0</v>
      </c>
      <c r="Y612">
        <v>0</v>
      </c>
      <c r="Z612">
        <v>0</v>
      </c>
      <c r="AA612">
        <v>0</v>
      </c>
      <c r="AB612">
        <v>0</v>
      </c>
      <c r="AC612">
        <v>0</v>
      </c>
      <c r="AD612">
        <v>0</v>
      </c>
      <c r="AE612">
        <v>0</v>
      </c>
      <c r="AF612">
        <v>0</v>
      </c>
      <c r="AG612">
        <v>0</v>
      </c>
      <c r="AH612">
        <v>0</v>
      </c>
      <c r="AI612">
        <v>0</v>
      </c>
      <c r="AJ612">
        <v>0</v>
      </c>
      <c r="AK612">
        <v>0</v>
      </c>
      <c r="AL612">
        <v>0</v>
      </c>
      <c r="AM612">
        <v>8.58</v>
      </c>
      <c r="AN612">
        <v>0</v>
      </c>
      <c r="AO612">
        <v>0</v>
      </c>
      <c r="AP612">
        <v>0</v>
      </c>
      <c r="AQ612">
        <v>0</v>
      </c>
      <c r="AR612">
        <v>0</v>
      </c>
      <c r="AS612">
        <v>0</v>
      </c>
      <c r="AT612">
        <v>0</v>
      </c>
      <c r="AU612">
        <v>0</v>
      </c>
      <c r="AV612">
        <v>0</v>
      </c>
      <c r="AW612">
        <v>0</v>
      </c>
      <c r="AX612">
        <v>0</v>
      </c>
      <c r="AY612">
        <v>0</v>
      </c>
      <c r="AZ612">
        <v>0</v>
      </c>
      <c r="BA612">
        <v>0</v>
      </c>
      <c r="BB612">
        <v>0</v>
      </c>
      <c r="BC612">
        <v>0</v>
      </c>
      <c r="BD612">
        <v>0</v>
      </c>
      <c r="BE612">
        <v>0</v>
      </c>
      <c r="BF612">
        <v>0</v>
      </c>
      <c r="BG612">
        <v>0</v>
      </c>
      <c r="BH612">
        <v>1</v>
      </c>
      <c r="BI612">
        <v>1</v>
      </c>
      <c r="BJ612">
        <v>0.2</v>
      </c>
      <c r="BK612">
        <v>1</v>
      </c>
      <c r="BL612" s="4">
        <v>50.45</v>
      </c>
      <c r="BM612" s="4">
        <v>7.57</v>
      </c>
      <c r="BN612" s="4">
        <v>58.02</v>
      </c>
      <c r="BO612" s="4">
        <v>58.02</v>
      </c>
      <c r="BQ612" t="s">
        <v>147</v>
      </c>
      <c r="BR612" t="s">
        <v>84</v>
      </c>
      <c r="BS612" s="3">
        <v>43805</v>
      </c>
      <c r="BT612" s="5">
        <v>0.38750000000000001</v>
      </c>
      <c r="BU612" t="s">
        <v>828</v>
      </c>
      <c r="BV612" t="s">
        <v>86</v>
      </c>
      <c r="BY612">
        <v>1200</v>
      </c>
      <c r="CA612" t="s">
        <v>371</v>
      </c>
      <c r="CC612" t="s">
        <v>165</v>
      </c>
      <c r="CD612">
        <v>5200</v>
      </c>
      <c r="CE612" t="s">
        <v>88</v>
      </c>
      <c r="CF612" s="3">
        <v>43809</v>
      </c>
      <c r="CI612">
        <v>1</v>
      </c>
      <c r="CJ612">
        <v>1</v>
      </c>
      <c r="CK612">
        <v>21</v>
      </c>
      <c r="CL612" t="s">
        <v>89</v>
      </c>
    </row>
    <row r="613" spans="1:90">
      <c r="A613" t="s">
        <v>72</v>
      </c>
      <c r="B613" t="s">
        <v>73</v>
      </c>
      <c r="C613" t="s">
        <v>74</v>
      </c>
      <c r="E613" t="str">
        <f>"FES1162726652"</f>
        <v>FES1162726652</v>
      </c>
      <c r="F613" s="3">
        <v>43804</v>
      </c>
      <c r="G613">
        <v>202006</v>
      </c>
      <c r="H613" t="s">
        <v>75</v>
      </c>
      <c r="I613" t="s">
        <v>76</v>
      </c>
      <c r="J613" t="s">
        <v>77</v>
      </c>
      <c r="K613" t="s">
        <v>78</v>
      </c>
      <c r="L613" t="s">
        <v>361</v>
      </c>
      <c r="M613" t="s">
        <v>362</v>
      </c>
      <c r="N613" t="s">
        <v>837</v>
      </c>
      <c r="O613" t="s">
        <v>82</v>
      </c>
      <c r="P613" t="str">
        <f>"2170714680                    "</f>
        <v xml:space="preserve">2170714680                    </v>
      </c>
      <c r="Q613">
        <v>0</v>
      </c>
      <c r="R613">
        <v>0</v>
      </c>
      <c r="S613">
        <v>0</v>
      </c>
      <c r="T613">
        <v>0</v>
      </c>
      <c r="U613">
        <v>0</v>
      </c>
      <c r="V613">
        <v>0</v>
      </c>
      <c r="W613">
        <v>0</v>
      </c>
      <c r="X613">
        <v>0</v>
      </c>
      <c r="Y613">
        <v>0</v>
      </c>
      <c r="Z613">
        <v>0</v>
      </c>
      <c r="AA613">
        <v>0</v>
      </c>
      <c r="AB613">
        <v>0</v>
      </c>
      <c r="AC613">
        <v>0</v>
      </c>
      <c r="AD613">
        <v>0</v>
      </c>
      <c r="AE613">
        <v>0</v>
      </c>
      <c r="AF613">
        <v>0</v>
      </c>
      <c r="AG613">
        <v>0</v>
      </c>
      <c r="AH613">
        <v>0</v>
      </c>
      <c r="AI613">
        <v>0</v>
      </c>
      <c r="AJ613">
        <v>0</v>
      </c>
      <c r="AK613">
        <v>0</v>
      </c>
      <c r="AL613">
        <v>0</v>
      </c>
      <c r="AM613">
        <v>8.58</v>
      </c>
      <c r="AN613">
        <v>0</v>
      </c>
      <c r="AO613">
        <v>0</v>
      </c>
      <c r="AP613">
        <v>0</v>
      </c>
      <c r="AQ613">
        <v>0</v>
      </c>
      <c r="AR613">
        <v>0</v>
      </c>
      <c r="AS613">
        <v>0</v>
      </c>
      <c r="AT613">
        <v>0</v>
      </c>
      <c r="AU613">
        <v>0</v>
      </c>
      <c r="AV613">
        <v>0</v>
      </c>
      <c r="AW613">
        <v>0</v>
      </c>
      <c r="AX613">
        <v>0</v>
      </c>
      <c r="AY613">
        <v>0</v>
      </c>
      <c r="AZ613">
        <v>0</v>
      </c>
      <c r="BA613">
        <v>0</v>
      </c>
      <c r="BB613">
        <v>0</v>
      </c>
      <c r="BC613">
        <v>0</v>
      </c>
      <c r="BD613">
        <v>0</v>
      </c>
      <c r="BE613">
        <v>0</v>
      </c>
      <c r="BF613">
        <v>0</v>
      </c>
      <c r="BG613">
        <v>0</v>
      </c>
      <c r="BH613">
        <v>1</v>
      </c>
      <c r="BI613">
        <v>1</v>
      </c>
      <c r="BJ613">
        <v>0.2</v>
      </c>
      <c r="BK613">
        <v>1</v>
      </c>
      <c r="BL613" s="4">
        <v>50.45</v>
      </c>
      <c r="BM613" s="4">
        <v>7.57</v>
      </c>
      <c r="BN613" s="4">
        <v>58.02</v>
      </c>
      <c r="BO613" s="4">
        <v>58.02</v>
      </c>
      <c r="BQ613" t="s">
        <v>1087</v>
      </c>
      <c r="BR613" t="s">
        <v>84</v>
      </c>
      <c r="BS613" s="3">
        <v>43805</v>
      </c>
      <c r="BT613" s="5">
        <v>0.40902777777777777</v>
      </c>
      <c r="BU613" t="s">
        <v>1088</v>
      </c>
      <c r="BV613" t="s">
        <v>86</v>
      </c>
      <c r="BY613">
        <v>1200</v>
      </c>
      <c r="CA613" t="s">
        <v>185</v>
      </c>
      <c r="CC613" t="s">
        <v>362</v>
      </c>
      <c r="CD613">
        <v>6220</v>
      </c>
      <c r="CE613" t="s">
        <v>88</v>
      </c>
      <c r="CF613" s="3">
        <v>43808</v>
      </c>
      <c r="CI613">
        <v>1</v>
      </c>
      <c r="CJ613">
        <v>1</v>
      </c>
      <c r="CK613">
        <v>21</v>
      </c>
      <c r="CL613" t="s">
        <v>89</v>
      </c>
    </row>
    <row r="614" spans="1:90">
      <c r="A614" t="s">
        <v>72</v>
      </c>
      <c r="B614" t="s">
        <v>73</v>
      </c>
      <c r="C614" t="s">
        <v>74</v>
      </c>
      <c r="E614" t="str">
        <f>"FES1162727070"</f>
        <v>FES1162727070</v>
      </c>
      <c r="F614" s="3">
        <v>43804</v>
      </c>
      <c r="G614">
        <v>202006</v>
      </c>
      <c r="H614" t="s">
        <v>75</v>
      </c>
      <c r="I614" t="s">
        <v>76</v>
      </c>
      <c r="J614" t="s">
        <v>77</v>
      </c>
      <c r="K614" t="s">
        <v>78</v>
      </c>
      <c r="L614" t="s">
        <v>198</v>
      </c>
      <c r="M614" t="s">
        <v>199</v>
      </c>
      <c r="N614" t="s">
        <v>297</v>
      </c>
      <c r="O614" t="s">
        <v>82</v>
      </c>
      <c r="P614" t="str">
        <f>"217070542                     "</f>
        <v xml:space="preserve">217070542                     </v>
      </c>
      <c r="Q614">
        <v>0</v>
      </c>
      <c r="R614">
        <v>0</v>
      </c>
      <c r="S614">
        <v>0</v>
      </c>
      <c r="T614">
        <v>0</v>
      </c>
      <c r="U614">
        <v>0</v>
      </c>
      <c r="V614">
        <v>0</v>
      </c>
      <c r="W614">
        <v>0</v>
      </c>
      <c r="X614">
        <v>0</v>
      </c>
      <c r="Y614">
        <v>0</v>
      </c>
      <c r="Z614">
        <v>0</v>
      </c>
      <c r="AA614">
        <v>0</v>
      </c>
      <c r="AB614">
        <v>0</v>
      </c>
      <c r="AC614">
        <v>0</v>
      </c>
      <c r="AD614">
        <v>0</v>
      </c>
      <c r="AE614">
        <v>0</v>
      </c>
      <c r="AF614">
        <v>0</v>
      </c>
      <c r="AG614">
        <v>0</v>
      </c>
      <c r="AH614">
        <v>0</v>
      </c>
      <c r="AI614">
        <v>0</v>
      </c>
      <c r="AJ614">
        <v>0</v>
      </c>
      <c r="AK614">
        <v>0</v>
      </c>
      <c r="AL614">
        <v>0</v>
      </c>
      <c r="AM614">
        <v>77.2</v>
      </c>
      <c r="AN614">
        <v>0</v>
      </c>
      <c r="AO614">
        <v>0</v>
      </c>
      <c r="AP614">
        <v>0</v>
      </c>
      <c r="AQ614">
        <v>0</v>
      </c>
      <c r="AR614">
        <v>0</v>
      </c>
      <c r="AS614">
        <v>0</v>
      </c>
      <c r="AT614">
        <v>0</v>
      </c>
      <c r="AU614">
        <v>0</v>
      </c>
      <c r="AV614">
        <v>0</v>
      </c>
      <c r="AW614">
        <v>0</v>
      </c>
      <c r="AX614">
        <v>0</v>
      </c>
      <c r="AY614">
        <v>0</v>
      </c>
      <c r="AZ614">
        <v>0</v>
      </c>
      <c r="BA614">
        <v>0</v>
      </c>
      <c r="BB614">
        <v>0</v>
      </c>
      <c r="BC614">
        <v>0</v>
      </c>
      <c r="BD614">
        <v>0</v>
      </c>
      <c r="BE614">
        <v>0</v>
      </c>
      <c r="BF614">
        <v>0</v>
      </c>
      <c r="BG614">
        <v>0</v>
      </c>
      <c r="BH614">
        <v>1</v>
      </c>
      <c r="BI614">
        <v>17.600000000000001</v>
      </c>
      <c r="BJ614">
        <v>12.4</v>
      </c>
      <c r="BK614">
        <v>18</v>
      </c>
      <c r="BL614" s="4">
        <v>453.79</v>
      </c>
      <c r="BM614" s="4">
        <v>68.069999999999993</v>
      </c>
      <c r="BN614" s="4">
        <v>521.86</v>
      </c>
      <c r="BO614" s="4">
        <v>521.86</v>
      </c>
      <c r="BQ614" t="s">
        <v>172</v>
      </c>
      <c r="BR614" t="s">
        <v>84</v>
      </c>
      <c r="BS614" s="3">
        <v>43805</v>
      </c>
      <c r="BT614" s="5">
        <v>0.37708333333333338</v>
      </c>
      <c r="BU614" t="s">
        <v>542</v>
      </c>
      <c r="BV614" t="s">
        <v>86</v>
      </c>
      <c r="BY614">
        <v>62052.480000000003</v>
      </c>
      <c r="CA614" t="s">
        <v>299</v>
      </c>
      <c r="CC614" t="s">
        <v>199</v>
      </c>
      <c r="CD614">
        <v>4000</v>
      </c>
      <c r="CE614" t="s">
        <v>116</v>
      </c>
      <c r="CF614" s="3">
        <v>43808</v>
      </c>
      <c r="CI614">
        <v>1</v>
      </c>
      <c r="CJ614">
        <v>1</v>
      </c>
      <c r="CK614">
        <v>21</v>
      </c>
      <c r="CL614" t="s">
        <v>89</v>
      </c>
    </row>
    <row r="615" spans="1:90">
      <c r="A615" t="s">
        <v>72</v>
      </c>
      <c r="B615" t="s">
        <v>73</v>
      </c>
      <c r="C615" t="s">
        <v>74</v>
      </c>
      <c r="E615" t="str">
        <f>"FES1162727082"</f>
        <v>FES1162727082</v>
      </c>
      <c r="F615" s="3">
        <v>43804</v>
      </c>
      <c r="G615">
        <v>202006</v>
      </c>
      <c r="H615" t="s">
        <v>75</v>
      </c>
      <c r="I615" t="s">
        <v>76</v>
      </c>
      <c r="J615" t="s">
        <v>77</v>
      </c>
      <c r="K615" t="s">
        <v>78</v>
      </c>
      <c r="L615" t="s">
        <v>90</v>
      </c>
      <c r="M615" t="s">
        <v>91</v>
      </c>
      <c r="N615" t="s">
        <v>110</v>
      </c>
      <c r="O615" t="s">
        <v>82</v>
      </c>
      <c r="P615" t="str">
        <f>"2170701758                    "</f>
        <v xml:space="preserve">2170701758                    </v>
      </c>
      <c r="Q615">
        <v>0</v>
      </c>
      <c r="R615">
        <v>0</v>
      </c>
      <c r="S615">
        <v>0</v>
      </c>
      <c r="T615">
        <v>0</v>
      </c>
      <c r="U615">
        <v>0</v>
      </c>
      <c r="V615">
        <v>0</v>
      </c>
      <c r="W615">
        <v>0</v>
      </c>
      <c r="X615">
        <v>0</v>
      </c>
      <c r="Y615">
        <v>0</v>
      </c>
      <c r="Z615">
        <v>0</v>
      </c>
      <c r="AA615">
        <v>0</v>
      </c>
      <c r="AB615">
        <v>0</v>
      </c>
      <c r="AC615">
        <v>0</v>
      </c>
      <c r="AD615">
        <v>0</v>
      </c>
      <c r="AE615">
        <v>0</v>
      </c>
      <c r="AF615">
        <v>0</v>
      </c>
      <c r="AG615">
        <v>0</v>
      </c>
      <c r="AH615">
        <v>0</v>
      </c>
      <c r="AI615">
        <v>0</v>
      </c>
      <c r="AJ615">
        <v>0</v>
      </c>
      <c r="AK615">
        <v>0</v>
      </c>
      <c r="AL615">
        <v>0</v>
      </c>
      <c r="AM615">
        <v>12.87</v>
      </c>
      <c r="AN615">
        <v>0</v>
      </c>
      <c r="AO615">
        <v>0</v>
      </c>
      <c r="AP615">
        <v>0</v>
      </c>
      <c r="AQ615">
        <v>0</v>
      </c>
      <c r="AR615">
        <v>0</v>
      </c>
      <c r="AS615">
        <v>0</v>
      </c>
      <c r="AT615">
        <v>0</v>
      </c>
      <c r="AU615">
        <v>0</v>
      </c>
      <c r="AV615">
        <v>0</v>
      </c>
      <c r="AW615">
        <v>0</v>
      </c>
      <c r="AX615">
        <v>0</v>
      </c>
      <c r="AY615">
        <v>0</v>
      </c>
      <c r="AZ615">
        <v>0</v>
      </c>
      <c r="BA615">
        <v>0</v>
      </c>
      <c r="BB615">
        <v>0</v>
      </c>
      <c r="BC615">
        <v>0</v>
      </c>
      <c r="BD615">
        <v>0</v>
      </c>
      <c r="BE615">
        <v>0</v>
      </c>
      <c r="BF615">
        <v>0</v>
      </c>
      <c r="BG615">
        <v>0</v>
      </c>
      <c r="BH615">
        <v>1</v>
      </c>
      <c r="BI615">
        <v>0.8</v>
      </c>
      <c r="BJ615">
        <v>2.8</v>
      </c>
      <c r="BK615">
        <v>3</v>
      </c>
      <c r="BL615" s="4">
        <v>75.66</v>
      </c>
      <c r="BM615" s="4">
        <v>11.35</v>
      </c>
      <c r="BN615" s="4">
        <v>87.01</v>
      </c>
      <c r="BO615" s="4">
        <v>87.01</v>
      </c>
      <c r="BQ615" t="s">
        <v>147</v>
      </c>
      <c r="BR615" t="s">
        <v>84</v>
      </c>
      <c r="BS615" s="3">
        <v>43805</v>
      </c>
      <c r="BT615" s="5">
        <v>0.40208333333333335</v>
      </c>
      <c r="BU615" t="s">
        <v>730</v>
      </c>
      <c r="BV615" t="s">
        <v>86</v>
      </c>
      <c r="BY615">
        <v>14055.29</v>
      </c>
      <c r="CA615" t="s">
        <v>112</v>
      </c>
      <c r="CC615" t="s">
        <v>91</v>
      </c>
      <c r="CD615">
        <v>7405</v>
      </c>
      <c r="CE615" t="s">
        <v>116</v>
      </c>
      <c r="CF615" s="3">
        <v>43808</v>
      </c>
      <c r="CI615">
        <v>1</v>
      </c>
      <c r="CJ615">
        <v>1</v>
      </c>
      <c r="CK615">
        <v>21</v>
      </c>
      <c r="CL615" t="s">
        <v>89</v>
      </c>
    </row>
    <row r="616" spans="1:90">
      <c r="A616" t="s">
        <v>72</v>
      </c>
      <c r="B616" t="s">
        <v>73</v>
      </c>
      <c r="C616" t="s">
        <v>74</v>
      </c>
      <c r="E616" t="str">
        <f>"FES1162727118"</f>
        <v>FES1162727118</v>
      </c>
      <c r="F616" s="3">
        <v>43804</v>
      </c>
      <c r="G616">
        <v>202006</v>
      </c>
      <c r="H616" t="s">
        <v>75</v>
      </c>
      <c r="I616" t="s">
        <v>76</v>
      </c>
      <c r="J616" t="s">
        <v>77</v>
      </c>
      <c r="K616" t="s">
        <v>78</v>
      </c>
      <c r="L616" t="s">
        <v>169</v>
      </c>
      <c r="M616" t="s">
        <v>170</v>
      </c>
      <c r="N616" t="s">
        <v>248</v>
      </c>
      <c r="O616" t="s">
        <v>82</v>
      </c>
      <c r="P616" t="str">
        <f>"2170720513                    "</f>
        <v xml:space="preserve">2170720513                    </v>
      </c>
      <c r="Q616">
        <v>0</v>
      </c>
      <c r="R616">
        <v>0</v>
      </c>
      <c r="S616">
        <v>0</v>
      </c>
      <c r="T616">
        <v>0</v>
      </c>
      <c r="U616">
        <v>0</v>
      </c>
      <c r="V616">
        <v>0</v>
      </c>
      <c r="W616">
        <v>0</v>
      </c>
      <c r="X616">
        <v>0</v>
      </c>
      <c r="Y616">
        <v>0</v>
      </c>
      <c r="Z616">
        <v>0</v>
      </c>
      <c r="AA616">
        <v>0</v>
      </c>
      <c r="AB616">
        <v>0</v>
      </c>
      <c r="AC616">
        <v>0</v>
      </c>
      <c r="AD616">
        <v>0</v>
      </c>
      <c r="AE616">
        <v>0</v>
      </c>
      <c r="AF616">
        <v>0</v>
      </c>
      <c r="AG616">
        <v>0</v>
      </c>
      <c r="AH616">
        <v>0</v>
      </c>
      <c r="AI616">
        <v>0</v>
      </c>
      <c r="AJ616">
        <v>0</v>
      </c>
      <c r="AK616">
        <v>0</v>
      </c>
      <c r="AL616">
        <v>0</v>
      </c>
      <c r="AM616">
        <v>6.71</v>
      </c>
      <c r="AN616">
        <v>0</v>
      </c>
      <c r="AO616">
        <v>0</v>
      </c>
      <c r="AP616">
        <v>0</v>
      </c>
      <c r="AQ616">
        <v>0</v>
      </c>
      <c r="AR616">
        <v>0</v>
      </c>
      <c r="AS616">
        <v>0</v>
      </c>
      <c r="AT616">
        <v>0</v>
      </c>
      <c r="AU616">
        <v>0</v>
      </c>
      <c r="AV616">
        <v>0</v>
      </c>
      <c r="AW616">
        <v>0</v>
      </c>
      <c r="AX616">
        <v>0</v>
      </c>
      <c r="AY616">
        <v>0</v>
      </c>
      <c r="AZ616">
        <v>0</v>
      </c>
      <c r="BA616">
        <v>0</v>
      </c>
      <c r="BB616">
        <v>0</v>
      </c>
      <c r="BC616">
        <v>0</v>
      </c>
      <c r="BD616">
        <v>0</v>
      </c>
      <c r="BE616">
        <v>0</v>
      </c>
      <c r="BF616">
        <v>0</v>
      </c>
      <c r="BG616">
        <v>0</v>
      </c>
      <c r="BH616">
        <v>1</v>
      </c>
      <c r="BI616">
        <v>1</v>
      </c>
      <c r="BJ616">
        <v>0.2</v>
      </c>
      <c r="BK616">
        <v>1</v>
      </c>
      <c r="BL616" s="4">
        <v>39.42</v>
      </c>
      <c r="BM616" s="4">
        <v>5.91</v>
      </c>
      <c r="BN616" s="4">
        <v>45.33</v>
      </c>
      <c r="BO616" s="4">
        <v>45.33</v>
      </c>
      <c r="BQ616" t="s">
        <v>147</v>
      </c>
      <c r="BR616" t="s">
        <v>84</v>
      </c>
      <c r="BS616" s="3">
        <v>43805</v>
      </c>
      <c r="BT616" s="5">
        <v>0.36180555555555555</v>
      </c>
      <c r="BU616" t="s">
        <v>1089</v>
      </c>
      <c r="BV616" t="s">
        <v>86</v>
      </c>
      <c r="BY616">
        <v>1200</v>
      </c>
      <c r="CA616" t="s">
        <v>250</v>
      </c>
      <c r="CC616" t="s">
        <v>170</v>
      </c>
      <c r="CD616">
        <v>1459</v>
      </c>
      <c r="CE616" t="s">
        <v>88</v>
      </c>
      <c r="CF616" s="3">
        <v>43808</v>
      </c>
      <c r="CI616">
        <v>1</v>
      </c>
      <c r="CJ616">
        <v>1</v>
      </c>
      <c r="CK616">
        <v>22</v>
      </c>
      <c r="CL616" t="s">
        <v>89</v>
      </c>
    </row>
    <row r="617" spans="1:90">
      <c r="A617" t="s">
        <v>72</v>
      </c>
      <c r="B617" t="s">
        <v>73</v>
      </c>
      <c r="C617" t="s">
        <v>74</v>
      </c>
      <c r="E617" t="str">
        <f>"FES1162727028"</f>
        <v>FES1162727028</v>
      </c>
      <c r="F617" s="3">
        <v>43804</v>
      </c>
      <c r="G617">
        <v>202006</v>
      </c>
      <c r="H617" t="s">
        <v>75</v>
      </c>
      <c r="I617" t="s">
        <v>76</v>
      </c>
      <c r="J617" t="s">
        <v>77</v>
      </c>
      <c r="K617" t="s">
        <v>78</v>
      </c>
      <c r="L617" t="s">
        <v>332</v>
      </c>
      <c r="M617" t="s">
        <v>333</v>
      </c>
      <c r="N617" t="s">
        <v>978</v>
      </c>
      <c r="O617" t="s">
        <v>82</v>
      </c>
      <c r="P617" t="str">
        <f>"2170720490                    "</f>
        <v xml:space="preserve">2170720490                    </v>
      </c>
      <c r="Q617">
        <v>0</v>
      </c>
      <c r="R617">
        <v>0</v>
      </c>
      <c r="S617">
        <v>0</v>
      </c>
      <c r="T617">
        <v>0</v>
      </c>
      <c r="U617">
        <v>0</v>
      </c>
      <c r="V617">
        <v>0</v>
      </c>
      <c r="W617">
        <v>0</v>
      </c>
      <c r="X617">
        <v>0</v>
      </c>
      <c r="Y617">
        <v>0</v>
      </c>
      <c r="Z617">
        <v>0</v>
      </c>
      <c r="AA617">
        <v>0</v>
      </c>
      <c r="AB617">
        <v>0</v>
      </c>
      <c r="AC617">
        <v>0</v>
      </c>
      <c r="AD617">
        <v>0</v>
      </c>
      <c r="AE617">
        <v>0</v>
      </c>
      <c r="AF617">
        <v>0</v>
      </c>
      <c r="AG617">
        <v>0</v>
      </c>
      <c r="AH617">
        <v>0</v>
      </c>
      <c r="AI617">
        <v>0</v>
      </c>
      <c r="AJ617">
        <v>0</v>
      </c>
      <c r="AK617">
        <v>0</v>
      </c>
      <c r="AL617">
        <v>0</v>
      </c>
      <c r="AM617">
        <v>6.71</v>
      </c>
      <c r="AN617">
        <v>0</v>
      </c>
      <c r="AO617">
        <v>0</v>
      </c>
      <c r="AP617">
        <v>0</v>
      </c>
      <c r="AQ617">
        <v>0</v>
      </c>
      <c r="AR617">
        <v>0</v>
      </c>
      <c r="AS617">
        <v>0</v>
      </c>
      <c r="AT617">
        <v>0</v>
      </c>
      <c r="AU617">
        <v>0</v>
      </c>
      <c r="AV617">
        <v>0</v>
      </c>
      <c r="AW617">
        <v>0</v>
      </c>
      <c r="AX617">
        <v>0</v>
      </c>
      <c r="AY617">
        <v>0</v>
      </c>
      <c r="AZ617">
        <v>0</v>
      </c>
      <c r="BA617">
        <v>0</v>
      </c>
      <c r="BB617">
        <v>0</v>
      </c>
      <c r="BC617">
        <v>0</v>
      </c>
      <c r="BD617">
        <v>0</v>
      </c>
      <c r="BE617">
        <v>0</v>
      </c>
      <c r="BF617">
        <v>0</v>
      </c>
      <c r="BG617">
        <v>0</v>
      </c>
      <c r="BH617">
        <v>1</v>
      </c>
      <c r="BI617">
        <v>0.2</v>
      </c>
      <c r="BJ617">
        <v>1.4</v>
      </c>
      <c r="BK617">
        <v>1.5</v>
      </c>
      <c r="BL617" s="4">
        <v>39.42</v>
      </c>
      <c r="BM617" s="4">
        <v>5.91</v>
      </c>
      <c r="BN617" s="4">
        <v>45.33</v>
      </c>
      <c r="BO617" s="4">
        <v>45.33</v>
      </c>
      <c r="BR617" t="s">
        <v>84</v>
      </c>
      <c r="BS617" s="3">
        <v>43805</v>
      </c>
      <c r="BT617" s="5">
        <v>0.38750000000000001</v>
      </c>
      <c r="BU617" t="s">
        <v>979</v>
      </c>
      <c r="BV617" t="s">
        <v>86</v>
      </c>
      <c r="BY617">
        <v>6872.25</v>
      </c>
      <c r="CA617" t="s">
        <v>1008</v>
      </c>
      <c r="CC617" t="s">
        <v>333</v>
      </c>
      <c r="CD617">
        <v>2013</v>
      </c>
      <c r="CE617" t="s">
        <v>88</v>
      </c>
      <c r="CF617" s="3">
        <v>43808</v>
      </c>
      <c r="CI617">
        <v>1</v>
      </c>
      <c r="CJ617">
        <v>1</v>
      </c>
      <c r="CK617">
        <v>22</v>
      </c>
      <c r="CL617" t="s">
        <v>89</v>
      </c>
    </row>
    <row r="618" spans="1:90">
      <c r="A618" t="s">
        <v>72</v>
      </c>
      <c r="B618" t="s">
        <v>73</v>
      </c>
      <c r="C618" t="s">
        <v>74</v>
      </c>
      <c r="E618" t="str">
        <f>"FES1162726997"</f>
        <v>FES1162726997</v>
      </c>
      <c r="F618" s="3">
        <v>43804</v>
      </c>
      <c r="G618">
        <v>202006</v>
      </c>
      <c r="H618" t="s">
        <v>75</v>
      </c>
      <c r="I618" t="s">
        <v>76</v>
      </c>
      <c r="J618" t="s">
        <v>77</v>
      </c>
      <c r="K618" t="s">
        <v>78</v>
      </c>
      <c r="L618" t="s">
        <v>79</v>
      </c>
      <c r="M618" t="s">
        <v>80</v>
      </c>
      <c r="N618" t="s">
        <v>1090</v>
      </c>
      <c r="O618" t="s">
        <v>82</v>
      </c>
      <c r="P618" t="str">
        <f>"2170720452                    "</f>
        <v xml:space="preserve">2170720452                    </v>
      </c>
      <c r="Q618">
        <v>0</v>
      </c>
      <c r="R618">
        <v>0</v>
      </c>
      <c r="S618">
        <v>0</v>
      </c>
      <c r="T618">
        <v>0</v>
      </c>
      <c r="U618">
        <v>0</v>
      </c>
      <c r="V618">
        <v>0</v>
      </c>
      <c r="W618">
        <v>0</v>
      </c>
      <c r="X618">
        <v>0</v>
      </c>
      <c r="Y618">
        <v>0</v>
      </c>
      <c r="Z618">
        <v>0</v>
      </c>
      <c r="AA618">
        <v>0</v>
      </c>
      <c r="AB618">
        <v>0</v>
      </c>
      <c r="AC618">
        <v>0</v>
      </c>
      <c r="AD618">
        <v>0</v>
      </c>
      <c r="AE618">
        <v>0</v>
      </c>
      <c r="AF618">
        <v>0</v>
      </c>
      <c r="AG618">
        <v>0</v>
      </c>
      <c r="AH618">
        <v>0</v>
      </c>
      <c r="AI618">
        <v>0</v>
      </c>
      <c r="AJ618">
        <v>0</v>
      </c>
      <c r="AK618">
        <v>0</v>
      </c>
      <c r="AL618">
        <v>0</v>
      </c>
      <c r="AM618">
        <v>8.58</v>
      </c>
      <c r="AN618">
        <v>0</v>
      </c>
      <c r="AO618">
        <v>0</v>
      </c>
      <c r="AP618">
        <v>0</v>
      </c>
      <c r="AQ618">
        <v>0</v>
      </c>
      <c r="AR618">
        <v>0</v>
      </c>
      <c r="AS618">
        <v>0</v>
      </c>
      <c r="AT618">
        <v>0</v>
      </c>
      <c r="AU618">
        <v>0</v>
      </c>
      <c r="AV618">
        <v>0</v>
      </c>
      <c r="AW618">
        <v>0</v>
      </c>
      <c r="AX618">
        <v>0</v>
      </c>
      <c r="AY618">
        <v>0</v>
      </c>
      <c r="AZ618">
        <v>0</v>
      </c>
      <c r="BA618">
        <v>0</v>
      </c>
      <c r="BB618">
        <v>0</v>
      </c>
      <c r="BC618">
        <v>0</v>
      </c>
      <c r="BD618">
        <v>0</v>
      </c>
      <c r="BE618">
        <v>0</v>
      </c>
      <c r="BF618">
        <v>0</v>
      </c>
      <c r="BG618">
        <v>0</v>
      </c>
      <c r="BH618">
        <v>1</v>
      </c>
      <c r="BI618">
        <v>2</v>
      </c>
      <c r="BJ618">
        <v>0.2</v>
      </c>
      <c r="BK618">
        <v>2</v>
      </c>
      <c r="BL618" s="4">
        <v>50.45</v>
      </c>
      <c r="BM618" s="4">
        <v>7.57</v>
      </c>
      <c r="BN618" s="4">
        <v>58.02</v>
      </c>
      <c r="BO618" s="4">
        <v>58.02</v>
      </c>
      <c r="BQ618" t="s">
        <v>147</v>
      </c>
      <c r="BR618" t="s">
        <v>84</v>
      </c>
      <c r="BS618" s="3">
        <v>43805</v>
      </c>
      <c r="BT618" s="5">
        <v>0.39097222222222222</v>
      </c>
      <c r="BU618" t="s">
        <v>1091</v>
      </c>
      <c r="BV618" t="s">
        <v>86</v>
      </c>
      <c r="BY618">
        <v>1200</v>
      </c>
      <c r="CA618" t="s">
        <v>185</v>
      </c>
      <c r="CC618" t="s">
        <v>80</v>
      </c>
      <c r="CD618">
        <v>6012</v>
      </c>
      <c r="CE618" t="s">
        <v>88</v>
      </c>
      <c r="CF618" s="3">
        <v>43808</v>
      </c>
      <c r="CI618">
        <v>1</v>
      </c>
      <c r="CJ618">
        <v>1</v>
      </c>
      <c r="CK618">
        <v>21</v>
      </c>
      <c r="CL618" t="s">
        <v>89</v>
      </c>
    </row>
    <row r="619" spans="1:90">
      <c r="A619" t="s">
        <v>72</v>
      </c>
      <c r="B619" t="s">
        <v>73</v>
      </c>
      <c r="C619" t="s">
        <v>74</v>
      </c>
      <c r="E619" t="str">
        <f>"FES1162727053"</f>
        <v>FES1162727053</v>
      </c>
      <c r="F619" s="3">
        <v>43804</v>
      </c>
      <c r="G619">
        <v>202006</v>
      </c>
      <c r="H619" t="s">
        <v>75</v>
      </c>
      <c r="I619" t="s">
        <v>76</v>
      </c>
      <c r="J619" t="s">
        <v>77</v>
      </c>
      <c r="K619" t="s">
        <v>78</v>
      </c>
      <c r="L619" t="s">
        <v>79</v>
      </c>
      <c r="M619" t="s">
        <v>80</v>
      </c>
      <c r="N619" t="s">
        <v>97</v>
      </c>
      <c r="O619" t="s">
        <v>82</v>
      </c>
      <c r="P619" t="str">
        <f>"2170720526                    "</f>
        <v xml:space="preserve">2170720526                    </v>
      </c>
      <c r="Q619">
        <v>0</v>
      </c>
      <c r="R619">
        <v>0</v>
      </c>
      <c r="S619">
        <v>0</v>
      </c>
      <c r="T619">
        <v>0</v>
      </c>
      <c r="U619">
        <v>0</v>
      </c>
      <c r="V619">
        <v>0</v>
      </c>
      <c r="W619">
        <v>0</v>
      </c>
      <c r="X619">
        <v>0</v>
      </c>
      <c r="Y619">
        <v>0</v>
      </c>
      <c r="Z619">
        <v>0</v>
      </c>
      <c r="AA619">
        <v>0</v>
      </c>
      <c r="AB619">
        <v>0</v>
      </c>
      <c r="AC619">
        <v>0</v>
      </c>
      <c r="AD619">
        <v>0</v>
      </c>
      <c r="AE619">
        <v>0</v>
      </c>
      <c r="AF619">
        <v>0</v>
      </c>
      <c r="AG619">
        <v>0</v>
      </c>
      <c r="AH619">
        <v>0</v>
      </c>
      <c r="AI619">
        <v>0</v>
      </c>
      <c r="AJ619">
        <v>0</v>
      </c>
      <c r="AK619">
        <v>0</v>
      </c>
      <c r="AL619">
        <v>0</v>
      </c>
      <c r="AM619">
        <v>8.58</v>
      </c>
      <c r="AN619">
        <v>0</v>
      </c>
      <c r="AO619">
        <v>0</v>
      </c>
      <c r="AP619">
        <v>0</v>
      </c>
      <c r="AQ619">
        <v>0</v>
      </c>
      <c r="AR619">
        <v>0</v>
      </c>
      <c r="AS619">
        <v>0</v>
      </c>
      <c r="AT619">
        <v>0</v>
      </c>
      <c r="AU619">
        <v>0</v>
      </c>
      <c r="AV619">
        <v>0</v>
      </c>
      <c r="AW619">
        <v>0</v>
      </c>
      <c r="AX619">
        <v>0</v>
      </c>
      <c r="AY619">
        <v>0</v>
      </c>
      <c r="AZ619">
        <v>0</v>
      </c>
      <c r="BA619">
        <v>0</v>
      </c>
      <c r="BB619">
        <v>0</v>
      </c>
      <c r="BC619">
        <v>0</v>
      </c>
      <c r="BD619">
        <v>0</v>
      </c>
      <c r="BE619">
        <v>0</v>
      </c>
      <c r="BF619">
        <v>0</v>
      </c>
      <c r="BG619">
        <v>0</v>
      </c>
      <c r="BH619">
        <v>1</v>
      </c>
      <c r="BI619">
        <v>1</v>
      </c>
      <c r="BJ619">
        <v>0.2</v>
      </c>
      <c r="BK619">
        <v>1</v>
      </c>
      <c r="BL619" s="4">
        <v>50.45</v>
      </c>
      <c r="BM619" s="4">
        <v>7.57</v>
      </c>
      <c r="BN619" s="4">
        <v>58.02</v>
      </c>
      <c r="BO619" s="4">
        <v>58.02</v>
      </c>
      <c r="BQ619" t="s">
        <v>93</v>
      </c>
      <c r="BR619" t="s">
        <v>84</v>
      </c>
      <c r="BS619" s="3">
        <v>43805</v>
      </c>
      <c r="BT619" s="5">
        <v>0.34027777777777773</v>
      </c>
      <c r="BU619" t="s">
        <v>98</v>
      </c>
      <c r="BV619" t="s">
        <v>86</v>
      </c>
      <c r="BY619">
        <v>1200</v>
      </c>
      <c r="CA619" t="s">
        <v>99</v>
      </c>
      <c r="CC619" t="s">
        <v>80</v>
      </c>
      <c r="CD619">
        <v>6001</v>
      </c>
      <c r="CE619" t="s">
        <v>88</v>
      </c>
      <c r="CF619" s="3">
        <v>43808</v>
      </c>
      <c r="CI619">
        <v>1</v>
      </c>
      <c r="CJ619">
        <v>1</v>
      </c>
      <c r="CK619">
        <v>21</v>
      </c>
      <c r="CL619" t="s">
        <v>89</v>
      </c>
    </row>
    <row r="620" spans="1:90">
      <c r="A620" t="s">
        <v>72</v>
      </c>
      <c r="B620" t="s">
        <v>73</v>
      </c>
      <c r="C620" t="s">
        <v>74</v>
      </c>
      <c r="E620" t="str">
        <f>"FES1162726780"</f>
        <v>FES1162726780</v>
      </c>
      <c r="F620" s="3">
        <v>43804</v>
      </c>
      <c r="G620">
        <v>202006</v>
      </c>
      <c r="H620" t="s">
        <v>75</v>
      </c>
      <c r="I620" t="s">
        <v>76</v>
      </c>
      <c r="J620" t="s">
        <v>77</v>
      </c>
      <c r="K620" t="s">
        <v>78</v>
      </c>
      <c r="L620" t="s">
        <v>79</v>
      </c>
      <c r="M620" t="s">
        <v>80</v>
      </c>
      <c r="N620" t="s">
        <v>1092</v>
      </c>
      <c r="O620" t="s">
        <v>82</v>
      </c>
      <c r="P620" t="str">
        <f>"2170720226                    "</f>
        <v xml:space="preserve">2170720226                    </v>
      </c>
      <c r="Q620">
        <v>0</v>
      </c>
      <c r="R620">
        <v>0</v>
      </c>
      <c r="S620">
        <v>0</v>
      </c>
      <c r="T620">
        <v>0</v>
      </c>
      <c r="U620">
        <v>0</v>
      </c>
      <c r="V620">
        <v>0</v>
      </c>
      <c r="W620">
        <v>0</v>
      </c>
      <c r="X620">
        <v>0</v>
      </c>
      <c r="Y620">
        <v>0</v>
      </c>
      <c r="Z620">
        <v>0</v>
      </c>
      <c r="AA620">
        <v>0</v>
      </c>
      <c r="AB620">
        <v>0</v>
      </c>
      <c r="AC620">
        <v>0</v>
      </c>
      <c r="AD620">
        <v>0</v>
      </c>
      <c r="AE620">
        <v>0</v>
      </c>
      <c r="AF620">
        <v>0</v>
      </c>
      <c r="AG620">
        <v>0</v>
      </c>
      <c r="AH620">
        <v>0</v>
      </c>
      <c r="AI620">
        <v>0</v>
      </c>
      <c r="AJ620">
        <v>0</v>
      </c>
      <c r="AK620">
        <v>0</v>
      </c>
      <c r="AL620">
        <v>0</v>
      </c>
      <c r="AM620">
        <v>8.58</v>
      </c>
      <c r="AN620">
        <v>0</v>
      </c>
      <c r="AO620">
        <v>0</v>
      </c>
      <c r="AP620">
        <v>0</v>
      </c>
      <c r="AQ620">
        <v>0</v>
      </c>
      <c r="AR620">
        <v>0</v>
      </c>
      <c r="AS620">
        <v>0</v>
      </c>
      <c r="AT620">
        <v>0</v>
      </c>
      <c r="AU620">
        <v>0</v>
      </c>
      <c r="AV620">
        <v>0</v>
      </c>
      <c r="AW620">
        <v>0</v>
      </c>
      <c r="AX620">
        <v>0</v>
      </c>
      <c r="AY620">
        <v>0</v>
      </c>
      <c r="AZ620">
        <v>0</v>
      </c>
      <c r="BA620">
        <v>0</v>
      </c>
      <c r="BB620">
        <v>0</v>
      </c>
      <c r="BC620">
        <v>0</v>
      </c>
      <c r="BD620">
        <v>0</v>
      </c>
      <c r="BE620">
        <v>0</v>
      </c>
      <c r="BF620">
        <v>0</v>
      </c>
      <c r="BG620">
        <v>0</v>
      </c>
      <c r="BH620">
        <v>1</v>
      </c>
      <c r="BI620">
        <v>1</v>
      </c>
      <c r="BJ620">
        <v>0.2</v>
      </c>
      <c r="BK620">
        <v>1</v>
      </c>
      <c r="BL620" s="4">
        <v>50.45</v>
      </c>
      <c r="BM620" s="4">
        <v>7.57</v>
      </c>
      <c r="BN620" s="4">
        <v>58.02</v>
      </c>
      <c r="BO620" s="4">
        <v>58.02</v>
      </c>
      <c r="BQ620" t="s">
        <v>1093</v>
      </c>
      <c r="BR620" t="s">
        <v>84</v>
      </c>
      <c r="BS620" s="3">
        <v>43805</v>
      </c>
      <c r="BT620" s="5">
        <v>0.36180555555555555</v>
      </c>
      <c r="BU620" t="s">
        <v>1094</v>
      </c>
      <c r="BV620" t="s">
        <v>86</v>
      </c>
      <c r="BY620">
        <v>1200</v>
      </c>
      <c r="CA620" t="s">
        <v>131</v>
      </c>
      <c r="CC620" t="s">
        <v>80</v>
      </c>
      <c r="CD620">
        <v>6001</v>
      </c>
      <c r="CE620" t="s">
        <v>88</v>
      </c>
      <c r="CF620" s="3">
        <v>43808</v>
      </c>
      <c r="CI620">
        <v>1</v>
      </c>
      <c r="CJ620">
        <v>1</v>
      </c>
      <c r="CK620">
        <v>21</v>
      </c>
      <c r="CL620" t="s">
        <v>89</v>
      </c>
    </row>
    <row r="621" spans="1:90">
      <c r="A621" t="s">
        <v>72</v>
      </c>
      <c r="B621" t="s">
        <v>73</v>
      </c>
      <c r="C621" t="s">
        <v>74</v>
      </c>
      <c r="E621" t="str">
        <f>"FES1162726813"</f>
        <v>FES1162726813</v>
      </c>
      <c r="F621" s="3">
        <v>43804</v>
      </c>
      <c r="G621">
        <v>202006</v>
      </c>
      <c r="H621" t="s">
        <v>75</v>
      </c>
      <c r="I621" t="s">
        <v>76</v>
      </c>
      <c r="J621" t="s">
        <v>77</v>
      </c>
      <c r="K621" t="s">
        <v>78</v>
      </c>
      <c r="L621" t="s">
        <v>75</v>
      </c>
      <c r="M621" t="s">
        <v>76</v>
      </c>
      <c r="N621" t="s">
        <v>1095</v>
      </c>
      <c r="O621" t="s">
        <v>82</v>
      </c>
      <c r="P621" t="str">
        <f>"2170720259                    "</f>
        <v xml:space="preserve">2170720259                    </v>
      </c>
      <c r="Q621">
        <v>0</v>
      </c>
      <c r="R621">
        <v>0</v>
      </c>
      <c r="S621">
        <v>0</v>
      </c>
      <c r="T621">
        <v>0</v>
      </c>
      <c r="U621">
        <v>0</v>
      </c>
      <c r="V621">
        <v>0</v>
      </c>
      <c r="W621">
        <v>0</v>
      </c>
      <c r="X621">
        <v>0</v>
      </c>
      <c r="Y621">
        <v>0</v>
      </c>
      <c r="Z621">
        <v>0</v>
      </c>
      <c r="AA621">
        <v>0</v>
      </c>
      <c r="AB621">
        <v>0</v>
      </c>
      <c r="AC621">
        <v>0</v>
      </c>
      <c r="AD621">
        <v>0</v>
      </c>
      <c r="AE621">
        <v>0</v>
      </c>
      <c r="AF621">
        <v>0</v>
      </c>
      <c r="AG621">
        <v>0</v>
      </c>
      <c r="AH621">
        <v>0</v>
      </c>
      <c r="AI621">
        <v>0</v>
      </c>
      <c r="AJ621">
        <v>0</v>
      </c>
      <c r="AK621">
        <v>0</v>
      </c>
      <c r="AL621">
        <v>0</v>
      </c>
      <c r="AM621">
        <v>6.71</v>
      </c>
      <c r="AN621">
        <v>0</v>
      </c>
      <c r="AO621">
        <v>0</v>
      </c>
      <c r="AP621">
        <v>0</v>
      </c>
      <c r="AQ621">
        <v>0</v>
      </c>
      <c r="AR621">
        <v>0</v>
      </c>
      <c r="AS621">
        <v>0</v>
      </c>
      <c r="AT621">
        <v>0</v>
      </c>
      <c r="AU621">
        <v>0</v>
      </c>
      <c r="AV621">
        <v>0</v>
      </c>
      <c r="AW621">
        <v>0</v>
      </c>
      <c r="AX621">
        <v>0</v>
      </c>
      <c r="AY621">
        <v>0</v>
      </c>
      <c r="AZ621">
        <v>0</v>
      </c>
      <c r="BA621">
        <v>0</v>
      </c>
      <c r="BB621">
        <v>0</v>
      </c>
      <c r="BC621">
        <v>0</v>
      </c>
      <c r="BD621">
        <v>0</v>
      </c>
      <c r="BE621">
        <v>0</v>
      </c>
      <c r="BF621">
        <v>0</v>
      </c>
      <c r="BG621">
        <v>0</v>
      </c>
      <c r="BH621">
        <v>1</v>
      </c>
      <c r="BI621">
        <v>1</v>
      </c>
      <c r="BJ621">
        <v>0.2</v>
      </c>
      <c r="BK621">
        <v>1</v>
      </c>
      <c r="BL621" s="4">
        <v>39.42</v>
      </c>
      <c r="BM621" s="4">
        <v>5.91</v>
      </c>
      <c r="BN621" s="4">
        <v>45.33</v>
      </c>
      <c r="BO621" s="4">
        <v>45.33</v>
      </c>
      <c r="BQ621" t="s">
        <v>147</v>
      </c>
      <c r="BR621" t="s">
        <v>84</v>
      </c>
      <c r="BS621" s="3">
        <v>43805</v>
      </c>
      <c r="BT621" s="5">
        <v>0.3263888888888889</v>
      </c>
      <c r="BU621" t="s">
        <v>1096</v>
      </c>
      <c r="BV621" t="s">
        <v>86</v>
      </c>
      <c r="BY621">
        <v>1200</v>
      </c>
      <c r="CC621" t="s">
        <v>76</v>
      </c>
      <c r="CD621">
        <v>1665</v>
      </c>
      <c r="CE621" t="s">
        <v>88</v>
      </c>
      <c r="CF621" s="3">
        <v>43808</v>
      </c>
      <c r="CI621">
        <v>1</v>
      </c>
      <c r="CJ621">
        <v>1</v>
      </c>
      <c r="CK621">
        <v>22</v>
      </c>
      <c r="CL621" t="s">
        <v>89</v>
      </c>
    </row>
    <row r="622" spans="1:90">
      <c r="A622" t="s">
        <v>72</v>
      </c>
      <c r="B622" t="s">
        <v>73</v>
      </c>
      <c r="C622" t="s">
        <v>74</v>
      </c>
      <c r="E622" t="str">
        <f>"FES1162726869"</f>
        <v>FES1162726869</v>
      </c>
      <c r="F622" s="3">
        <v>43804</v>
      </c>
      <c r="G622">
        <v>202006</v>
      </c>
      <c r="H622" t="s">
        <v>75</v>
      </c>
      <c r="I622" t="s">
        <v>76</v>
      </c>
      <c r="J622" t="s">
        <v>77</v>
      </c>
      <c r="K622" t="s">
        <v>78</v>
      </c>
      <c r="L622" t="s">
        <v>75</v>
      </c>
      <c r="M622" t="s">
        <v>76</v>
      </c>
      <c r="N622" t="s">
        <v>312</v>
      </c>
      <c r="O622" t="s">
        <v>82</v>
      </c>
      <c r="P622" t="str">
        <f>"2170719084                    "</f>
        <v xml:space="preserve">2170719084                    </v>
      </c>
      <c r="Q622">
        <v>0</v>
      </c>
      <c r="R622">
        <v>0</v>
      </c>
      <c r="S622">
        <v>0</v>
      </c>
      <c r="T622">
        <v>0</v>
      </c>
      <c r="U622">
        <v>0</v>
      </c>
      <c r="V622">
        <v>0</v>
      </c>
      <c r="W622">
        <v>0</v>
      </c>
      <c r="X622">
        <v>0</v>
      </c>
      <c r="Y622">
        <v>0</v>
      </c>
      <c r="Z622">
        <v>0</v>
      </c>
      <c r="AA622">
        <v>0</v>
      </c>
      <c r="AB622">
        <v>0</v>
      </c>
      <c r="AC622">
        <v>0</v>
      </c>
      <c r="AD622">
        <v>0</v>
      </c>
      <c r="AE622">
        <v>0</v>
      </c>
      <c r="AF622">
        <v>0</v>
      </c>
      <c r="AG622">
        <v>0</v>
      </c>
      <c r="AH622">
        <v>0</v>
      </c>
      <c r="AI622">
        <v>0</v>
      </c>
      <c r="AJ622">
        <v>0</v>
      </c>
      <c r="AK622">
        <v>0</v>
      </c>
      <c r="AL622">
        <v>0</v>
      </c>
      <c r="AM622">
        <v>6.71</v>
      </c>
      <c r="AN622">
        <v>0</v>
      </c>
      <c r="AO622">
        <v>0</v>
      </c>
      <c r="AP622">
        <v>0</v>
      </c>
      <c r="AQ622">
        <v>0</v>
      </c>
      <c r="AR622">
        <v>0</v>
      </c>
      <c r="AS622">
        <v>0</v>
      </c>
      <c r="AT622">
        <v>0</v>
      </c>
      <c r="AU622">
        <v>0</v>
      </c>
      <c r="AV622">
        <v>0</v>
      </c>
      <c r="AW622">
        <v>0</v>
      </c>
      <c r="AX622">
        <v>0</v>
      </c>
      <c r="AY622">
        <v>0</v>
      </c>
      <c r="AZ622">
        <v>0</v>
      </c>
      <c r="BA622">
        <v>0</v>
      </c>
      <c r="BB622">
        <v>0</v>
      </c>
      <c r="BC622">
        <v>0</v>
      </c>
      <c r="BD622">
        <v>0</v>
      </c>
      <c r="BE622">
        <v>0</v>
      </c>
      <c r="BF622">
        <v>0</v>
      </c>
      <c r="BG622">
        <v>0</v>
      </c>
      <c r="BH622">
        <v>1</v>
      </c>
      <c r="BI622">
        <v>1</v>
      </c>
      <c r="BJ622">
        <v>0.2</v>
      </c>
      <c r="BK622">
        <v>1</v>
      </c>
      <c r="BL622" s="4">
        <v>39.42</v>
      </c>
      <c r="BM622" s="4">
        <v>5.91</v>
      </c>
      <c r="BN622" s="4">
        <v>45.33</v>
      </c>
      <c r="BO622" s="4">
        <v>45.33</v>
      </c>
      <c r="BQ622" t="s">
        <v>147</v>
      </c>
      <c r="BR622" t="s">
        <v>84</v>
      </c>
      <c r="BS622" s="3">
        <v>43808</v>
      </c>
      <c r="BT622" s="5">
        <v>0.40625</v>
      </c>
      <c r="BU622" t="s">
        <v>625</v>
      </c>
      <c r="BV622" t="s">
        <v>89</v>
      </c>
      <c r="BW622" t="s">
        <v>149</v>
      </c>
      <c r="BX622" t="s">
        <v>1097</v>
      </c>
      <c r="BY622">
        <v>1200</v>
      </c>
      <c r="CC622" t="s">
        <v>76</v>
      </c>
      <c r="CD622">
        <v>1609</v>
      </c>
      <c r="CE622" t="s">
        <v>88</v>
      </c>
      <c r="CF622" s="3">
        <v>43810</v>
      </c>
      <c r="CI622">
        <v>1</v>
      </c>
      <c r="CJ622">
        <v>2</v>
      </c>
      <c r="CK622">
        <v>22</v>
      </c>
      <c r="CL622" t="s">
        <v>89</v>
      </c>
    </row>
    <row r="623" spans="1:90">
      <c r="A623" t="s">
        <v>72</v>
      </c>
      <c r="B623" t="s">
        <v>73</v>
      </c>
      <c r="C623" t="s">
        <v>74</v>
      </c>
      <c r="E623" t="str">
        <f>"FES1162727050"</f>
        <v>FES1162727050</v>
      </c>
      <c r="F623" s="3">
        <v>43804</v>
      </c>
      <c r="G623">
        <v>202006</v>
      </c>
      <c r="H623" t="s">
        <v>75</v>
      </c>
      <c r="I623" t="s">
        <v>76</v>
      </c>
      <c r="J623" t="s">
        <v>77</v>
      </c>
      <c r="K623" t="s">
        <v>78</v>
      </c>
      <c r="L623" t="s">
        <v>79</v>
      </c>
      <c r="M623" t="s">
        <v>80</v>
      </c>
      <c r="N623" t="s">
        <v>1098</v>
      </c>
      <c r="O623" t="s">
        <v>82</v>
      </c>
      <c r="P623" t="str">
        <f>"2170720523                    "</f>
        <v xml:space="preserve">2170720523                    </v>
      </c>
      <c r="Q623">
        <v>0</v>
      </c>
      <c r="R623">
        <v>0</v>
      </c>
      <c r="S623">
        <v>0</v>
      </c>
      <c r="T623">
        <v>0</v>
      </c>
      <c r="U623">
        <v>0</v>
      </c>
      <c r="V623">
        <v>0</v>
      </c>
      <c r="W623">
        <v>0</v>
      </c>
      <c r="X623">
        <v>0</v>
      </c>
      <c r="Y623">
        <v>0</v>
      </c>
      <c r="Z623">
        <v>0</v>
      </c>
      <c r="AA623">
        <v>0</v>
      </c>
      <c r="AB623">
        <v>0</v>
      </c>
      <c r="AC623">
        <v>0</v>
      </c>
      <c r="AD623">
        <v>0</v>
      </c>
      <c r="AE623">
        <v>0</v>
      </c>
      <c r="AF623">
        <v>0</v>
      </c>
      <c r="AG623">
        <v>0</v>
      </c>
      <c r="AH623">
        <v>0</v>
      </c>
      <c r="AI623">
        <v>0</v>
      </c>
      <c r="AJ623">
        <v>0</v>
      </c>
      <c r="AK623">
        <v>0</v>
      </c>
      <c r="AL623">
        <v>0</v>
      </c>
      <c r="AM623">
        <v>8.58</v>
      </c>
      <c r="AN623">
        <v>0</v>
      </c>
      <c r="AO623">
        <v>0</v>
      </c>
      <c r="AP623">
        <v>0</v>
      </c>
      <c r="AQ623">
        <v>0</v>
      </c>
      <c r="AR623">
        <v>0</v>
      </c>
      <c r="AS623">
        <v>0</v>
      </c>
      <c r="AT623">
        <v>0</v>
      </c>
      <c r="AU623">
        <v>0</v>
      </c>
      <c r="AV623">
        <v>0</v>
      </c>
      <c r="AW623">
        <v>0</v>
      </c>
      <c r="AX623">
        <v>0</v>
      </c>
      <c r="AY623">
        <v>0</v>
      </c>
      <c r="AZ623">
        <v>0</v>
      </c>
      <c r="BA623">
        <v>0</v>
      </c>
      <c r="BB623">
        <v>0</v>
      </c>
      <c r="BC623">
        <v>0</v>
      </c>
      <c r="BD623">
        <v>0</v>
      </c>
      <c r="BE623">
        <v>0</v>
      </c>
      <c r="BF623">
        <v>0</v>
      </c>
      <c r="BG623">
        <v>0</v>
      </c>
      <c r="BH623">
        <v>1</v>
      </c>
      <c r="BI623">
        <v>1</v>
      </c>
      <c r="BJ623">
        <v>0.2</v>
      </c>
      <c r="BK623">
        <v>1</v>
      </c>
      <c r="BL623" s="4">
        <v>50.45</v>
      </c>
      <c r="BM623" s="4">
        <v>7.57</v>
      </c>
      <c r="BN623" s="4">
        <v>58.02</v>
      </c>
      <c r="BO623" s="4">
        <v>58.02</v>
      </c>
      <c r="BQ623" t="s">
        <v>147</v>
      </c>
      <c r="BR623" t="s">
        <v>84</v>
      </c>
      <c r="BS623" s="3">
        <v>43809</v>
      </c>
      <c r="BT623" s="5">
        <v>0.38541666666666669</v>
      </c>
      <c r="BU623" t="s">
        <v>1099</v>
      </c>
      <c r="BV623" t="s">
        <v>89</v>
      </c>
      <c r="BW623" t="s">
        <v>593</v>
      </c>
      <c r="BX623" t="s">
        <v>1100</v>
      </c>
      <c r="BY623">
        <v>1200</v>
      </c>
      <c r="CA623" t="s">
        <v>131</v>
      </c>
      <c r="CC623" t="s">
        <v>80</v>
      </c>
      <c r="CD623">
        <v>6001</v>
      </c>
      <c r="CE623" t="s">
        <v>88</v>
      </c>
      <c r="CF623" s="3">
        <v>43810</v>
      </c>
      <c r="CI623">
        <v>1</v>
      </c>
      <c r="CJ623">
        <v>3</v>
      </c>
      <c r="CK623">
        <v>21</v>
      </c>
      <c r="CL623" t="s">
        <v>89</v>
      </c>
    </row>
    <row r="624" spans="1:90">
      <c r="A624" t="s">
        <v>72</v>
      </c>
      <c r="B624" t="s">
        <v>73</v>
      </c>
      <c r="C624" t="s">
        <v>74</v>
      </c>
      <c r="E624" t="str">
        <f>"FES1162726865"</f>
        <v>FES1162726865</v>
      </c>
      <c r="F624" s="3">
        <v>43804</v>
      </c>
      <c r="G624">
        <v>202006</v>
      </c>
      <c r="H624" t="s">
        <v>75</v>
      </c>
      <c r="I624" t="s">
        <v>76</v>
      </c>
      <c r="J624" t="s">
        <v>77</v>
      </c>
      <c r="K624" t="s">
        <v>78</v>
      </c>
      <c r="L624" t="s">
        <v>79</v>
      </c>
      <c r="M624" t="s">
        <v>80</v>
      </c>
      <c r="N624" t="s">
        <v>129</v>
      </c>
      <c r="O624" t="s">
        <v>82</v>
      </c>
      <c r="P624" t="str">
        <f>"2170720309                    "</f>
        <v xml:space="preserve">2170720309                    </v>
      </c>
      <c r="Q624">
        <v>0</v>
      </c>
      <c r="R624">
        <v>0</v>
      </c>
      <c r="S624">
        <v>0</v>
      </c>
      <c r="T624">
        <v>0</v>
      </c>
      <c r="U624">
        <v>0</v>
      </c>
      <c r="V624">
        <v>0</v>
      </c>
      <c r="W624">
        <v>0</v>
      </c>
      <c r="X624">
        <v>0</v>
      </c>
      <c r="Y624">
        <v>0</v>
      </c>
      <c r="Z624">
        <v>0</v>
      </c>
      <c r="AA624">
        <v>0</v>
      </c>
      <c r="AB624">
        <v>0</v>
      </c>
      <c r="AC624">
        <v>0</v>
      </c>
      <c r="AD624">
        <v>0</v>
      </c>
      <c r="AE624">
        <v>0</v>
      </c>
      <c r="AF624">
        <v>0</v>
      </c>
      <c r="AG624">
        <v>0</v>
      </c>
      <c r="AH624">
        <v>0</v>
      </c>
      <c r="AI624">
        <v>0</v>
      </c>
      <c r="AJ624">
        <v>0</v>
      </c>
      <c r="AK624">
        <v>0</v>
      </c>
      <c r="AL624">
        <v>0</v>
      </c>
      <c r="AM624">
        <v>8.58</v>
      </c>
      <c r="AN624">
        <v>0</v>
      </c>
      <c r="AO624">
        <v>0</v>
      </c>
      <c r="AP624">
        <v>0</v>
      </c>
      <c r="AQ624">
        <v>0</v>
      </c>
      <c r="AR624">
        <v>0</v>
      </c>
      <c r="AS624">
        <v>0</v>
      </c>
      <c r="AT624">
        <v>0</v>
      </c>
      <c r="AU624">
        <v>0</v>
      </c>
      <c r="AV624">
        <v>0</v>
      </c>
      <c r="AW624">
        <v>0</v>
      </c>
      <c r="AX624">
        <v>0</v>
      </c>
      <c r="AY624">
        <v>0</v>
      </c>
      <c r="AZ624">
        <v>0</v>
      </c>
      <c r="BA624">
        <v>0</v>
      </c>
      <c r="BB624">
        <v>0</v>
      </c>
      <c r="BC624">
        <v>0</v>
      </c>
      <c r="BD624">
        <v>0</v>
      </c>
      <c r="BE624">
        <v>0</v>
      </c>
      <c r="BF624">
        <v>0</v>
      </c>
      <c r="BG624">
        <v>0</v>
      </c>
      <c r="BH624">
        <v>1</v>
      </c>
      <c r="BI624">
        <v>1</v>
      </c>
      <c r="BJ624">
        <v>0.2</v>
      </c>
      <c r="BK624">
        <v>1</v>
      </c>
      <c r="BL624" s="4">
        <v>50.45</v>
      </c>
      <c r="BM624" s="4">
        <v>7.57</v>
      </c>
      <c r="BN624" s="4">
        <v>58.02</v>
      </c>
      <c r="BO624" s="4">
        <v>58.02</v>
      </c>
      <c r="BQ624" t="s">
        <v>147</v>
      </c>
      <c r="BR624" t="s">
        <v>84</v>
      </c>
      <c r="BS624" s="3">
        <v>43805</v>
      </c>
      <c r="BT624" s="5">
        <v>0.35833333333333334</v>
      </c>
      <c r="BU624" t="s">
        <v>638</v>
      </c>
      <c r="BV624" t="s">
        <v>86</v>
      </c>
      <c r="BY624">
        <v>1200</v>
      </c>
      <c r="CA624" t="s">
        <v>131</v>
      </c>
      <c r="CC624" t="s">
        <v>80</v>
      </c>
      <c r="CD624">
        <v>6001</v>
      </c>
      <c r="CE624" t="s">
        <v>88</v>
      </c>
      <c r="CF624" s="3">
        <v>43808</v>
      </c>
      <c r="CI624">
        <v>1</v>
      </c>
      <c r="CJ624">
        <v>1</v>
      </c>
      <c r="CK624">
        <v>21</v>
      </c>
      <c r="CL624" t="s">
        <v>89</v>
      </c>
    </row>
    <row r="625" spans="1:90">
      <c r="A625" t="s">
        <v>72</v>
      </c>
      <c r="B625" t="s">
        <v>73</v>
      </c>
      <c r="C625" t="s">
        <v>74</v>
      </c>
      <c r="E625" t="str">
        <f>"FES1162726773"</f>
        <v>FES1162726773</v>
      </c>
      <c r="F625" s="3">
        <v>43804</v>
      </c>
      <c r="G625">
        <v>202006</v>
      </c>
      <c r="H625" t="s">
        <v>75</v>
      </c>
      <c r="I625" t="s">
        <v>76</v>
      </c>
      <c r="J625" t="s">
        <v>77</v>
      </c>
      <c r="K625" t="s">
        <v>78</v>
      </c>
      <c r="L625" t="s">
        <v>79</v>
      </c>
      <c r="M625" t="s">
        <v>80</v>
      </c>
      <c r="N625" t="s">
        <v>388</v>
      </c>
      <c r="O625" t="s">
        <v>82</v>
      </c>
      <c r="P625" t="str">
        <f>"2170720213                    "</f>
        <v xml:space="preserve">2170720213                    </v>
      </c>
      <c r="Q625">
        <v>0</v>
      </c>
      <c r="R625">
        <v>0</v>
      </c>
      <c r="S625">
        <v>0</v>
      </c>
      <c r="T625">
        <v>0</v>
      </c>
      <c r="U625">
        <v>0</v>
      </c>
      <c r="V625">
        <v>0</v>
      </c>
      <c r="W625">
        <v>0</v>
      </c>
      <c r="X625">
        <v>0</v>
      </c>
      <c r="Y625">
        <v>0</v>
      </c>
      <c r="Z625">
        <v>0</v>
      </c>
      <c r="AA625">
        <v>0</v>
      </c>
      <c r="AB625">
        <v>0</v>
      </c>
      <c r="AC625">
        <v>0</v>
      </c>
      <c r="AD625">
        <v>0</v>
      </c>
      <c r="AE625">
        <v>0</v>
      </c>
      <c r="AF625">
        <v>0</v>
      </c>
      <c r="AG625">
        <v>0</v>
      </c>
      <c r="AH625">
        <v>0</v>
      </c>
      <c r="AI625">
        <v>0</v>
      </c>
      <c r="AJ625">
        <v>0</v>
      </c>
      <c r="AK625">
        <v>0</v>
      </c>
      <c r="AL625">
        <v>0</v>
      </c>
      <c r="AM625">
        <v>8.58</v>
      </c>
      <c r="AN625">
        <v>0</v>
      </c>
      <c r="AO625">
        <v>0</v>
      </c>
      <c r="AP625">
        <v>0</v>
      </c>
      <c r="AQ625">
        <v>0</v>
      </c>
      <c r="AR625">
        <v>0</v>
      </c>
      <c r="AS625">
        <v>0</v>
      </c>
      <c r="AT625">
        <v>0</v>
      </c>
      <c r="AU625">
        <v>0</v>
      </c>
      <c r="AV625">
        <v>0</v>
      </c>
      <c r="AW625">
        <v>0</v>
      </c>
      <c r="AX625">
        <v>0</v>
      </c>
      <c r="AY625">
        <v>0</v>
      </c>
      <c r="AZ625">
        <v>0</v>
      </c>
      <c r="BA625">
        <v>0</v>
      </c>
      <c r="BB625">
        <v>0</v>
      </c>
      <c r="BC625">
        <v>0</v>
      </c>
      <c r="BD625">
        <v>0</v>
      </c>
      <c r="BE625">
        <v>0</v>
      </c>
      <c r="BF625">
        <v>0</v>
      </c>
      <c r="BG625">
        <v>0</v>
      </c>
      <c r="BH625">
        <v>1</v>
      </c>
      <c r="BI625">
        <v>0.2</v>
      </c>
      <c r="BJ625">
        <v>1.4</v>
      </c>
      <c r="BK625">
        <v>1.5</v>
      </c>
      <c r="BL625" s="4">
        <v>50.45</v>
      </c>
      <c r="BM625" s="4">
        <v>7.57</v>
      </c>
      <c r="BN625" s="4">
        <v>58.02</v>
      </c>
      <c r="BO625" s="4">
        <v>58.02</v>
      </c>
      <c r="BQ625" t="s">
        <v>147</v>
      </c>
      <c r="BR625" t="s">
        <v>84</v>
      </c>
      <c r="BS625" s="3">
        <v>43805</v>
      </c>
      <c r="BT625" s="5">
        <v>0.3527777777777778</v>
      </c>
      <c r="BU625" t="s">
        <v>1049</v>
      </c>
      <c r="BV625" t="s">
        <v>86</v>
      </c>
      <c r="BY625">
        <v>6777.9</v>
      </c>
      <c r="CA625" t="s">
        <v>131</v>
      </c>
      <c r="CC625" t="s">
        <v>80</v>
      </c>
      <c r="CD625">
        <v>6001</v>
      </c>
      <c r="CE625" t="s">
        <v>88</v>
      </c>
      <c r="CF625" s="3">
        <v>43808</v>
      </c>
      <c r="CI625">
        <v>1</v>
      </c>
      <c r="CJ625">
        <v>1</v>
      </c>
      <c r="CK625">
        <v>21</v>
      </c>
      <c r="CL625" t="s">
        <v>89</v>
      </c>
    </row>
    <row r="626" spans="1:90">
      <c r="A626" t="s">
        <v>72</v>
      </c>
      <c r="B626" t="s">
        <v>73</v>
      </c>
      <c r="C626" t="s">
        <v>74</v>
      </c>
      <c r="E626" t="str">
        <f>"FES1162727029"</f>
        <v>FES1162727029</v>
      </c>
      <c r="F626" s="3">
        <v>43804</v>
      </c>
      <c r="G626">
        <v>202006</v>
      </c>
      <c r="H626" t="s">
        <v>75</v>
      </c>
      <c r="I626" t="s">
        <v>76</v>
      </c>
      <c r="J626" t="s">
        <v>77</v>
      </c>
      <c r="K626" t="s">
        <v>78</v>
      </c>
      <c r="L626" t="s">
        <v>198</v>
      </c>
      <c r="M626" t="s">
        <v>199</v>
      </c>
      <c r="N626" t="s">
        <v>297</v>
      </c>
      <c r="O626" t="s">
        <v>82</v>
      </c>
      <c r="P626" t="str">
        <f>"2170720493                    "</f>
        <v xml:space="preserve">2170720493                    </v>
      </c>
      <c r="Q626">
        <v>0</v>
      </c>
      <c r="R626">
        <v>0</v>
      </c>
      <c r="S626">
        <v>0</v>
      </c>
      <c r="T626">
        <v>0</v>
      </c>
      <c r="U626">
        <v>0</v>
      </c>
      <c r="V626">
        <v>0</v>
      </c>
      <c r="W626">
        <v>0</v>
      </c>
      <c r="X626">
        <v>0</v>
      </c>
      <c r="Y626">
        <v>0</v>
      </c>
      <c r="Z626">
        <v>0</v>
      </c>
      <c r="AA626">
        <v>0</v>
      </c>
      <c r="AB626">
        <v>0</v>
      </c>
      <c r="AC626">
        <v>0</v>
      </c>
      <c r="AD626">
        <v>0</v>
      </c>
      <c r="AE626">
        <v>0</v>
      </c>
      <c r="AF626">
        <v>0</v>
      </c>
      <c r="AG626">
        <v>0</v>
      </c>
      <c r="AH626">
        <v>0</v>
      </c>
      <c r="AI626">
        <v>0</v>
      </c>
      <c r="AJ626">
        <v>0</v>
      </c>
      <c r="AK626">
        <v>0</v>
      </c>
      <c r="AL626">
        <v>0</v>
      </c>
      <c r="AM626">
        <v>8.58</v>
      </c>
      <c r="AN626">
        <v>0</v>
      </c>
      <c r="AO626">
        <v>0</v>
      </c>
      <c r="AP626">
        <v>0</v>
      </c>
      <c r="AQ626">
        <v>0</v>
      </c>
      <c r="AR626">
        <v>0</v>
      </c>
      <c r="AS626">
        <v>0</v>
      </c>
      <c r="AT626">
        <v>0</v>
      </c>
      <c r="AU626">
        <v>0</v>
      </c>
      <c r="AV626">
        <v>0</v>
      </c>
      <c r="AW626">
        <v>0</v>
      </c>
      <c r="AX626">
        <v>0</v>
      </c>
      <c r="AY626">
        <v>0</v>
      </c>
      <c r="AZ626">
        <v>0</v>
      </c>
      <c r="BA626">
        <v>0</v>
      </c>
      <c r="BB626">
        <v>0</v>
      </c>
      <c r="BC626">
        <v>0</v>
      </c>
      <c r="BD626">
        <v>0</v>
      </c>
      <c r="BE626">
        <v>0</v>
      </c>
      <c r="BF626">
        <v>0</v>
      </c>
      <c r="BG626">
        <v>0</v>
      </c>
      <c r="BH626">
        <v>1</v>
      </c>
      <c r="BI626">
        <v>0.6</v>
      </c>
      <c r="BJ626">
        <v>1.6</v>
      </c>
      <c r="BK626">
        <v>2</v>
      </c>
      <c r="BL626" s="4">
        <v>50.45</v>
      </c>
      <c r="BM626" s="4">
        <v>7.57</v>
      </c>
      <c r="BN626" s="4">
        <v>58.02</v>
      </c>
      <c r="BO626" s="4">
        <v>58.02</v>
      </c>
      <c r="BQ626" t="s">
        <v>172</v>
      </c>
      <c r="BR626" t="s">
        <v>84</v>
      </c>
      <c r="BS626" s="3">
        <v>43805</v>
      </c>
      <c r="BT626" s="5">
        <v>0.37708333333333338</v>
      </c>
      <c r="BU626" t="s">
        <v>542</v>
      </c>
      <c r="BV626" t="s">
        <v>86</v>
      </c>
      <c r="BY626">
        <v>8052.3</v>
      </c>
      <c r="CA626" t="s">
        <v>299</v>
      </c>
      <c r="CC626" t="s">
        <v>199</v>
      </c>
      <c r="CD626">
        <v>4000</v>
      </c>
      <c r="CE626" t="s">
        <v>88</v>
      </c>
      <c r="CF626" s="3">
        <v>43808</v>
      </c>
      <c r="CI626">
        <v>1</v>
      </c>
      <c r="CJ626">
        <v>1</v>
      </c>
      <c r="CK626">
        <v>21</v>
      </c>
      <c r="CL626" t="s">
        <v>89</v>
      </c>
    </row>
    <row r="627" spans="1:90">
      <c r="A627" t="s">
        <v>72</v>
      </c>
      <c r="B627" t="s">
        <v>73</v>
      </c>
      <c r="C627" t="s">
        <v>74</v>
      </c>
      <c r="E627" t="str">
        <f>"FES1162727038"</f>
        <v>FES1162727038</v>
      </c>
      <c r="F627" s="3">
        <v>43804</v>
      </c>
      <c r="G627">
        <v>202006</v>
      </c>
      <c r="H627" t="s">
        <v>75</v>
      </c>
      <c r="I627" t="s">
        <v>76</v>
      </c>
      <c r="J627" t="s">
        <v>77</v>
      </c>
      <c r="K627" t="s">
        <v>78</v>
      </c>
      <c r="L627" t="s">
        <v>198</v>
      </c>
      <c r="M627" t="s">
        <v>199</v>
      </c>
      <c r="N627" t="s">
        <v>297</v>
      </c>
      <c r="O627" t="s">
        <v>82</v>
      </c>
      <c r="P627" t="str">
        <f>"2170720502                    "</f>
        <v xml:space="preserve">2170720502                    </v>
      </c>
      <c r="Q627">
        <v>0</v>
      </c>
      <c r="R627">
        <v>0</v>
      </c>
      <c r="S627">
        <v>0</v>
      </c>
      <c r="T627">
        <v>0</v>
      </c>
      <c r="U627">
        <v>0</v>
      </c>
      <c r="V627">
        <v>0</v>
      </c>
      <c r="W627">
        <v>0</v>
      </c>
      <c r="X627">
        <v>0</v>
      </c>
      <c r="Y627">
        <v>0</v>
      </c>
      <c r="Z627">
        <v>0</v>
      </c>
      <c r="AA627">
        <v>0</v>
      </c>
      <c r="AB627">
        <v>0</v>
      </c>
      <c r="AC627">
        <v>0</v>
      </c>
      <c r="AD627">
        <v>0</v>
      </c>
      <c r="AE627">
        <v>0</v>
      </c>
      <c r="AF627">
        <v>0</v>
      </c>
      <c r="AG627">
        <v>0</v>
      </c>
      <c r="AH627">
        <v>0</v>
      </c>
      <c r="AI627">
        <v>0</v>
      </c>
      <c r="AJ627">
        <v>0</v>
      </c>
      <c r="AK627">
        <v>0</v>
      </c>
      <c r="AL627">
        <v>0</v>
      </c>
      <c r="AM627">
        <v>8.58</v>
      </c>
      <c r="AN627">
        <v>0</v>
      </c>
      <c r="AO627">
        <v>0</v>
      </c>
      <c r="AP627">
        <v>0</v>
      </c>
      <c r="AQ627">
        <v>0</v>
      </c>
      <c r="AR627">
        <v>0</v>
      </c>
      <c r="AS627">
        <v>0</v>
      </c>
      <c r="AT627">
        <v>0</v>
      </c>
      <c r="AU627">
        <v>0</v>
      </c>
      <c r="AV627">
        <v>0</v>
      </c>
      <c r="AW627">
        <v>0</v>
      </c>
      <c r="AX627">
        <v>0</v>
      </c>
      <c r="AY627">
        <v>0</v>
      </c>
      <c r="AZ627">
        <v>0</v>
      </c>
      <c r="BA627">
        <v>0</v>
      </c>
      <c r="BB627">
        <v>0</v>
      </c>
      <c r="BC627">
        <v>0</v>
      </c>
      <c r="BD627">
        <v>0</v>
      </c>
      <c r="BE627">
        <v>0</v>
      </c>
      <c r="BF627">
        <v>0</v>
      </c>
      <c r="BG627">
        <v>0</v>
      </c>
      <c r="BH627">
        <v>1</v>
      </c>
      <c r="BI627">
        <v>1</v>
      </c>
      <c r="BJ627">
        <v>0.2</v>
      </c>
      <c r="BK627">
        <v>1</v>
      </c>
      <c r="BL627" s="4">
        <v>50.45</v>
      </c>
      <c r="BM627" s="4">
        <v>7.57</v>
      </c>
      <c r="BN627" s="4">
        <v>58.02</v>
      </c>
      <c r="BO627" s="4">
        <v>58.02</v>
      </c>
      <c r="BQ627" t="s">
        <v>172</v>
      </c>
      <c r="BR627" t="s">
        <v>84</v>
      </c>
      <c r="BS627" s="3">
        <v>43805</v>
      </c>
      <c r="BT627" s="5">
        <v>0.37708333333333338</v>
      </c>
      <c r="BU627" t="s">
        <v>542</v>
      </c>
      <c r="BV627" t="s">
        <v>86</v>
      </c>
      <c r="BY627">
        <v>1200</v>
      </c>
      <c r="CA627" t="s">
        <v>299</v>
      </c>
      <c r="CC627" t="s">
        <v>199</v>
      </c>
      <c r="CD627">
        <v>4000</v>
      </c>
      <c r="CE627" t="s">
        <v>88</v>
      </c>
      <c r="CF627" s="3">
        <v>43808</v>
      </c>
      <c r="CI627">
        <v>1</v>
      </c>
      <c r="CJ627">
        <v>1</v>
      </c>
      <c r="CK627">
        <v>21</v>
      </c>
      <c r="CL627" t="s">
        <v>89</v>
      </c>
    </row>
    <row r="628" spans="1:90">
      <c r="A628" t="s">
        <v>72</v>
      </c>
      <c r="B628" t="s">
        <v>73</v>
      </c>
      <c r="C628" t="s">
        <v>74</v>
      </c>
      <c r="E628" t="str">
        <f>"FES1162726768"</f>
        <v>FES1162726768</v>
      </c>
      <c r="F628" s="3">
        <v>43804</v>
      </c>
      <c r="G628">
        <v>202006</v>
      </c>
      <c r="H628" t="s">
        <v>75</v>
      </c>
      <c r="I628" t="s">
        <v>76</v>
      </c>
      <c r="J628" t="s">
        <v>77</v>
      </c>
      <c r="K628" t="s">
        <v>78</v>
      </c>
      <c r="L628" t="s">
        <v>79</v>
      </c>
      <c r="M628" t="s">
        <v>80</v>
      </c>
      <c r="N628" t="s">
        <v>1101</v>
      </c>
      <c r="O628" t="s">
        <v>82</v>
      </c>
      <c r="P628" t="str">
        <f>"2170720199                    "</f>
        <v xml:space="preserve">2170720199                    </v>
      </c>
      <c r="Q628">
        <v>0</v>
      </c>
      <c r="R628">
        <v>0</v>
      </c>
      <c r="S628">
        <v>0</v>
      </c>
      <c r="T628">
        <v>0</v>
      </c>
      <c r="U628">
        <v>0</v>
      </c>
      <c r="V628">
        <v>0</v>
      </c>
      <c r="W628">
        <v>0</v>
      </c>
      <c r="X628">
        <v>0</v>
      </c>
      <c r="Y628">
        <v>0</v>
      </c>
      <c r="Z628">
        <v>0</v>
      </c>
      <c r="AA628">
        <v>0</v>
      </c>
      <c r="AB628">
        <v>0</v>
      </c>
      <c r="AC628">
        <v>0</v>
      </c>
      <c r="AD628">
        <v>0</v>
      </c>
      <c r="AE628">
        <v>0</v>
      </c>
      <c r="AF628">
        <v>0</v>
      </c>
      <c r="AG628">
        <v>0</v>
      </c>
      <c r="AH628">
        <v>0</v>
      </c>
      <c r="AI628">
        <v>0</v>
      </c>
      <c r="AJ628">
        <v>0</v>
      </c>
      <c r="AK628">
        <v>0</v>
      </c>
      <c r="AL628">
        <v>0</v>
      </c>
      <c r="AM628">
        <v>8.58</v>
      </c>
      <c r="AN628">
        <v>0</v>
      </c>
      <c r="AO628">
        <v>0</v>
      </c>
      <c r="AP628">
        <v>0</v>
      </c>
      <c r="AQ628">
        <v>0</v>
      </c>
      <c r="AR628">
        <v>0</v>
      </c>
      <c r="AS628">
        <v>0</v>
      </c>
      <c r="AT628">
        <v>0</v>
      </c>
      <c r="AU628">
        <v>0</v>
      </c>
      <c r="AV628">
        <v>0</v>
      </c>
      <c r="AW628">
        <v>0</v>
      </c>
      <c r="AX628">
        <v>0</v>
      </c>
      <c r="AY628">
        <v>0</v>
      </c>
      <c r="AZ628">
        <v>0</v>
      </c>
      <c r="BA628">
        <v>0</v>
      </c>
      <c r="BB628">
        <v>0</v>
      </c>
      <c r="BC628">
        <v>0</v>
      </c>
      <c r="BD628">
        <v>0</v>
      </c>
      <c r="BE628">
        <v>0</v>
      </c>
      <c r="BF628">
        <v>0</v>
      </c>
      <c r="BG628">
        <v>0</v>
      </c>
      <c r="BH628">
        <v>1</v>
      </c>
      <c r="BI628">
        <v>1</v>
      </c>
      <c r="BJ628">
        <v>0.2</v>
      </c>
      <c r="BK628">
        <v>1</v>
      </c>
      <c r="BL628" s="4">
        <v>50.45</v>
      </c>
      <c r="BM628" s="4">
        <v>7.57</v>
      </c>
      <c r="BN628" s="4">
        <v>58.02</v>
      </c>
      <c r="BO628" s="4">
        <v>58.02</v>
      </c>
      <c r="BQ628" t="s">
        <v>147</v>
      </c>
      <c r="BR628" t="s">
        <v>84</v>
      </c>
      <c r="BS628" s="3">
        <v>43805</v>
      </c>
      <c r="BT628" s="5">
        <v>0.375</v>
      </c>
      <c r="BU628" t="s">
        <v>1091</v>
      </c>
      <c r="BV628" t="s">
        <v>86</v>
      </c>
      <c r="BY628">
        <v>1200</v>
      </c>
      <c r="CA628" t="s">
        <v>419</v>
      </c>
      <c r="CC628" t="s">
        <v>80</v>
      </c>
      <c r="CD628">
        <v>6001</v>
      </c>
      <c r="CE628" t="s">
        <v>88</v>
      </c>
      <c r="CF628" s="3">
        <v>43808</v>
      </c>
      <c r="CI628">
        <v>1</v>
      </c>
      <c r="CJ628">
        <v>1</v>
      </c>
      <c r="CK628">
        <v>21</v>
      </c>
      <c r="CL628" t="s">
        <v>89</v>
      </c>
    </row>
    <row r="629" spans="1:90">
      <c r="A629" t="s">
        <v>72</v>
      </c>
      <c r="B629" t="s">
        <v>73</v>
      </c>
      <c r="C629" t="s">
        <v>74</v>
      </c>
      <c r="E629" t="str">
        <f>"FES1162726826"</f>
        <v>FES1162726826</v>
      </c>
      <c r="F629" s="3">
        <v>43804</v>
      </c>
      <c r="G629">
        <v>202006</v>
      </c>
      <c r="H629" t="s">
        <v>75</v>
      </c>
      <c r="I629" t="s">
        <v>76</v>
      </c>
      <c r="J629" t="s">
        <v>77</v>
      </c>
      <c r="K629" t="s">
        <v>78</v>
      </c>
      <c r="L629" t="s">
        <v>164</v>
      </c>
      <c r="M629" t="s">
        <v>165</v>
      </c>
      <c r="N629" t="s">
        <v>263</v>
      </c>
      <c r="O629" t="s">
        <v>82</v>
      </c>
      <c r="P629" t="str">
        <f>"2170720271                    "</f>
        <v xml:space="preserve">2170720271                    </v>
      </c>
      <c r="Q629">
        <v>0</v>
      </c>
      <c r="R629">
        <v>0</v>
      </c>
      <c r="S629">
        <v>0</v>
      </c>
      <c r="T629">
        <v>0</v>
      </c>
      <c r="U629">
        <v>0</v>
      </c>
      <c r="V629">
        <v>0</v>
      </c>
      <c r="W629">
        <v>0</v>
      </c>
      <c r="X629">
        <v>0</v>
      </c>
      <c r="Y629">
        <v>0</v>
      </c>
      <c r="Z629">
        <v>0</v>
      </c>
      <c r="AA629">
        <v>0</v>
      </c>
      <c r="AB629">
        <v>0</v>
      </c>
      <c r="AC629">
        <v>0</v>
      </c>
      <c r="AD629">
        <v>0</v>
      </c>
      <c r="AE629">
        <v>0</v>
      </c>
      <c r="AF629">
        <v>0</v>
      </c>
      <c r="AG629">
        <v>0</v>
      </c>
      <c r="AH629">
        <v>0</v>
      </c>
      <c r="AI629">
        <v>0</v>
      </c>
      <c r="AJ629">
        <v>0</v>
      </c>
      <c r="AK629">
        <v>0</v>
      </c>
      <c r="AL629">
        <v>0</v>
      </c>
      <c r="AM629">
        <v>8.58</v>
      </c>
      <c r="AN629">
        <v>0</v>
      </c>
      <c r="AO629">
        <v>0</v>
      </c>
      <c r="AP629">
        <v>0</v>
      </c>
      <c r="AQ629">
        <v>0</v>
      </c>
      <c r="AR629">
        <v>0</v>
      </c>
      <c r="AS629">
        <v>0</v>
      </c>
      <c r="AT629">
        <v>0</v>
      </c>
      <c r="AU629">
        <v>0</v>
      </c>
      <c r="AV629">
        <v>0</v>
      </c>
      <c r="AW629">
        <v>0</v>
      </c>
      <c r="AX629">
        <v>0</v>
      </c>
      <c r="AY629">
        <v>0</v>
      </c>
      <c r="AZ629">
        <v>0</v>
      </c>
      <c r="BA629">
        <v>0</v>
      </c>
      <c r="BB629">
        <v>0</v>
      </c>
      <c r="BC629">
        <v>0</v>
      </c>
      <c r="BD629">
        <v>0</v>
      </c>
      <c r="BE629">
        <v>0</v>
      </c>
      <c r="BF629">
        <v>0</v>
      </c>
      <c r="BG629">
        <v>0</v>
      </c>
      <c r="BH629">
        <v>1</v>
      </c>
      <c r="BI629">
        <v>2</v>
      </c>
      <c r="BJ629">
        <v>0.2</v>
      </c>
      <c r="BK629">
        <v>2</v>
      </c>
      <c r="BL629" s="4">
        <v>50.45</v>
      </c>
      <c r="BM629" s="4">
        <v>7.57</v>
      </c>
      <c r="BN629" s="4">
        <v>58.02</v>
      </c>
      <c r="BO629" s="4">
        <v>58.02</v>
      </c>
      <c r="BQ629" t="s">
        <v>147</v>
      </c>
      <c r="BR629" t="s">
        <v>84</v>
      </c>
      <c r="BS629" s="3">
        <v>43805</v>
      </c>
      <c r="BT629" s="5">
        <v>0.3611111111111111</v>
      </c>
      <c r="BU629" t="s">
        <v>1012</v>
      </c>
      <c r="BV629" t="s">
        <v>86</v>
      </c>
      <c r="BY629">
        <v>1200</v>
      </c>
      <c r="CA629" t="s">
        <v>371</v>
      </c>
      <c r="CC629" t="s">
        <v>165</v>
      </c>
      <c r="CD629">
        <v>5201</v>
      </c>
      <c r="CE629" t="s">
        <v>88</v>
      </c>
      <c r="CF629" s="3">
        <v>43809</v>
      </c>
      <c r="CI629">
        <v>1</v>
      </c>
      <c r="CJ629">
        <v>1</v>
      </c>
      <c r="CK629">
        <v>21</v>
      </c>
      <c r="CL629" t="s">
        <v>89</v>
      </c>
    </row>
    <row r="630" spans="1:90">
      <c r="A630" t="s">
        <v>72</v>
      </c>
      <c r="B630" t="s">
        <v>73</v>
      </c>
      <c r="C630" t="s">
        <v>74</v>
      </c>
      <c r="E630" t="str">
        <f>"009935712110"</f>
        <v>009935712110</v>
      </c>
      <c r="F630" s="3">
        <v>43804</v>
      </c>
      <c r="G630">
        <v>202006</v>
      </c>
      <c r="H630" t="s">
        <v>75</v>
      </c>
      <c r="I630" t="s">
        <v>76</v>
      </c>
      <c r="J630" t="s">
        <v>77</v>
      </c>
      <c r="K630" t="s">
        <v>78</v>
      </c>
      <c r="L630" t="s">
        <v>1102</v>
      </c>
      <c r="M630" t="s">
        <v>1103</v>
      </c>
      <c r="N630" t="s">
        <v>1104</v>
      </c>
      <c r="O630" t="s">
        <v>82</v>
      </c>
      <c r="P630" t="str">
        <f>"TONY                          "</f>
        <v xml:space="preserve">TONY                          </v>
      </c>
      <c r="Q630">
        <v>0</v>
      </c>
      <c r="R630">
        <v>0</v>
      </c>
      <c r="S630">
        <v>0</v>
      </c>
      <c r="T630">
        <v>0</v>
      </c>
      <c r="U630">
        <v>0</v>
      </c>
      <c r="V630">
        <v>0</v>
      </c>
      <c r="W630">
        <v>0</v>
      </c>
      <c r="X630">
        <v>0</v>
      </c>
      <c r="Y630">
        <v>0</v>
      </c>
      <c r="Z630">
        <v>0</v>
      </c>
      <c r="AA630">
        <v>0</v>
      </c>
      <c r="AB630">
        <v>0</v>
      </c>
      <c r="AC630">
        <v>0</v>
      </c>
      <c r="AD630">
        <v>0</v>
      </c>
      <c r="AE630">
        <v>0</v>
      </c>
      <c r="AF630">
        <v>0</v>
      </c>
      <c r="AG630">
        <v>0</v>
      </c>
      <c r="AH630">
        <v>0</v>
      </c>
      <c r="AI630">
        <v>0</v>
      </c>
      <c r="AJ630">
        <v>0</v>
      </c>
      <c r="AK630">
        <v>0</v>
      </c>
      <c r="AL630">
        <v>0</v>
      </c>
      <c r="AM630">
        <v>16.63</v>
      </c>
      <c r="AN630">
        <v>0</v>
      </c>
      <c r="AO630">
        <v>0</v>
      </c>
      <c r="AP630">
        <v>0</v>
      </c>
      <c r="AQ630">
        <v>0</v>
      </c>
      <c r="AR630">
        <v>0</v>
      </c>
      <c r="AS630">
        <v>0</v>
      </c>
      <c r="AT630">
        <v>0</v>
      </c>
      <c r="AU630">
        <v>0</v>
      </c>
      <c r="AV630">
        <v>0</v>
      </c>
      <c r="AW630">
        <v>0</v>
      </c>
      <c r="AX630">
        <v>0</v>
      </c>
      <c r="AY630">
        <v>0</v>
      </c>
      <c r="AZ630">
        <v>0</v>
      </c>
      <c r="BA630">
        <v>0</v>
      </c>
      <c r="BB630">
        <v>0</v>
      </c>
      <c r="BC630">
        <v>0</v>
      </c>
      <c r="BD630">
        <v>0</v>
      </c>
      <c r="BE630">
        <v>0</v>
      </c>
      <c r="BF630">
        <v>0</v>
      </c>
      <c r="BG630">
        <v>0</v>
      </c>
      <c r="BH630">
        <v>1</v>
      </c>
      <c r="BI630">
        <v>1</v>
      </c>
      <c r="BJ630">
        <v>0.2</v>
      </c>
      <c r="BK630">
        <v>1</v>
      </c>
      <c r="BL630" s="4">
        <v>97.75</v>
      </c>
      <c r="BM630" s="4">
        <v>14.66</v>
      </c>
      <c r="BN630" s="4">
        <v>112.41</v>
      </c>
      <c r="BO630" s="4">
        <v>112.41</v>
      </c>
      <c r="BQ630" t="s">
        <v>147</v>
      </c>
      <c r="BR630" t="s">
        <v>84</v>
      </c>
      <c r="BS630" s="3">
        <v>43808</v>
      </c>
      <c r="BT630" s="5">
        <v>0.52361111111111114</v>
      </c>
      <c r="BU630" t="s">
        <v>1105</v>
      </c>
      <c r="BV630" t="s">
        <v>89</v>
      </c>
      <c r="BW630" t="s">
        <v>593</v>
      </c>
      <c r="BX630" t="s">
        <v>1106</v>
      </c>
      <c r="BY630">
        <v>1200</v>
      </c>
      <c r="CC630" t="s">
        <v>1103</v>
      </c>
      <c r="CD630">
        <v>6600</v>
      </c>
      <c r="CE630" t="s">
        <v>88</v>
      </c>
      <c r="CF630" s="3">
        <v>43810</v>
      </c>
      <c r="CI630">
        <v>1</v>
      </c>
      <c r="CJ630">
        <v>2</v>
      </c>
      <c r="CK630">
        <v>23</v>
      </c>
      <c r="CL630" t="s">
        <v>89</v>
      </c>
    </row>
    <row r="631" spans="1:90">
      <c r="A631" t="s">
        <v>72</v>
      </c>
      <c r="B631" t="s">
        <v>73</v>
      </c>
      <c r="C631" t="s">
        <v>74</v>
      </c>
      <c r="E631" t="str">
        <f>"FES1162727055"</f>
        <v>FES1162727055</v>
      </c>
      <c r="F631" s="3">
        <v>43804</v>
      </c>
      <c r="G631">
        <v>202006</v>
      </c>
      <c r="H631" t="s">
        <v>75</v>
      </c>
      <c r="I631" t="s">
        <v>76</v>
      </c>
      <c r="J631" t="s">
        <v>77</v>
      </c>
      <c r="K631" t="s">
        <v>78</v>
      </c>
      <c r="L631" t="s">
        <v>221</v>
      </c>
      <c r="M631" t="s">
        <v>222</v>
      </c>
      <c r="N631" t="s">
        <v>473</v>
      </c>
      <c r="O631" t="s">
        <v>82</v>
      </c>
      <c r="P631" t="str">
        <f>"217071537                     "</f>
        <v xml:space="preserve">217071537                     </v>
      </c>
      <c r="Q631">
        <v>0</v>
      </c>
      <c r="R631">
        <v>0</v>
      </c>
      <c r="S631">
        <v>0</v>
      </c>
      <c r="T631">
        <v>0</v>
      </c>
      <c r="U631">
        <v>0</v>
      </c>
      <c r="V631">
        <v>0</v>
      </c>
      <c r="W631">
        <v>0</v>
      </c>
      <c r="X631">
        <v>0</v>
      </c>
      <c r="Y631">
        <v>0</v>
      </c>
      <c r="Z631">
        <v>0</v>
      </c>
      <c r="AA631">
        <v>0</v>
      </c>
      <c r="AB631">
        <v>0</v>
      </c>
      <c r="AC631">
        <v>0</v>
      </c>
      <c r="AD631">
        <v>0</v>
      </c>
      <c r="AE631">
        <v>0</v>
      </c>
      <c r="AF631">
        <v>0</v>
      </c>
      <c r="AG631">
        <v>0</v>
      </c>
      <c r="AH631">
        <v>0</v>
      </c>
      <c r="AI631">
        <v>0</v>
      </c>
      <c r="AJ631">
        <v>0</v>
      </c>
      <c r="AK631">
        <v>0</v>
      </c>
      <c r="AL631">
        <v>0</v>
      </c>
      <c r="AM631">
        <v>8.58</v>
      </c>
      <c r="AN631">
        <v>0</v>
      </c>
      <c r="AO631">
        <v>0</v>
      </c>
      <c r="AP631">
        <v>0</v>
      </c>
      <c r="AQ631">
        <v>0</v>
      </c>
      <c r="AR631">
        <v>0</v>
      </c>
      <c r="AS631">
        <v>0</v>
      </c>
      <c r="AT631">
        <v>0</v>
      </c>
      <c r="AU631">
        <v>0</v>
      </c>
      <c r="AV631">
        <v>0</v>
      </c>
      <c r="AW631">
        <v>0</v>
      </c>
      <c r="AX631">
        <v>0</v>
      </c>
      <c r="AY631">
        <v>0</v>
      </c>
      <c r="AZ631">
        <v>0</v>
      </c>
      <c r="BA631">
        <v>0</v>
      </c>
      <c r="BB631">
        <v>0</v>
      </c>
      <c r="BC631">
        <v>0</v>
      </c>
      <c r="BD631">
        <v>0</v>
      </c>
      <c r="BE631">
        <v>0</v>
      </c>
      <c r="BF631">
        <v>0</v>
      </c>
      <c r="BG631">
        <v>0</v>
      </c>
      <c r="BH631">
        <v>1</v>
      </c>
      <c r="BI631">
        <v>1.6</v>
      </c>
      <c r="BJ631">
        <v>0.9</v>
      </c>
      <c r="BK631">
        <v>2</v>
      </c>
      <c r="BL631" s="4">
        <v>50.45</v>
      </c>
      <c r="BM631" s="4">
        <v>7.57</v>
      </c>
      <c r="BN631" s="4">
        <v>58.02</v>
      </c>
      <c r="BO631" s="4">
        <v>58.02</v>
      </c>
      <c r="BQ631" t="s">
        <v>147</v>
      </c>
      <c r="BR631" t="s">
        <v>84</v>
      </c>
      <c r="BS631" s="3">
        <v>43805</v>
      </c>
      <c r="BT631" s="5">
        <v>0.39583333333333331</v>
      </c>
      <c r="BU631" t="s">
        <v>1107</v>
      </c>
      <c r="BV631" t="s">
        <v>86</v>
      </c>
      <c r="BY631">
        <v>4653.72</v>
      </c>
      <c r="CA631" t="s">
        <v>1108</v>
      </c>
      <c r="CC631" t="s">
        <v>222</v>
      </c>
      <c r="CD631">
        <v>3201</v>
      </c>
      <c r="CE631" t="s">
        <v>96</v>
      </c>
      <c r="CF631" s="3">
        <v>43808</v>
      </c>
      <c r="CI631">
        <v>1</v>
      </c>
      <c r="CJ631">
        <v>1</v>
      </c>
      <c r="CK631">
        <v>21</v>
      </c>
      <c r="CL631" t="s">
        <v>89</v>
      </c>
    </row>
    <row r="632" spans="1:90">
      <c r="A632" t="s">
        <v>72</v>
      </c>
      <c r="B632" t="s">
        <v>73</v>
      </c>
      <c r="C632" t="s">
        <v>74</v>
      </c>
      <c r="E632" t="str">
        <f>"FES1162727052"</f>
        <v>FES1162727052</v>
      </c>
      <c r="F632" s="3">
        <v>43804</v>
      </c>
      <c r="G632">
        <v>202006</v>
      </c>
      <c r="H632" t="s">
        <v>75</v>
      </c>
      <c r="I632" t="s">
        <v>76</v>
      </c>
      <c r="J632" t="s">
        <v>77</v>
      </c>
      <c r="K632" t="s">
        <v>78</v>
      </c>
      <c r="L632" t="s">
        <v>515</v>
      </c>
      <c r="M632" t="s">
        <v>516</v>
      </c>
      <c r="N632" t="s">
        <v>1109</v>
      </c>
      <c r="O632" t="s">
        <v>82</v>
      </c>
      <c r="P632" t="str">
        <f>"2170720525                    "</f>
        <v xml:space="preserve">2170720525                    </v>
      </c>
      <c r="Q632">
        <v>0</v>
      </c>
      <c r="R632">
        <v>0</v>
      </c>
      <c r="S632">
        <v>0</v>
      </c>
      <c r="T632">
        <v>0</v>
      </c>
      <c r="U632">
        <v>0</v>
      </c>
      <c r="V632">
        <v>0</v>
      </c>
      <c r="W632">
        <v>0</v>
      </c>
      <c r="X632">
        <v>0</v>
      </c>
      <c r="Y632">
        <v>0</v>
      </c>
      <c r="Z632">
        <v>0</v>
      </c>
      <c r="AA632">
        <v>0</v>
      </c>
      <c r="AB632">
        <v>0</v>
      </c>
      <c r="AC632">
        <v>0</v>
      </c>
      <c r="AD632">
        <v>0</v>
      </c>
      <c r="AE632">
        <v>0</v>
      </c>
      <c r="AF632">
        <v>0</v>
      </c>
      <c r="AG632">
        <v>0</v>
      </c>
      <c r="AH632">
        <v>0</v>
      </c>
      <c r="AI632">
        <v>0</v>
      </c>
      <c r="AJ632">
        <v>0</v>
      </c>
      <c r="AK632">
        <v>0</v>
      </c>
      <c r="AL632">
        <v>0</v>
      </c>
      <c r="AM632">
        <v>21.45</v>
      </c>
      <c r="AN632">
        <v>0</v>
      </c>
      <c r="AO632">
        <v>0</v>
      </c>
      <c r="AP632">
        <v>0</v>
      </c>
      <c r="AQ632">
        <v>0</v>
      </c>
      <c r="AR632">
        <v>0</v>
      </c>
      <c r="AS632">
        <v>0</v>
      </c>
      <c r="AT632">
        <v>0</v>
      </c>
      <c r="AU632">
        <v>0</v>
      </c>
      <c r="AV632">
        <v>0</v>
      </c>
      <c r="AW632">
        <v>0</v>
      </c>
      <c r="AX632">
        <v>0</v>
      </c>
      <c r="AY632">
        <v>0</v>
      </c>
      <c r="AZ632">
        <v>0</v>
      </c>
      <c r="BA632">
        <v>0</v>
      </c>
      <c r="BB632">
        <v>0</v>
      </c>
      <c r="BC632">
        <v>0</v>
      </c>
      <c r="BD632">
        <v>0</v>
      </c>
      <c r="BE632">
        <v>0</v>
      </c>
      <c r="BF632">
        <v>0</v>
      </c>
      <c r="BG632">
        <v>0</v>
      </c>
      <c r="BH632">
        <v>1</v>
      </c>
      <c r="BI632">
        <v>2.1</v>
      </c>
      <c r="BJ632">
        <v>4.8</v>
      </c>
      <c r="BK632">
        <v>5</v>
      </c>
      <c r="BL632" s="4">
        <v>126.08</v>
      </c>
      <c r="BM632" s="4">
        <v>18.91</v>
      </c>
      <c r="BN632" s="4">
        <v>144.99</v>
      </c>
      <c r="BO632" s="4">
        <v>144.99</v>
      </c>
      <c r="BQ632" t="s">
        <v>147</v>
      </c>
      <c r="BR632" t="s">
        <v>84</v>
      </c>
      <c r="BS632" s="3">
        <v>43805</v>
      </c>
      <c r="BT632" s="5">
        <v>0.3347222222222222</v>
      </c>
      <c r="BU632" t="s">
        <v>999</v>
      </c>
      <c r="BV632" t="s">
        <v>86</v>
      </c>
      <c r="BY632">
        <v>24065.360000000001</v>
      </c>
      <c r="CA632" t="s">
        <v>212</v>
      </c>
      <c r="CC632" t="s">
        <v>516</v>
      </c>
      <c r="CD632">
        <v>4300</v>
      </c>
      <c r="CE632" t="s">
        <v>96</v>
      </c>
      <c r="CF632" s="3">
        <v>43808</v>
      </c>
      <c r="CI632">
        <v>1</v>
      </c>
      <c r="CJ632">
        <v>1</v>
      </c>
      <c r="CK632">
        <v>21</v>
      </c>
      <c r="CL632" t="s">
        <v>89</v>
      </c>
    </row>
    <row r="633" spans="1:90">
      <c r="A633" t="s">
        <v>72</v>
      </c>
      <c r="B633" t="s">
        <v>73</v>
      </c>
      <c r="C633" t="s">
        <v>74</v>
      </c>
      <c r="E633" t="str">
        <f>"FES1162727100"</f>
        <v>FES1162727100</v>
      </c>
      <c r="F633" s="3">
        <v>43804</v>
      </c>
      <c r="G633">
        <v>202006</v>
      </c>
      <c r="H633" t="s">
        <v>75</v>
      </c>
      <c r="I633" t="s">
        <v>76</v>
      </c>
      <c r="J633" t="s">
        <v>77</v>
      </c>
      <c r="K633" t="s">
        <v>78</v>
      </c>
      <c r="L633" t="s">
        <v>221</v>
      </c>
      <c r="M633" t="s">
        <v>222</v>
      </c>
      <c r="N633" t="s">
        <v>521</v>
      </c>
      <c r="O633" t="s">
        <v>82</v>
      </c>
      <c r="P633" t="str">
        <f>"2170719669                    "</f>
        <v xml:space="preserve">2170719669                    </v>
      </c>
      <c r="Q633">
        <v>0</v>
      </c>
      <c r="R633">
        <v>0</v>
      </c>
      <c r="S633">
        <v>0</v>
      </c>
      <c r="T633">
        <v>0</v>
      </c>
      <c r="U633">
        <v>0</v>
      </c>
      <c r="V633">
        <v>0</v>
      </c>
      <c r="W633">
        <v>0</v>
      </c>
      <c r="X633">
        <v>0</v>
      </c>
      <c r="Y633">
        <v>0</v>
      </c>
      <c r="Z633">
        <v>0</v>
      </c>
      <c r="AA633">
        <v>0</v>
      </c>
      <c r="AB633">
        <v>0</v>
      </c>
      <c r="AC633">
        <v>0</v>
      </c>
      <c r="AD633">
        <v>0</v>
      </c>
      <c r="AE633">
        <v>0</v>
      </c>
      <c r="AF633">
        <v>0</v>
      </c>
      <c r="AG633">
        <v>0</v>
      </c>
      <c r="AH633">
        <v>0</v>
      </c>
      <c r="AI633">
        <v>0</v>
      </c>
      <c r="AJ633">
        <v>0</v>
      </c>
      <c r="AK633">
        <v>0</v>
      </c>
      <c r="AL633">
        <v>0</v>
      </c>
      <c r="AM633">
        <v>15.02</v>
      </c>
      <c r="AN633">
        <v>0</v>
      </c>
      <c r="AO633">
        <v>0</v>
      </c>
      <c r="AP633">
        <v>0</v>
      </c>
      <c r="AQ633">
        <v>0</v>
      </c>
      <c r="AR633">
        <v>0</v>
      </c>
      <c r="AS633">
        <v>0</v>
      </c>
      <c r="AT633">
        <v>0</v>
      </c>
      <c r="AU633">
        <v>0</v>
      </c>
      <c r="AV633">
        <v>0</v>
      </c>
      <c r="AW633">
        <v>0</v>
      </c>
      <c r="AX633">
        <v>0</v>
      </c>
      <c r="AY633">
        <v>0</v>
      </c>
      <c r="AZ633">
        <v>0</v>
      </c>
      <c r="BA633">
        <v>0</v>
      </c>
      <c r="BB633">
        <v>0</v>
      </c>
      <c r="BC633">
        <v>0</v>
      </c>
      <c r="BD633">
        <v>0</v>
      </c>
      <c r="BE633">
        <v>0</v>
      </c>
      <c r="BF633">
        <v>0</v>
      </c>
      <c r="BG633">
        <v>0</v>
      </c>
      <c r="BH633">
        <v>1</v>
      </c>
      <c r="BI633">
        <v>2.6</v>
      </c>
      <c r="BJ633">
        <v>3.4</v>
      </c>
      <c r="BK633">
        <v>3.5</v>
      </c>
      <c r="BL633" s="4">
        <v>88.27</v>
      </c>
      <c r="BM633" s="4">
        <v>13.24</v>
      </c>
      <c r="BN633" s="4">
        <v>101.51</v>
      </c>
      <c r="BO633" s="4">
        <v>101.51</v>
      </c>
      <c r="BQ633" t="s">
        <v>522</v>
      </c>
      <c r="BR633" t="s">
        <v>84</v>
      </c>
      <c r="BS633" s="3">
        <v>43805</v>
      </c>
      <c r="BT633" s="5">
        <v>0.39930555555555558</v>
      </c>
      <c r="BU633" t="s">
        <v>523</v>
      </c>
      <c r="BV633" t="s">
        <v>86</v>
      </c>
      <c r="BY633">
        <v>16750.650000000001</v>
      </c>
      <c r="CA633" t="s">
        <v>225</v>
      </c>
      <c r="CC633" t="s">
        <v>222</v>
      </c>
      <c r="CD633">
        <v>3201</v>
      </c>
      <c r="CE633" t="s">
        <v>96</v>
      </c>
      <c r="CF633" s="3">
        <v>43808</v>
      </c>
      <c r="CI633">
        <v>1</v>
      </c>
      <c r="CJ633">
        <v>1</v>
      </c>
      <c r="CK633">
        <v>21</v>
      </c>
      <c r="CL633" t="s">
        <v>89</v>
      </c>
    </row>
    <row r="634" spans="1:90">
      <c r="A634" t="s">
        <v>72</v>
      </c>
      <c r="B634" t="s">
        <v>73</v>
      </c>
      <c r="C634" t="s">
        <v>74</v>
      </c>
      <c r="E634" t="str">
        <f>"FES1162727044"</f>
        <v>FES1162727044</v>
      </c>
      <c r="F634" s="3">
        <v>43804</v>
      </c>
      <c r="G634">
        <v>202006</v>
      </c>
      <c r="H634" t="s">
        <v>75</v>
      </c>
      <c r="I634" t="s">
        <v>76</v>
      </c>
      <c r="J634" t="s">
        <v>77</v>
      </c>
      <c r="K634" t="s">
        <v>78</v>
      </c>
      <c r="L634" t="s">
        <v>213</v>
      </c>
      <c r="M634" t="s">
        <v>214</v>
      </c>
      <c r="N634" t="s">
        <v>303</v>
      </c>
      <c r="O634" t="s">
        <v>82</v>
      </c>
      <c r="P634" t="str">
        <f>"2170720511                    "</f>
        <v xml:space="preserve">2170720511                    </v>
      </c>
      <c r="Q634">
        <v>0</v>
      </c>
      <c r="R634">
        <v>0</v>
      </c>
      <c r="S634">
        <v>0</v>
      </c>
      <c r="T634">
        <v>0</v>
      </c>
      <c r="U634">
        <v>0</v>
      </c>
      <c r="V634">
        <v>0</v>
      </c>
      <c r="W634">
        <v>0</v>
      </c>
      <c r="X634">
        <v>0</v>
      </c>
      <c r="Y634">
        <v>0</v>
      </c>
      <c r="Z634">
        <v>0</v>
      </c>
      <c r="AA634">
        <v>0</v>
      </c>
      <c r="AB634">
        <v>0</v>
      </c>
      <c r="AC634">
        <v>0</v>
      </c>
      <c r="AD634">
        <v>0</v>
      </c>
      <c r="AE634">
        <v>0</v>
      </c>
      <c r="AF634">
        <v>0</v>
      </c>
      <c r="AG634">
        <v>0</v>
      </c>
      <c r="AH634">
        <v>0</v>
      </c>
      <c r="AI634">
        <v>0</v>
      </c>
      <c r="AJ634">
        <v>0</v>
      </c>
      <c r="AK634">
        <v>0</v>
      </c>
      <c r="AL634">
        <v>0</v>
      </c>
      <c r="AM634">
        <v>8.58</v>
      </c>
      <c r="AN634">
        <v>0</v>
      </c>
      <c r="AO634">
        <v>0</v>
      </c>
      <c r="AP634">
        <v>0</v>
      </c>
      <c r="AQ634">
        <v>0</v>
      </c>
      <c r="AR634">
        <v>0</v>
      </c>
      <c r="AS634">
        <v>0</v>
      </c>
      <c r="AT634">
        <v>0</v>
      </c>
      <c r="AU634">
        <v>0</v>
      </c>
      <c r="AV634">
        <v>0</v>
      </c>
      <c r="AW634">
        <v>0</v>
      </c>
      <c r="AX634">
        <v>0</v>
      </c>
      <c r="AY634">
        <v>0</v>
      </c>
      <c r="AZ634">
        <v>0</v>
      </c>
      <c r="BA634">
        <v>0</v>
      </c>
      <c r="BB634">
        <v>0</v>
      </c>
      <c r="BC634">
        <v>0</v>
      </c>
      <c r="BD634">
        <v>0</v>
      </c>
      <c r="BE634">
        <v>0</v>
      </c>
      <c r="BF634">
        <v>0</v>
      </c>
      <c r="BG634">
        <v>0</v>
      </c>
      <c r="BH634">
        <v>1</v>
      </c>
      <c r="BI634">
        <v>1</v>
      </c>
      <c r="BJ634">
        <v>0.2</v>
      </c>
      <c r="BK634">
        <v>1</v>
      </c>
      <c r="BL634" s="4">
        <v>50.45</v>
      </c>
      <c r="BM634" s="4">
        <v>7.57</v>
      </c>
      <c r="BN634" s="4">
        <v>58.02</v>
      </c>
      <c r="BO634" s="4">
        <v>58.02</v>
      </c>
      <c r="BQ634" t="s">
        <v>147</v>
      </c>
      <c r="BR634" t="s">
        <v>84</v>
      </c>
      <c r="BS634" s="3">
        <v>43805</v>
      </c>
      <c r="BT634" s="5">
        <v>0.3263888888888889</v>
      </c>
      <c r="BU634" t="s">
        <v>1014</v>
      </c>
      <c r="BV634" t="s">
        <v>86</v>
      </c>
      <c r="BY634">
        <v>1200</v>
      </c>
      <c r="CA634" t="s">
        <v>99</v>
      </c>
      <c r="CC634" t="s">
        <v>214</v>
      </c>
      <c r="CD634">
        <v>6230</v>
      </c>
      <c r="CE634" t="s">
        <v>88</v>
      </c>
      <c r="CF634" s="3">
        <v>43808</v>
      </c>
      <c r="CI634">
        <v>1</v>
      </c>
      <c r="CJ634">
        <v>1</v>
      </c>
      <c r="CK634">
        <v>21</v>
      </c>
      <c r="CL634" t="s">
        <v>89</v>
      </c>
    </row>
    <row r="635" spans="1:90">
      <c r="A635" t="s">
        <v>72</v>
      </c>
      <c r="B635" t="s">
        <v>73</v>
      </c>
      <c r="C635" t="s">
        <v>74</v>
      </c>
      <c r="E635" t="str">
        <f>"FES1162727022"</f>
        <v>FES1162727022</v>
      </c>
      <c r="F635" s="3">
        <v>43804</v>
      </c>
      <c r="G635">
        <v>202006</v>
      </c>
      <c r="H635" t="s">
        <v>75</v>
      </c>
      <c r="I635" t="s">
        <v>76</v>
      </c>
      <c r="J635" t="s">
        <v>77</v>
      </c>
      <c r="K635" t="s">
        <v>78</v>
      </c>
      <c r="L635" t="s">
        <v>90</v>
      </c>
      <c r="M635" t="s">
        <v>91</v>
      </c>
      <c r="N635" t="s">
        <v>219</v>
      </c>
      <c r="O635" t="s">
        <v>82</v>
      </c>
      <c r="P635" t="str">
        <f>"21707104982                   "</f>
        <v xml:space="preserve">21707104982                   </v>
      </c>
      <c r="Q635">
        <v>0</v>
      </c>
      <c r="R635">
        <v>0</v>
      </c>
      <c r="S635">
        <v>0</v>
      </c>
      <c r="T635">
        <v>0</v>
      </c>
      <c r="U635">
        <v>0</v>
      </c>
      <c r="V635">
        <v>0</v>
      </c>
      <c r="W635">
        <v>0</v>
      </c>
      <c r="X635">
        <v>0</v>
      </c>
      <c r="Y635">
        <v>0</v>
      </c>
      <c r="Z635">
        <v>0</v>
      </c>
      <c r="AA635">
        <v>0</v>
      </c>
      <c r="AB635">
        <v>0</v>
      </c>
      <c r="AC635">
        <v>0</v>
      </c>
      <c r="AD635">
        <v>0</v>
      </c>
      <c r="AE635">
        <v>0</v>
      </c>
      <c r="AF635">
        <v>0</v>
      </c>
      <c r="AG635">
        <v>0</v>
      </c>
      <c r="AH635">
        <v>0</v>
      </c>
      <c r="AI635">
        <v>0</v>
      </c>
      <c r="AJ635">
        <v>0</v>
      </c>
      <c r="AK635">
        <v>0</v>
      </c>
      <c r="AL635">
        <v>0</v>
      </c>
      <c r="AM635">
        <v>36.46</v>
      </c>
      <c r="AN635">
        <v>0</v>
      </c>
      <c r="AO635">
        <v>0</v>
      </c>
      <c r="AP635">
        <v>0</v>
      </c>
      <c r="AQ635">
        <v>0</v>
      </c>
      <c r="AR635">
        <v>0</v>
      </c>
      <c r="AS635">
        <v>0</v>
      </c>
      <c r="AT635">
        <v>0</v>
      </c>
      <c r="AU635">
        <v>0</v>
      </c>
      <c r="AV635">
        <v>0</v>
      </c>
      <c r="AW635">
        <v>0</v>
      </c>
      <c r="AX635">
        <v>0</v>
      </c>
      <c r="AY635">
        <v>0</v>
      </c>
      <c r="AZ635">
        <v>0</v>
      </c>
      <c r="BA635">
        <v>0</v>
      </c>
      <c r="BB635">
        <v>0</v>
      </c>
      <c r="BC635">
        <v>0</v>
      </c>
      <c r="BD635">
        <v>0</v>
      </c>
      <c r="BE635">
        <v>0</v>
      </c>
      <c r="BF635">
        <v>0</v>
      </c>
      <c r="BG635">
        <v>0</v>
      </c>
      <c r="BH635">
        <v>2</v>
      </c>
      <c r="BI635">
        <v>8.1999999999999993</v>
      </c>
      <c r="BJ635">
        <v>2.6</v>
      </c>
      <c r="BK635">
        <v>8.5</v>
      </c>
      <c r="BL635" s="4">
        <v>214.31</v>
      </c>
      <c r="BM635" s="4">
        <v>32.15</v>
      </c>
      <c r="BN635" s="4">
        <v>246.46</v>
      </c>
      <c r="BO635" s="4">
        <v>246.46</v>
      </c>
      <c r="BQ635" t="s">
        <v>147</v>
      </c>
      <c r="BR635" t="s">
        <v>84</v>
      </c>
      <c r="BS635" s="3">
        <v>43805</v>
      </c>
      <c r="BT635" s="5">
        <v>0.36527777777777781</v>
      </c>
      <c r="BU635" t="s">
        <v>976</v>
      </c>
      <c r="BV635" t="s">
        <v>86</v>
      </c>
      <c r="BY635">
        <v>13009.23</v>
      </c>
      <c r="CA635" t="s">
        <v>112</v>
      </c>
      <c r="CC635" t="s">
        <v>91</v>
      </c>
      <c r="CD635">
        <v>7441</v>
      </c>
      <c r="CE635" t="s">
        <v>122</v>
      </c>
      <c r="CF635" s="3">
        <v>43808</v>
      </c>
      <c r="CI635">
        <v>1</v>
      </c>
      <c r="CJ635">
        <v>1</v>
      </c>
      <c r="CK635">
        <v>21</v>
      </c>
      <c r="CL635" t="s">
        <v>89</v>
      </c>
    </row>
    <row r="636" spans="1:90">
      <c r="A636" t="s">
        <v>72</v>
      </c>
      <c r="B636" t="s">
        <v>73</v>
      </c>
      <c r="C636" t="s">
        <v>74</v>
      </c>
      <c r="E636" t="str">
        <f>"FES1162726738"</f>
        <v>FES1162726738</v>
      </c>
      <c r="F636" s="3">
        <v>43804</v>
      </c>
      <c r="G636">
        <v>202006</v>
      </c>
      <c r="H636" t="s">
        <v>75</v>
      </c>
      <c r="I636" t="s">
        <v>76</v>
      </c>
      <c r="J636" t="s">
        <v>77</v>
      </c>
      <c r="K636" t="s">
        <v>78</v>
      </c>
      <c r="L636" t="s">
        <v>164</v>
      </c>
      <c r="M636" t="s">
        <v>165</v>
      </c>
      <c r="N636" t="s">
        <v>658</v>
      </c>
      <c r="O636" t="s">
        <v>82</v>
      </c>
      <c r="P636" t="str">
        <f>"2170719730                    "</f>
        <v xml:space="preserve">2170719730                    </v>
      </c>
      <c r="Q636">
        <v>0</v>
      </c>
      <c r="R636">
        <v>0</v>
      </c>
      <c r="S636">
        <v>0</v>
      </c>
      <c r="T636">
        <v>0</v>
      </c>
      <c r="U636">
        <v>0</v>
      </c>
      <c r="V636">
        <v>0</v>
      </c>
      <c r="W636">
        <v>0</v>
      </c>
      <c r="X636">
        <v>0</v>
      </c>
      <c r="Y636">
        <v>0</v>
      </c>
      <c r="Z636">
        <v>0</v>
      </c>
      <c r="AA636">
        <v>0</v>
      </c>
      <c r="AB636">
        <v>0</v>
      </c>
      <c r="AC636">
        <v>0</v>
      </c>
      <c r="AD636">
        <v>0</v>
      </c>
      <c r="AE636">
        <v>0</v>
      </c>
      <c r="AF636">
        <v>0</v>
      </c>
      <c r="AG636">
        <v>0</v>
      </c>
      <c r="AH636">
        <v>0</v>
      </c>
      <c r="AI636">
        <v>0</v>
      </c>
      <c r="AJ636">
        <v>0</v>
      </c>
      <c r="AK636">
        <v>0</v>
      </c>
      <c r="AL636">
        <v>0</v>
      </c>
      <c r="AM636">
        <v>8.58</v>
      </c>
      <c r="AN636">
        <v>0</v>
      </c>
      <c r="AO636">
        <v>0</v>
      </c>
      <c r="AP636">
        <v>0</v>
      </c>
      <c r="AQ636">
        <v>0</v>
      </c>
      <c r="AR636">
        <v>0</v>
      </c>
      <c r="AS636">
        <v>0</v>
      </c>
      <c r="AT636">
        <v>0</v>
      </c>
      <c r="AU636">
        <v>0</v>
      </c>
      <c r="AV636">
        <v>0</v>
      </c>
      <c r="AW636">
        <v>0</v>
      </c>
      <c r="AX636">
        <v>0</v>
      </c>
      <c r="AY636">
        <v>0</v>
      </c>
      <c r="AZ636">
        <v>0</v>
      </c>
      <c r="BA636">
        <v>0</v>
      </c>
      <c r="BB636">
        <v>0</v>
      </c>
      <c r="BC636">
        <v>0</v>
      </c>
      <c r="BD636">
        <v>0</v>
      </c>
      <c r="BE636">
        <v>0</v>
      </c>
      <c r="BF636">
        <v>0</v>
      </c>
      <c r="BG636">
        <v>0</v>
      </c>
      <c r="BH636">
        <v>1</v>
      </c>
      <c r="BI636">
        <v>0.9</v>
      </c>
      <c r="BJ636">
        <v>1.5</v>
      </c>
      <c r="BK636">
        <v>1.5</v>
      </c>
      <c r="BL636" s="4">
        <v>50.45</v>
      </c>
      <c r="BM636" s="4">
        <v>7.57</v>
      </c>
      <c r="BN636" s="4">
        <v>58.02</v>
      </c>
      <c r="BO636" s="4">
        <v>58.02</v>
      </c>
      <c r="BR636" t="s">
        <v>84</v>
      </c>
      <c r="BS636" s="3">
        <v>43805</v>
      </c>
      <c r="BT636" s="5">
        <v>0.43402777777777773</v>
      </c>
      <c r="BU636" t="s">
        <v>1110</v>
      </c>
      <c r="BV636" t="s">
        <v>86</v>
      </c>
      <c r="BY636">
        <v>7445.34</v>
      </c>
      <c r="CA636" t="s">
        <v>1030</v>
      </c>
      <c r="CC636" t="s">
        <v>165</v>
      </c>
      <c r="CD636">
        <v>5200</v>
      </c>
      <c r="CE636" t="s">
        <v>116</v>
      </c>
      <c r="CF636" s="3">
        <v>43809</v>
      </c>
      <c r="CI636">
        <v>1</v>
      </c>
      <c r="CJ636">
        <v>1</v>
      </c>
      <c r="CK636">
        <v>21</v>
      </c>
      <c r="CL636" t="s">
        <v>89</v>
      </c>
    </row>
    <row r="637" spans="1:90">
      <c r="A637" t="s">
        <v>72</v>
      </c>
      <c r="B637" t="s">
        <v>73</v>
      </c>
      <c r="C637" t="s">
        <v>74</v>
      </c>
      <c r="E637" t="str">
        <f>"FES1162726950"</f>
        <v>FES1162726950</v>
      </c>
      <c r="F637" s="3">
        <v>43804</v>
      </c>
      <c r="G637">
        <v>202006</v>
      </c>
      <c r="H637" t="s">
        <v>75</v>
      </c>
      <c r="I637" t="s">
        <v>76</v>
      </c>
      <c r="J637" t="s">
        <v>77</v>
      </c>
      <c r="K637" t="s">
        <v>78</v>
      </c>
      <c r="L637" t="s">
        <v>164</v>
      </c>
      <c r="M637" t="s">
        <v>165</v>
      </c>
      <c r="N637" t="s">
        <v>369</v>
      </c>
      <c r="O637" t="s">
        <v>82</v>
      </c>
      <c r="P637" t="str">
        <f>"2170720409                    "</f>
        <v xml:space="preserve">2170720409                    </v>
      </c>
      <c r="Q637">
        <v>0</v>
      </c>
      <c r="R637">
        <v>0</v>
      </c>
      <c r="S637">
        <v>0</v>
      </c>
      <c r="T637">
        <v>0</v>
      </c>
      <c r="U637">
        <v>0</v>
      </c>
      <c r="V637">
        <v>0</v>
      </c>
      <c r="W637">
        <v>0</v>
      </c>
      <c r="X637">
        <v>0</v>
      </c>
      <c r="Y637">
        <v>0</v>
      </c>
      <c r="Z637">
        <v>0</v>
      </c>
      <c r="AA637">
        <v>0</v>
      </c>
      <c r="AB637">
        <v>0</v>
      </c>
      <c r="AC637">
        <v>0</v>
      </c>
      <c r="AD637">
        <v>0</v>
      </c>
      <c r="AE637">
        <v>0</v>
      </c>
      <c r="AF637">
        <v>0</v>
      </c>
      <c r="AG637">
        <v>0</v>
      </c>
      <c r="AH637">
        <v>0</v>
      </c>
      <c r="AI637">
        <v>0</v>
      </c>
      <c r="AJ637">
        <v>0</v>
      </c>
      <c r="AK637">
        <v>0</v>
      </c>
      <c r="AL637">
        <v>0</v>
      </c>
      <c r="AM637">
        <v>8.58</v>
      </c>
      <c r="AN637">
        <v>0</v>
      </c>
      <c r="AO637">
        <v>0</v>
      </c>
      <c r="AP637">
        <v>0</v>
      </c>
      <c r="AQ637">
        <v>0</v>
      </c>
      <c r="AR637">
        <v>0</v>
      </c>
      <c r="AS637">
        <v>0</v>
      </c>
      <c r="AT637">
        <v>0</v>
      </c>
      <c r="AU637">
        <v>0</v>
      </c>
      <c r="AV637">
        <v>0</v>
      </c>
      <c r="AW637">
        <v>0</v>
      </c>
      <c r="AX637">
        <v>0</v>
      </c>
      <c r="AY637">
        <v>0</v>
      </c>
      <c r="AZ637">
        <v>0</v>
      </c>
      <c r="BA637">
        <v>0</v>
      </c>
      <c r="BB637">
        <v>0</v>
      </c>
      <c r="BC637">
        <v>0</v>
      </c>
      <c r="BD637">
        <v>0</v>
      </c>
      <c r="BE637">
        <v>0</v>
      </c>
      <c r="BF637">
        <v>0</v>
      </c>
      <c r="BG637">
        <v>0</v>
      </c>
      <c r="BH637">
        <v>1</v>
      </c>
      <c r="BI637">
        <v>1</v>
      </c>
      <c r="BJ637">
        <v>0.2</v>
      </c>
      <c r="BK637">
        <v>1</v>
      </c>
      <c r="BL637" s="4">
        <v>50.45</v>
      </c>
      <c r="BM637" s="4">
        <v>7.57</v>
      </c>
      <c r="BN637" s="4">
        <v>58.02</v>
      </c>
      <c r="BO637" s="4">
        <v>58.02</v>
      </c>
      <c r="BQ637" t="s">
        <v>93</v>
      </c>
      <c r="BR637" t="s">
        <v>84</v>
      </c>
      <c r="BS637" s="3">
        <v>43805</v>
      </c>
      <c r="BT637" s="5">
        <v>0.36458333333333331</v>
      </c>
      <c r="BU637" t="s">
        <v>1013</v>
      </c>
      <c r="BV637" t="s">
        <v>86</v>
      </c>
      <c r="BY637">
        <v>1200</v>
      </c>
      <c r="CA637" t="s">
        <v>371</v>
      </c>
      <c r="CC637" t="s">
        <v>165</v>
      </c>
      <c r="CD637">
        <v>5201</v>
      </c>
      <c r="CE637" t="s">
        <v>88</v>
      </c>
      <c r="CF637" s="3">
        <v>43809</v>
      </c>
      <c r="CI637">
        <v>1</v>
      </c>
      <c r="CJ637">
        <v>1</v>
      </c>
      <c r="CK637">
        <v>21</v>
      </c>
      <c r="CL637" t="s">
        <v>89</v>
      </c>
    </row>
    <row r="638" spans="1:90">
      <c r="A638" t="s">
        <v>72</v>
      </c>
      <c r="B638" t="s">
        <v>73</v>
      </c>
      <c r="C638" t="s">
        <v>74</v>
      </c>
      <c r="E638" t="str">
        <f>"FES1162726797"</f>
        <v>FES1162726797</v>
      </c>
      <c r="F638" s="3">
        <v>43804</v>
      </c>
      <c r="G638">
        <v>202006</v>
      </c>
      <c r="H638" t="s">
        <v>75</v>
      </c>
      <c r="I638" t="s">
        <v>76</v>
      </c>
      <c r="J638" t="s">
        <v>77</v>
      </c>
      <c r="K638" t="s">
        <v>78</v>
      </c>
      <c r="L638" t="s">
        <v>79</v>
      </c>
      <c r="M638" t="s">
        <v>80</v>
      </c>
      <c r="N638" t="s">
        <v>97</v>
      </c>
      <c r="O638" t="s">
        <v>82</v>
      </c>
      <c r="P638" t="str">
        <f>"2170720241                    "</f>
        <v xml:space="preserve">2170720241                    </v>
      </c>
      <c r="Q638">
        <v>0</v>
      </c>
      <c r="R638">
        <v>0</v>
      </c>
      <c r="S638">
        <v>0</v>
      </c>
      <c r="T638">
        <v>0</v>
      </c>
      <c r="U638">
        <v>0</v>
      </c>
      <c r="V638">
        <v>0</v>
      </c>
      <c r="W638">
        <v>0</v>
      </c>
      <c r="X638">
        <v>0</v>
      </c>
      <c r="Y638">
        <v>0</v>
      </c>
      <c r="Z638">
        <v>0</v>
      </c>
      <c r="AA638">
        <v>0</v>
      </c>
      <c r="AB638">
        <v>0</v>
      </c>
      <c r="AC638">
        <v>0</v>
      </c>
      <c r="AD638">
        <v>0</v>
      </c>
      <c r="AE638">
        <v>0</v>
      </c>
      <c r="AF638">
        <v>0</v>
      </c>
      <c r="AG638">
        <v>0</v>
      </c>
      <c r="AH638">
        <v>0</v>
      </c>
      <c r="AI638">
        <v>0</v>
      </c>
      <c r="AJ638">
        <v>0</v>
      </c>
      <c r="AK638">
        <v>0</v>
      </c>
      <c r="AL638">
        <v>0</v>
      </c>
      <c r="AM638">
        <v>8.58</v>
      </c>
      <c r="AN638">
        <v>0</v>
      </c>
      <c r="AO638">
        <v>0</v>
      </c>
      <c r="AP638">
        <v>0</v>
      </c>
      <c r="AQ638">
        <v>0</v>
      </c>
      <c r="AR638">
        <v>0</v>
      </c>
      <c r="AS638">
        <v>0</v>
      </c>
      <c r="AT638">
        <v>0</v>
      </c>
      <c r="AU638">
        <v>0</v>
      </c>
      <c r="AV638">
        <v>0</v>
      </c>
      <c r="AW638">
        <v>0</v>
      </c>
      <c r="AX638">
        <v>0</v>
      </c>
      <c r="AY638">
        <v>0</v>
      </c>
      <c r="AZ638">
        <v>0</v>
      </c>
      <c r="BA638">
        <v>0</v>
      </c>
      <c r="BB638">
        <v>0</v>
      </c>
      <c r="BC638">
        <v>0</v>
      </c>
      <c r="BD638">
        <v>0</v>
      </c>
      <c r="BE638">
        <v>0</v>
      </c>
      <c r="BF638">
        <v>0</v>
      </c>
      <c r="BG638">
        <v>0</v>
      </c>
      <c r="BH638">
        <v>1</v>
      </c>
      <c r="BI638">
        <v>1</v>
      </c>
      <c r="BJ638">
        <v>0.2</v>
      </c>
      <c r="BK638">
        <v>1</v>
      </c>
      <c r="BL638" s="4">
        <v>50.45</v>
      </c>
      <c r="BM638" s="4">
        <v>7.57</v>
      </c>
      <c r="BN638" s="4">
        <v>58.02</v>
      </c>
      <c r="BO638" s="4">
        <v>58.02</v>
      </c>
      <c r="BQ638" t="s">
        <v>93</v>
      </c>
      <c r="BR638" t="s">
        <v>84</v>
      </c>
      <c r="BS638" s="3">
        <v>43805</v>
      </c>
      <c r="BT638" s="5">
        <v>0.33888888888888885</v>
      </c>
      <c r="BU638" t="s">
        <v>98</v>
      </c>
      <c r="BV638" t="s">
        <v>86</v>
      </c>
      <c r="BY638">
        <v>1200</v>
      </c>
      <c r="CA638" t="s">
        <v>99</v>
      </c>
      <c r="CC638" t="s">
        <v>80</v>
      </c>
      <c r="CD638">
        <v>6001</v>
      </c>
      <c r="CE638" t="s">
        <v>88</v>
      </c>
      <c r="CF638" s="3">
        <v>43808</v>
      </c>
      <c r="CI638">
        <v>1</v>
      </c>
      <c r="CJ638">
        <v>1</v>
      </c>
      <c r="CK638">
        <v>21</v>
      </c>
      <c r="CL638" t="s">
        <v>89</v>
      </c>
    </row>
    <row r="639" spans="1:90">
      <c r="A639" t="s">
        <v>72</v>
      </c>
      <c r="B639" t="s">
        <v>73</v>
      </c>
      <c r="C639" t="s">
        <v>74</v>
      </c>
      <c r="E639" t="str">
        <f>"FES1162726854"</f>
        <v>FES1162726854</v>
      </c>
      <c r="F639" s="3">
        <v>43804</v>
      </c>
      <c r="G639">
        <v>202006</v>
      </c>
      <c r="H639" t="s">
        <v>75</v>
      </c>
      <c r="I639" t="s">
        <v>76</v>
      </c>
      <c r="J639" t="s">
        <v>77</v>
      </c>
      <c r="K639" t="s">
        <v>78</v>
      </c>
      <c r="L639" t="s">
        <v>79</v>
      </c>
      <c r="M639" t="s">
        <v>80</v>
      </c>
      <c r="N639" t="s">
        <v>97</v>
      </c>
      <c r="O639" t="s">
        <v>82</v>
      </c>
      <c r="P639" t="str">
        <f>"2170715710                    "</f>
        <v xml:space="preserve">2170715710                    </v>
      </c>
      <c r="Q639">
        <v>0</v>
      </c>
      <c r="R639">
        <v>0</v>
      </c>
      <c r="S639">
        <v>0</v>
      </c>
      <c r="T639">
        <v>0</v>
      </c>
      <c r="U639">
        <v>0</v>
      </c>
      <c r="V639">
        <v>0</v>
      </c>
      <c r="W639">
        <v>0</v>
      </c>
      <c r="X639">
        <v>0</v>
      </c>
      <c r="Y639">
        <v>0</v>
      </c>
      <c r="Z639">
        <v>0</v>
      </c>
      <c r="AA639">
        <v>0</v>
      </c>
      <c r="AB639">
        <v>0</v>
      </c>
      <c r="AC639">
        <v>0</v>
      </c>
      <c r="AD639">
        <v>0</v>
      </c>
      <c r="AE639">
        <v>0</v>
      </c>
      <c r="AF639">
        <v>0</v>
      </c>
      <c r="AG639">
        <v>0</v>
      </c>
      <c r="AH639">
        <v>0</v>
      </c>
      <c r="AI639">
        <v>0</v>
      </c>
      <c r="AJ639">
        <v>0</v>
      </c>
      <c r="AK639">
        <v>0</v>
      </c>
      <c r="AL639">
        <v>0</v>
      </c>
      <c r="AM639">
        <v>8.58</v>
      </c>
      <c r="AN639">
        <v>0</v>
      </c>
      <c r="AO639">
        <v>0</v>
      </c>
      <c r="AP639">
        <v>0</v>
      </c>
      <c r="AQ639">
        <v>0</v>
      </c>
      <c r="AR639">
        <v>0</v>
      </c>
      <c r="AS639">
        <v>0</v>
      </c>
      <c r="AT639">
        <v>0</v>
      </c>
      <c r="AU639">
        <v>0</v>
      </c>
      <c r="AV639">
        <v>0</v>
      </c>
      <c r="AW639">
        <v>0</v>
      </c>
      <c r="AX639">
        <v>0</v>
      </c>
      <c r="AY639">
        <v>0</v>
      </c>
      <c r="AZ639">
        <v>0</v>
      </c>
      <c r="BA639">
        <v>0</v>
      </c>
      <c r="BB639">
        <v>0</v>
      </c>
      <c r="BC639">
        <v>0</v>
      </c>
      <c r="BD639">
        <v>0</v>
      </c>
      <c r="BE639">
        <v>0</v>
      </c>
      <c r="BF639">
        <v>0</v>
      </c>
      <c r="BG639">
        <v>0</v>
      </c>
      <c r="BH639">
        <v>1</v>
      </c>
      <c r="BI639">
        <v>1.4</v>
      </c>
      <c r="BJ639">
        <v>0.9</v>
      </c>
      <c r="BK639">
        <v>1.5</v>
      </c>
      <c r="BL639" s="4">
        <v>50.45</v>
      </c>
      <c r="BM639" s="4">
        <v>7.57</v>
      </c>
      <c r="BN639" s="4">
        <v>58.02</v>
      </c>
      <c r="BO639" s="4">
        <v>58.02</v>
      </c>
      <c r="BQ639" t="s">
        <v>93</v>
      </c>
      <c r="BR639" t="s">
        <v>84</v>
      </c>
      <c r="BS639" s="3">
        <v>43805</v>
      </c>
      <c r="BT639" s="5">
        <v>0.34166666666666662</v>
      </c>
      <c r="BU639" t="s">
        <v>1111</v>
      </c>
      <c r="BV639" t="s">
        <v>86</v>
      </c>
      <c r="BY639">
        <v>4286.3999999999996</v>
      </c>
      <c r="CA639" t="s">
        <v>99</v>
      </c>
      <c r="CC639" t="s">
        <v>80</v>
      </c>
      <c r="CD639">
        <v>6001</v>
      </c>
      <c r="CE639" t="s">
        <v>116</v>
      </c>
      <c r="CF639" s="3">
        <v>43808</v>
      </c>
      <c r="CI639">
        <v>1</v>
      </c>
      <c r="CJ639">
        <v>1</v>
      </c>
      <c r="CK639">
        <v>21</v>
      </c>
      <c r="CL639" t="s">
        <v>89</v>
      </c>
    </row>
    <row r="640" spans="1:90">
      <c r="A640" t="s">
        <v>72</v>
      </c>
      <c r="B640" t="s">
        <v>73</v>
      </c>
      <c r="C640" t="s">
        <v>74</v>
      </c>
      <c r="E640" t="str">
        <f>"FES1162726645"</f>
        <v>FES1162726645</v>
      </c>
      <c r="F640" s="3">
        <v>43804</v>
      </c>
      <c r="G640">
        <v>202006</v>
      </c>
      <c r="H640" t="s">
        <v>75</v>
      </c>
      <c r="I640" t="s">
        <v>76</v>
      </c>
      <c r="J640" t="s">
        <v>77</v>
      </c>
      <c r="K640" t="s">
        <v>78</v>
      </c>
      <c r="L640" t="s">
        <v>164</v>
      </c>
      <c r="M640" t="s">
        <v>165</v>
      </c>
      <c r="N640" t="s">
        <v>658</v>
      </c>
      <c r="O640" t="s">
        <v>82</v>
      </c>
      <c r="P640" t="str">
        <f>"217020126                     "</f>
        <v xml:space="preserve">217020126                     </v>
      </c>
      <c r="Q640">
        <v>0</v>
      </c>
      <c r="R640">
        <v>0</v>
      </c>
      <c r="S640">
        <v>0</v>
      </c>
      <c r="T640">
        <v>0</v>
      </c>
      <c r="U640">
        <v>0</v>
      </c>
      <c r="V640">
        <v>0</v>
      </c>
      <c r="W640">
        <v>0</v>
      </c>
      <c r="X640">
        <v>0</v>
      </c>
      <c r="Y640">
        <v>0</v>
      </c>
      <c r="Z640">
        <v>0</v>
      </c>
      <c r="AA640">
        <v>0</v>
      </c>
      <c r="AB640">
        <v>0</v>
      </c>
      <c r="AC640">
        <v>0</v>
      </c>
      <c r="AD640">
        <v>0</v>
      </c>
      <c r="AE640">
        <v>0</v>
      </c>
      <c r="AF640">
        <v>0</v>
      </c>
      <c r="AG640">
        <v>0</v>
      </c>
      <c r="AH640">
        <v>0</v>
      </c>
      <c r="AI640">
        <v>0</v>
      </c>
      <c r="AJ640">
        <v>0</v>
      </c>
      <c r="AK640">
        <v>0</v>
      </c>
      <c r="AL640">
        <v>0</v>
      </c>
      <c r="AM640">
        <v>8.58</v>
      </c>
      <c r="AN640">
        <v>0</v>
      </c>
      <c r="AO640">
        <v>0</v>
      </c>
      <c r="AP640">
        <v>0</v>
      </c>
      <c r="AQ640">
        <v>0</v>
      </c>
      <c r="AR640">
        <v>0</v>
      </c>
      <c r="AS640">
        <v>0</v>
      </c>
      <c r="AT640">
        <v>0</v>
      </c>
      <c r="AU640">
        <v>0</v>
      </c>
      <c r="AV640">
        <v>0</v>
      </c>
      <c r="AW640">
        <v>0</v>
      </c>
      <c r="AX640">
        <v>0</v>
      </c>
      <c r="AY640">
        <v>0</v>
      </c>
      <c r="AZ640">
        <v>0</v>
      </c>
      <c r="BA640">
        <v>0</v>
      </c>
      <c r="BB640">
        <v>0</v>
      </c>
      <c r="BC640">
        <v>0</v>
      </c>
      <c r="BD640">
        <v>0</v>
      </c>
      <c r="BE640">
        <v>0</v>
      </c>
      <c r="BF640">
        <v>0</v>
      </c>
      <c r="BG640">
        <v>0</v>
      </c>
      <c r="BH640">
        <v>1</v>
      </c>
      <c r="BI640">
        <v>1.9</v>
      </c>
      <c r="BJ640">
        <v>1.7</v>
      </c>
      <c r="BK640">
        <v>2</v>
      </c>
      <c r="BL640" s="4">
        <v>50.45</v>
      </c>
      <c r="BM640" s="4">
        <v>7.57</v>
      </c>
      <c r="BN640" s="4">
        <v>58.02</v>
      </c>
      <c r="BO640" s="4">
        <v>58.02</v>
      </c>
      <c r="BR640" t="s">
        <v>84</v>
      </c>
      <c r="BS640" s="3">
        <v>43805</v>
      </c>
      <c r="BT640" s="5">
        <v>0.42708333333333331</v>
      </c>
      <c r="BU640" t="s">
        <v>1029</v>
      </c>
      <c r="BV640" t="s">
        <v>86</v>
      </c>
      <c r="BY640">
        <v>8337.6</v>
      </c>
      <c r="CA640" t="s">
        <v>1030</v>
      </c>
      <c r="CC640" t="s">
        <v>165</v>
      </c>
      <c r="CD640">
        <v>5200</v>
      </c>
      <c r="CE640" t="s">
        <v>96</v>
      </c>
      <c r="CF640" s="3">
        <v>43809</v>
      </c>
      <c r="CI640">
        <v>1</v>
      </c>
      <c r="CJ640">
        <v>1</v>
      </c>
      <c r="CK640">
        <v>21</v>
      </c>
      <c r="CL640" t="s">
        <v>89</v>
      </c>
    </row>
    <row r="641" spans="1:90">
      <c r="A641" t="s">
        <v>72</v>
      </c>
      <c r="B641" t="s">
        <v>73</v>
      </c>
      <c r="C641" t="s">
        <v>74</v>
      </c>
      <c r="E641" t="str">
        <f>"FES1162727065"</f>
        <v>FES1162727065</v>
      </c>
      <c r="F641" s="3">
        <v>43804</v>
      </c>
      <c r="G641">
        <v>202006</v>
      </c>
      <c r="H641" t="s">
        <v>75</v>
      </c>
      <c r="I641" t="s">
        <v>76</v>
      </c>
      <c r="J641" t="s">
        <v>77</v>
      </c>
      <c r="K641" t="s">
        <v>78</v>
      </c>
      <c r="L641" t="s">
        <v>164</v>
      </c>
      <c r="M641" t="s">
        <v>165</v>
      </c>
      <c r="N641" t="s">
        <v>369</v>
      </c>
      <c r="O641" t="s">
        <v>82</v>
      </c>
      <c r="P641" t="str">
        <f>"2170719807                    "</f>
        <v xml:space="preserve">2170719807                    </v>
      </c>
      <c r="Q641">
        <v>0</v>
      </c>
      <c r="R641">
        <v>0</v>
      </c>
      <c r="S641">
        <v>0</v>
      </c>
      <c r="T641">
        <v>0</v>
      </c>
      <c r="U641">
        <v>0</v>
      </c>
      <c r="V641">
        <v>0</v>
      </c>
      <c r="W641">
        <v>0</v>
      </c>
      <c r="X641">
        <v>0</v>
      </c>
      <c r="Y641">
        <v>0</v>
      </c>
      <c r="Z641">
        <v>0</v>
      </c>
      <c r="AA641">
        <v>0</v>
      </c>
      <c r="AB641">
        <v>0</v>
      </c>
      <c r="AC641">
        <v>0</v>
      </c>
      <c r="AD641">
        <v>0</v>
      </c>
      <c r="AE641">
        <v>0</v>
      </c>
      <c r="AF641">
        <v>0</v>
      </c>
      <c r="AG641">
        <v>0</v>
      </c>
      <c r="AH641">
        <v>0</v>
      </c>
      <c r="AI641">
        <v>0</v>
      </c>
      <c r="AJ641">
        <v>0</v>
      </c>
      <c r="AK641">
        <v>0</v>
      </c>
      <c r="AL641">
        <v>0</v>
      </c>
      <c r="AM641">
        <v>17.16</v>
      </c>
      <c r="AN641">
        <v>0</v>
      </c>
      <c r="AO641">
        <v>0</v>
      </c>
      <c r="AP641">
        <v>0</v>
      </c>
      <c r="AQ641">
        <v>0</v>
      </c>
      <c r="AR641">
        <v>0</v>
      </c>
      <c r="AS641">
        <v>0</v>
      </c>
      <c r="AT641">
        <v>0</v>
      </c>
      <c r="AU641">
        <v>0</v>
      </c>
      <c r="AV641">
        <v>0</v>
      </c>
      <c r="AW641">
        <v>0</v>
      </c>
      <c r="AX641">
        <v>0</v>
      </c>
      <c r="AY641">
        <v>0</v>
      </c>
      <c r="AZ641">
        <v>0</v>
      </c>
      <c r="BA641">
        <v>0</v>
      </c>
      <c r="BB641">
        <v>0</v>
      </c>
      <c r="BC641">
        <v>0</v>
      </c>
      <c r="BD641">
        <v>0</v>
      </c>
      <c r="BE641">
        <v>0</v>
      </c>
      <c r="BF641">
        <v>0</v>
      </c>
      <c r="BG641">
        <v>0</v>
      </c>
      <c r="BH641">
        <v>1</v>
      </c>
      <c r="BI641">
        <v>3.8</v>
      </c>
      <c r="BJ641">
        <v>3</v>
      </c>
      <c r="BK641">
        <v>4</v>
      </c>
      <c r="BL641" s="4">
        <v>100.87</v>
      </c>
      <c r="BM641" s="4">
        <v>15.13</v>
      </c>
      <c r="BN641" s="4">
        <v>116</v>
      </c>
      <c r="BO641" s="4">
        <v>116</v>
      </c>
      <c r="BQ641" t="s">
        <v>93</v>
      </c>
      <c r="BR641" t="s">
        <v>84</v>
      </c>
      <c r="BS641" s="3">
        <v>43805</v>
      </c>
      <c r="BT641" s="5">
        <v>0.36458333333333331</v>
      </c>
      <c r="BU641" t="s">
        <v>1013</v>
      </c>
      <c r="BV641" t="s">
        <v>86</v>
      </c>
      <c r="BY641">
        <v>15224.28</v>
      </c>
      <c r="CA641" t="s">
        <v>371</v>
      </c>
      <c r="CC641" t="s">
        <v>165</v>
      </c>
      <c r="CD641">
        <v>5201</v>
      </c>
      <c r="CE641" t="s">
        <v>116</v>
      </c>
      <c r="CF641" s="3">
        <v>43809</v>
      </c>
      <c r="CI641">
        <v>1</v>
      </c>
      <c r="CJ641">
        <v>1</v>
      </c>
      <c r="CK641">
        <v>21</v>
      </c>
      <c r="CL641" t="s">
        <v>89</v>
      </c>
    </row>
    <row r="642" spans="1:90">
      <c r="A642" t="s">
        <v>72</v>
      </c>
      <c r="B642" t="s">
        <v>73</v>
      </c>
      <c r="C642" t="s">
        <v>74</v>
      </c>
      <c r="E642" t="str">
        <f>"FES1162726776"</f>
        <v>FES1162726776</v>
      </c>
      <c r="F642" s="3">
        <v>43804</v>
      </c>
      <c r="G642">
        <v>202006</v>
      </c>
      <c r="H642" t="s">
        <v>75</v>
      </c>
      <c r="I642" t="s">
        <v>76</v>
      </c>
      <c r="J642" t="s">
        <v>77</v>
      </c>
      <c r="K642" t="s">
        <v>78</v>
      </c>
      <c r="L642" t="s">
        <v>79</v>
      </c>
      <c r="M642" t="s">
        <v>80</v>
      </c>
      <c r="N642" t="s">
        <v>1112</v>
      </c>
      <c r="O642" t="s">
        <v>82</v>
      </c>
      <c r="P642" t="str">
        <f>"2170720220                    "</f>
        <v xml:space="preserve">2170720220                    </v>
      </c>
      <c r="Q642">
        <v>0</v>
      </c>
      <c r="R642">
        <v>0</v>
      </c>
      <c r="S642">
        <v>0</v>
      </c>
      <c r="T642">
        <v>0</v>
      </c>
      <c r="U642">
        <v>0</v>
      </c>
      <c r="V642">
        <v>0</v>
      </c>
      <c r="W642">
        <v>0</v>
      </c>
      <c r="X642">
        <v>0</v>
      </c>
      <c r="Y642">
        <v>0</v>
      </c>
      <c r="Z642">
        <v>0</v>
      </c>
      <c r="AA642">
        <v>0</v>
      </c>
      <c r="AB642">
        <v>0</v>
      </c>
      <c r="AC642">
        <v>0</v>
      </c>
      <c r="AD642">
        <v>0</v>
      </c>
      <c r="AE642">
        <v>0</v>
      </c>
      <c r="AF642">
        <v>0</v>
      </c>
      <c r="AG642">
        <v>0</v>
      </c>
      <c r="AH642">
        <v>0</v>
      </c>
      <c r="AI642">
        <v>0</v>
      </c>
      <c r="AJ642">
        <v>0</v>
      </c>
      <c r="AK642">
        <v>0</v>
      </c>
      <c r="AL642">
        <v>0</v>
      </c>
      <c r="AM642">
        <v>12.87</v>
      </c>
      <c r="AN642">
        <v>0</v>
      </c>
      <c r="AO642">
        <v>0</v>
      </c>
      <c r="AP642">
        <v>0</v>
      </c>
      <c r="AQ642">
        <v>0</v>
      </c>
      <c r="AR642">
        <v>0</v>
      </c>
      <c r="AS642">
        <v>0</v>
      </c>
      <c r="AT642">
        <v>0</v>
      </c>
      <c r="AU642">
        <v>0</v>
      </c>
      <c r="AV642">
        <v>0</v>
      </c>
      <c r="AW642">
        <v>0</v>
      </c>
      <c r="AX642">
        <v>0</v>
      </c>
      <c r="AY642">
        <v>0</v>
      </c>
      <c r="AZ642">
        <v>0</v>
      </c>
      <c r="BA642">
        <v>0</v>
      </c>
      <c r="BB642">
        <v>0</v>
      </c>
      <c r="BC642">
        <v>0</v>
      </c>
      <c r="BD642">
        <v>0</v>
      </c>
      <c r="BE642">
        <v>0</v>
      </c>
      <c r="BF642">
        <v>0</v>
      </c>
      <c r="BG642">
        <v>0</v>
      </c>
      <c r="BH642">
        <v>1</v>
      </c>
      <c r="BI642">
        <v>2.6</v>
      </c>
      <c r="BJ642">
        <v>1.8</v>
      </c>
      <c r="BK642">
        <v>3</v>
      </c>
      <c r="BL642" s="4">
        <v>75.66</v>
      </c>
      <c r="BM642" s="4">
        <v>11.35</v>
      </c>
      <c r="BN642" s="4">
        <v>87.01</v>
      </c>
      <c r="BO642" s="4">
        <v>87.01</v>
      </c>
      <c r="BQ642" t="s">
        <v>147</v>
      </c>
      <c r="BR642" t="s">
        <v>84</v>
      </c>
      <c r="BS642" s="3">
        <v>43805</v>
      </c>
      <c r="BT642" s="5">
        <v>0.37152777777777773</v>
      </c>
      <c r="BU642" t="s">
        <v>1113</v>
      </c>
      <c r="BV642" t="s">
        <v>86</v>
      </c>
      <c r="BY642">
        <v>8925.15</v>
      </c>
      <c r="CA642" t="s">
        <v>419</v>
      </c>
      <c r="CC642" t="s">
        <v>80</v>
      </c>
      <c r="CD642">
        <v>6001</v>
      </c>
      <c r="CE642" t="s">
        <v>96</v>
      </c>
      <c r="CF642" s="3">
        <v>43808</v>
      </c>
      <c r="CI642">
        <v>1</v>
      </c>
      <c r="CJ642">
        <v>1</v>
      </c>
      <c r="CK642">
        <v>21</v>
      </c>
      <c r="CL642" t="s">
        <v>89</v>
      </c>
    </row>
    <row r="643" spans="1:90">
      <c r="A643" t="s">
        <v>72</v>
      </c>
      <c r="B643" t="s">
        <v>73</v>
      </c>
      <c r="C643" t="s">
        <v>74</v>
      </c>
      <c r="E643" t="str">
        <f>"FES1162726919"</f>
        <v>FES1162726919</v>
      </c>
      <c r="F643" s="3">
        <v>43804</v>
      </c>
      <c r="G643">
        <v>202006</v>
      </c>
      <c r="H643" t="s">
        <v>75</v>
      </c>
      <c r="I643" t="s">
        <v>76</v>
      </c>
      <c r="J643" t="s">
        <v>77</v>
      </c>
      <c r="K643" t="s">
        <v>78</v>
      </c>
      <c r="L643" t="s">
        <v>79</v>
      </c>
      <c r="M643" t="s">
        <v>80</v>
      </c>
      <c r="N643" t="s">
        <v>175</v>
      </c>
      <c r="O643" t="s">
        <v>82</v>
      </c>
      <c r="P643" t="str">
        <f>"2170715790                    "</f>
        <v xml:space="preserve">2170715790                    </v>
      </c>
      <c r="Q643">
        <v>0</v>
      </c>
      <c r="R643">
        <v>0</v>
      </c>
      <c r="S643">
        <v>0</v>
      </c>
      <c r="T643">
        <v>0</v>
      </c>
      <c r="U643">
        <v>0</v>
      </c>
      <c r="V643">
        <v>0</v>
      </c>
      <c r="W643">
        <v>0</v>
      </c>
      <c r="X643">
        <v>0</v>
      </c>
      <c r="Y643">
        <v>0</v>
      </c>
      <c r="Z643">
        <v>0</v>
      </c>
      <c r="AA643">
        <v>0</v>
      </c>
      <c r="AB643">
        <v>0</v>
      </c>
      <c r="AC643">
        <v>0</v>
      </c>
      <c r="AD643">
        <v>0</v>
      </c>
      <c r="AE643">
        <v>0</v>
      </c>
      <c r="AF643">
        <v>0</v>
      </c>
      <c r="AG643">
        <v>0</v>
      </c>
      <c r="AH643">
        <v>0</v>
      </c>
      <c r="AI643">
        <v>0</v>
      </c>
      <c r="AJ643">
        <v>0</v>
      </c>
      <c r="AK643">
        <v>0</v>
      </c>
      <c r="AL643">
        <v>0</v>
      </c>
      <c r="AM643">
        <v>10.73</v>
      </c>
      <c r="AN643">
        <v>0</v>
      </c>
      <c r="AO643">
        <v>0</v>
      </c>
      <c r="AP643">
        <v>0</v>
      </c>
      <c r="AQ643">
        <v>0</v>
      </c>
      <c r="AR643">
        <v>0</v>
      </c>
      <c r="AS643">
        <v>0</v>
      </c>
      <c r="AT643">
        <v>0</v>
      </c>
      <c r="AU643">
        <v>0</v>
      </c>
      <c r="AV643">
        <v>0</v>
      </c>
      <c r="AW643">
        <v>0</v>
      </c>
      <c r="AX643">
        <v>0</v>
      </c>
      <c r="AY643">
        <v>0</v>
      </c>
      <c r="AZ643">
        <v>0</v>
      </c>
      <c r="BA643">
        <v>0</v>
      </c>
      <c r="BB643">
        <v>0</v>
      </c>
      <c r="BC643">
        <v>0</v>
      </c>
      <c r="BD643">
        <v>0</v>
      </c>
      <c r="BE643">
        <v>0</v>
      </c>
      <c r="BF643">
        <v>0</v>
      </c>
      <c r="BG643">
        <v>0</v>
      </c>
      <c r="BH643">
        <v>1</v>
      </c>
      <c r="BI643">
        <v>2.5</v>
      </c>
      <c r="BJ643">
        <v>1.4</v>
      </c>
      <c r="BK643">
        <v>2.5</v>
      </c>
      <c r="BL643" s="4">
        <v>63.06</v>
      </c>
      <c r="BM643" s="4">
        <v>9.4600000000000009</v>
      </c>
      <c r="BN643" s="4">
        <v>72.52</v>
      </c>
      <c r="BO643" s="4">
        <v>72.52</v>
      </c>
      <c r="BQ643" t="s">
        <v>147</v>
      </c>
      <c r="BR643" t="s">
        <v>84</v>
      </c>
      <c r="BS643" s="3">
        <v>43805</v>
      </c>
      <c r="BT643" s="5">
        <v>0.34513888888888888</v>
      </c>
      <c r="BU643" t="s">
        <v>1114</v>
      </c>
      <c r="BV643" t="s">
        <v>86</v>
      </c>
      <c r="BY643">
        <v>6912</v>
      </c>
      <c r="CA643" t="s">
        <v>131</v>
      </c>
      <c r="CC643" t="s">
        <v>80</v>
      </c>
      <c r="CD643">
        <v>6001</v>
      </c>
      <c r="CE643" t="s">
        <v>116</v>
      </c>
      <c r="CF643" s="3">
        <v>43808</v>
      </c>
      <c r="CI643">
        <v>1</v>
      </c>
      <c r="CJ643">
        <v>1</v>
      </c>
      <c r="CK643">
        <v>21</v>
      </c>
      <c r="CL643" t="s">
        <v>89</v>
      </c>
    </row>
    <row r="644" spans="1:90">
      <c r="A644" t="s">
        <v>72</v>
      </c>
      <c r="B644" t="s">
        <v>73</v>
      </c>
      <c r="C644" t="s">
        <v>74</v>
      </c>
      <c r="E644" t="str">
        <f>"FES1162727010"</f>
        <v>FES1162727010</v>
      </c>
      <c r="F644" s="3">
        <v>43804</v>
      </c>
      <c r="G644">
        <v>202006</v>
      </c>
      <c r="H644" t="s">
        <v>75</v>
      </c>
      <c r="I644" t="s">
        <v>76</v>
      </c>
      <c r="J644" t="s">
        <v>77</v>
      </c>
      <c r="K644" t="s">
        <v>78</v>
      </c>
      <c r="L644" t="s">
        <v>201</v>
      </c>
      <c r="M644" t="s">
        <v>202</v>
      </c>
      <c r="N644" t="s">
        <v>1115</v>
      </c>
      <c r="O644" t="s">
        <v>82</v>
      </c>
      <c r="P644" t="str">
        <f>"2170710466                    "</f>
        <v xml:space="preserve">2170710466                    </v>
      </c>
      <c r="Q644">
        <v>0</v>
      </c>
      <c r="R644">
        <v>0</v>
      </c>
      <c r="S644">
        <v>0</v>
      </c>
      <c r="T644">
        <v>0</v>
      </c>
      <c r="U644">
        <v>0</v>
      </c>
      <c r="V644">
        <v>0</v>
      </c>
      <c r="W644">
        <v>0</v>
      </c>
      <c r="X644">
        <v>0</v>
      </c>
      <c r="Y644">
        <v>0</v>
      </c>
      <c r="Z644">
        <v>0</v>
      </c>
      <c r="AA644">
        <v>0</v>
      </c>
      <c r="AB644">
        <v>0</v>
      </c>
      <c r="AC644">
        <v>0</v>
      </c>
      <c r="AD644">
        <v>0</v>
      </c>
      <c r="AE644">
        <v>0</v>
      </c>
      <c r="AF644">
        <v>0</v>
      </c>
      <c r="AG644">
        <v>0</v>
      </c>
      <c r="AH644">
        <v>0</v>
      </c>
      <c r="AI644">
        <v>0</v>
      </c>
      <c r="AJ644">
        <v>0</v>
      </c>
      <c r="AK644">
        <v>0</v>
      </c>
      <c r="AL644">
        <v>0</v>
      </c>
      <c r="AM644">
        <v>8.58</v>
      </c>
      <c r="AN644">
        <v>0</v>
      </c>
      <c r="AO644">
        <v>0</v>
      </c>
      <c r="AP644">
        <v>0</v>
      </c>
      <c r="AQ644">
        <v>0</v>
      </c>
      <c r="AR644">
        <v>0</v>
      </c>
      <c r="AS644">
        <v>0</v>
      </c>
      <c r="AT644">
        <v>0</v>
      </c>
      <c r="AU644">
        <v>0</v>
      </c>
      <c r="AV644">
        <v>0</v>
      </c>
      <c r="AW644">
        <v>0</v>
      </c>
      <c r="AX644">
        <v>0</v>
      </c>
      <c r="AY644">
        <v>0</v>
      </c>
      <c r="AZ644">
        <v>0</v>
      </c>
      <c r="BA644">
        <v>0</v>
      </c>
      <c r="BB644">
        <v>0</v>
      </c>
      <c r="BC644">
        <v>0</v>
      </c>
      <c r="BD644">
        <v>0</v>
      </c>
      <c r="BE644">
        <v>0</v>
      </c>
      <c r="BF644">
        <v>0</v>
      </c>
      <c r="BG644">
        <v>0</v>
      </c>
      <c r="BH644">
        <v>1</v>
      </c>
      <c r="BI644">
        <v>1.3</v>
      </c>
      <c r="BJ644">
        <v>0.9</v>
      </c>
      <c r="BK644">
        <v>1.5</v>
      </c>
      <c r="BL644" s="4">
        <v>50.45</v>
      </c>
      <c r="BM644" s="4">
        <v>7.57</v>
      </c>
      <c r="BN644" s="4">
        <v>58.02</v>
      </c>
      <c r="BO644" s="4">
        <v>58.02</v>
      </c>
      <c r="BQ644" t="s">
        <v>93</v>
      </c>
      <c r="BR644" t="s">
        <v>84</v>
      </c>
      <c r="BS644" s="3">
        <v>43805</v>
      </c>
      <c r="BT644" s="5">
        <v>0.41736111111111113</v>
      </c>
      <c r="BU644" t="s">
        <v>1116</v>
      </c>
      <c r="BV644" t="s">
        <v>86</v>
      </c>
      <c r="BY644">
        <v>4559.13</v>
      </c>
      <c r="CA644" t="s">
        <v>288</v>
      </c>
      <c r="CC644" t="s">
        <v>202</v>
      </c>
      <c r="CD644">
        <v>3610</v>
      </c>
      <c r="CE644" t="s">
        <v>96</v>
      </c>
      <c r="CF644" s="3">
        <v>43808</v>
      </c>
      <c r="CI644">
        <v>1</v>
      </c>
      <c r="CJ644">
        <v>1</v>
      </c>
      <c r="CK644">
        <v>21</v>
      </c>
      <c r="CL644" t="s">
        <v>89</v>
      </c>
    </row>
    <row r="645" spans="1:90">
      <c r="A645" t="s">
        <v>72</v>
      </c>
      <c r="B645" t="s">
        <v>73</v>
      </c>
      <c r="C645" t="s">
        <v>74</v>
      </c>
      <c r="E645" t="str">
        <f>"FES1162727021"</f>
        <v>FES1162727021</v>
      </c>
      <c r="F645" s="3">
        <v>43804</v>
      </c>
      <c r="G645">
        <v>202006</v>
      </c>
      <c r="H645" t="s">
        <v>75</v>
      </c>
      <c r="I645" t="s">
        <v>76</v>
      </c>
      <c r="J645" t="s">
        <v>77</v>
      </c>
      <c r="K645" t="s">
        <v>78</v>
      </c>
      <c r="L645" t="s">
        <v>198</v>
      </c>
      <c r="M645" t="s">
        <v>199</v>
      </c>
      <c r="N645" t="s">
        <v>1117</v>
      </c>
      <c r="O645" t="s">
        <v>82</v>
      </c>
      <c r="P645" t="str">
        <f>"2170720480                    "</f>
        <v xml:space="preserve">2170720480                    </v>
      </c>
      <c r="Q645">
        <v>0</v>
      </c>
      <c r="R645">
        <v>0</v>
      </c>
      <c r="S645">
        <v>0</v>
      </c>
      <c r="T645">
        <v>0</v>
      </c>
      <c r="U645">
        <v>0</v>
      </c>
      <c r="V645">
        <v>0</v>
      </c>
      <c r="W645">
        <v>0</v>
      </c>
      <c r="X645">
        <v>0</v>
      </c>
      <c r="Y645">
        <v>0</v>
      </c>
      <c r="Z645">
        <v>0</v>
      </c>
      <c r="AA645">
        <v>0</v>
      </c>
      <c r="AB645">
        <v>0</v>
      </c>
      <c r="AC645">
        <v>0</v>
      </c>
      <c r="AD645">
        <v>0</v>
      </c>
      <c r="AE645">
        <v>0</v>
      </c>
      <c r="AF645">
        <v>0</v>
      </c>
      <c r="AG645">
        <v>0</v>
      </c>
      <c r="AH645">
        <v>0</v>
      </c>
      <c r="AI645">
        <v>0</v>
      </c>
      <c r="AJ645">
        <v>0</v>
      </c>
      <c r="AK645">
        <v>0</v>
      </c>
      <c r="AL645">
        <v>0</v>
      </c>
      <c r="AM645">
        <v>62.19</v>
      </c>
      <c r="AN645">
        <v>0</v>
      </c>
      <c r="AO645">
        <v>0</v>
      </c>
      <c r="AP645">
        <v>0</v>
      </c>
      <c r="AQ645">
        <v>0</v>
      </c>
      <c r="AR645">
        <v>0</v>
      </c>
      <c r="AS645">
        <v>0</v>
      </c>
      <c r="AT645">
        <v>0</v>
      </c>
      <c r="AU645">
        <v>0</v>
      </c>
      <c r="AV645">
        <v>0</v>
      </c>
      <c r="AW645">
        <v>0</v>
      </c>
      <c r="AX645">
        <v>0</v>
      </c>
      <c r="AY645">
        <v>0</v>
      </c>
      <c r="AZ645">
        <v>0</v>
      </c>
      <c r="BA645">
        <v>0</v>
      </c>
      <c r="BB645">
        <v>0</v>
      </c>
      <c r="BC645">
        <v>0</v>
      </c>
      <c r="BD645">
        <v>0</v>
      </c>
      <c r="BE645">
        <v>0</v>
      </c>
      <c r="BF645">
        <v>0</v>
      </c>
      <c r="BG645">
        <v>0</v>
      </c>
      <c r="BH645">
        <v>1</v>
      </c>
      <c r="BI645">
        <v>14.2</v>
      </c>
      <c r="BJ645">
        <v>7.4</v>
      </c>
      <c r="BK645">
        <v>14.5</v>
      </c>
      <c r="BL645" s="4">
        <v>365.56</v>
      </c>
      <c r="BM645" s="4">
        <v>54.83</v>
      </c>
      <c r="BN645" s="4">
        <v>420.39</v>
      </c>
      <c r="BO645" s="4">
        <v>420.39</v>
      </c>
      <c r="BQ645" t="s">
        <v>93</v>
      </c>
      <c r="BR645" t="s">
        <v>84</v>
      </c>
      <c r="BS645" s="3">
        <v>43805</v>
      </c>
      <c r="BT645" s="5">
        <v>0.33333333333333331</v>
      </c>
      <c r="BU645" t="s">
        <v>1118</v>
      </c>
      <c r="BV645" t="s">
        <v>86</v>
      </c>
      <c r="BY645">
        <v>37182.379999999997</v>
      </c>
      <c r="CA645" t="s">
        <v>281</v>
      </c>
      <c r="CC645" t="s">
        <v>199</v>
      </c>
      <c r="CD645">
        <v>4001</v>
      </c>
      <c r="CE645" t="s">
        <v>116</v>
      </c>
      <c r="CF645" s="3">
        <v>43808</v>
      </c>
      <c r="CI645">
        <v>1</v>
      </c>
      <c r="CJ645">
        <v>1</v>
      </c>
      <c r="CK645">
        <v>21</v>
      </c>
      <c r="CL645" t="s">
        <v>89</v>
      </c>
    </row>
    <row r="646" spans="1:90">
      <c r="A646" t="s">
        <v>72</v>
      </c>
      <c r="B646" t="s">
        <v>73</v>
      </c>
      <c r="C646" t="s">
        <v>74</v>
      </c>
      <c r="E646" t="str">
        <f>"FES1162726643"</f>
        <v>FES1162726643</v>
      </c>
      <c r="F646" s="3">
        <v>43804</v>
      </c>
      <c r="G646">
        <v>202006</v>
      </c>
      <c r="H646" t="s">
        <v>75</v>
      </c>
      <c r="I646" t="s">
        <v>76</v>
      </c>
      <c r="J646" t="s">
        <v>77</v>
      </c>
      <c r="K646" t="s">
        <v>78</v>
      </c>
      <c r="L646" t="s">
        <v>198</v>
      </c>
      <c r="M646" t="s">
        <v>199</v>
      </c>
      <c r="N646" t="s">
        <v>653</v>
      </c>
      <c r="O646" t="s">
        <v>82</v>
      </c>
      <c r="P646" t="str">
        <f>"2170719742                    "</f>
        <v xml:space="preserve">2170719742                    </v>
      </c>
      <c r="Q646">
        <v>0</v>
      </c>
      <c r="R646">
        <v>0</v>
      </c>
      <c r="S646">
        <v>0</v>
      </c>
      <c r="T646">
        <v>0</v>
      </c>
      <c r="U646">
        <v>0</v>
      </c>
      <c r="V646">
        <v>0</v>
      </c>
      <c r="W646">
        <v>0</v>
      </c>
      <c r="X646">
        <v>0</v>
      </c>
      <c r="Y646">
        <v>0</v>
      </c>
      <c r="Z646">
        <v>0</v>
      </c>
      <c r="AA646">
        <v>0</v>
      </c>
      <c r="AB646">
        <v>0</v>
      </c>
      <c r="AC646">
        <v>0</v>
      </c>
      <c r="AD646">
        <v>0</v>
      </c>
      <c r="AE646">
        <v>0</v>
      </c>
      <c r="AF646">
        <v>0</v>
      </c>
      <c r="AG646">
        <v>0</v>
      </c>
      <c r="AH646">
        <v>0</v>
      </c>
      <c r="AI646">
        <v>0</v>
      </c>
      <c r="AJ646">
        <v>0</v>
      </c>
      <c r="AK646">
        <v>0</v>
      </c>
      <c r="AL646">
        <v>0</v>
      </c>
      <c r="AM646">
        <v>21.45</v>
      </c>
      <c r="AN646">
        <v>0</v>
      </c>
      <c r="AO646">
        <v>0</v>
      </c>
      <c r="AP646">
        <v>0</v>
      </c>
      <c r="AQ646">
        <v>0</v>
      </c>
      <c r="AR646">
        <v>0</v>
      </c>
      <c r="AS646">
        <v>0</v>
      </c>
      <c r="AT646">
        <v>0</v>
      </c>
      <c r="AU646">
        <v>0</v>
      </c>
      <c r="AV646">
        <v>0</v>
      </c>
      <c r="AW646">
        <v>0</v>
      </c>
      <c r="AX646">
        <v>0</v>
      </c>
      <c r="AY646">
        <v>0</v>
      </c>
      <c r="AZ646">
        <v>0</v>
      </c>
      <c r="BA646">
        <v>0</v>
      </c>
      <c r="BB646">
        <v>0</v>
      </c>
      <c r="BC646">
        <v>0</v>
      </c>
      <c r="BD646">
        <v>0</v>
      </c>
      <c r="BE646">
        <v>0</v>
      </c>
      <c r="BF646">
        <v>0</v>
      </c>
      <c r="BG646">
        <v>0</v>
      </c>
      <c r="BH646">
        <v>1</v>
      </c>
      <c r="BI646">
        <v>5</v>
      </c>
      <c r="BJ646">
        <v>0.5</v>
      </c>
      <c r="BK646">
        <v>5</v>
      </c>
      <c r="BL646" s="4">
        <v>126.08</v>
      </c>
      <c r="BM646" s="4">
        <v>18.91</v>
      </c>
      <c r="BN646" s="4">
        <v>144.99</v>
      </c>
      <c r="BO646" s="4">
        <v>144.99</v>
      </c>
      <c r="BQ646" t="s">
        <v>277</v>
      </c>
      <c r="BR646" t="s">
        <v>84</v>
      </c>
      <c r="BS646" s="3">
        <v>43805</v>
      </c>
      <c r="BT646" s="5">
        <v>0.35555555555555557</v>
      </c>
      <c r="BU646" t="s">
        <v>1119</v>
      </c>
      <c r="BV646" t="s">
        <v>86</v>
      </c>
      <c r="BY646">
        <v>2583</v>
      </c>
      <c r="CA646" t="s">
        <v>408</v>
      </c>
      <c r="CC646" t="s">
        <v>199</v>
      </c>
      <c r="CD646">
        <v>4052</v>
      </c>
      <c r="CE646" t="s">
        <v>116</v>
      </c>
      <c r="CF646" s="3">
        <v>43808</v>
      </c>
      <c r="CI646">
        <v>1</v>
      </c>
      <c r="CJ646">
        <v>1</v>
      </c>
      <c r="CK646">
        <v>21</v>
      </c>
      <c r="CL646" t="s">
        <v>89</v>
      </c>
    </row>
    <row r="647" spans="1:90">
      <c r="A647" t="s">
        <v>72</v>
      </c>
      <c r="B647" t="s">
        <v>73</v>
      </c>
      <c r="C647" t="s">
        <v>74</v>
      </c>
      <c r="E647" t="str">
        <f>"FES1162726880"</f>
        <v>FES1162726880</v>
      </c>
      <c r="F647" s="3">
        <v>43804</v>
      </c>
      <c r="G647">
        <v>202006</v>
      </c>
      <c r="H647" t="s">
        <v>75</v>
      </c>
      <c r="I647" t="s">
        <v>76</v>
      </c>
      <c r="J647" t="s">
        <v>77</v>
      </c>
      <c r="K647" t="s">
        <v>78</v>
      </c>
      <c r="L647" t="s">
        <v>79</v>
      </c>
      <c r="M647" t="s">
        <v>80</v>
      </c>
      <c r="N647" t="s">
        <v>1101</v>
      </c>
      <c r="O647" t="s">
        <v>82</v>
      </c>
      <c r="P647" t="str">
        <f>"21707120983                   "</f>
        <v xml:space="preserve">21707120983                   </v>
      </c>
      <c r="Q647">
        <v>0</v>
      </c>
      <c r="R647">
        <v>0</v>
      </c>
      <c r="S647">
        <v>0</v>
      </c>
      <c r="T647">
        <v>0</v>
      </c>
      <c r="U647">
        <v>0</v>
      </c>
      <c r="V647">
        <v>0</v>
      </c>
      <c r="W647">
        <v>0</v>
      </c>
      <c r="X647">
        <v>0</v>
      </c>
      <c r="Y647">
        <v>0</v>
      </c>
      <c r="Z647">
        <v>0</v>
      </c>
      <c r="AA647">
        <v>0</v>
      </c>
      <c r="AB647">
        <v>0</v>
      </c>
      <c r="AC647">
        <v>0</v>
      </c>
      <c r="AD647">
        <v>0</v>
      </c>
      <c r="AE647">
        <v>0</v>
      </c>
      <c r="AF647">
        <v>0</v>
      </c>
      <c r="AG647">
        <v>0</v>
      </c>
      <c r="AH647">
        <v>0</v>
      </c>
      <c r="AI647">
        <v>0</v>
      </c>
      <c r="AJ647">
        <v>0</v>
      </c>
      <c r="AK647">
        <v>0</v>
      </c>
      <c r="AL647">
        <v>0</v>
      </c>
      <c r="AM647">
        <v>23.59</v>
      </c>
      <c r="AN647">
        <v>0</v>
      </c>
      <c r="AO647">
        <v>0</v>
      </c>
      <c r="AP647">
        <v>0</v>
      </c>
      <c r="AQ647">
        <v>0</v>
      </c>
      <c r="AR647">
        <v>0</v>
      </c>
      <c r="AS647">
        <v>0</v>
      </c>
      <c r="AT647">
        <v>0</v>
      </c>
      <c r="AU647">
        <v>0</v>
      </c>
      <c r="AV647">
        <v>0</v>
      </c>
      <c r="AW647">
        <v>0</v>
      </c>
      <c r="AX647">
        <v>0</v>
      </c>
      <c r="AY647">
        <v>0</v>
      </c>
      <c r="AZ647">
        <v>0</v>
      </c>
      <c r="BA647">
        <v>0</v>
      </c>
      <c r="BB647">
        <v>0</v>
      </c>
      <c r="BC647">
        <v>0</v>
      </c>
      <c r="BD647">
        <v>0</v>
      </c>
      <c r="BE647">
        <v>0</v>
      </c>
      <c r="BF647">
        <v>0</v>
      </c>
      <c r="BG647">
        <v>0</v>
      </c>
      <c r="BH647">
        <v>1</v>
      </c>
      <c r="BI647">
        <v>5.2</v>
      </c>
      <c r="BJ647">
        <v>2.2000000000000002</v>
      </c>
      <c r="BK647">
        <v>5.5</v>
      </c>
      <c r="BL647" s="4">
        <v>138.68</v>
      </c>
      <c r="BM647" s="4">
        <v>20.8</v>
      </c>
      <c r="BN647" s="4">
        <v>159.47999999999999</v>
      </c>
      <c r="BO647" s="4">
        <v>159.47999999999999</v>
      </c>
      <c r="BQ647" t="s">
        <v>147</v>
      </c>
      <c r="BR647" t="s">
        <v>84</v>
      </c>
      <c r="BS647" s="3">
        <v>43805</v>
      </c>
      <c r="BT647" s="5">
        <v>0.375</v>
      </c>
      <c r="BU647" t="s">
        <v>1120</v>
      </c>
      <c r="BV647" t="s">
        <v>86</v>
      </c>
      <c r="BY647">
        <v>10930.32</v>
      </c>
      <c r="CA647" t="s">
        <v>419</v>
      </c>
      <c r="CC647" t="s">
        <v>80</v>
      </c>
      <c r="CD647">
        <v>6001</v>
      </c>
      <c r="CE647" t="s">
        <v>96</v>
      </c>
      <c r="CF647" s="3">
        <v>43808</v>
      </c>
      <c r="CI647">
        <v>1</v>
      </c>
      <c r="CJ647">
        <v>1</v>
      </c>
      <c r="CK647">
        <v>21</v>
      </c>
      <c r="CL647" t="s">
        <v>89</v>
      </c>
    </row>
    <row r="648" spans="1:90">
      <c r="A648" t="s">
        <v>72</v>
      </c>
      <c r="B648" t="s">
        <v>73</v>
      </c>
      <c r="C648" t="s">
        <v>74</v>
      </c>
      <c r="E648" t="str">
        <f>"FES1162726897"</f>
        <v>FES1162726897</v>
      </c>
      <c r="F648" s="3">
        <v>43804</v>
      </c>
      <c r="G648">
        <v>202006</v>
      </c>
      <c r="H648" t="s">
        <v>75</v>
      </c>
      <c r="I648" t="s">
        <v>76</v>
      </c>
      <c r="J648" t="s">
        <v>77</v>
      </c>
      <c r="K648" t="s">
        <v>78</v>
      </c>
      <c r="L648" t="s">
        <v>213</v>
      </c>
      <c r="M648" t="s">
        <v>214</v>
      </c>
      <c r="N648" t="s">
        <v>1121</v>
      </c>
      <c r="O648" t="s">
        <v>82</v>
      </c>
      <c r="P648" t="str">
        <f>"2170720121                    "</f>
        <v xml:space="preserve">2170720121                    </v>
      </c>
      <c r="Q648">
        <v>0</v>
      </c>
      <c r="R648">
        <v>0</v>
      </c>
      <c r="S648">
        <v>0</v>
      </c>
      <c r="T648">
        <v>0</v>
      </c>
      <c r="U648">
        <v>0</v>
      </c>
      <c r="V648">
        <v>0</v>
      </c>
      <c r="W648">
        <v>0</v>
      </c>
      <c r="X648">
        <v>0</v>
      </c>
      <c r="Y648">
        <v>0</v>
      </c>
      <c r="Z648">
        <v>0</v>
      </c>
      <c r="AA648">
        <v>0</v>
      </c>
      <c r="AB648">
        <v>0</v>
      </c>
      <c r="AC648">
        <v>0</v>
      </c>
      <c r="AD648">
        <v>0</v>
      </c>
      <c r="AE648">
        <v>0</v>
      </c>
      <c r="AF648">
        <v>0</v>
      </c>
      <c r="AG648">
        <v>0</v>
      </c>
      <c r="AH648">
        <v>0</v>
      </c>
      <c r="AI648">
        <v>0</v>
      </c>
      <c r="AJ648">
        <v>0</v>
      </c>
      <c r="AK648">
        <v>0</v>
      </c>
      <c r="AL648">
        <v>0</v>
      </c>
      <c r="AM648">
        <v>8.58</v>
      </c>
      <c r="AN648">
        <v>0</v>
      </c>
      <c r="AO648">
        <v>0</v>
      </c>
      <c r="AP648">
        <v>0</v>
      </c>
      <c r="AQ648">
        <v>0</v>
      </c>
      <c r="AR648">
        <v>0</v>
      </c>
      <c r="AS648">
        <v>0</v>
      </c>
      <c r="AT648">
        <v>0</v>
      </c>
      <c r="AU648">
        <v>0</v>
      </c>
      <c r="AV648">
        <v>0</v>
      </c>
      <c r="AW648">
        <v>0</v>
      </c>
      <c r="AX648">
        <v>0</v>
      </c>
      <c r="AY648">
        <v>0</v>
      </c>
      <c r="AZ648">
        <v>0</v>
      </c>
      <c r="BA648">
        <v>0</v>
      </c>
      <c r="BB648">
        <v>0</v>
      </c>
      <c r="BC648">
        <v>0</v>
      </c>
      <c r="BD648">
        <v>0</v>
      </c>
      <c r="BE648">
        <v>0</v>
      </c>
      <c r="BF648">
        <v>0</v>
      </c>
      <c r="BG648">
        <v>0</v>
      </c>
      <c r="BH648">
        <v>1</v>
      </c>
      <c r="BI648">
        <v>1</v>
      </c>
      <c r="BJ648">
        <v>0.2</v>
      </c>
      <c r="BK648">
        <v>1</v>
      </c>
      <c r="BL648" s="4">
        <v>50.45</v>
      </c>
      <c r="BM648" s="4">
        <v>7.57</v>
      </c>
      <c r="BN648" s="4">
        <v>58.02</v>
      </c>
      <c r="BO648" s="4">
        <v>58.02</v>
      </c>
      <c r="BP648" t="s">
        <v>1122</v>
      </c>
      <c r="BQ648" t="s">
        <v>147</v>
      </c>
      <c r="BR648" t="s">
        <v>84</v>
      </c>
      <c r="BS648" s="3">
        <v>43805</v>
      </c>
      <c r="BT648" s="5">
        <v>0.34583333333333338</v>
      </c>
      <c r="BU648" t="s">
        <v>1123</v>
      </c>
      <c r="BV648" t="s">
        <v>86</v>
      </c>
      <c r="BY648">
        <v>1200</v>
      </c>
      <c r="CA648" t="s">
        <v>99</v>
      </c>
      <c r="CC648" t="s">
        <v>214</v>
      </c>
      <c r="CD648">
        <v>6229</v>
      </c>
      <c r="CE648" t="s">
        <v>88</v>
      </c>
      <c r="CF648" s="3">
        <v>43808</v>
      </c>
      <c r="CI648">
        <v>1</v>
      </c>
      <c r="CJ648">
        <v>1</v>
      </c>
      <c r="CK648">
        <v>21</v>
      </c>
      <c r="CL648" t="s">
        <v>89</v>
      </c>
    </row>
    <row r="649" spans="1:90">
      <c r="A649" t="s">
        <v>72</v>
      </c>
      <c r="B649" t="s">
        <v>73</v>
      </c>
      <c r="C649" t="s">
        <v>74</v>
      </c>
      <c r="E649" t="str">
        <f>"FES1162727007"</f>
        <v>FES1162727007</v>
      </c>
      <c r="F649" s="3">
        <v>43804</v>
      </c>
      <c r="G649">
        <v>202006</v>
      </c>
      <c r="H649" t="s">
        <v>75</v>
      </c>
      <c r="I649" t="s">
        <v>76</v>
      </c>
      <c r="J649" t="s">
        <v>77</v>
      </c>
      <c r="K649" t="s">
        <v>78</v>
      </c>
      <c r="L649" t="s">
        <v>75</v>
      </c>
      <c r="M649" t="s">
        <v>76</v>
      </c>
      <c r="N649" t="s">
        <v>1124</v>
      </c>
      <c r="O649" t="s">
        <v>82</v>
      </c>
      <c r="P649" t="str">
        <f>"2170720465                    "</f>
        <v xml:space="preserve">2170720465                    </v>
      </c>
      <c r="Q649">
        <v>0</v>
      </c>
      <c r="R649">
        <v>0</v>
      </c>
      <c r="S649">
        <v>0</v>
      </c>
      <c r="T649">
        <v>0</v>
      </c>
      <c r="U649">
        <v>0</v>
      </c>
      <c r="V649">
        <v>0</v>
      </c>
      <c r="W649">
        <v>0</v>
      </c>
      <c r="X649">
        <v>0</v>
      </c>
      <c r="Y649">
        <v>0</v>
      </c>
      <c r="Z649">
        <v>0</v>
      </c>
      <c r="AA649">
        <v>0</v>
      </c>
      <c r="AB649">
        <v>0</v>
      </c>
      <c r="AC649">
        <v>0</v>
      </c>
      <c r="AD649">
        <v>0</v>
      </c>
      <c r="AE649">
        <v>0</v>
      </c>
      <c r="AF649">
        <v>0</v>
      </c>
      <c r="AG649">
        <v>0</v>
      </c>
      <c r="AH649">
        <v>0</v>
      </c>
      <c r="AI649">
        <v>0</v>
      </c>
      <c r="AJ649">
        <v>0</v>
      </c>
      <c r="AK649">
        <v>0</v>
      </c>
      <c r="AL649">
        <v>0</v>
      </c>
      <c r="AM649">
        <v>6.71</v>
      </c>
      <c r="AN649">
        <v>0</v>
      </c>
      <c r="AO649">
        <v>0</v>
      </c>
      <c r="AP649">
        <v>0</v>
      </c>
      <c r="AQ649">
        <v>0</v>
      </c>
      <c r="AR649">
        <v>0</v>
      </c>
      <c r="AS649">
        <v>0</v>
      </c>
      <c r="AT649">
        <v>0</v>
      </c>
      <c r="AU649">
        <v>0</v>
      </c>
      <c r="AV649">
        <v>0</v>
      </c>
      <c r="AW649">
        <v>0</v>
      </c>
      <c r="AX649">
        <v>0</v>
      </c>
      <c r="AY649">
        <v>0</v>
      </c>
      <c r="AZ649">
        <v>0</v>
      </c>
      <c r="BA649">
        <v>0</v>
      </c>
      <c r="BB649">
        <v>0</v>
      </c>
      <c r="BC649">
        <v>0</v>
      </c>
      <c r="BD649">
        <v>0</v>
      </c>
      <c r="BE649">
        <v>0</v>
      </c>
      <c r="BF649">
        <v>0</v>
      </c>
      <c r="BG649">
        <v>0</v>
      </c>
      <c r="BH649">
        <v>1</v>
      </c>
      <c r="BI649">
        <v>1</v>
      </c>
      <c r="BJ649">
        <v>0.2</v>
      </c>
      <c r="BK649">
        <v>1</v>
      </c>
      <c r="BL649" s="4">
        <v>39.42</v>
      </c>
      <c r="BM649" s="4">
        <v>5.91</v>
      </c>
      <c r="BN649" s="4">
        <v>45.33</v>
      </c>
      <c r="BO649" s="4">
        <v>45.33</v>
      </c>
      <c r="BR649" t="s">
        <v>84</v>
      </c>
      <c r="BS649" s="3">
        <v>43805</v>
      </c>
      <c r="BT649" s="5">
        <v>0.37222222222222223</v>
      </c>
      <c r="BU649" t="s">
        <v>1125</v>
      </c>
      <c r="BV649" t="s">
        <v>86</v>
      </c>
      <c r="BY649">
        <v>1200</v>
      </c>
      <c r="CA649" t="s">
        <v>746</v>
      </c>
      <c r="CC649" t="s">
        <v>76</v>
      </c>
      <c r="CD649">
        <v>1600</v>
      </c>
      <c r="CE649" t="s">
        <v>88</v>
      </c>
      <c r="CF649" s="3">
        <v>43808</v>
      </c>
      <c r="CI649">
        <v>1</v>
      </c>
      <c r="CJ649">
        <v>1</v>
      </c>
      <c r="CK649">
        <v>22</v>
      </c>
      <c r="CL649" t="s">
        <v>89</v>
      </c>
    </row>
    <row r="650" spans="1:90">
      <c r="A650" t="s">
        <v>72</v>
      </c>
      <c r="B650" t="s">
        <v>73</v>
      </c>
      <c r="C650" t="s">
        <v>74</v>
      </c>
      <c r="E650" t="str">
        <f>"FES1162727113"</f>
        <v>FES1162727113</v>
      </c>
      <c r="F650" s="3">
        <v>43804</v>
      </c>
      <c r="G650">
        <v>202006</v>
      </c>
      <c r="H650" t="s">
        <v>75</v>
      </c>
      <c r="I650" t="s">
        <v>76</v>
      </c>
      <c r="J650" t="s">
        <v>77</v>
      </c>
      <c r="K650" t="s">
        <v>78</v>
      </c>
      <c r="L650" t="s">
        <v>79</v>
      </c>
      <c r="M650" t="s">
        <v>80</v>
      </c>
      <c r="N650" t="s">
        <v>97</v>
      </c>
      <c r="O650" t="s">
        <v>82</v>
      </c>
      <c r="P650" t="str">
        <f>"2170720585                    "</f>
        <v xml:space="preserve">2170720585                    </v>
      </c>
      <c r="Q650">
        <v>0</v>
      </c>
      <c r="R650">
        <v>0</v>
      </c>
      <c r="S650">
        <v>0</v>
      </c>
      <c r="T650">
        <v>0</v>
      </c>
      <c r="U650">
        <v>0</v>
      </c>
      <c r="V650">
        <v>0</v>
      </c>
      <c r="W650">
        <v>0</v>
      </c>
      <c r="X650">
        <v>0</v>
      </c>
      <c r="Y650">
        <v>0</v>
      </c>
      <c r="Z650">
        <v>0</v>
      </c>
      <c r="AA650">
        <v>0</v>
      </c>
      <c r="AB650">
        <v>0</v>
      </c>
      <c r="AC650">
        <v>0</v>
      </c>
      <c r="AD650">
        <v>0</v>
      </c>
      <c r="AE650">
        <v>0</v>
      </c>
      <c r="AF650">
        <v>0</v>
      </c>
      <c r="AG650">
        <v>0</v>
      </c>
      <c r="AH650">
        <v>0</v>
      </c>
      <c r="AI650">
        <v>0</v>
      </c>
      <c r="AJ650">
        <v>0</v>
      </c>
      <c r="AK650">
        <v>0</v>
      </c>
      <c r="AL650">
        <v>0</v>
      </c>
      <c r="AM650">
        <v>8.58</v>
      </c>
      <c r="AN650">
        <v>0</v>
      </c>
      <c r="AO650">
        <v>0</v>
      </c>
      <c r="AP650">
        <v>0</v>
      </c>
      <c r="AQ650">
        <v>0</v>
      </c>
      <c r="AR650">
        <v>0</v>
      </c>
      <c r="AS650">
        <v>0</v>
      </c>
      <c r="AT650">
        <v>0</v>
      </c>
      <c r="AU650">
        <v>0</v>
      </c>
      <c r="AV650">
        <v>0</v>
      </c>
      <c r="AW650">
        <v>0</v>
      </c>
      <c r="AX650">
        <v>0</v>
      </c>
      <c r="AY650">
        <v>0</v>
      </c>
      <c r="AZ650">
        <v>0</v>
      </c>
      <c r="BA650">
        <v>0</v>
      </c>
      <c r="BB650">
        <v>0</v>
      </c>
      <c r="BC650">
        <v>0</v>
      </c>
      <c r="BD650">
        <v>0</v>
      </c>
      <c r="BE650">
        <v>0</v>
      </c>
      <c r="BF650">
        <v>0</v>
      </c>
      <c r="BG650">
        <v>0</v>
      </c>
      <c r="BH650">
        <v>1</v>
      </c>
      <c r="BI650">
        <v>1</v>
      </c>
      <c r="BJ650">
        <v>0.2</v>
      </c>
      <c r="BK650">
        <v>1</v>
      </c>
      <c r="BL650" s="4">
        <v>50.45</v>
      </c>
      <c r="BM650" s="4">
        <v>7.57</v>
      </c>
      <c r="BN650" s="4">
        <v>58.02</v>
      </c>
      <c r="BO650" s="4">
        <v>58.02</v>
      </c>
      <c r="BQ650" t="s">
        <v>93</v>
      </c>
      <c r="BR650" t="s">
        <v>84</v>
      </c>
      <c r="BS650" s="3">
        <v>43805</v>
      </c>
      <c r="BT650" s="5">
        <v>0.34097222222222223</v>
      </c>
      <c r="BU650" t="s">
        <v>98</v>
      </c>
      <c r="BV650" t="s">
        <v>86</v>
      </c>
      <c r="BY650">
        <v>1200</v>
      </c>
      <c r="CA650" t="s">
        <v>99</v>
      </c>
      <c r="CC650" t="s">
        <v>80</v>
      </c>
      <c r="CD650">
        <v>6001</v>
      </c>
      <c r="CE650" t="s">
        <v>88</v>
      </c>
      <c r="CF650" s="3">
        <v>43808</v>
      </c>
      <c r="CI650">
        <v>1</v>
      </c>
      <c r="CJ650">
        <v>1</v>
      </c>
      <c r="CK650">
        <v>21</v>
      </c>
      <c r="CL650" t="s">
        <v>89</v>
      </c>
    </row>
    <row r="651" spans="1:90">
      <c r="A651" t="s">
        <v>72</v>
      </c>
      <c r="B651" t="s">
        <v>73</v>
      </c>
      <c r="C651" t="s">
        <v>74</v>
      </c>
      <c r="E651" t="str">
        <f>"FES1162727102"</f>
        <v>FES1162727102</v>
      </c>
      <c r="F651" s="3">
        <v>43804</v>
      </c>
      <c r="G651">
        <v>202006</v>
      </c>
      <c r="H651" t="s">
        <v>75</v>
      </c>
      <c r="I651" t="s">
        <v>76</v>
      </c>
      <c r="J651" t="s">
        <v>77</v>
      </c>
      <c r="K651" t="s">
        <v>78</v>
      </c>
      <c r="L651" t="s">
        <v>90</v>
      </c>
      <c r="M651" t="s">
        <v>91</v>
      </c>
      <c r="N651" t="s">
        <v>856</v>
      </c>
      <c r="O651" t="s">
        <v>82</v>
      </c>
      <c r="P651" t="str">
        <f>"2170719986                    "</f>
        <v xml:space="preserve">2170719986                    </v>
      </c>
      <c r="Q651">
        <v>0</v>
      </c>
      <c r="R651">
        <v>0</v>
      </c>
      <c r="S651">
        <v>0</v>
      </c>
      <c r="T651">
        <v>0</v>
      </c>
      <c r="U651">
        <v>0</v>
      </c>
      <c r="V651">
        <v>0</v>
      </c>
      <c r="W651">
        <v>0</v>
      </c>
      <c r="X651">
        <v>0</v>
      </c>
      <c r="Y651">
        <v>0</v>
      </c>
      <c r="Z651">
        <v>0</v>
      </c>
      <c r="AA651">
        <v>0</v>
      </c>
      <c r="AB651">
        <v>0</v>
      </c>
      <c r="AC651">
        <v>0</v>
      </c>
      <c r="AD651">
        <v>0</v>
      </c>
      <c r="AE651">
        <v>0</v>
      </c>
      <c r="AF651">
        <v>0</v>
      </c>
      <c r="AG651">
        <v>0</v>
      </c>
      <c r="AH651">
        <v>0</v>
      </c>
      <c r="AI651">
        <v>0</v>
      </c>
      <c r="AJ651">
        <v>0</v>
      </c>
      <c r="AK651">
        <v>0</v>
      </c>
      <c r="AL651">
        <v>0</v>
      </c>
      <c r="AM651">
        <v>8.58</v>
      </c>
      <c r="AN651">
        <v>0</v>
      </c>
      <c r="AO651">
        <v>0</v>
      </c>
      <c r="AP651">
        <v>0</v>
      </c>
      <c r="AQ651">
        <v>0</v>
      </c>
      <c r="AR651">
        <v>0</v>
      </c>
      <c r="AS651">
        <v>0</v>
      </c>
      <c r="AT651">
        <v>0</v>
      </c>
      <c r="AU651">
        <v>0</v>
      </c>
      <c r="AV651">
        <v>0</v>
      </c>
      <c r="AW651">
        <v>0</v>
      </c>
      <c r="AX651">
        <v>0</v>
      </c>
      <c r="AY651">
        <v>0</v>
      </c>
      <c r="AZ651">
        <v>0</v>
      </c>
      <c r="BA651">
        <v>0</v>
      </c>
      <c r="BB651">
        <v>0</v>
      </c>
      <c r="BC651">
        <v>0</v>
      </c>
      <c r="BD651">
        <v>0</v>
      </c>
      <c r="BE651">
        <v>0</v>
      </c>
      <c r="BF651">
        <v>0</v>
      </c>
      <c r="BG651">
        <v>0</v>
      </c>
      <c r="BH651">
        <v>1</v>
      </c>
      <c r="BI651">
        <v>1.3</v>
      </c>
      <c r="BJ651">
        <v>0.9</v>
      </c>
      <c r="BK651">
        <v>1.5</v>
      </c>
      <c r="BL651" s="4">
        <v>50.45</v>
      </c>
      <c r="BM651" s="4">
        <v>7.57</v>
      </c>
      <c r="BN651" s="4">
        <v>58.02</v>
      </c>
      <c r="BO651" s="4">
        <v>58.02</v>
      </c>
      <c r="BQ651" t="s">
        <v>93</v>
      </c>
      <c r="BR651" t="s">
        <v>84</v>
      </c>
      <c r="BS651" s="3">
        <v>43805</v>
      </c>
      <c r="BT651" s="5">
        <v>0.42569444444444443</v>
      </c>
      <c r="BU651" t="s">
        <v>1126</v>
      </c>
      <c r="BV651" t="s">
        <v>86</v>
      </c>
      <c r="BY651">
        <v>4742.01</v>
      </c>
      <c r="CA651" t="s">
        <v>209</v>
      </c>
      <c r="CC651" t="s">
        <v>91</v>
      </c>
      <c r="CD651">
        <v>7441</v>
      </c>
      <c r="CE651" t="s">
        <v>96</v>
      </c>
      <c r="CF651" s="3">
        <v>43808</v>
      </c>
      <c r="CI651">
        <v>1</v>
      </c>
      <c r="CJ651">
        <v>1</v>
      </c>
      <c r="CK651">
        <v>21</v>
      </c>
      <c r="CL651" t="s">
        <v>89</v>
      </c>
    </row>
    <row r="652" spans="1:90">
      <c r="A652" t="s">
        <v>72</v>
      </c>
      <c r="B652" t="s">
        <v>73</v>
      </c>
      <c r="C652" t="s">
        <v>74</v>
      </c>
      <c r="E652" t="str">
        <f>"FES1162726920"</f>
        <v>FES1162726920</v>
      </c>
      <c r="F652" s="3">
        <v>43804</v>
      </c>
      <c r="G652">
        <v>202006</v>
      </c>
      <c r="H652" t="s">
        <v>75</v>
      </c>
      <c r="I652" t="s">
        <v>76</v>
      </c>
      <c r="J652" t="s">
        <v>77</v>
      </c>
      <c r="K652" t="s">
        <v>78</v>
      </c>
      <c r="L652" t="s">
        <v>79</v>
      </c>
      <c r="M652" t="s">
        <v>80</v>
      </c>
      <c r="N652" t="s">
        <v>1127</v>
      </c>
      <c r="O652" t="s">
        <v>82</v>
      </c>
      <c r="P652" t="str">
        <f>"2170717699                    "</f>
        <v xml:space="preserve">2170717699                    </v>
      </c>
      <c r="Q652">
        <v>0</v>
      </c>
      <c r="R652">
        <v>0</v>
      </c>
      <c r="S652">
        <v>0</v>
      </c>
      <c r="T652">
        <v>0</v>
      </c>
      <c r="U652">
        <v>0</v>
      </c>
      <c r="V652">
        <v>0</v>
      </c>
      <c r="W652">
        <v>0</v>
      </c>
      <c r="X652">
        <v>0</v>
      </c>
      <c r="Y652">
        <v>0</v>
      </c>
      <c r="Z652">
        <v>0</v>
      </c>
      <c r="AA652">
        <v>0</v>
      </c>
      <c r="AB652">
        <v>0</v>
      </c>
      <c r="AC652">
        <v>0</v>
      </c>
      <c r="AD652">
        <v>0</v>
      </c>
      <c r="AE652">
        <v>0</v>
      </c>
      <c r="AF652">
        <v>0</v>
      </c>
      <c r="AG652">
        <v>0</v>
      </c>
      <c r="AH652">
        <v>0</v>
      </c>
      <c r="AI652">
        <v>0</v>
      </c>
      <c r="AJ652">
        <v>0</v>
      </c>
      <c r="AK652">
        <v>0</v>
      </c>
      <c r="AL652">
        <v>0</v>
      </c>
      <c r="AM652">
        <v>8.58</v>
      </c>
      <c r="AN652">
        <v>0</v>
      </c>
      <c r="AO652">
        <v>0</v>
      </c>
      <c r="AP652">
        <v>0</v>
      </c>
      <c r="AQ652">
        <v>0</v>
      </c>
      <c r="AR652">
        <v>0</v>
      </c>
      <c r="AS652">
        <v>0</v>
      </c>
      <c r="AT652">
        <v>0</v>
      </c>
      <c r="AU652">
        <v>0</v>
      </c>
      <c r="AV652">
        <v>0</v>
      </c>
      <c r="AW652">
        <v>0</v>
      </c>
      <c r="AX652">
        <v>0</v>
      </c>
      <c r="AY652">
        <v>0</v>
      </c>
      <c r="AZ652">
        <v>0</v>
      </c>
      <c r="BA652">
        <v>0</v>
      </c>
      <c r="BB652">
        <v>0</v>
      </c>
      <c r="BC652">
        <v>0</v>
      </c>
      <c r="BD652">
        <v>0</v>
      </c>
      <c r="BE652">
        <v>0</v>
      </c>
      <c r="BF652">
        <v>0</v>
      </c>
      <c r="BG652">
        <v>0</v>
      </c>
      <c r="BH652">
        <v>1</v>
      </c>
      <c r="BI652">
        <v>1</v>
      </c>
      <c r="BJ652">
        <v>0.2</v>
      </c>
      <c r="BK652">
        <v>1</v>
      </c>
      <c r="BL652" s="4">
        <v>50.45</v>
      </c>
      <c r="BM652" s="4">
        <v>7.57</v>
      </c>
      <c r="BN652" s="4">
        <v>58.02</v>
      </c>
      <c r="BO652" s="4">
        <v>58.02</v>
      </c>
      <c r="BQ652" t="s">
        <v>93</v>
      </c>
      <c r="BR652" t="s">
        <v>84</v>
      </c>
      <c r="BS652" s="3">
        <v>43805</v>
      </c>
      <c r="BT652" s="5">
        <v>0.40902777777777777</v>
      </c>
      <c r="BU652" t="s">
        <v>450</v>
      </c>
      <c r="BV652" t="s">
        <v>86</v>
      </c>
      <c r="BY652">
        <v>1200</v>
      </c>
      <c r="CA652" t="s">
        <v>185</v>
      </c>
      <c r="CC652" t="s">
        <v>80</v>
      </c>
      <c r="CD652">
        <v>6001</v>
      </c>
      <c r="CE652" t="s">
        <v>88</v>
      </c>
      <c r="CF652" s="3">
        <v>43808</v>
      </c>
      <c r="CI652">
        <v>1</v>
      </c>
      <c r="CJ652">
        <v>1</v>
      </c>
      <c r="CK652">
        <v>21</v>
      </c>
      <c r="CL652" t="s">
        <v>89</v>
      </c>
    </row>
    <row r="653" spans="1:90">
      <c r="A653" t="s">
        <v>72</v>
      </c>
      <c r="B653" t="s">
        <v>73</v>
      </c>
      <c r="C653" t="s">
        <v>74</v>
      </c>
      <c r="E653" t="str">
        <f>"FES1162727124"</f>
        <v>FES1162727124</v>
      </c>
      <c r="F653" s="3">
        <v>43804</v>
      </c>
      <c r="G653">
        <v>202006</v>
      </c>
      <c r="H653" t="s">
        <v>75</v>
      </c>
      <c r="I653" t="s">
        <v>76</v>
      </c>
      <c r="J653" t="s">
        <v>77</v>
      </c>
      <c r="K653" t="s">
        <v>78</v>
      </c>
      <c r="L653" t="s">
        <v>201</v>
      </c>
      <c r="M653" t="s">
        <v>202</v>
      </c>
      <c r="N653" t="s">
        <v>511</v>
      </c>
      <c r="O653" t="s">
        <v>82</v>
      </c>
      <c r="P653" t="str">
        <f>"2170720592                    "</f>
        <v xml:space="preserve">2170720592                    </v>
      </c>
      <c r="Q653">
        <v>0</v>
      </c>
      <c r="R653">
        <v>0</v>
      </c>
      <c r="S653">
        <v>0</v>
      </c>
      <c r="T653">
        <v>0</v>
      </c>
      <c r="U653">
        <v>0</v>
      </c>
      <c r="V653">
        <v>0</v>
      </c>
      <c r="W653">
        <v>0</v>
      </c>
      <c r="X653">
        <v>0</v>
      </c>
      <c r="Y653">
        <v>0</v>
      </c>
      <c r="Z653">
        <v>0</v>
      </c>
      <c r="AA653">
        <v>0</v>
      </c>
      <c r="AB653">
        <v>0</v>
      </c>
      <c r="AC653">
        <v>0</v>
      </c>
      <c r="AD653">
        <v>0</v>
      </c>
      <c r="AE653">
        <v>0</v>
      </c>
      <c r="AF653">
        <v>0</v>
      </c>
      <c r="AG653">
        <v>0</v>
      </c>
      <c r="AH653">
        <v>0</v>
      </c>
      <c r="AI653">
        <v>0</v>
      </c>
      <c r="AJ653">
        <v>0</v>
      </c>
      <c r="AK653">
        <v>0</v>
      </c>
      <c r="AL653">
        <v>0</v>
      </c>
      <c r="AM653">
        <v>27.88</v>
      </c>
      <c r="AN653">
        <v>0</v>
      </c>
      <c r="AO653">
        <v>0</v>
      </c>
      <c r="AP653">
        <v>0</v>
      </c>
      <c r="AQ653">
        <v>0</v>
      </c>
      <c r="AR653">
        <v>0</v>
      </c>
      <c r="AS653">
        <v>0</v>
      </c>
      <c r="AT653">
        <v>0</v>
      </c>
      <c r="AU653">
        <v>0</v>
      </c>
      <c r="AV653">
        <v>0</v>
      </c>
      <c r="AW653">
        <v>0</v>
      </c>
      <c r="AX653">
        <v>0</v>
      </c>
      <c r="AY653">
        <v>0</v>
      </c>
      <c r="AZ653">
        <v>0</v>
      </c>
      <c r="BA653">
        <v>0</v>
      </c>
      <c r="BB653">
        <v>0</v>
      </c>
      <c r="BC653">
        <v>0</v>
      </c>
      <c r="BD653">
        <v>0</v>
      </c>
      <c r="BE653">
        <v>0</v>
      </c>
      <c r="BF653">
        <v>0</v>
      </c>
      <c r="BG653">
        <v>0</v>
      </c>
      <c r="BH653">
        <v>1</v>
      </c>
      <c r="BI653">
        <v>6.1</v>
      </c>
      <c r="BJ653">
        <v>3.5</v>
      </c>
      <c r="BK653">
        <v>6.5</v>
      </c>
      <c r="BL653" s="4">
        <v>163.89</v>
      </c>
      <c r="BM653" s="4">
        <v>24.58</v>
      </c>
      <c r="BN653" s="4">
        <v>188.47</v>
      </c>
      <c r="BO653" s="4">
        <v>188.47</v>
      </c>
      <c r="BQ653" t="s">
        <v>93</v>
      </c>
      <c r="BR653" t="s">
        <v>84</v>
      </c>
      <c r="BS653" s="3">
        <v>43805</v>
      </c>
      <c r="BT653" s="5">
        <v>0.41111111111111115</v>
      </c>
      <c r="BU653" t="s">
        <v>512</v>
      </c>
      <c r="BV653" t="s">
        <v>86</v>
      </c>
      <c r="BY653">
        <v>17279.36</v>
      </c>
      <c r="CA653" t="s">
        <v>288</v>
      </c>
      <c r="CC653" t="s">
        <v>202</v>
      </c>
      <c r="CD653">
        <v>3610</v>
      </c>
      <c r="CE653" t="s">
        <v>96</v>
      </c>
      <c r="CF653" s="3">
        <v>43808</v>
      </c>
      <c r="CI653">
        <v>1</v>
      </c>
      <c r="CJ653">
        <v>1</v>
      </c>
      <c r="CK653">
        <v>21</v>
      </c>
      <c r="CL653" t="s">
        <v>89</v>
      </c>
    </row>
    <row r="654" spans="1:90">
      <c r="A654" t="s">
        <v>72</v>
      </c>
      <c r="B654" t="s">
        <v>73</v>
      </c>
      <c r="C654" t="s">
        <v>74</v>
      </c>
      <c r="E654" t="str">
        <f>"FES1162727067"</f>
        <v>FES1162727067</v>
      </c>
      <c r="F654" s="3">
        <v>43804</v>
      </c>
      <c r="G654">
        <v>202006</v>
      </c>
      <c r="H654" t="s">
        <v>75</v>
      </c>
      <c r="I654" t="s">
        <v>76</v>
      </c>
      <c r="J654" t="s">
        <v>77</v>
      </c>
      <c r="K654" t="s">
        <v>78</v>
      </c>
      <c r="L654" t="s">
        <v>198</v>
      </c>
      <c r="M654" t="s">
        <v>199</v>
      </c>
      <c r="N654" t="s">
        <v>1128</v>
      </c>
      <c r="O654" t="s">
        <v>82</v>
      </c>
      <c r="P654" t="str">
        <f>"2170715934                    "</f>
        <v xml:space="preserve">2170715934                    </v>
      </c>
      <c r="Q654">
        <v>0</v>
      </c>
      <c r="R654">
        <v>0</v>
      </c>
      <c r="S654">
        <v>0</v>
      </c>
      <c r="T654">
        <v>0</v>
      </c>
      <c r="U654">
        <v>0</v>
      </c>
      <c r="V654">
        <v>0</v>
      </c>
      <c r="W654">
        <v>0</v>
      </c>
      <c r="X654">
        <v>0</v>
      </c>
      <c r="Y654">
        <v>0</v>
      </c>
      <c r="Z654">
        <v>0</v>
      </c>
      <c r="AA654">
        <v>0</v>
      </c>
      <c r="AB654">
        <v>0</v>
      </c>
      <c r="AC654">
        <v>0</v>
      </c>
      <c r="AD654">
        <v>0</v>
      </c>
      <c r="AE654">
        <v>0</v>
      </c>
      <c r="AF654">
        <v>0</v>
      </c>
      <c r="AG654">
        <v>0</v>
      </c>
      <c r="AH654">
        <v>0</v>
      </c>
      <c r="AI654">
        <v>0</v>
      </c>
      <c r="AJ654">
        <v>0</v>
      </c>
      <c r="AK654">
        <v>0</v>
      </c>
      <c r="AL654">
        <v>0</v>
      </c>
      <c r="AM654">
        <v>47.18</v>
      </c>
      <c r="AN654">
        <v>0</v>
      </c>
      <c r="AO654">
        <v>0</v>
      </c>
      <c r="AP654">
        <v>0</v>
      </c>
      <c r="AQ654">
        <v>0</v>
      </c>
      <c r="AR654">
        <v>0</v>
      </c>
      <c r="AS654">
        <v>0</v>
      </c>
      <c r="AT654">
        <v>0</v>
      </c>
      <c r="AU654">
        <v>0</v>
      </c>
      <c r="AV654">
        <v>0</v>
      </c>
      <c r="AW654">
        <v>0</v>
      </c>
      <c r="AX654">
        <v>0</v>
      </c>
      <c r="AY654">
        <v>0</v>
      </c>
      <c r="AZ654">
        <v>0</v>
      </c>
      <c r="BA654">
        <v>0</v>
      </c>
      <c r="BB654">
        <v>0</v>
      </c>
      <c r="BC654">
        <v>0</v>
      </c>
      <c r="BD654">
        <v>0</v>
      </c>
      <c r="BE654">
        <v>0</v>
      </c>
      <c r="BF654">
        <v>0</v>
      </c>
      <c r="BG654">
        <v>0</v>
      </c>
      <c r="BH654">
        <v>1</v>
      </c>
      <c r="BI654">
        <v>10.8</v>
      </c>
      <c r="BJ654">
        <v>8.1999999999999993</v>
      </c>
      <c r="BK654">
        <v>11</v>
      </c>
      <c r="BL654" s="4">
        <v>277.33</v>
      </c>
      <c r="BM654" s="4">
        <v>41.6</v>
      </c>
      <c r="BN654" s="4">
        <v>318.93</v>
      </c>
      <c r="BO654" s="4">
        <v>318.93</v>
      </c>
      <c r="BQ654" t="s">
        <v>277</v>
      </c>
      <c r="BR654" t="s">
        <v>84</v>
      </c>
      <c r="BS654" s="3">
        <v>43805</v>
      </c>
      <c r="BT654" s="5">
        <v>0.39374999999999999</v>
      </c>
      <c r="BU654" t="s">
        <v>1129</v>
      </c>
      <c r="BV654" t="s">
        <v>86</v>
      </c>
      <c r="BY654">
        <v>41082.14</v>
      </c>
      <c r="CA654" t="s">
        <v>1130</v>
      </c>
      <c r="CC654" t="s">
        <v>199</v>
      </c>
      <c r="CD654">
        <v>4022</v>
      </c>
      <c r="CE654" t="s">
        <v>116</v>
      </c>
      <c r="CF654" s="3">
        <v>43808</v>
      </c>
      <c r="CI654">
        <v>1</v>
      </c>
      <c r="CJ654">
        <v>1</v>
      </c>
      <c r="CK654">
        <v>21</v>
      </c>
      <c r="CL654" t="s">
        <v>89</v>
      </c>
    </row>
    <row r="655" spans="1:90">
      <c r="A655" t="s">
        <v>72</v>
      </c>
      <c r="B655" t="s">
        <v>73</v>
      </c>
      <c r="C655" t="s">
        <v>74</v>
      </c>
      <c r="E655" t="str">
        <f>"FES1162727059"</f>
        <v>FES1162727059</v>
      </c>
      <c r="F655" s="3">
        <v>43804</v>
      </c>
      <c r="G655">
        <v>202006</v>
      </c>
      <c r="H655" t="s">
        <v>75</v>
      </c>
      <c r="I655" t="s">
        <v>76</v>
      </c>
      <c r="J655" t="s">
        <v>77</v>
      </c>
      <c r="K655" t="s">
        <v>78</v>
      </c>
      <c r="L655" t="s">
        <v>201</v>
      </c>
      <c r="M655" t="s">
        <v>202</v>
      </c>
      <c r="N655" t="s">
        <v>345</v>
      </c>
      <c r="O655" t="s">
        <v>82</v>
      </c>
      <c r="P655" t="str">
        <f>"2170720534                    "</f>
        <v xml:space="preserve">2170720534                    </v>
      </c>
      <c r="Q655">
        <v>0</v>
      </c>
      <c r="R655">
        <v>0</v>
      </c>
      <c r="S655">
        <v>0</v>
      </c>
      <c r="T655">
        <v>0</v>
      </c>
      <c r="U655">
        <v>0</v>
      </c>
      <c r="V655">
        <v>0</v>
      </c>
      <c r="W655">
        <v>0</v>
      </c>
      <c r="X655">
        <v>0</v>
      </c>
      <c r="Y655">
        <v>0</v>
      </c>
      <c r="Z655">
        <v>0</v>
      </c>
      <c r="AA655">
        <v>0</v>
      </c>
      <c r="AB655">
        <v>0</v>
      </c>
      <c r="AC655">
        <v>0</v>
      </c>
      <c r="AD655">
        <v>0</v>
      </c>
      <c r="AE655">
        <v>0</v>
      </c>
      <c r="AF655">
        <v>0</v>
      </c>
      <c r="AG655">
        <v>0</v>
      </c>
      <c r="AH655">
        <v>0</v>
      </c>
      <c r="AI655">
        <v>0</v>
      </c>
      <c r="AJ655">
        <v>0</v>
      </c>
      <c r="AK655">
        <v>0</v>
      </c>
      <c r="AL655">
        <v>0</v>
      </c>
      <c r="AM655">
        <v>8.58</v>
      </c>
      <c r="AN655">
        <v>0</v>
      </c>
      <c r="AO655">
        <v>0</v>
      </c>
      <c r="AP655">
        <v>0</v>
      </c>
      <c r="AQ655">
        <v>0</v>
      </c>
      <c r="AR655">
        <v>0</v>
      </c>
      <c r="AS655">
        <v>0</v>
      </c>
      <c r="AT655">
        <v>0</v>
      </c>
      <c r="AU655">
        <v>0</v>
      </c>
      <c r="AV655">
        <v>0</v>
      </c>
      <c r="AW655">
        <v>0</v>
      </c>
      <c r="AX655">
        <v>0</v>
      </c>
      <c r="AY655">
        <v>0</v>
      </c>
      <c r="AZ655">
        <v>0</v>
      </c>
      <c r="BA655">
        <v>0</v>
      </c>
      <c r="BB655">
        <v>0</v>
      </c>
      <c r="BC655">
        <v>0</v>
      </c>
      <c r="BD655">
        <v>0</v>
      </c>
      <c r="BE655">
        <v>0</v>
      </c>
      <c r="BF655">
        <v>0</v>
      </c>
      <c r="BG655">
        <v>0</v>
      </c>
      <c r="BH655">
        <v>1</v>
      </c>
      <c r="BI655">
        <v>1</v>
      </c>
      <c r="BJ655">
        <v>0.2</v>
      </c>
      <c r="BK655">
        <v>1</v>
      </c>
      <c r="BL655" s="4">
        <v>50.45</v>
      </c>
      <c r="BM655" s="4">
        <v>7.57</v>
      </c>
      <c r="BN655" s="4">
        <v>58.02</v>
      </c>
      <c r="BO655" s="4">
        <v>58.02</v>
      </c>
      <c r="BQ655" t="s">
        <v>135</v>
      </c>
      <c r="BR655" t="s">
        <v>84</v>
      </c>
      <c r="BS655" s="3">
        <v>43805</v>
      </c>
      <c r="BT655" s="5">
        <v>0.35972222222222222</v>
      </c>
      <c r="BU655" t="s">
        <v>346</v>
      </c>
      <c r="BV655" t="s">
        <v>86</v>
      </c>
      <c r="BY655">
        <v>1200</v>
      </c>
      <c r="CA655" t="s">
        <v>288</v>
      </c>
      <c r="CC655" t="s">
        <v>202</v>
      </c>
      <c r="CD655">
        <v>3610</v>
      </c>
      <c r="CE655" t="s">
        <v>88</v>
      </c>
      <c r="CF655" s="3">
        <v>43808</v>
      </c>
      <c r="CI655">
        <v>1</v>
      </c>
      <c r="CJ655">
        <v>1</v>
      </c>
      <c r="CK655">
        <v>21</v>
      </c>
      <c r="CL655" t="s">
        <v>89</v>
      </c>
    </row>
    <row r="656" spans="1:90">
      <c r="A656" t="s">
        <v>72</v>
      </c>
      <c r="B656" t="s">
        <v>73</v>
      </c>
      <c r="C656" t="s">
        <v>74</v>
      </c>
      <c r="E656" t="str">
        <f>"FES1162727051"</f>
        <v>FES1162727051</v>
      </c>
      <c r="F656" s="3">
        <v>43804</v>
      </c>
      <c r="G656">
        <v>202006</v>
      </c>
      <c r="H656" t="s">
        <v>75</v>
      </c>
      <c r="I656" t="s">
        <v>76</v>
      </c>
      <c r="J656" t="s">
        <v>77</v>
      </c>
      <c r="K656" t="s">
        <v>78</v>
      </c>
      <c r="L656" t="s">
        <v>75</v>
      </c>
      <c r="M656" t="s">
        <v>76</v>
      </c>
      <c r="N656" t="s">
        <v>1131</v>
      </c>
      <c r="O656" t="s">
        <v>82</v>
      </c>
      <c r="P656" t="str">
        <f>"217071524                     "</f>
        <v xml:space="preserve">217071524                     </v>
      </c>
      <c r="Q656">
        <v>0</v>
      </c>
      <c r="R656">
        <v>0</v>
      </c>
      <c r="S656">
        <v>0</v>
      </c>
      <c r="T656">
        <v>0</v>
      </c>
      <c r="U656">
        <v>0</v>
      </c>
      <c r="V656">
        <v>0</v>
      </c>
      <c r="W656">
        <v>0</v>
      </c>
      <c r="X656">
        <v>0</v>
      </c>
      <c r="Y656">
        <v>0</v>
      </c>
      <c r="Z656">
        <v>0</v>
      </c>
      <c r="AA656">
        <v>0</v>
      </c>
      <c r="AB656">
        <v>0</v>
      </c>
      <c r="AC656">
        <v>0</v>
      </c>
      <c r="AD656">
        <v>0</v>
      </c>
      <c r="AE656">
        <v>0</v>
      </c>
      <c r="AF656">
        <v>0</v>
      </c>
      <c r="AG656">
        <v>0</v>
      </c>
      <c r="AH656">
        <v>0</v>
      </c>
      <c r="AI656">
        <v>0</v>
      </c>
      <c r="AJ656">
        <v>0</v>
      </c>
      <c r="AK656">
        <v>0</v>
      </c>
      <c r="AL656">
        <v>0</v>
      </c>
      <c r="AM656">
        <v>6.71</v>
      </c>
      <c r="AN656">
        <v>0</v>
      </c>
      <c r="AO656">
        <v>0</v>
      </c>
      <c r="AP656">
        <v>0</v>
      </c>
      <c r="AQ656">
        <v>0</v>
      </c>
      <c r="AR656">
        <v>0</v>
      </c>
      <c r="AS656">
        <v>0</v>
      </c>
      <c r="AT656">
        <v>0</v>
      </c>
      <c r="AU656">
        <v>0</v>
      </c>
      <c r="AV656">
        <v>0</v>
      </c>
      <c r="AW656">
        <v>0</v>
      </c>
      <c r="AX656">
        <v>0</v>
      </c>
      <c r="AY656">
        <v>0</v>
      </c>
      <c r="AZ656">
        <v>0</v>
      </c>
      <c r="BA656">
        <v>0</v>
      </c>
      <c r="BB656">
        <v>0</v>
      </c>
      <c r="BC656">
        <v>0</v>
      </c>
      <c r="BD656">
        <v>0</v>
      </c>
      <c r="BE656">
        <v>0</v>
      </c>
      <c r="BF656">
        <v>0</v>
      </c>
      <c r="BG656">
        <v>0</v>
      </c>
      <c r="BH656">
        <v>1</v>
      </c>
      <c r="BI656">
        <v>1</v>
      </c>
      <c r="BJ656">
        <v>0.2</v>
      </c>
      <c r="BK656">
        <v>1</v>
      </c>
      <c r="BL656" s="4">
        <v>39.42</v>
      </c>
      <c r="BM656" s="4">
        <v>5.91</v>
      </c>
      <c r="BN656" s="4">
        <v>45.33</v>
      </c>
      <c r="BO656" s="4">
        <v>45.33</v>
      </c>
      <c r="BQ656" t="s">
        <v>1132</v>
      </c>
      <c r="BR656" t="s">
        <v>84</v>
      </c>
      <c r="BS656" s="3">
        <v>43805</v>
      </c>
      <c r="BT656" s="5">
        <v>0.41666666666666669</v>
      </c>
      <c r="BU656" t="s">
        <v>705</v>
      </c>
      <c r="BV656" t="s">
        <v>86</v>
      </c>
      <c r="BY656">
        <v>1200</v>
      </c>
      <c r="CA656" t="s">
        <v>307</v>
      </c>
      <c r="CC656" t="s">
        <v>76</v>
      </c>
      <c r="CD656">
        <v>1609</v>
      </c>
      <c r="CE656" t="s">
        <v>88</v>
      </c>
      <c r="CF656" s="3">
        <v>43808</v>
      </c>
      <c r="CI656">
        <v>1</v>
      </c>
      <c r="CJ656">
        <v>1</v>
      </c>
      <c r="CK656">
        <v>22</v>
      </c>
      <c r="CL656" t="s">
        <v>89</v>
      </c>
    </row>
    <row r="657" spans="1:90">
      <c r="A657" t="s">
        <v>72</v>
      </c>
      <c r="B657" t="s">
        <v>73</v>
      </c>
      <c r="C657" t="s">
        <v>74</v>
      </c>
      <c r="E657" t="str">
        <f>"FES1162727047"</f>
        <v>FES1162727047</v>
      </c>
      <c r="F657" s="3">
        <v>43804</v>
      </c>
      <c r="G657">
        <v>202006</v>
      </c>
      <c r="H657" t="s">
        <v>75</v>
      </c>
      <c r="I657" t="s">
        <v>76</v>
      </c>
      <c r="J657" t="s">
        <v>77</v>
      </c>
      <c r="K657" t="s">
        <v>78</v>
      </c>
      <c r="L657" t="s">
        <v>332</v>
      </c>
      <c r="M657" t="s">
        <v>333</v>
      </c>
      <c r="N657" t="s">
        <v>1133</v>
      </c>
      <c r="O657" t="s">
        <v>82</v>
      </c>
      <c r="P657" t="str">
        <f>"2170710515                    "</f>
        <v xml:space="preserve">2170710515                    </v>
      </c>
      <c r="Q657">
        <v>0</v>
      </c>
      <c r="R657">
        <v>0</v>
      </c>
      <c r="S657">
        <v>0</v>
      </c>
      <c r="T657">
        <v>0</v>
      </c>
      <c r="U657">
        <v>0</v>
      </c>
      <c r="V657">
        <v>0</v>
      </c>
      <c r="W657">
        <v>0</v>
      </c>
      <c r="X657">
        <v>0</v>
      </c>
      <c r="Y657">
        <v>0</v>
      </c>
      <c r="Z657">
        <v>0</v>
      </c>
      <c r="AA657">
        <v>0</v>
      </c>
      <c r="AB657">
        <v>0</v>
      </c>
      <c r="AC657">
        <v>0</v>
      </c>
      <c r="AD657">
        <v>0</v>
      </c>
      <c r="AE657">
        <v>0</v>
      </c>
      <c r="AF657">
        <v>0</v>
      </c>
      <c r="AG657">
        <v>0</v>
      </c>
      <c r="AH657">
        <v>0</v>
      </c>
      <c r="AI657">
        <v>0</v>
      </c>
      <c r="AJ657">
        <v>0</v>
      </c>
      <c r="AK657">
        <v>0</v>
      </c>
      <c r="AL657">
        <v>0</v>
      </c>
      <c r="AM657">
        <v>13.94</v>
      </c>
      <c r="AN657">
        <v>0</v>
      </c>
      <c r="AO657">
        <v>0</v>
      </c>
      <c r="AP657">
        <v>0</v>
      </c>
      <c r="AQ657">
        <v>0</v>
      </c>
      <c r="AR657">
        <v>0</v>
      </c>
      <c r="AS657">
        <v>0</v>
      </c>
      <c r="AT657">
        <v>0</v>
      </c>
      <c r="AU657">
        <v>0</v>
      </c>
      <c r="AV657">
        <v>0</v>
      </c>
      <c r="AW657">
        <v>0</v>
      </c>
      <c r="AX657">
        <v>0</v>
      </c>
      <c r="AY657">
        <v>0</v>
      </c>
      <c r="AZ657">
        <v>0</v>
      </c>
      <c r="BA657">
        <v>0</v>
      </c>
      <c r="BB657">
        <v>0</v>
      </c>
      <c r="BC657">
        <v>0</v>
      </c>
      <c r="BD657">
        <v>0</v>
      </c>
      <c r="BE657">
        <v>0</v>
      </c>
      <c r="BF657">
        <v>0</v>
      </c>
      <c r="BG657">
        <v>0</v>
      </c>
      <c r="BH657">
        <v>1</v>
      </c>
      <c r="BI657">
        <v>4.4000000000000004</v>
      </c>
      <c r="BJ657">
        <v>6.4</v>
      </c>
      <c r="BK657">
        <v>6.5</v>
      </c>
      <c r="BL657" s="4">
        <v>81.93</v>
      </c>
      <c r="BM657" s="4">
        <v>12.29</v>
      </c>
      <c r="BN657" s="4">
        <v>94.22</v>
      </c>
      <c r="BO657" s="4">
        <v>94.22</v>
      </c>
      <c r="BQ657" t="s">
        <v>1134</v>
      </c>
      <c r="BR657" t="s">
        <v>84</v>
      </c>
      <c r="BS657" s="3">
        <v>43805</v>
      </c>
      <c r="BT657" s="5">
        <v>0.36180555555555555</v>
      </c>
      <c r="BU657" t="s">
        <v>1135</v>
      </c>
      <c r="BV657" t="s">
        <v>86</v>
      </c>
      <c r="BY657">
        <v>32040.36</v>
      </c>
      <c r="CC657" t="s">
        <v>333</v>
      </c>
      <c r="CD657">
        <v>2094</v>
      </c>
      <c r="CE657" t="s">
        <v>116</v>
      </c>
      <c r="CF657" s="3">
        <v>43808</v>
      </c>
      <c r="CI657">
        <v>1</v>
      </c>
      <c r="CJ657">
        <v>1</v>
      </c>
      <c r="CK657">
        <v>22</v>
      </c>
      <c r="CL657" t="s">
        <v>89</v>
      </c>
    </row>
    <row r="658" spans="1:90">
      <c r="A658" t="s">
        <v>72</v>
      </c>
      <c r="B658" t="s">
        <v>73</v>
      </c>
      <c r="C658" t="s">
        <v>74</v>
      </c>
      <c r="E658" t="str">
        <f>"FES1162727048"</f>
        <v>FES1162727048</v>
      </c>
      <c r="F658" s="3">
        <v>43804</v>
      </c>
      <c r="G658">
        <v>202006</v>
      </c>
      <c r="H658" t="s">
        <v>75</v>
      </c>
      <c r="I658" t="s">
        <v>76</v>
      </c>
      <c r="J658" t="s">
        <v>77</v>
      </c>
      <c r="K658" t="s">
        <v>78</v>
      </c>
      <c r="L658" t="s">
        <v>90</v>
      </c>
      <c r="M658" t="s">
        <v>91</v>
      </c>
      <c r="N658" t="s">
        <v>1136</v>
      </c>
      <c r="O658" t="s">
        <v>82</v>
      </c>
      <c r="P658" t="str">
        <f>"217070518                     "</f>
        <v xml:space="preserve">217070518                     </v>
      </c>
      <c r="Q658">
        <v>0</v>
      </c>
      <c r="R658">
        <v>0</v>
      </c>
      <c r="S658">
        <v>0</v>
      </c>
      <c r="T658">
        <v>0</v>
      </c>
      <c r="U658">
        <v>0</v>
      </c>
      <c r="V658">
        <v>0</v>
      </c>
      <c r="W658">
        <v>0</v>
      </c>
      <c r="X658">
        <v>0</v>
      </c>
      <c r="Y658">
        <v>0</v>
      </c>
      <c r="Z658">
        <v>0</v>
      </c>
      <c r="AA658">
        <v>0</v>
      </c>
      <c r="AB658">
        <v>0</v>
      </c>
      <c r="AC658">
        <v>0</v>
      </c>
      <c r="AD658">
        <v>0</v>
      </c>
      <c r="AE658">
        <v>0</v>
      </c>
      <c r="AF658">
        <v>0</v>
      </c>
      <c r="AG658">
        <v>0</v>
      </c>
      <c r="AH658">
        <v>0</v>
      </c>
      <c r="AI658">
        <v>0</v>
      </c>
      <c r="AJ658">
        <v>0</v>
      </c>
      <c r="AK658">
        <v>0</v>
      </c>
      <c r="AL658">
        <v>0</v>
      </c>
      <c r="AM658">
        <v>8.58</v>
      </c>
      <c r="AN658">
        <v>0</v>
      </c>
      <c r="AO658">
        <v>0</v>
      </c>
      <c r="AP658">
        <v>0</v>
      </c>
      <c r="AQ658">
        <v>0</v>
      </c>
      <c r="AR658">
        <v>0</v>
      </c>
      <c r="AS658">
        <v>0</v>
      </c>
      <c r="AT658">
        <v>0</v>
      </c>
      <c r="AU658">
        <v>0</v>
      </c>
      <c r="AV658">
        <v>0</v>
      </c>
      <c r="AW658">
        <v>0</v>
      </c>
      <c r="AX658">
        <v>0</v>
      </c>
      <c r="AY658">
        <v>0</v>
      </c>
      <c r="AZ658">
        <v>0</v>
      </c>
      <c r="BA658">
        <v>0</v>
      </c>
      <c r="BB658">
        <v>0</v>
      </c>
      <c r="BC658">
        <v>0</v>
      </c>
      <c r="BD658">
        <v>0</v>
      </c>
      <c r="BE658">
        <v>0</v>
      </c>
      <c r="BF658">
        <v>0</v>
      </c>
      <c r="BG658">
        <v>0</v>
      </c>
      <c r="BH658">
        <v>1</v>
      </c>
      <c r="BI658">
        <v>1</v>
      </c>
      <c r="BJ658">
        <v>0.2</v>
      </c>
      <c r="BK658">
        <v>1</v>
      </c>
      <c r="BL658" s="4">
        <v>50.45</v>
      </c>
      <c r="BM658" s="4">
        <v>7.57</v>
      </c>
      <c r="BN658" s="4">
        <v>58.02</v>
      </c>
      <c r="BO658" s="4">
        <v>58.02</v>
      </c>
      <c r="BQ658" t="s">
        <v>147</v>
      </c>
      <c r="BR658" t="s">
        <v>84</v>
      </c>
      <c r="BS658" s="3">
        <v>43805</v>
      </c>
      <c r="BT658" s="5">
        <v>0.41736111111111113</v>
      </c>
      <c r="BU658" t="s">
        <v>1137</v>
      </c>
      <c r="BV658" t="s">
        <v>86</v>
      </c>
      <c r="BY658">
        <v>1200</v>
      </c>
      <c r="CA658" t="s">
        <v>1138</v>
      </c>
      <c r="CC658" t="s">
        <v>91</v>
      </c>
      <c r="CD658">
        <v>7441</v>
      </c>
      <c r="CE658" t="s">
        <v>88</v>
      </c>
      <c r="CF658" s="3">
        <v>43808</v>
      </c>
      <c r="CI658">
        <v>1</v>
      </c>
      <c r="CJ658">
        <v>1</v>
      </c>
      <c r="CK658">
        <v>21</v>
      </c>
      <c r="CL658" t="s">
        <v>89</v>
      </c>
    </row>
    <row r="659" spans="1:90">
      <c r="A659" t="s">
        <v>72</v>
      </c>
      <c r="B659" t="s">
        <v>73</v>
      </c>
      <c r="C659" t="s">
        <v>74</v>
      </c>
      <c r="E659" t="str">
        <f>"FES1162727040"</f>
        <v>FES1162727040</v>
      </c>
      <c r="F659" s="3">
        <v>43804</v>
      </c>
      <c r="G659">
        <v>202006</v>
      </c>
      <c r="H659" t="s">
        <v>75</v>
      </c>
      <c r="I659" t="s">
        <v>76</v>
      </c>
      <c r="J659" t="s">
        <v>77</v>
      </c>
      <c r="K659" t="s">
        <v>78</v>
      </c>
      <c r="L659" t="s">
        <v>75</v>
      </c>
      <c r="M659" t="s">
        <v>76</v>
      </c>
      <c r="N659" t="s">
        <v>1139</v>
      </c>
      <c r="O659" t="s">
        <v>82</v>
      </c>
      <c r="P659" t="str">
        <f>"2170710506                    "</f>
        <v xml:space="preserve">2170710506                    </v>
      </c>
      <c r="Q659">
        <v>0</v>
      </c>
      <c r="R659">
        <v>0</v>
      </c>
      <c r="S659">
        <v>0</v>
      </c>
      <c r="T659">
        <v>0</v>
      </c>
      <c r="U659">
        <v>0</v>
      </c>
      <c r="V659">
        <v>0</v>
      </c>
      <c r="W659">
        <v>0</v>
      </c>
      <c r="X659">
        <v>0</v>
      </c>
      <c r="Y659">
        <v>0</v>
      </c>
      <c r="Z659">
        <v>0</v>
      </c>
      <c r="AA659">
        <v>0</v>
      </c>
      <c r="AB659">
        <v>0</v>
      </c>
      <c r="AC659">
        <v>0</v>
      </c>
      <c r="AD659">
        <v>0</v>
      </c>
      <c r="AE659">
        <v>0</v>
      </c>
      <c r="AF659">
        <v>0</v>
      </c>
      <c r="AG659">
        <v>0</v>
      </c>
      <c r="AH659">
        <v>0</v>
      </c>
      <c r="AI659">
        <v>0</v>
      </c>
      <c r="AJ659">
        <v>0</v>
      </c>
      <c r="AK659">
        <v>0</v>
      </c>
      <c r="AL659">
        <v>0</v>
      </c>
      <c r="AM659">
        <v>6.71</v>
      </c>
      <c r="AN659">
        <v>0</v>
      </c>
      <c r="AO659">
        <v>0</v>
      </c>
      <c r="AP659">
        <v>0</v>
      </c>
      <c r="AQ659">
        <v>0</v>
      </c>
      <c r="AR659">
        <v>0</v>
      </c>
      <c r="AS659">
        <v>0</v>
      </c>
      <c r="AT659">
        <v>0</v>
      </c>
      <c r="AU659">
        <v>0</v>
      </c>
      <c r="AV659">
        <v>0</v>
      </c>
      <c r="AW659">
        <v>0</v>
      </c>
      <c r="AX659">
        <v>0</v>
      </c>
      <c r="AY659">
        <v>0</v>
      </c>
      <c r="AZ659">
        <v>0</v>
      </c>
      <c r="BA659">
        <v>0</v>
      </c>
      <c r="BB659">
        <v>0</v>
      </c>
      <c r="BC659">
        <v>0</v>
      </c>
      <c r="BD659">
        <v>0</v>
      </c>
      <c r="BE659">
        <v>0</v>
      </c>
      <c r="BF659">
        <v>0</v>
      </c>
      <c r="BG659">
        <v>0</v>
      </c>
      <c r="BH659">
        <v>1</v>
      </c>
      <c r="BI659">
        <v>1</v>
      </c>
      <c r="BJ659">
        <v>0.2</v>
      </c>
      <c r="BK659">
        <v>1</v>
      </c>
      <c r="BL659" s="4">
        <v>39.42</v>
      </c>
      <c r="BM659" s="4">
        <v>5.91</v>
      </c>
      <c r="BN659" s="4">
        <v>45.33</v>
      </c>
      <c r="BO659" s="4">
        <v>45.33</v>
      </c>
      <c r="BR659" t="s">
        <v>84</v>
      </c>
      <c r="BS659" s="3">
        <v>43805</v>
      </c>
      <c r="BT659" s="5">
        <v>0.39374999999999999</v>
      </c>
      <c r="BU659" t="s">
        <v>1140</v>
      </c>
      <c r="BV659" t="s">
        <v>86</v>
      </c>
      <c r="BY659">
        <v>1200</v>
      </c>
      <c r="CA659" t="s">
        <v>661</v>
      </c>
      <c r="CC659" t="s">
        <v>76</v>
      </c>
      <c r="CD659">
        <v>1609</v>
      </c>
      <c r="CE659" t="s">
        <v>88</v>
      </c>
      <c r="CF659" s="3">
        <v>43808</v>
      </c>
      <c r="CI659">
        <v>1</v>
      </c>
      <c r="CJ659">
        <v>1</v>
      </c>
      <c r="CK659">
        <v>22</v>
      </c>
      <c r="CL659" t="s">
        <v>89</v>
      </c>
    </row>
    <row r="660" spans="1:90">
      <c r="A660" t="s">
        <v>72</v>
      </c>
      <c r="B660" t="s">
        <v>73</v>
      </c>
      <c r="C660" t="s">
        <v>74</v>
      </c>
      <c r="E660" t="str">
        <f>"FES1162727132"</f>
        <v>FES1162727132</v>
      </c>
      <c r="F660" s="3">
        <v>43804</v>
      </c>
      <c r="G660">
        <v>202006</v>
      </c>
      <c r="H660" t="s">
        <v>75</v>
      </c>
      <c r="I660" t="s">
        <v>76</v>
      </c>
      <c r="J660" t="s">
        <v>77</v>
      </c>
      <c r="K660" t="s">
        <v>78</v>
      </c>
      <c r="L660" t="s">
        <v>198</v>
      </c>
      <c r="M660" t="s">
        <v>199</v>
      </c>
      <c r="N660" t="s">
        <v>424</v>
      </c>
      <c r="O660" t="s">
        <v>82</v>
      </c>
      <c r="P660" t="str">
        <f>"2170710620                    "</f>
        <v xml:space="preserve">2170710620                    </v>
      </c>
      <c r="Q660">
        <v>0</v>
      </c>
      <c r="R660">
        <v>0</v>
      </c>
      <c r="S660">
        <v>0</v>
      </c>
      <c r="T660">
        <v>0</v>
      </c>
      <c r="U660">
        <v>0</v>
      </c>
      <c r="V660">
        <v>0</v>
      </c>
      <c r="W660">
        <v>0</v>
      </c>
      <c r="X660">
        <v>0</v>
      </c>
      <c r="Y660">
        <v>0</v>
      </c>
      <c r="Z660">
        <v>0</v>
      </c>
      <c r="AA660">
        <v>0</v>
      </c>
      <c r="AB660">
        <v>0</v>
      </c>
      <c r="AC660">
        <v>0</v>
      </c>
      <c r="AD660">
        <v>0</v>
      </c>
      <c r="AE660">
        <v>0</v>
      </c>
      <c r="AF660">
        <v>0</v>
      </c>
      <c r="AG660">
        <v>0</v>
      </c>
      <c r="AH660">
        <v>0</v>
      </c>
      <c r="AI660">
        <v>0</v>
      </c>
      <c r="AJ660">
        <v>0</v>
      </c>
      <c r="AK660">
        <v>0</v>
      </c>
      <c r="AL660">
        <v>0</v>
      </c>
      <c r="AM660">
        <v>8.58</v>
      </c>
      <c r="AN660">
        <v>0</v>
      </c>
      <c r="AO660">
        <v>0</v>
      </c>
      <c r="AP660">
        <v>0</v>
      </c>
      <c r="AQ660">
        <v>0</v>
      </c>
      <c r="AR660">
        <v>0</v>
      </c>
      <c r="AS660">
        <v>0</v>
      </c>
      <c r="AT660">
        <v>0</v>
      </c>
      <c r="AU660">
        <v>0</v>
      </c>
      <c r="AV660">
        <v>0</v>
      </c>
      <c r="AW660">
        <v>0</v>
      </c>
      <c r="AX660">
        <v>0</v>
      </c>
      <c r="AY660">
        <v>0</v>
      </c>
      <c r="AZ660">
        <v>0</v>
      </c>
      <c r="BA660">
        <v>0</v>
      </c>
      <c r="BB660">
        <v>0</v>
      </c>
      <c r="BC660">
        <v>0</v>
      </c>
      <c r="BD660">
        <v>0</v>
      </c>
      <c r="BE660">
        <v>0</v>
      </c>
      <c r="BF660">
        <v>0</v>
      </c>
      <c r="BG660">
        <v>0</v>
      </c>
      <c r="BH660">
        <v>1</v>
      </c>
      <c r="BI660">
        <v>0.5</v>
      </c>
      <c r="BJ660">
        <v>1</v>
      </c>
      <c r="BK660">
        <v>1</v>
      </c>
      <c r="BL660" s="4">
        <v>50.45</v>
      </c>
      <c r="BM660" s="4">
        <v>7.57</v>
      </c>
      <c r="BN660" s="4">
        <v>58.02</v>
      </c>
      <c r="BO660" s="4">
        <v>58.02</v>
      </c>
      <c r="BQ660" t="s">
        <v>147</v>
      </c>
      <c r="BR660" t="s">
        <v>84</v>
      </c>
      <c r="BS660" s="3">
        <v>43805</v>
      </c>
      <c r="BT660" s="5">
        <v>0.39374999999999999</v>
      </c>
      <c r="BU660" t="s">
        <v>1141</v>
      </c>
      <c r="BV660" t="s">
        <v>86</v>
      </c>
      <c r="BY660">
        <v>4769.37</v>
      </c>
      <c r="CA660" t="s">
        <v>270</v>
      </c>
      <c r="CC660" t="s">
        <v>199</v>
      </c>
      <c r="CD660">
        <v>4001</v>
      </c>
      <c r="CE660" t="s">
        <v>96</v>
      </c>
      <c r="CF660" s="3">
        <v>43808</v>
      </c>
      <c r="CI660">
        <v>1</v>
      </c>
      <c r="CJ660">
        <v>1</v>
      </c>
      <c r="CK660">
        <v>21</v>
      </c>
      <c r="CL660" t="s">
        <v>89</v>
      </c>
    </row>
    <row r="661" spans="1:90">
      <c r="A661" t="s">
        <v>72</v>
      </c>
      <c r="B661" t="s">
        <v>73</v>
      </c>
      <c r="C661" t="s">
        <v>74</v>
      </c>
      <c r="E661" t="str">
        <f>"FES1162727122"</f>
        <v>FES1162727122</v>
      </c>
      <c r="F661" s="3">
        <v>43804</v>
      </c>
      <c r="G661">
        <v>202006</v>
      </c>
      <c r="H661" t="s">
        <v>75</v>
      </c>
      <c r="I661" t="s">
        <v>76</v>
      </c>
      <c r="J661" t="s">
        <v>77</v>
      </c>
      <c r="K661" t="s">
        <v>78</v>
      </c>
      <c r="L661" t="s">
        <v>198</v>
      </c>
      <c r="M661" t="s">
        <v>199</v>
      </c>
      <c r="N661" t="s">
        <v>639</v>
      </c>
      <c r="O661" t="s">
        <v>82</v>
      </c>
      <c r="P661" t="str">
        <f>"21707150583                   "</f>
        <v xml:space="preserve">21707150583                   </v>
      </c>
      <c r="Q661">
        <v>0</v>
      </c>
      <c r="R661">
        <v>0</v>
      </c>
      <c r="S661">
        <v>0</v>
      </c>
      <c r="T661">
        <v>0</v>
      </c>
      <c r="U661">
        <v>0</v>
      </c>
      <c r="V661">
        <v>0</v>
      </c>
      <c r="W661">
        <v>0</v>
      </c>
      <c r="X661">
        <v>0</v>
      </c>
      <c r="Y661">
        <v>0</v>
      </c>
      <c r="Z661">
        <v>0</v>
      </c>
      <c r="AA661">
        <v>0</v>
      </c>
      <c r="AB661">
        <v>0</v>
      </c>
      <c r="AC661">
        <v>0</v>
      </c>
      <c r="AD661">
        <v>0</v>
      </c>
      <c r="AE661">
        <v>0</v>
      </c>
      <c r="AF661">
        <v>0</v>
      </c>
      <c r="AG661">
        <v>0</v>
      </c>
      <c r="AH661">
        <v>0</v>
      </c>
      <c r="AI661">
        <v>0</v>
      </c>
      <c r="AJ661">
        <v>0</v>
      </c>
      <c r="AK661">
        <v>0</v>
      </c>
      <c r="AL661">
        <v>0</v>
      </c>
      <c r="AM661">
        <v>8.58</v>
      </c>
      <c r="AN661">
        <v>0</v>
      </c>
      <c r="AO661">
        <v>0</v>
      </c>
      <c r="AP661">
        <v>0</v>
      </c>
      <c r="AQ661">
        <v>0</v>
      </c>
      <c r="AR661">
        <v>0</v>
      </c>
      <c r="AS661">
        <v>0</v>
      </c>
      <c r="AT661">
        <v>0</v>
      </c>
      <c r="AU661">
        <v>0</v>
      </c>
      <c r="AV661">
        <v>0</v>
      </c>
      <c r="AW661">
        <v>0</v>
      </c>
      <c r="AX661">
        <v>0</v>
      </c>
      <c r="AY661">
        <v>0</v>
      </c>
      <c r="AZ661">
        <v>0</v>
      </c>
      <c r="BA661">
        <v>0</v>
      </c>
      <c r="BB661">
        <v>0</v>
      </c>
      <c r="BC661">
        <v>0</v>
      </c>
      <c r="BD661">
        <v>0</v>
      </c>
      <c r="BE661">
        <v>0</v>
      </c>
      <c r="BF661">
        <v>0</v>
      </c>
      <c r="BG661">
        <v>0</v>
      </c>
      <c r="BH661">
        <v>1</v>
      </c>
      <c r="BI661">
        <v>1</v>
      </c>
      <c r="BJ661">
        <v>0.2</v>
      </c>
      <c r="BK661">
        <v>1</v>
      </c>
      <c r="BL661" s="4">
        <v>50.45</v>
      </c>
      <c r="BM661" s="4">
        <v>7.57</v>
      </c>
      <c r="BN661" s="4">
        <v>58.02</v>
      </c>
      <c r="BO661" s="4">
        <v>58.02</v>
      </c>
      <c r="BQ661" t="s">
        <v>640</v>
      </c>
      <c r="BR661" t="s">
        <v>84</v>
      </c>
      <c r="BS661" s="3">
        <v>43805</v>
      </c>
      <c r="BT661" s="5">
        <v>0.32708333333333334</v>
      </c>
      <c r="BU661" t="s">
        <v>641</v>
      </c>
      <c r="BV661" t="s">
        <v>86</v>
      </c>
      <c r="BY661">
        <v>1200</v>
      </c>
      <c r="CA661" t="s">
        <v>408</v>
      </c>
      <c r="CC661" t="s">
        <v>199</v>
      </c>
      <c r="CD661">
        <v>4052</v>
      </c>
      <c r="CE661" t="s">
        <v>88</v>
      </c>
      <c r="CF661" s="3">
        <v>43808</v>
      </c>
      <c r="CI661">
        <v>1</v>
      </c>
      <c r="CJ661">
        <v>1</v>
      </c>
      <c r="CK661">
        <v>21</v>
      </c>
      <c r="CL661" t="s">
        <v>89</v>
      </c>
    </row>
    <row r="662" spans="1:90">
      <c r="A662" t="s">
        <v>72</v>
      </c>
      <c r="B662" t="s">
        <v>73</v>
      </c>
      <c r="C662" t="s">
        <v>74</v>
      </c>
      <c r="E662" t="str">
        <f>"FES1162727091"</f>
        <v>FES1162727091</v>
      </c>
      <c r="F662" s="3">
        <v>43804</v>
      </c>
      <c r="G662">
        <v>202006</v>
      </c>
      <c r="H662" t="s">
        <v>75</v>
      </c>
      <c r="I662" t="s">
        <v>76</v>
      </c>
      <c r="J662" t="s">
        <v>77</v>
      </c>
      <c r="K662" t="s">
        <v>78</v>
      </c>
      <c r="L662" t="s">
        <v>138</v>
      </c>
      <c r="M662" t="s">
        <v>139</v>
      </c>
      <c r="N662" t="s">
        <v>377</v>
      </c>
      <c r="O662" t="s">
        <v>82</v>
      </c>
      <c r="P662" t="str">
        <f>"2170720559                    "</f>
        <v xml:space="preserve">2170720559                    </v>
      </c>
      <c r="Q662">
        <v>0</v>
      </c>
      <c r="R662">
        <v>0</v>
      </c>
      <c r="S662">
        <v>0</v>
      </c>
      <c r="T662">
        <v>0</v>
      </c>
      <c r="U662">
        <v>0</v>
      </c>
      <c r="V662">
        <v>0</v>
      </c>
      <c r="W662">
        <v>0</v>
      </c>
      <c r="X662">
        <v>0</v>
      </c>
      <c r="Y662">
        <v>0</v>
      </c>
      <c r="Z662">
        <v>0</v>
      </c>
      <c r="AA662">
        <v>0</v>
      </c>
      <c r="AB662">
        <v>0</v>
      </c>
      <c r="AC662">
        <v>0</v>
      </c>
      <c r="AD662">
        <v>0</v>
      </c>
      <c r="AE662">
        <v>0</v>
      </c>
      <c r="AF662">
        <v>0</v>
      </c>
      <c r="AG662">
        <v>0</v>
      </c>
      <c r="AH662">
        <v>0</v>
      </c>
      <c r="AI662">
        <v>0</v>
      </c>
      <c r="AJ662">
        <v>0</v>
      </c>
      <c r="AK662">
        <v>0</v>
      </c>
      <c r="AL662">
        <v>0</v>
      </c>
      <c r="AM662">
        <v>6.71</v>
      </c>
      <c r="AN662">
        <v>0</v>
      </c>
      <c r="AO662">
        <v>0</v>
      </c>
      <c r="AP662">
        <v>0</v>
      </c>
      <c r="AQ662">
        <v>0</v>
      </c>
      <c r="AR662">
        <v>0</v>
      </c>
      <c r="AS662">
        <v>0</v>
      </c>
      <c r="AT662">
        <v>0</v>
      </c>
      <c r="AU662">
        <v>0</v>
      </c>
      <c r="AV662">
        <v>0</v>
      </c>
      <c r="AW662">
        <v>0</v>
      </c>
      <c r="AX662">
        <v>0</v>
      </c>
      <c r="AY662">
        <v>0</v>
      </c>
      <c r="AZ662">
        <v>0</v>
      </c>
      <c r="BA662">
        <v>0</v>
      </c>
      <c r="BB662">
        <v>0</v>
      </c>
      <c r="BC662">
        <v>0</v>
      </c>
      <c r="BD662">
        <v>0</v>
      </c>
      <c r="BE662">
        <v>0</v>
      </c>
      <c r="BF662">
        <v>0</v>
      </c>
      <c r="BG662">
        <v>0</v>
      </c>
      <c r="BH662">
        <v>1</v>
      </c>
      <c r="BI662">
        <v>1</v>
      </c>
      <c r="BJ662">
        <v>0.2</v>
      </c>
      <c r="BK662">
        <v>1</v>
      </c>
      <c r="BL662" s="4">
        <v>39.42</v>
      </c>
      <c r="BM662" s="4">
        <v>5.91</v>
      </c>
      <c r="BN662" s="4">
        <v>45.33</v>
      </c>
      <c r="BO662" s="4">
        <v>45.33</v>
      </c>
      <c r="BQ662" t="s">
        <v>147</v>
      </c>
      <c r="BR662" t="s">
        <v>84</v>
      </c>
      <c r="BS662" s="3">
        <v>43805</v>
      </c>
      <c r="BT662" s="5">
        <v>0.35069444444444442</v>
      </c>
      <c r="BU662" t="s">
        <v>1142</v>
      </c>
      <c r="BV662" t="s">
        <v>86</v>
      </c>
      <c r="BY662">
        <v>1200</v>
      </c>
      <c r="CC662" t="s">
        <v>139</v>
      </c>
      <c r="CD662">
        <v>1401</v>
      </c>
      <c r="CE662" t="s">
        <v>88</v>
      </c>
      <c r="CF662" s="3">
        <v>43808</v>
      </c>
      <c r="CI662">
        <v>1</v>
      </c>
      <c r="CJ662">
        <v>1</v>
      </c>
      <c r="CK662">
        <v>22</v>
      </c>
      <c r="CL662" t="s">
        <v>89</v>
      </c>
    </row>
    <row r="663" spans="1:90">
      <c r="A663" t="s">
        <v>72</v>
      </c>
      <c r="B663" t="s">
        <v>73</v>
      </c>
      <c r="C663" t="s">
        <v>74</v>
      </c>
      <c r="E663" t="str">
        <f>"FES1162727005"</f>
        <v>FES1162727005</v>
      </c>
      <c r="F663" s="3">
        <v>43804</v>
      </c>
      <c r="G663">
        <v>202006</v>
      </c>
      <c r="H663" t="s">
        <v>75</v>
      </c>
      <c r="I663" t="s">
        <v>76</v>
      </c>
      <c r="J663" t="s">
        <v>77</v>
      </c>
      <c r="K663" t="s">
        <v>78</v>
      </c>
      <c r="L663" t="s">
        <v>860</v>
      </c>
      <c r="M663" t="s">
        <v>861</v>
      </c>
      <c r="N663" t="s">
        <v>1143</v>
      </c>
      <c r="O663" t="s">
        <v>82</v>
      </c>
      <c r="P663" t="str">
        <f>"21707104562                   "</f>
        <v xml:space="preserve">21707104562                   </v>
      </c>
      <c r="Q663">
        <v>0</v>
      </c>
      <c r="R663">
        <v>0</v>
      </c>
      <c r="S663">
        <v>0</v>
      </c>
      <c r="T663">
        <v>0</v>
      </c>
      <c r="U663">
        <v>0</v>
      </c>
      <c r="V663">
        <v>0</v>
      </c>
      <c r="W663">
        <v>0</v>
      </c>
      <c r="X663">
        <v>0</v>
      </c>
      <c r="Y663">
        <v>0</v>
      </c>
      <c r="Z663">
        <v>0</v>
      </c>
      <c r="AA663">
        <v>0</v>
      </c>
      <c r="AB663">
        <v>0</v>
      </c>
      <c r="AC663">
        <v>0</v>
      </c>
      <c r="AD663">
        <v>0</v>
      </c>
      <c r="AE663">
        <v>0</v>
      </c>
      <c r="AF663">
        <v>0</v>
      </c>
      <c r="AG663">
        <v>0</v>
      </c>
      <c r="AH663">
        <v>0</v>
      </c>
      <c r="AI663">
        <v>0</v>
      </c>
      <c r="AJ663">
        <v>0</v>
      </c>
      <c r="AK663">
        <v>0</v>
      </c>
      <c r="AL663">
        <v>0</v>
      </c>
      <c r="AM663">
        <v>6.71</v>
      </c>
      <c r="AN663">
        <v>0</v>
      </c>
      <c r="AO663">
        <v>0</v>
      </c>
      <c r="AP663">
        <v>0</v>
      </c>
      <c r="AQ663">
        <v>0</v>
      </c>
      <c r="AR663">
        <v>0</v>
      </c>
      <c r="AS663">
        <v>0</v>
      </c>
      <c r="AT663">
        <v>0</v>
      </c>
      <c r="AU663">
        <v>0</v>
      </c>
      <c r="AV663">
        <v>0</v>
      </c>
      <c r="AW663">
        <v>0</v>
      </c>
      <c r="AX663">
        <v>0</v>
      </c>
      <c r="AY663">
        <v>0</v>
      </c>
      <c r="AZ663">
        <v>0</v>
      </c>
      <c r="BA663">
        <v>0</v>
      </c>
      <c r="BB663">
        <v>0</v>
      </c>
      <c r="BC663">
        <v>0</v>
      </c>
      <c r="BD663">
        <v>0</v>
      </c>
      <c r="BE663">
        <v>0</v>
      </c>
      <c r="BF663">
        <v>0</v>
      </c>
      <c r="BG663">
        <v>0</v>
      </c>
      <c r="BH663">
        <v>1</v>
      </c>
      <c r="BI663">
        <v>1</v>
      </c>
      <c r="BJ663">
        <v>0.2</v>
      </c>
      <c r="BK663">
        <v>1</v>
      </c>
      <c r="BL663" s="4">
        <v>39.42</v>
      </c>
      <c r="BM663" s="4">
        <v>5.91</v>
      </c>
      <c r="BN663" s="4">
        <v>45.33</v>
      </c>
      <c r="BO663" s="4">
        <v>45.33</v>
      </c>
      <c r="BR663" t="s">
        <v>84</v>
      </c>
      <c r="BS663" s="3">
        <v>43805</v>
      </c>
      <c r="BT663" s="5">
        <v>0.43611111111111112</v>
      </c>
      <c r="BU663" t="s">
        <v>1144</v>
      </c>
      <c r="BV663" t="s">
        <v>86</v>
      </c>
      <c r="BY663">
        <v>1200</v>
      </c>
      <c r="CC663" t="s">
        <v>861</v>
      </c>
      <c r="CD663">
        <v>2163</v>
      </c>
      <c r="CE663" t="s">
        <v>88</v>
      </c>
      <c r="CF663" s="3">
        <v>43808</v>
      </c>
      <c r="CI663">
        <v>1</v>
      </c>
      <c r="CJ663">
        <v>1</v>
      </c>
      <c r="CK663">
        <v>22</v>
      </c>
      <c r="CL663" t="s">
        <v>89</v>
      </c>
    </row>
    <row r="664" spans="1:90">
      <c r="A664" t="s">
        <v>72</v>
      </c>
      <c r="B664" t="s">
        <v>73</v>
      </c>
      <c r="C664" t="s">
        <v>74</v>
      </c>
      <c r="E664" t="str">
        <f>"FES1162727039"</f>
        <v>FES1162727039</v>
      </c>
      <c r="F664" s="3">
        <v>43804</v>
      </c>
      <c r="G664">
        <v>202006</v>
      </c>
      <c r="H664" t="s">
        <v>75</v>
      </c>
      <c r="I664" t="s">
        <v>76</v>
      </c>
      <c r="J664" t="s">
        <v>77</v>
      </c>
      <c r="K664" t="s">
        <v>78</v>
      </c>
      <c r="L664" t="s">
        <v>90</v>
      </c>
      <c r="M664" t="s">
        <v>91</v>
      </c>
      <c r="N664" t="s">
        <v>1145</v>
      </c>
      <c r="O664" t="s">
        <v>82</v>
      </c>
      <c r="P664" t="str">
        <f>"2170720503                    "</f>
        <v xml:space="preserve">2170720503                    </v>
      </c>
      <c r="Q664">
        <v>0</v>
      </c>
      <c r="R664">
        <v>0</v>
      </c>
      <c r="S664">
        <v>0</v>
      </c>
      <c r="T664">
        <v>0</v>
      </c>
      <c r="U664">
        <v>0</v>
      </c>
      <c r="V664">
        <v>0</v>
      </c>
      <c r="W664">
        <v>0</v>
      </c>
      <c r="X664">
        <v>0</v>
      </c>
      <c r="Y664">
        <v>0</v>
      </c>
      <c r="Z664">
        <v>0</v>
      </c>
      <c r="AA664">
        <v>0</v>
      </c>
      <c r="AB664">
        <v>0</v>
      </c>
      <c r="AC664">
        <v>0</v>
      </c>
      <c r="AD664">
        <v>0</v>
      </c>
      <c r="AE664">
        <v>0</v>
      </c>
      <c r="AF664">
        <v>0</v>
      </c>
      <c r="AG664">
        <v>0</v>
      </c>
      <c r="AH664">
        <v>0</v>
      </c>
      <c r="AI664">
        <v>0</v>
      </c>
      <c r="AJ664">
        <v>0</v>
      </c>
      <c r="AK664">
        <v>0</v>
      </c>
      <c r="AL664">
        <v>0</v>
      </c>
      <c r="AM664">
        <v>8.58</v>
      </c>
      <c r="AN664">
        <v>0</v>
      </c>
      <c r="AO664">
        <v>0</v>
      </c>
      <c r="AP664">
        <v>0</v>
      </c>
      <c r="AQ664">
        <v>0</v>
      </c>
      <c r="AR664">
        <v>0</v>
      </c>
      <c r="AS664">
        <v>0</v>
      </c>
      <c r="AT664">
        <v>0</v>
      </c>
      <c r="AU664">
        <v>0</v>
      </c>
      <c r="AV664">
        <v>0</v>
      </c>
      <c r="AW664">
        <v>0</v>
      </c>
      <c r="AX664">
        <v>0</v>
      </c>
      <c r="AY664">
        <v>0</v>
      </c>
      <c r="AZ664">
        <v>0</v>
      </c>
      <c r="BA664">
        <v>0</v>
      </c>
      <c r="BB664">
        <v>0</v>
      </c>
      <c r="BC664">
        <v>0</v>
      </c>
      <c r="BD664">
        <v>0</v>
      </c>
      <c r="BE664">
        <v>0</v>
      </c>
      <c r="BF664">
        <v>0</v>
      </c>
      <c r="BG664">
        <v>0</v>
      </c>
      <c r="BH664">
        <v>1</v>
      </c>
      <c r="BI664">
        <v>1</v>
      </c>
      <c r="BJ664">
        <v>0.2</v>
      </c>
      <c r="BK664">
        <v>1</v>
      </c>
      <c r="BL664" s="4">
        <v>50.45</v>
      </c>
      <c r="BM664" s="4">
        <v>7.57</v>
      </c>
      <c r="BN664" s="4">
        <v>58.02</v>
      </c>
      <c r="BO664" s="4">
        <v>58.02</v>
      </c>
      <c r="BQ664" t="s">
        <v>147</v>
      </c>
      <c r="BR664" t="s">
        <v>84</v>
      </c>
      <c r="BS664" s="3">
        <v>43805</v>
      </c>
      <c r="BT664" s="5">
        <v>0.3444444444444445</v>
      </c>
      <c r="BU664" t="s">
        <v>1146</v>
      </c>
      <c r="BV664" t="s">
        <v>86</v>
      </c>
      <c r="BY664">
        <v>1200</v>
      </c>
      <c r="CA664" t="s">
        <v>809</v>
      </c>
      <c r="CC664" t="s">
        <v>91</v>
      </c>
      <c r="CD664">
        <v>7925</v>
      </c>
      <c r="CE664" t="s">
        <v>88</v>
      </c>
      <c r="CF664" s="3">
        <v>43808</v>
      </c>
      <c r="CI664">
        <v>1</v>
      </c>
      <c r="CJ664">
        <v>1</v>
      </c>
      <c r="CK664">
        <v>21</v>
      </c>
      <c r="CL664" t="s">
        <v>89</v>
      </c>
    </row>
    <row r="665" spans="1:90">
      <c r="A665" t="s">
        <v>72</v>
      </c>
      <c r="B665" t="s">
        <v>73</v>
      </c>
      <c r="C665" t="s">
        <v>74</v>
      </c>
      <c r="E665" t="str">
        <f>"FES1162727104"</f>
        <v>FES1162727104</v>
      </c>
      <c r="F665" s="3">
        <v>43804</v>
      </c>
      <c r="G665">
        <v>202006</v>
      </c>
      <c r="H665" t="s">
        <v>75</v>
      </c>
      <c r="I665" t="s">
        <v>76</v>
      </c>
      <c r="J665" t="s">
        <v>77</v>
      </c>
      <c r="K665" t="s">
        <v>78</v>
      </c>
      <c r="L665" t="s">
        <v>169</v>
      </c>
      <c r="M665" t="s">
        <v>170</v>
      </c>
      <c r="N665" t="s">
        <v>969</v>
      </c>
      <c r="O665" t="s">
        <v>82</v>
      </c>
      <c r="P665" t="str">
        <f>"21707102751                   "</f>
        <v xml:space="preserve">21707102751                   </v>
      </c>
      <c r="Q665">
        <v>0</v>
      </c>
      <c r="R665">
        <v>0</v>
      </c>
      <c r="S665">
        <v>0</v>
      </c>
      <c r="T665">
        <v>0</v>
      </c>
      <c r="U665">
        <v>0</v>
      </c>
      <c r="V665">
        <v>0</v>
      </c>
      <c r="W665">
        <v>0</v>
      </c>
      <c r="X665">
        <v>0</v>
      </c>
      <c r="Y665">
        <v>0</v>
      </c>
      <c r="Z665">
        <v>0</v>
      </c>
      <c r="AA665">
        <v>0</v>
      </c>
      <c r="AB665">
        <v>0</v>
      </c>
      <c r="AC665">
        <v>0</v>
      </c>
      <c r="AD665">
        <v>0</v>
      </c>
      <c r="AE665">
        <v>0</v>
      </c>
      <c r="AF665">
        <v>0</v>
      </c>
      <c r="AG665">
        <v>0</v>
      </c>
      <c r="AH665">
        <v>0</v>
      </c>
      <c r="AI665">
        <v>0</v>
      </c>
      <c r="AJ665">
        <v>0</v>
      </c>
      <c r="AK665">
        <v>0</v>
      </c>
      <c r="AL665">
        <v>0</v>
      </c>
      <c r="AM665">
        <v>6.71</v>
      </c>
      <c r="AN665">
        <v>0</v>
      </c>
      <c r="AO665">
        <v>0</v>
      </c>
      <c r="AP665">
        <v>0</v>
      </c>
      <c r="AQ665">
        <v>0</v>
      </c>
      <c r="AR665">
        <v>0</v>
      </c>
      <c r="AS665">
        <v>0</v>
      </c>
      <c r="AT665">
        <v>0</v>
      </c>
      <c r="AU665">
        <v>0</v>
      </c>
      <c r="AV665">
        <v>0</v>
      </c>
      <c r="AW665">
        <v>0</v>
      </c>
      <c r="AX665">
        <v>0</v>
      </c>
      <c r="AY665">
        <v>0</v>
      </c>
      <c r="AZ665">
        <v>0</v>
      </c>
      <c r="BA665">
        <v>0</v>
      </c>
      <c r="BB665">
        <v>0</v>
      </c>
      <c r="BC665">
        <v>0</v>
      </c>
      <c r="BD665">
        <v>0</v>
      </c>
      <c r="BE665">
        <v>0</v>
      </c>
      <c r="BF665">
        <v>0</v>
      </c>
      <c r="BG665">
        <v>0</v>
      </c>
      <c r="BH665">
        <v>1</v>
      </c>
      <c r="BI665">
        <v>1</v>
      </c>
      <c r="BJ665">
        <v>0.2</v>
      </c>
      <c r="BK665">
        <v>1</v>
      </c>
      <c r="BL665" s="4">
        <v>39.42</v>
      </c>
      <c r="BM665" s="4">
        <v>5.91</v>
      </c>
      <c r="BN665" s="4">
        <v>45.33</v>
      </c>
      <c r="BO665" s="4">
        <v>45.33</v>
      </c>
      <c r="BQ665" t="s">
        <v>93</v>
      </c>
      <c r="BR665" t="s">
        <v>84</v>
      </c>
      <c r="BS665" s="3">
        <v>43805</v>
      </c>
      <c r="BT665" s="5">
        <v>0.3354166666666667</v>
      </c>
      <c r="BU665" t="s">
        <v>970</v>
      </c>
      <c r="BV665" t="s">
        <v>86</v>
      </c>
      <c r="BY665">
        <v>1200</v>
      </c>
      <c r="CA665" t="s">
        <v>250</v>
      </c>
      <c r="CC665" t="s">
        <v>170</v>
      </c>
      <c r="CD665">
        <v>1459</v>
      </c>
      <c r="CE665" t="s">
        <v>88</v>
      </c>
      <c r="CF665" s="3">
        <v>43808</v>
      </c>
      <c r="CI665">
        <v>1</v>
      </c>
      <c r="CJ665">
        <v>1</v>
      </c>
      <c r="CK665">
        <v>22</v>
      </c>
      <c r="CL665" t="s">
        <v>89</v>
      </c>
    </row>
    <row r="666" spans="1:90">
      <c r="A666" t="s">
        <v>72</v>
      </c>
      <c r="B666" t="s">
        <v>73</v>
      </c>
      <c r="C666" t="s">
        <v>74</v>
      </c>
      <c r="E666" t="str">
        <f>"FES1162727121"</f>
        <v>FES1162727121</v>
      </c>
      <c r="F666" s="3">
        <v>43804</v>
      </c>
      <c r="G666">
        <v>202006</v>
      </c>
      <c r="H666" t="s">
        <v>75</v>
      </c>
      <c r="I666" t="s">
        <v>76</v>
      </c>
      <c r="J666" t="s">
        <v>77</v>
      </c>
      <c r="K666" t="s">
        <v>78</v>
      </c>
      <c r="L666" t="s">
        <v>198</v>
      </c>
      <c r="M666" t="s">
        <v>199</v>
      </c>
      <c r="N666" t="s">
        <v>639</v>
      </c>
      <c r="O666" t="s">
        <v>82</v>
      </c>
      <c r="P666" t="str">
        <f>"21770581                      "</f>
        <v xml:space="preserve">21770581                      </v>
      </c>
      <c r="Q666">
        <v>0</v>
      </c>
      <c r="R666">
        <v>0</v>
      </c>
      <c r="S666">
        <v>0</v>
      </c>
      <c r="T666">
        <v>0</v>
      </c>
      <c r="U666">
        <v>0</v>
      </c>
      <c r="V666">
        <v>0</v>
      </c>
      <c r="W666">
        <v>0</v>
      </c>
      <c r="X666">
        <v>0</v>
      </c>
      <c r="Y666">
        <v>0</v>
      </c>
      <c r="Z666">
        <v>0</v>
      </c>
      <c r="AA666">
        <v>0</v>
      </c>
      <c r="AB666">
        <v>0</v>
      </c>
      <c r="AC666">
        <v>0</v>
      </c>
      <c r="AD666">
        <v>0</v>
      </c>
      <c r="AE666">
        <v>0</v>
      </c>
      <c r="AF666">
        <v>0</v>
      </c>
      <c r="AG666">
        <v>0</v>
      </c>
      <c r="AH666">
        <v>0</v>
      </c>
      <c r="AI666">
        <v>0</v>
      </c>
      <c r="AJ666">
        <v>0</v>
      </c>
      <c r="AK666">
        <v>0</v>
      </c>
      <c r="AL666">
        <v>0</v>
      </c>
      <c r="AM666">
        <v>8.58</v>
      </c>
      <c r="AN666">
        <v>0</v>
      </c>
      <c r="AO666">
        <v>0</v>
      </c>
      <c r="AP666">
        <v>0</v>
      </c>
      <c r="AQ666">
        <v>0</v>
      </c>
      <c r="AR666">
        <v>0</v>
      </c>
      <c r="AS666">
        <v>0</v>
      </c>
      <c r="AT666">
        <v>0</v>
      </c>
      <c r="AU666">
        <v>0</v>
      </c>
      <c r="AV666">
        <v>0</v>
      </c>
      <c r="AW666">
        <v>0</v>
      </c>
      <c r="AX666">
        <v>0</v>
      </c>
      <c r="AY666">
        <v>0</v>
      </c>
      <c r="AZ666">
        <v>0</v>
      </c>
      <c r="BA666">
        <v>0</v>
      </c>
      <c r="BB666">
        <v>0</v>
      </c>
      <c r="BC666">
        <v>0</v>
      </c>
      <c r="BD666">
        <v>0</v>
      </c>
      <c r="BE666">
        <v>0</v>
      </c>
      <c r="BF666">
        <v>0</v>
      </c>
      <c r="BG666">
        <v>0</v>
      </c>
      <c r="BH666">
        <v>1</v>
      </c>
      <c r="BI666">
        <v>1</v>
      </c>
      <c r="BJ666">
        <v>0.2</v>
      </c>
      <c r="BK666">
        <v>1</v>
      </c>
      <c r="BL666" s="4">
        <v>50.45</v>
      </c>
      <c r="BM666" s="4">
        <v>7.57</v>
      </c>
      <c r="BN666" s="4">
        <v>58.02</v>
      </c>
      <c r="BO666" s="4">
        <v>58.02</v>
      </c>
      <c r="BQ666" t="s">
        <v>640</v>
      </c>
      <c r="BR666" t="s">
        <v>84</v>
      </c>
      <c r="BS666" s="3">
        <v>43805</v>
      </c>
      <c r="BT666" s="5">
        <v>0.32708333333333334</v>
      </c>
      <c r="BU666" t="s">
        <v>641</v>
      </c>
      <c r="BV666" t="s">
        <v>86</v>
      </c>
      <c r="BY666">
        <v>1200</v>
      </c>
      <c r="CA666" t="s">
        <v>408</v>
      </c>
      <c r="CC666" t="s">
        <v>199</v>
      </c>
      <c r="CD666">
        <v>4052</v>
      </c>
      <c r="CE666" t="s">
        <v>88</v>
      </c>
      <c r="CF666" s="3">
        <v>43808</v>
      </c>
      <c r="CI666">
        <v>1</v>
      </c>
      <c r="CJ666">
        <v>1</v>
      </c>
      <c r="CK666">
        <v>21</v>
      </c>
      <c r="CL666" t="s">
        <v>89</v>
      </c>
    </row>
    <row r="667" spans="1:90">
      <c r="A667" t="s">
        <v>72</v>
      </c>
      <c r="B667" t="s">
        <v>73</v>
      </c>
      <c r="C667" t="s">
        <v>74</v>
      </c>
      <c r="E667" t="str">
        <f>"FES1162727083"</f>
        <v>FES1162727083</v>
      </c>
      <c r="F667" s="3">
        <v>43804</v>
      </c>
      <c r="G667">
        <v>202006</v>
      </c>
      <c r="H667" t="s">
        <v>75</v>
      </c>
      <c r="I667" t="s">
        <v>76</v>
      </c>
      <c r="J667" t="s">
        <v>77</v>
      </c>
      <c r="K667" t="s">
        <v>78</v>
      </c>
      <c r="L667" t="s">
        <v>90</v>
      </c>
      <c r="M667" t="s">
        <v>91</v>
      </c>
      <c r="N667" t="s">
        <v>219</v>
      </c>
      <c r="O667" t="s">
        <v>82</v>
      </c>
      <c r="P667" t="str">
        <f>"2170710545                    "</f>
        <v xml:space="preserve">2170710545                    </v>
      </c>
      <c r="Q667">
        <v>0</v>
      </c>
      <c r="R667">
        <v>0</v>
      </c>
      <c r="S667">
        <v>0</v>
      </c>
      <c r="T667">
        <v>0</v>
      </c>
      <c r="U667">
        <v>0</v>
      </c>
      <c r="V667">
        <v>0</v>
      </c>
      <c r="W667">
        <v>0</v>
      </c>
      <c r="X667">
        <v>0</v>
      </c>
      <c r="Y667">
        <v>0</v>
      </c>
      <c r="Z667">
        <v>0</v>
      </c>
      <c r="AA667">
        <v>0</v>
      </c>
      <c r="AB667">
        <v>0</v>
      </c>
      <c r="AC667">
        <v>0</v>
      </c>
      <c r="AD667">
        <v>0</v>
      </c>
      <c r="AE667">
        <v>0</v>
      </c>
      <c r="AF667">
        <v>0</v>
      </c>
      <c r="AG667">
        <v>0</v>
      </c>
      <c r="AH667">
        <v>0</v>
      </c>
      <c r="AI667">
        <v>0</v>
      </c>
      <c r="AJ667">
        <v>0</v>
      </c>
      <c r="AK667">
        <v>0</v>
      </c>
      <c r="AL667">
        <v>0</v>
      </c>
      <c r="AM667">
        <v>30.03</v>
      </c>
      <c r="AN667">
        <v>0</v>
      </c>
      <c r="AO667">
        <v>0</v>
      </c>
      <c r="AP667">
        <v>0</v>
      </c>
      <c r="AQ667">
        <v>0</v>
      </c>
      <c r="AR667">
        <v>0</v>
      </c>
      <c r="AS667">
        <v>0</v>
      </c>
      <c r="AT667">
        <v>0</v>
      </c>
      <c r="AU667">
        <v>0</v>
      </c>
      <c r="AV667">
        <v>0</v>
      </c>
      <c r="AW667">
        <v>0</v>
      </c>
      <c r="AX667">
        <v>0</v>
      </c>
      <c r="AY667">
        <v>0</v>
      </c>
      <c r="AZ667">
        <v>0</v>
      </c>
      <c r="BA667">
        <v>0</v>
      </c>
      <c r="BB667">
        <v>0</v>
      </c>
      <c r="BC667">
        <v>0</v>
      </c>
      <c r="BD667">
        <v>0</v>
      </c>
      <c r="BE667">
        <v>0</v>
      </c>
      <c r="BF667">
        <v>0</v>
      </c>
      <c r="BG667">
        <v>0</v>
      </c>
      <c r="BH667">
        <v>1</v>
      </c>
      <c r="BI667">
        <v>4.5</v>
      </c>
      <c r="BJ667">
        <v>7</v>
      </c>
      <c r="BK667">
        <v>7</v>
      </c>
      <c r="BL667" s="4">
        <v>176.5</v>
      </c>
      <c r="BM667" s="4">
        <v>26.48</v>
      </c>
      <c r="BN667" s="4">
        <v>202.98</v>
      </c>
      <c r="BO667" s="4">
        <v>202.98</v>
      </c>
      <c r="BQ667" t="s">
        <v>147</v>
      </c>
      <c r="BR667" t="s">
        <v>84</v>
      </c>
      <c r="BS667" s="3">
        <v>43805</v>
      </c>
      <c r="BT667" s="5">
        <v>0.36527777777777781</v>
      </c>
      <c r="BU667" t="s">
        <v>976</v>
      </c>
      <c r="BV667" t="s">
        <v>86</v>
      </c>
      <c r="BY667">
        <v>34994.959999999999</v>
      </c>
      <c r="CA667" t="s">
        <v>112</v>
      </c>
      <c r="CC667" t="s">
        <v>91</v>
      </c>
      <c r="CD667">
        <v>7441</v>
      </c>
      <c r="CE667" t="s">
        <v>116</v>
      </c>
      <c r="CF667" s="3">
        <v>43808</v>
      </c>
      <c r="CI667">
        <v>1</v>
      </c>
      <c r="CJ667">
        <v>1</v>
      </c>
      <c r="CK667">
        <v>21</v>
      </c>
      <c r="CL667" t="s">
        <v>89</v>
      </c>
    </row>
    <row r="668" spans="1:90">
      <c r="A668" t="s">
        <v>72</v>
      </c>
      <c r="B668" t="s">
        <v>73</v>
      </c>
      <c r="C668" t="s">
        <v>74</v>
      </c>
      <c r="E668" t="str">
        <f>"FES1162727085"</f>
        <v>FES1162727085</v>
      </c>
      <c r="F668" s="3">
        <v>43804</v>
      </c>
      <c r="G668">
        <v>202006</v>
      </c>
      <c r="H668" t="s">
        <v>75</v>
      </c>
      <c r="I668" t="s">
        <v>76</v>
      </c>
      <c r="J668" t="s">
        <v>77</v>
      </c>
      <c r="K668" t="s">
        <v>78</v>
      </c>
      <c r="L668" t="s">
        <v>138</v>
      </c>
      <c r="M668" t="s">
        <v>139</v>
      </c>
      <c r="N668" t="s">
        <v>146</v>
      </c>
      <c r="O668" t="s">
        <v>82</v>
      </c>
      <c r="P668" t="str">
        <f>"21707145456                   "</f>
        <v xml:space="preserve">21707145456                   </v>
      </c>
      <c r="Q668">
        <v>0</v>
      </c>
      <c r="R668">
        <v>0</v>
      </c>
      <c r="S668">
        <v>0</v>
      </c>
      <c r="T668">
        <v>0</v>
      </c>
      <c r="U668">
        <v>0</v>
      </c>
      <c r="V668">
        <v>0</v>
      </c>
      <c r="W668">
        <v>0</v>
      </c>
      <c r="X668">
        <v>0</v>
      </c>
      <c r="Y668">
        <v>0</v>
      </c>
      <c r="Z668">
        <v>0</v>
      </c>
      <c r="AA668">
        <v>0</v>
      </c>
      <c r="AB668">
        <v>0</v>
      </c>
      <c r="AC668">
        <v>0</v>
      </c>
      <c r="AD668">
        <v>0</v>
      </c>
      <c r="AE668">
        <v>0</v>
      </c>
      <c r="AF668">
        <v>0</v>
      </c>
      <c r="AG668">
        <v>0</v>
      </c>
      <c r="AH668">
        <v>0</v>
      </c>
      <c r="AI668">
        <v>0</v>
      </c>
      <c r="AJ668">
        <v>0</v>
      </c>
      <c r="AK668">
        <v>0</v>
      </c>
      <c r="AL668">
        <v>0</v>
      </c>
      <c r="AM668">
        <v>9.92</v>
      </c>
      <c r="AN668">
        <v>0</v>
      </c>
      <c r="AO668">
        <v>0</v>
      </c>
      <c r="AP668">
        <v>0</v>
      </c>
      <c r="AQ668">
        <v>0</v>
      </c>
      <c r="AR668">
        <v>0</v>
      </c>
      <c r="AS668">
        <v>0</v>
      </c>
      <c r="AT668">
        <v>0</v>
      </c>
      <c r="AU668">
        <v>0</v>
      </c>
      <c r="AV668">
        <v>0</v>
      </c>
      <c r="AW668">
        <v>0</v>
      </c>
      <c r="AX668">
        <v>0</v>
      </c>
      <c r="AY668">
        <v>0</v>
      </c>
      <c r="AZ668">
        <v>0</v>
      </c>
      <c r="BA668">
        <v>0</v>
      </c>
      <c r="BB668">
        <v>0</v>
      </c>
      <c r="BC668">
        <v>0</v>
      </c>
      <c r="BD668">
        <v>0</v>
      </c>
      <c r="BE668">
        <v>0</v>
      </c>
      <c r="BF668">
        <v>0</v>
      </c>
      <c r="BG668">
        <v>0</v>
      </c>
      <c r="BH668">
        <v>1</v>
      </c>
      <c r="BI668">
        <v>1.9</v>
      </c>
      <c r="BJ668">
        <v>3.8</v>
      </c>
      <c r="BK668">
        <v>4</v>
      </c>
      <c r="BL668" s="4">
        <v>58.31</v>
      </c>
      <c r="BM668" s="4">
        <v>8.75</v>
      </c>
      <c r="BN668" s="4">
        <v>67.06</v>
      </c>
      <c r="BO668" s="4">
        <v>67.06</v>
      </c>
      <c r="BQ668" t="s">
        <v>147</v>
      </c>
      <c r="BR668" t="s">
        <v>84</v>
      </c>
      <c r="BS668" s="3">
        <v>43805</v>
      </c>
      <c r="BT668" s="5">
        <v>0.36805555555555558</v>
      </c>
      <c r="BU668" t="s">
        <v>1147</v>
      </c>
      <c r="BV668" t="s">
        <v>86</v>
      </c>
      <c r="BY668">
        <v>18917.14</v>
      </c>
      <c r="CC668" t="s">
        <v>139</v>
      </c>
      <c r="CD668">
        <v>1428</v>
      </c>
      <c r="CE668" t="s">
        <v>88</v>
      </c>
      <c r="CF668" s="3">
        <v>43808</v>
      </c>
      <c r="CI668">
        <v>1</v>
      </c>
      <c r="CJ668">
        <v>1</v>
      </c>
      <c r="CK668">
        <v>22</v>
      </c>
      <c r="CL668" t="s">
        <v>89</v>
      </c>
    </row>
    <row r="669" spans="1:90">
      <c r="A669" t="s">
        <v>72</v>
      </c>
      <c r="B669" t="s">
        <v>73</v>
      </c>
      <c r="C669" t="s">
        <v>74</v>
      </c>
      <c r="E669" t="str">
        <f>"FES1162727087"</f>
        <v>FES1162727087</v>
      </c>
      <c r="F669" s="3">
        <v>43804</v>
      </c>
      <c r="G669">
        <v>202006</v>
      </c>
      <c r="H669" t="s">
        <v>75</v>
      </c>
      <c r="I669" t="s">
        <v>76</v>
      </c>
      <c r="J669" t="s">
        <v>77</v>
      </c>
      <c r="K669" t="s">
        <v>78</v>
      </c>
      <c r="L669" t="s">
        <v>90</v>
      </c>
      <c r="M669" t="s">
        <v>91</v>
      </c>
      <c r="N669" t="s">
        <v>207</v>
      </c>
      <c r="O669" t="s">
        <v>82</v>
      </c>
      <c r="P669" t="str">
        <f>"2170718907                    "</f>
        <v xml:space="preserve">2170718907                    </v>
      </c>
      <c r="Q669">
        <v>0</v>
      </c>
      <c r="R669">
        <v>0</v>
      </c>
      <c r="S669">
        <v>0</v>
      </c>
      <c r="T669">
        <v>0</v>
      </c>
      <c r="U669">
        <v>0</v>
      </c>
      <c r="V669">
        <v>0</v>
      </c>
      <c r="W669">
        <v>0</v>
      </c>
      <c r="X669">
        <v>0</v>
      </c>
      <c r="Y669">
        <v>0</v>
      </c>
      <c r="Z669">
        <v>0</v>
      </c>
      <c r="AA669">
        <v>0</v>
      </c>
      <c r="AB669">
        <v>0</v>
      </c>
      <c r="AC669">
        <v>0</v>
      </c>
      <c r="AD669">
        <v>0</v>
      </c>
      <c r="AE669">
        <v>0</v>
      </c>
      <c r="AF669">
        <v>0</v>
      </c>
      <c r="AG669">
        <v>0</v>
      </c>
      <c r="AH669">
        <v>0</v>
      </c>
      <c r="AI669">
        <v>0</v>
      </c>
      <c r="AJ669">
        <v>0</v>
      </c>
      <c r="AK669">
        <v>0</v>
      </c>
      <c r="AL669">
        <v>0</v>
      </c>
      <c r="AM669">
        <v>8.58</v>
      </c>
      <c r="AN669">
        <v>0</v>
      </c>
      <c r="AO669">
        <v>0</v>
      </c>
      <c r="AP669">
        <v>0</v>
      </c>
      <c r="AQ669">
        <v>0</v>
      </c>
      <c r="AR669">
        <v>0</v>
      </c>
      <c r="AS669">
        <v>0</v>
      </c>
      <c r="AT669">
        <v>0</v>
      </c>
      <c r="AU669">
        <v>0</v>
      </c>
      <c r="AV669">
        <v>0</v>
      </c>
      <c r="AW669">
        <v>0</v>
      </c>
      <c r="AX669">
        <v>0</v>
      </c>
      <c r="AY669">
        <v>0</v>
      </c>
      <c r="AZ669">
        <v>0</v>
      </c>
      <c r="BA669">
        <v>0</v>
      </c>
      <c r="BB669">
        <v>0</v>
      </c>
      <c r="BC669">
        <v>0</v>
      </c>
      <c r="BD669">
        <v>0</v>
      </c>
      <c r="BE669">
        <v>0</v>
      </c>
      <c r="BF669">
        <v>0</v>
      </c>
      <c r="BG669">
        <v>0</v>
      </c>
      <c r="BH669">
        <v>1</v>
      </c>
      <c r="BI669">
        <v>1</v>
      </c>
      <c r="BJ669">
        <v>0.2</v>
      </c>
      <c r="BK669">
        <v>1</v>
      </c>
      <c r="BL669" s="4">
        <v>50.45</v>
      </c>
      <c r="BM669" s="4">
        <v>7.57</v>
      </c>
      <c r="BN669" s="4">
        <v>58.02</v>
      </c>
      <c r="BO669" s="4">
        <v>58.02</v>
      </c>
      <c r="BQ669" t="s">
        <v>147</v>
      </c>
      <c r="BR669" t="s">
        <v>84</v>
      </c>
      <c r="BS669" s="3">
        <v>43805</v>
      </c>
      <c r="BT669" s="5">
        <v>0.37847222222222227</v>
      </c>
      <c r="BU669" t="s">
        <v>1148</v>
      </c>
      <c r="BV669" t="s">
        <v>86</v>
      </c>
      <c r="BY669">
        <v>1200</v>
      </c>
      <c r="CA669" t="s">
        <v>209</v>
      </c>
      <c r="CC669" t="s">
        <v>91</v>
      </c>
      <c r="CD669">
        <v>7441</v>
      </c>
      <c r="CE669" t="s">
        <v>88</v>
      </c>
      <c r="CF669" s="3">
        <v>43808</v>
      </c>
      <c r="CI669">
        <v>1</v>
      </c>
      <c r="CJ669">
        <v>1</v>
      </c>
      <c r="CK669">
        <v>21</v>
      </c>
      <c r="CL669" t="s">
        <v>89</v>
      </c>
    </row>
    <row r="670" spans="1:90">
      <c r="A670" t="s">
        <v>72</v>
      </c>
      <c r="B670" t="s">
        <v>73</v>
      </c>
      <c r="C670" t="s">
        <v>74</v>
      </c>
      <c r="E670" t="str">
        <f>"FES1162727108"</f>
        <v>FES1162727108</v>
      </c>
      <c r="F670" s="3">
        <v>43804</v>
      </c>
      <c r="G670">
        <v>202006</v>
      </c>
      <c r="H670" t="s">
        <v>75</v>
      </c>
      <c r="I670" t="s">
        <v>76</v>
      </c>
      <c r="J670" t="s">
        <v>77</v>
      </c>
      <c r="K670" t="s">
        <v>78</v>
      </c>
      <c r="L670" t="s">
        <v>221</v>
      </c>
      <c r="M670" t="s">
        <v>222</v>
      </c>
      <c r="N670" t="s">
        <v>1149</v>
      </c>
      <c r="O670" t="s">
        <v>82</v>
      </c>
      <c r="P670" t="str">
        <f>"2170710575                    "</f>
        <v xml:space="preserve">2170710575                    </v>
      </c>
      <c r="Q670">
        <v>0</v>
      </c>
      <c r="R670">
        <v>0</v>
      </c>
      <c r="S670">
        <v>0</v>
      </c>
      <c r="T670">
        <v>0</v>
      </c>
      <c r="U670">
        <v>0</v>
      </c>
      <c r="V670">
        <v>0</v>
      </c>
      <c r="W670">
        <v>0</v>
      </c>
      <c r="X670">
        <v>0</v>
      </c>
      <c r="Y670">
        <v>0</v>
      </c>
      <c r="Z670">
        <v>0</v>
      </c>
      <c r="AA670">
        <v>0</v>
      </c>
      <c r="AB670">
        <v>0</v>
      </c>
      <c r="AC670">
        <v>0</v>
      </c>
      <c r="AD670">
        <v>0</v>
      </c>
      <c r="AE670">
        <v>0</v>
      </c>
      <c r="AF670">
        <v>0</v>
      </c>
      <c r="AG670">
        <v>0</v>
      </c>
      <c r="AH670">
        <v>0</v>
      </c>
      <c r="AI670">
        <v>0</v>
      </c>
      <c r="AJ670">
        <v>0</v>
      </c>
      <c r="AK670">
        <v>0</v>
      </c>
      <c r="AL670">
        <v>0</v>
      </c>
      <c r="AM670">
        <v>8.58</v>
      </c>
      <c r="AN670">
        <v>0</v>
      </c>
      <c r="AO670">
        <v>0</v>
      </c>
      <c r="AP670">
        <v>0</v>
      </c>
      <c r="AQ670">
        <v>0</v>
      </c>
      <c r="AR670">
        <v>0</v>
      </c>
      <c r="AS670">
        <v>0</v>
      </c>
      <c r="AT670">
        <v>0</v>
      </c>
      <c r="AU670">
        <v>0</v>
      </c>
      <c r="AV670">
        <v>0</v>
      </c>
      <c r="AW670">
        <v>0</v>
      </c>
      <c r="AX670">
        <v>0</v>
      </c>
      <c r="AY670">
        <v>0</v>
      </c>
      <c r="AZ670">
        <v>0</v>
      </c>
      <c r="BA670">
        <v>0</v>
      </c>
      <c r="BB670">
        <v>0</v>
      </c>
      <c r="BC670">
        <v>0</v>
      </c>
      <c r="BD670">
        <v>0</v>
      </c>
      <c r="BE670">
        <v>0</v>
      </c>
      <c r="BF670">
        <v>0</v>
      </c>
      <c r="BG670">
        <v>0</v>
      </c>
      <c r="BH670">
        <v>1</v>
      </c>
      <c r="BI670">
        <v>1</v>
      </c>
      <c r="BJ670">
        <v>0.2</v>
      </c>
      <c r="BK670">
        <v>1</v>
      </c>
      <c r="BL670" s="4">
        <v>50.45</v>
      </c>
      <c r="BM670" s="4">
        <v>7.57</v>
      </c>
      <c r="BN670" s="4">
        <v>58.02</v>
      </c>
      <c r="BO670" s="4">
        <v>58.02</v>
      </c>
      <c r="BQ670" t="s">
        <v>436</v>
      </c>
      <c r="BR670" t="s">
        <v>84</v>
      </c>
      <c r="BS670" s="3">
        <v>43805</v>
      </c>
      <c r="BT670" s="5">
        <v>0.41875000000000001</v>
      </c>
      <c r="BU670" t="s">
        <v>1150</v>
      </c>
      <c r="BV670" t="s">
        <v>86</v>
      </c>
      <c r="BY670">
        <v>1200</v>
      </c>
      <c r="CA670" t="s">
        <v>247</v>
      </c>
      <c r="CC670" t="s">
        <v>222</v>
      </c>
      <c r="CD670">
        <v>3201</v>
      </c>
      <c r="CE670" t="s">
        <v>88</v>
      </c>
      <c r="CF670" s="3">
        <v>43808</v>
      </c>
      <c r="CI670">
        <v>1</v>
      </c>
      <c r="CJ670">
        <v>1</v>
      </c>
      <c r="CK670">
        <v>21</v>
      </c>
      <c r="CL670" t="s">
        <v>89</v>
      </c>
    </row>
    <row r="671" spans="1:90">
      <c r="A671" t="s">
        <v>72</v>
      </c>
      <c r="B671" t="s">
        <v>73</v>
      </c>
      <c r="C671" t="s">
        <v>74</v>
      </c>
      <c r="E671" t="str">
        <f>"FES1162727106"</f>
        <v>FES1162727106</v>
      </c>
      <c r="F671" s="3">
        <v>43804</v>
      </c>
      <c r="G671">
        <v>202006</v>
      </c>
      <c r="H671" t="s">
        <v>75</v>
      </c>
      <c r="I671" t="s">
        <v>76</v>
      </c>
      <c r="J671" t="s">
        <v>77</v>
      </c>
      <c r="K671" t="s">
        <v>78</v>
      </c>
      <c r="L671" t="s">
        <v>626</v>
      </c>
      <c r="M671" t="s">
        <v>627</v>
      </c>
      <c r="N671" t="s">
        <v>628</v>
      </c>
      <c r="O671" t="s">
        <v>82</v>
      </c>
      <c r="P671" t="str">
        <f>"2170710570                    "</f>
        <v xml:space="preserve">2170710570                    </v>
      </c>
      <c r="Q671">
        <v>0</v>
      </c>
      <c r="R671">
        <v>0</v>
      </c>
      <c r="S671">
        <v>0</v>
      </c>
      <c r="T671">
        <v>0</v>
      </c>
      <c r="U671">
        <v>0</v>
      </c>
      <c r="V671">
        <v>0</v>
      </c>
      <c r="W671">
        <v>0</v>
      </c>
      <c r="X671">
        <v>0</v>
      </c>
      <c r="Y671">
        <v>0</v>
      </c>
      <c r="Z671">
        <v>0</v>
      </c>
      <c r="AA671">
        <v>0</v>
      </c>
      <c r="AB671">
        <v>0</v>
      </c>
      <c r="AC671">
        <v>0</v>
      </c>
      <c r="AD671">
        <v>0</v>
      </c>
      <c r="AE671">
        <v>0</v>
      </c>
      <c r="AF671">
        <v>0</v>
      </c>
      <c r="AG671">
        <v>0</v>
      </c>
      <c r="AH671">
        <v>0</v>
      </c>
      <c r="AI671">
        <v>0</v>
      </c>
      <c r="AJ671">
        <v>0</v>
      </c>
      <c r="AK671">
        <v>0</v>
      </c>
      <c r="AL671">
        <v>0</v>
      </c>
      <c r="AM671">
        <v>8.58</v>
      </c>
      <c r="AN671">
        <v>0</v>
      </c>
      <c r="AO671">
        <v>0</v>
      </c>
      <c r="AP671">
        <v>0</v>
      </c>
      <c r="AQ671">
        <v>0</v>
      </c>
      <c r="AR671">
        <v>0</v>
      </c>
      <c r="AS671">
        <v>0</v>
      </c>
      <c r="AT671">
        <v>0</v>
      </c>
      <c r="AU671">
        <v>0</v>
      </c>
      <c r="AV671">
        <v>0</v>
      </c>
      <c r="AW671">
        <v>0</v>
      </c>
      <c r="AX671">
        <v>0</v>
      </c>
      <c r="AY671">
        <v>0</v>
      </c>
      <c r="AZ671">
        <v>0</v>
      </c>
      <c r="BA671">
        <v>0</v>
      </c>
      <c r="BB671">
        <v>0</v>
      </c>
      <c r="BC671">
        <v>0</v>
      </c>
      <c r="BD671">
        <v>0</v>
      </c>
      <c r="BE671">
        <v>0</v>
      </c>
      <c r="BF671">
        <v>0</v>
      </c>
      <c r="BG671">
        <v>0</v>
      </c>
      <c r="BH671">
        <v>1</v>
      </c>
      <c r="BI671">
        <v>1</v>
      </c>
      <c r="BJ671">
        <v>0.2</v>
      </c>
      <c r="BK671">
        <v>1</v>
      </c>
      <c r="BL671" s="4">
        <v>50.45</v>
      </c>
      <c r="BM671" s="4">
        <v>7.57</v>
      </c>
      <c r="BN671" s="4">
        <v>58.02</v>
      </c>
      <c r="BO671" s="4">
        <v>58.02</v>
      </c>
      <c r="BQ671" t="s">
        <v>277</v>
      </c>
      <c r="BR671" t="s">
        <v>84</v>
      </c>
      <c r="BS671" s="3">
        <v>43805</v>
      </c>
      <c r="BT671" s="5">
        <v>0.39166666666666666</v>
      </c>
      <c r="BU671" t="s">
        <v>1151</v>
      </c>
      <c r="BV671" t="s">
        <v>86</v>
      </c>
      <c r="BY671">
        <v>1200</v>
      </c>
      <c r="CA671" t="s">
        <v>244</v>
      </c>
      <c r="CC671" t="s">
        <v>627</v>
      </c>
      <c r="CD671">
        <v>4120</v>
      </c>
      <c r="CE671" t="s">
        <v>88</v>
      </c>
      <c r="CF671" s="3">
        <v>43808</v>
      </c>
      <c r="CI671">
        <v>1</v>
      </c>
      <c r="CJ671">
        <v>1</v>
      </c>
      <c r="CK671">
        <v>21</v>
      </c>
      <c r="CL671" t="s">
        <v>89</v>
      </c>
    </row>
    <row r="672" spans="1:90">
      <c r="A672" t="s">
        <v>72</v>
      </c>
      <c r="B672" t="s">
        <v>73</v>
      </c>
      <c r="C672" t="s">
        <v>74</v>
      </c>
      <c r="E672" t="str">
        <f>"FES1162727131"</f>
        <v>FES1162727131</v>
      </c>
      <c r="F672" s="3">
        <v>43804</v>
      </c>
      <c r="G672">
        <v>202006</v>
      </c>
      <c r="H672" t="s">
        <v>75</v>
      </c>
      <c r="I672" t="s">
        <v>76</v>
      </c>
      <c r="J672" t="s">
        <v>77</v>
      </c>
      <c r="K672" t="s">
        <v>78</v>
      </c>
      <c r="L672" t="s">
        <v>198</v>
      </c>
      <c r="M672" t="s">
        <v>199</v>
      </c>
      <c r="N672" t="s">
        <v>1152</v>
      </c>
      <c r="O672" t="s">
        <v>82</v>
      </c>
      <c r="P672" t="str">
        <f>"2170710600                    "</f>
        <v xml:space="preserve">2170710600                    </v>
      </c>
      <c r="Q672">
        <v>0</v>
      </c>
      <c r="R672">
        <v>0</v>
      </c>
      <c r="S672">
        <v>0</v>
      </c>
      <c r="T672">
        <v>0</v>
      </c>
      <c r="U672">
        <v>0</v>
      </c>
      <c r="V672">
        <v>0</v>
      </c>
      <c r="W672">
        <v>0</v>
      </c>
      <c r="X672">
        <v>0</v>
      </c>
      <c r="Y672">
        <v>0</v>
      </c>
      <c r="Z672">
        <v>0</v>
      </c>
      <c r="AA672">
        <v>0</v>
      </c>
      <c r="AB672">
        <v>0</v>
      </c>
      <c r="AC672">
        <v>0</v>
      </c>
      <c r="AD672">
        <v>0</v>
      </c>
      <c r="AE672">
        <v>0</v>
      </c>
      <c r="AF672">
        <v>0</v>
      </c>
      <c r="AG672">
        <v>0</v>
      </c>
      <c r="AH672">
        <v>0</v>
      </c>
      <c r="AI672">
        <v>0</v>
      </c>
      <c r="AJ672">
        <v>0</v>
      </c>
      <c r="AK672">
        <v>0</v>
      </c>
      <c r="AL672">
        <v>0</v>
      </c>
      <c r="AM672">
        <v>8.58</v>
      </c>
      <c r="AN672">
        <v>0</v>
      </c>
      <c r="AO672">
        <v>0</v>
      </c>
      <c r="AP672">
        <v>0</v>
      </c>
      <c r="AQ672">
        <v>0</v>
      </c>
      <c r="AR672">
        <v>0</v>
      </c>
      <c r="AS672">
        <v>0</v>
      </c>
      <c r="AT672">
        <v>0</v>
      </c>
      <c r="AU672">
        <v>0</v>
      </c>
      <c r="AV672">
        <v>0</v>
      </c>
      <c r="AW672">
        <v>0</v>
      </c>
      <c r="AX672">
        <v>0</v>
      </c>
      <c r="AY672">
        <v>0</v>
      </c>
      <c r="AZ672">
        <v>0</v>
      </c>
      <c r="BA672">
        <v>0</v>
      </c>
      <c r="BB672">
        <v>0</v>
      </c>
      <c r="BC672">
        <v>0</v>
      </c>
      <c r="BD672">
        <v>0</v>
      </c>
      <c r="BE672">
        <v>0</v>
      </c>
      <c r="BF672">
        <v>0</v>
      </c>
      <c r="BG672">
        <v>0</v>
      </c>
      <c r="BH672">
        <v>1</v>
      </c>
      <c r="BI672">
        <v>1</v>
      </c>
      <c r="BJ672">
        <v>0.2</v>
      </c>
      <c r="BK672">
        <v>1</v>
      </c>
      <c r="BL672" s="4">
        <v>50.45</v>
      </c>
      <c r="BM672" s="4">
        <v>7.57</v>
      </c>
      <c r="BN672" s="4">
        <v>58.02</v>
      </c>
      <c r="BO672" s="4">
        <v>58.02</v>
      </c>
      <c r="BQ672" t="s">
        <v>277</v>
      </c>
      <c r="BR672" t="s">
        <v>84</v>
      </c>
      <c r="BS672" s="3">
        <v>43805</v>
      </c>
      <c r="BT672" s="5">
        <v>0.32569444444444445</v>
      </c>
      <c r="BU672" t="s">
        <v>1153</v>
      </c>
      <c r="BV672" t="s">
        <v>86</v>
      </c>
      <c r="BY672">
        <v>1200</v>
      </c>
      <c r="CA672" t="s">
        <v>839</v>
      </c>
      <c r="CC672" t="s">
        <v>199</v>
      </c>
      <c r="CD672">
        <v>4070</v>
      </c>
      <c r="CE672" t="s">
        <v>88</v>
      </c>
      <c r="CF672" s="3">
        <v>43808</v>
      </c>
      <c r="CI672">
        <v>1</v>
      </c>
      <c r="CJ672">
        <v>1</v>
      </c>
      <c r="CK672">
        <v>21</v>
      </c>
      <c r="CL672" t="s">
        <v>89</v>
      </c>
    </row>
    <row r="673" spans="1:90">
      <c r="A673" t="s">
        <v>72</v>
      </c>
      <c r="B673" t="s">
        <v>73</v>
      </c>
      <c r="C673" t="s">
        <v>74</v>
      </c>
      <c r="E673" t="str">
        <f>"FES1162727098"</f>
        <v>FES1162727098</v>
      </c>
      <c r="F673" s="3">
        <v>43804</v>
      </c>
      <c r="G673">
        <v>202006</v>
      </c>
      <c r="H673" t="s">
        <v>75</v>
      </c>
      <c r="I673" t="s">
        <v>76</v>
      </c>
      <c r="J673" t="s">
        <v>77</v>
      </c>
      <c r="K673" t="s">
        <v>78</v>
      </c>
      <c r="L673" t="s">
        <v>169</v>
      </c>
      <c r="M673" t="s">
        <v>170</v>
      </c>
      <c r="N673" t="s">
        <v>969</v>
      </c>
      <c r="O673" t="s">
        <v>82</v>
      </c>
      <c r="P673" t="str">
        <f>"21707102567                   "</f>
        <v xml:space="preserve">21707102567                   </v>
      </c>
      <c r="Q673">
        <v>0</v>
      </c>
      <c r="R673">
        <v>0</v>
      </c>
      <c r="S673">
        <v>0</v>
      </c>
      <c r="T673">
        <v>0</v>
      </c>
      <c r="U673">
        <v>0</v>
      </c>
      <c r="V673">
        <v>0</v>
      </c>
      <c r="W673">
        <v>0</v>
      </c>
      <c r="X673">
        <v>0</v>
      </c>
      <c r="Y673">
        <v>0</v>
      </c>
      <c r="Z673">
        <v>0</v>
      </c>
      <c r="AA673">
        <v>0</v>
      </c>
      <c r="AB673">
        <v>0</v>
      </c>
      <c r="AC673">
        <v>0</v>
      </c>
      <c r="AD673">
        <v>0</v>
      </c>
      <c r="AE673">
        <v>0</v>
      </c>
      <c r="AF673">
        <v>0</v>
      </c>
      <c r="AG673">
        <v>0</v>
      </c>
      <c r="AH673">
        <v>0</v>
      </c>
      <c r="AI673">
        <v>0</v>
      </c>
      <c r="AJ673">
        <v>0</v>
      </c>
      <c r="AK673">
        <v>0</v>
      </c>
      <c r="AL673">
        <v>0</v>
      </c>
      <c r="AM673">
        <v>6.71</v>
      </c>
      <c r="AN673">
        <v>0</v>
      </c>
      <c r="AO673">
        <v>0</v>
      </c>
      <c r="AP673">
        <v>0</v>
      </c>
      <c r="AQ673">
        <v>0</v>
      </c>
      <c r="AR673">
        <v>0</v>
      </c>
      <c r="AS673">
        <v>0</v>
      </c>
      <c r="AT673">
        <v>0</v>
      </c>
      <c r="AU673">
        <v>0</v>
      </c>
      <c r="AV673">
        <v>0</v>
      </c>
      <c r="AW673">
        <v>0</v>
      </c>
      <c r="AX673">
        <v>0</v>
      </c>
      <c r="AY673">
        <v>0</v>
      </c>
      <c r="AZ673">
        <v>0</v>
      </c>
      <c r="BA673">
        <v>0</v>
      </c>
      <c r="BB673">
        <v>0</v>
      </c>
      <c r="BC673">
        <v>0</v>
      </c>
      <c r="BD673">
        <v>0</v>
      </c>
      <c r="BE673">
        <v>0</v>
      </c>
      <c r="BF673">
        <v>0</v>
      </c>
      <c r="BG673">
        <v>0</v>
      </c>
      <c r="BH673">
        <v>1</v>
      </c>
      <c r="BI673">
        <v>1</v>
      </c>
      <c r="BJ673">
        <v>0.2</v>
      </c>
      <c r="BK673">
        <v>1</v>
      </c>
      <c r="BL673" s="4">
        <v>39.42</v>
      </c>
      <c r="BM673" s="4">
        <v>5.91</v>
      </c>
      <c r="BN673" s="4">
        <v>45.33</v>
      </c>
      <c r="BO673" s="4">
        <v>45.33</v>
      </c>
      <c r="BQ673" t="s">
        <v>93</v>
      </c>
      <c r="BR673" t="s">
        <v>84</v>
      </c>
      <c r="BS673" s="3">
        <v>43805</v>
      </c>
      <c r="BT673" s="5">
        <v>0.3354166666666667</v>
      </c>
      <c r="BU673" t="s">
        <v>970</v>
      </c>
      <c r="BV673" t="s">
        <v>86</v>
      </c>
      <c r="BY673">
        <v>1200</v>
      </c>
      <c r="CA673" t="s">
        <v>250</v>
      </c>
      <c r="CC673" t="s">
        <v>170</v>
      </c>
      <c r="CD673">
        <v>1459</v>
      </c>
      <c r="CE673" t="s">
        <v>88</v>
      </c>
      <c r="CF673" s="3">
        <v>43808</v>
      </c>
      <c r="CI673">
        <v>1</v>
      </c>
      <c r="CJ673">
        <v>1</v>
      </c>
      <c r="CK673">
        <v>22</v>
      </c>
      <c r="CL673" t="s">
        <v>89</v>
      </c>
    </row>
    <row r="674" spans="1:90">
      <c r="A674" t="s">
        <v>72</v>
      </c>
      <c r="B674" t="s">
        <v>73</v>
      </c>
      <c r="C674" t="s">
        <v>74</v>
      </c>
      <c r="E674" t="str">
        <f>"FES1162727049"</f>
        <v>FES1162727049</v>
      </c>
      <c r="F674" s="3">
        <v>43804</v>
      </c>
      <c r="G674">
        <v>202006</v>
      </c>
      <c r="H674" t="s">
        <v>75</v>
      </c>
      <c r="I674" t="s">
        <v>76</v>
      </c>
      <c r="J674" t="s">
        <v>77</v>
      </c>
      <c r="K674" t="s">
        <v>78</v>
      </c>
      <c r="L674" t="s">
        <v>90</v>
      </c>
      <c r="M674" t="s">
        <v>91</v>
      </c>
      <c r="N674" t="s">
        <v>219</v>
      </c>
      <c r="O674" t="s">
        <v>82</v>
      </c>
      <c r="P674" t="str">
        <f>"2170701520                    "</f>
        <v xml:space="preserve">2170701520                    </v>
      </c>
      <c r="Q674">
        <v>0</v>
      </c>
      <c r="R674">
        <v>0</v>
      </c>
      <c r="S674">
        <v>0</v>
      </c>
      <c r="T674">
        <v>0</v>
      </c>
      <c r="U674">
        <v>0</v>
      </c>
      <c r="V674">
        <v>0</v>
      </c>
      <c r="W674">
        <v>0</v>
      </c>
      <c r="X674">
        <v>0</v>
      </c>
      <c r="Y674">
        <v>0</v>
      </c>
      <c r="Z674">
        <v>0</v>
      </c>
      <c r="AA674">
        <v>0</v>
      </c>
      <c r="AB674">
        <v>0</v>
      </c>
      <c r="AC674">
        <v>0</v>
      </c>
      <c r="AD674">
        <v>0</v>
      </c>
      <c r="AE674">
        <v>0</v>
      </c>
      <c r="AF674">
        <v>0</v>
      </c>
      <c r="AG674">
        <v>0</v>
      </c>
      <c r="AH674">
        <v>0</v>
      </c>
      <c r="AI674">
        <v>0</v>
      </c>
      <c r="AJ674">
        <v>0</v>
      </c>
      <c r="AK674">
        <v>0</v>
      </c>
      <c r="AL674">
        <v>0</v>
      </c>
      <c r="AM674">
        <v>8.58</v>
      </c>
      <c r="AN674">
        <v>0</v>
      </c>
      <c r="AO674">
        <v>0</v>
      </c>
      <c r="AP674">
        <v>0</v>
      </c>
      <c r="AQ674">
        <v>0</v>
      </c>
      <c r="AR674">
        <v>0</v>
      </c>
      <c r="AS674">
        <v>0</v>
      </c>
      <c r="AT674">
        <v>0</v>
      </c>
      <c r="AU674">
        <v>0</v>
      </c>
      <c r="AV674">
        <v>0</v>
      </c>
      <c r="AW674">
        <v>0</v>
      </c>
      <c r="AX674">
        <v>0</v>
      </c>
      <c r="AY674">
        <v>0</v>
      </c>
      <c r="AZ674">
        <v>0</v>
      </c>
      <c r="BA674">
        <v>0</v>
      </c>
      <c r="BB674">
        <v>0</v>
      </c>
      <c r="BC674">
        <v>0</v>
      </c>
      <c r="BD674">
        <v>0</v>
      </c>
      <c r="BE674">
        <v>0</v>
      </c>
      <c r="BF674">
        <v>0</v>
      </c>
      <c r="BG674">
        <v>0</v>
      </c>
      <c r="BH674">
        <v>1</v>
      </c>
      <c r="BI674">
        <v>1</v>
      </c>
      <c r="BJ674">
        <v>0.2</v>
      </c>
      <c r="BK674">
        <v>1</v>
      </c>
      <c r="BL674" s="4">
        <v>50.45</v>
      </c>
      <c r="BM674" s="4">
        <v>7.57</v>
      </c>
      <c r="BN674" s="4">
        <v>58.02</v>
      </c>
      <c r="BO674" s="4">
        <v>58.02</v>
      </c>
      <c r="BQ674" t="s">
        <v>147</v>
      </c>
      <c r="BR674" t="s">
        <v>84</v>
      </c>
      <c r="BS674" s="3">
        <v>43805</v>
      </c>
      <c r="BT674" s="5">
        <v>0.3659722222222222</v>
      </c>
      <c r="BU674" t="s">
        <v>976</v>
      </c>
      <c r="BV674" t="s">
        <v>86</v>
      </c>
      <c r="BY674">
        <v>1200</v>
      </c>
      <c r="CA674" t="s">
        <v>112</v>
      </c>
      <c r="CC674" t="s">
        <v>91</v>
      </c>
      <c r="CD674">
        <v>7441</v>
      </c>
      <c r="CE674" t="s">
        <v>88</v>
      </c>
      <c r="CF674" s="3">
        <v>43808</v>
      </c>
      <c r="CI674">
        <v>1</v>
      </c>
      <c r="CJ674">
        <v>1</v>
      </c>
      <c r="CK674">
        <v>21</v>
      </c>
      <c r="CL674" t="s">
        <v>89</v>
      </c>
    </row>
    <row r="675" spans="1:90">
      <c r="A675" t="s">
        <v>72</v>
      </c>
      <c r="B675" t="s">
        <v>73</v>
      </c>
      <c r="C675" t="s">
        <v>74</v>
      </c>
      <c r="E675" t="str">
        <f>"FES1162727521"</f>
        <v>FES1162727521</v>
      </c>
      <c r="F675" s="3">
        <v>43809</v>
      </c>
      <c r="G675">
        <v>202006</v>
      </c>
      <c r="H675" t="s">
        <v>75</v>
      </c>
      <c r="I675" t="s">
        <v>76</v>
      </c>
      <c r="J675" t="s">
        <v>77</v>
      </c>
      <c r="K675" t="s">
        <v>78</v>
      </c>
      <c r="L675" t="s">
        <v>75</v>
      </c>
      <c r="M675" t="s">
        <v>76</v>
      </c>
      <c r="N675" t="s">
        <v>312</v>
      </c>
      <c r="O675" t="s">
        <v>82</v>
      </c>
      <c r="P675" t="str">
        <f>"2170710956                    "</f>
        <v xml:space="preserve">2170710956                    </v>
      </c>
      <c r="Q675">
        <v>0</v>
      </c>
      <c r="R675">
        <v>0</v>
      </c>
      <c r="S675">
        <v>0</v>
      </c>
      <c r="T675">
        <v>0</v>
      </c>
      <c r="U675">
        <v>0</v>
      </c>
      <c r="V675">
        <v>0</v>
      </c>
      <c r="W675">
        <v>0</v>
      </c>
      <c r="X675">
        <v>0</v>
      </c>
      <c r="Y675">
        <v>0</v>
      </c>
      <c r="Z675">
        <v>0</v>
      </c>
      <c r="AA675">
        <v>0</v>
      </c>
      <c r="AB675">
        <v>0</v>
      </c>
      <c r="AC675">
        <v>0</v>
      </c>
      <c r="AD675">
        <v>0</v>
      </c>
      <c r="AE675">
        <v>0</v>
      </c>
      <c r="AF675">
        <v>0</v>
      </c>
      <c r="AG675">
        <v>0</v>
      </c>
      <c r="AH675">
        <v>0</v>
      </c>
      <c r="AI675">
        <v>0</v>
      </c>
      <c r="AJ675">
        <v>0</v>
      </c>
      <c r="AK675">
        <v>0</v>
      </c>
      <c r="AL675">
        <v>0</v>
      </c>
      <c r="AM675">
        <v>6.71</v>
      </c>
      <c r="AN675">
        <v>0</v>
      </c>
      <c r="AO675">
        <v>0</v>
      </c>
      <c r="AP675">
        <v>0</v>
      </c>
      <c r="AQ675">
        <v>0</v>
      </c>
      <c r="AR675">
        <v>0</v>
      </c>
      <c r="AS675">
        <v>0</v>
      </c>
      <c r="AT675">
        <v>0</v>
      </c>
      <c r="AU675">
        <v>0</v>
      </c>
      <c r="AV675">
        <v>0</v>
      </c>
      <c r="AW675">
        <v>0</v>
      </c>
      <c r="AX675">
        <v>0</v>
      </c>
      <c r="AY675">
        <v>0</v>
      </c>
      <c r="AZ675">
        <v>0</v>
      </c>
      <c r="BA675">
        <v>0</v>
      </c>
      <c r="BB675">
        <v>0</v>
      </c>
      <c r="BC675">
        <v>0</v>
      </c>
      <c r="BD675">
        <v>0</v>
      </c>
      <c r="BE675">
        <v>0</v>
      </c>
      <c r="BF675">
        <v>0</v>
      </c>
      <c r="BG675">
        <v>0</v>
      </c>
      <c r="BH675">
        <v>1</v>
      </c>
      <c r="BI675">
        <v>1.2</v>
      </c>
      <c r="BJ675">
        <v>2</v>
      </c>
      <c r="BK675">
        <v>2</v>
      </c>
      <c r="BL675" s="4">
        <v>39.42</v>
      </c>
      <c r="BM675" s="4">
        <v>5.91</v>
      </c>
      <c r="BN675" s="4">
        <v>45.33</v>
      </c>
      <c r="BO675" s="4">
        <v>45.33</v>
      </c>
      <c r="BQ675" t="s">
        <v>147</v>
      </c>
      <c r="BR675" t="s">
        <v>84</v>
      </c>
      <c r="BS675" s="3">
        <v>43810</v>
      </c>
      <c r="BT675" s="5">
        <v>0.4375</v>
      </c>
      <c r="BU675" t="s">
        <v>1154</v>
      </c>
      <c r="BV675" t="s">
        <v>86</v>
      </c>
      <c r="BY675">
        <v>9963.32</v>
      </c>
      <c r="CC675" t="s">
        <v>76</v>
      </c>
      <c r="CD675">
        <v>1609</v>
      </c>
      <c r="CE675" t="s">
        <v>116</v>
      </c>
      <c r="CF675" s="3">
        <v>43811</v>
      </c>
      <c r="CI675">
        <v>1</v>
      </c>
      <c r="CJ675">
        <v>1</v>
      </c>
      <c r="CK675">
        <v>22</v>
      </c>
      <c r="CL675" t="s">
        <v>89</v>
      </c>
    </row>
    <row r="676" spans="1:90">
      <c r="A676" t="s">
        <v>72</v>
      </c>
      <c r="B676" t="s">
        <v>73</v>
      </c>
      <c r="C676" t="s">
        <v>74</v>
      </c>
      <c r="E676" t="str">
        <f>"FES1162727509"</f>
        <v>FES1162727509</v>
      </c>
      <c r="F676" s="3">
        <v>43809</v>
      </c>
      <c r="G676">
        <v>202006</v>
      </c>
      <c r="H676" t="s">
        <v>75</v>
      </c>
      <c r="I676" t="s">
        <v>76</v>
      </c>
      <c r="J676" t="s">
        <v>77</v>
      </c>
      <c r="K676" t="s">
        <v>78</v>
      </c>
      <c r="L676" t="s">
        <v>79</v>
      </c>
      <c r="M676" t="s">
        <v>80</v>
      </c>
      <c r="N676" t="s">
        <v>934</v>
      </c>
      <c r="O676" t="s">
        <v>82</v>
      </c>
      <c r="P676" t="str">
        <f>"2170719917                    "</f>
        <v xml:space="preserve">2170719917                    </v>
      </c>
      <c r="Q676">
        <v>0</v>
      </c>
      <c r="R676">
        <v>0</v>
      </c>
      <c r="S676">
        <v>0</v>
      </c>
      <c r="T676">
        <v>0</v>
      </c>
      <c r="U676">
        <v>0</v>
      </c>
      <c r="V676">
        <v>0</v>
      </c>
      <c r="W676">
        <v>0</v>
      </c>
      <c r="X676">
        <v>0</v>
      </c>
      <c r="Y676">
        <v>0</v>
      </c>
      <c r="Z676">
        <v>0</v>
      </c>
      <c r="AA676">
        <v>0</v>
      </c>
      <c r="AB676">
        <v>0</v>
      </c>
      <c r="AC676">
        <v>0</v>
      </c>
      <c r="AD676">
        <v>0</v>
      </c>
      <c r="AE676">
        <v>0</v>
      </c>
      <c r="AF676">
        <v>0</v>
      </c>
      <c r="AG676">
        <v>0</v>
      </c>
      <c r="AH676">
        <v>0</v>
      </c>
      <c r="AI676">
        <v>0</v>
      </c>
      <c r="AJ676">
        <v>0</v>
      </c>
      <c r="AK676">
        <v>0</v>
      </c>
      <c r="AL676">
        <v>0</v>
      </c>
      <c r="AM676">
        <v>40.75</v>
      </c>
      <c r="AN676">
        <v>0</v>
      </c>
      <c r="AO676">
        <v>0</v>
      </c>
      <c r="AP676">
        <v>0</v>
      </c>
      <c r="AQ676">
        <v>0</v>
      </c>
      <c r="AR676">
        <v>0</v>
      </c>
      <c r="AS676">
        <v>0</v>
      </c>
      <c r="AT676">
        <v>0</v>
      </c>
      <c r="AU676">
        <v>0</v>
      </c>
      <c r="AV676">
        <v>0</v>
      </c>
      <c r="AW676">
        <v>0</v>
      </c>
      <c r="AX676">
        <v>0</v>
      </c>
      <c r="AY676">
        <v>0</v>
      </c>
      <c r="AZ676">
        <v>0</v>
      </c>
      <c r="BA676">
        <v>0</v>
      </c>
      <c r="BB676">
        <v>0</v>
      </c>
      <c r="BC676">
        <v>0</v>
      </c>
      <c r="BD676">
        <v>0</v>
      </c>
      <c r="BE676">
        <v>0</v>
      </c>
      <c r="BF676">
        <v>0</v>
      </c>
      <c r="BG676">
        <v>0</v>
      </c>
      <c r="BH676">
        <v>1</v>
      </c>
      <c r="BI676">
        <v>6.7</v>
      </c>
      <c r="BJ676">
        <v>9.1999999999999993</v>
      </c>
      <c r="BK676">
        <v>9.5</v>
      </c>
      <c r="BL676" s="4">
        <v>239.52</v>
      </c>
      <c r="BM676" s="4">
        <v>35.93</v>
      </c>
      <c r="BN676" s="4">
        <v>275.45</v>
      </c>
      <c r="BO676" s="4">
        <v>275.45</v>
      </c>
      <c r="BQ676" t="s">
        <v>93</v>
      </c>
      <c r="BR676" t="s">
        <v>84</v>
      </c>
      <c r="BS676" s="3">
        <v>43810</v>
      </c>
      <c r="BT676" s="5">
        <v>0.34652777777777777</v>
      </c>
      <c r="BU676" t="s">
        <v>1155</v>
      </c>
      <c r="BV676" t="s">
        <v>86</v>
      </c>
      <c r="BY676">
        <v>46077.32</v>
      </c>
      <c r="CA676" t="s">
        <v>1156</v>
      </c>
      <c r="CC676" t="s">
        <v>80</v>
      </c>
      <c r="CD676">
        <v>6001</v>
      </c>
      <c r="CE676" t="s">
        <v>116</v>
      </c>
      <c r="CF676" s="3">
        <v>43811</v>
      </c>
      <c r="CI676">
        <v>1</v>
      </c>
      <c r="CJ676">
        <v>1</v>
      </c>
      <c r="CK676">
        <v>21</v>
      </c>
      <c r="CL676" t="s">
        <v>89</v>
      </c>
    </row>
    <row r="677" spans="1:90">
      <c r="A677" t="s">
        <v>72</v>
      </c>
      <c r="B677" t="s">
        <v>73</v>
      </c>
      <c r="C677" t="s">
        <v>74</v>
      </c>
      <c r="E677" t="str">
        <f>"FES1162726793"</f>
        <v>FES1162726793</v>
      </c>
      <c r="F677" s="3">
        <v>43804</v>
      </c>
      <c r="G677">
        <v>202006</v>
      </c>
      <c r="H677" t="s">
        <v>75</v>
      </c>
      <c r="I677" t="s">
        <v>76</v>
      </c>
      <c r="J677" t="s">
        <v>77</v>
      </c>
      <c r="K677" t="s">
        <v>78</v>
      </c>
      <c r="L677" t="s">
        <v>79</v>
      </c>
      <c r="M677" t="s">
        <v>80</v>
      </c>
      <c r="N677" t="s">
        <v>97</v>
      </c>
      <c r="O677" t="s">
        <v>104</v>
      </c>
      <c r="P677" t="str">
        <f>"217720239                     "</f>
        <v xml:space="preserve">217720239                     </v>
      </c>
      <c r="Q677">
        <v>0</v>
      </c>
      <c r="R677">
        <v>0</v>
      </c>
      <c r="S677">
        <v>0</v>
      </c>
      <c r="T677">
        <v>0</v>
      </c>
      <c r="U677">
        <v>0</v>
      </c>
      <c r="V677">
        <v>0</v>
      </c>
      <c r="W677">
        <v>0</v>
      </c>
      <c r="X677">
        <v>0</v>
      </c>
      <c r="Y677">
        <v>0</v>
      </c>
      <c r="Z677">
        <v>0</v>
      </c>
      <c r="AA677">
        <v>0</v>
      </c>
      <c r="AB677">
        <v>0</v>
      </c>
      <c r="AC677">
        <v>0</v>
      </c>
      <c r="AD677">
        <v>0</v>
      </c>
      <c r="AE677">
        <v>0</v>
      </c>
      <c r="AF677">
        <v>0</v>
      </c>
      <c r="AG677">
        <v>0</v>
      </c>
      <c r="AH677">
        <v>0</v>
      </c>
      <c r="AI677">
        <v>0</v>
      </c>
      <c r="AJ677">
        <v>0</v>
      </c>
      <c r="AK677">
        <v>0</v>
      </c>
      <c r="AL677">
        <v>0</v>
      </c>
      <c r="AM677">
        <v>17.57</v>
      </c>
      <c r="AN677">
        <v>0</v>
      </c>
      <c r="AO677">
        <v>0</v>
      </c>
      <c r="AP677">
        <v>0</v>
      </c>
      <c r="AQ677">
        <v>0</v>
      </c>
      <c r="AR677">
        <v>0</v>
      </c>
      <c r="AS677">
        <v>0</v>
      </c>
      <c r="AT677">
        <v>0</v>
      </c>
      <c r="AU677">
        <v>0</v>
      </c>
      <c r="AV677">
        <v>0</v>
      </c>
      <c r="AW677">
        <v>0</v>
      </c>
      <c r="AX677">
        <v>0</v>
      </c>
      <c r="AY677">
        <v>0</v>
      </c>
      <c r="AZ677">
        <v>0</v>
      </c>
      <c r="BA677">
        <v>0</v>
      </c>
      <c r="BB677">
        <v>0</v>
      </c>
      <c r="BC677">
        <v>0</v>
      </c>
      <c r="BD677">
        <v>0</v>
      </c>
      <c r="BE677">
        <v>0</v>
      </c>
      <c r="BF677">
        <v>0</v>
      </c>
      <c r="BG677">
        <v>0</v>
      </c>
      <c r="BH677">
        <v>1</v>
      </c>
      <c r="BI677">
        <v>1.1000000000000001</v>
      </c>
      <c r="BJ677">
        <v>1.3</v>
      </c>
      <c r="BK677">
        <v>2</v>
      </c>
      <c r="BL677" s="4">
        <v>108.28</v>
      </c>
      <c r="BM677" s="4">
        <v>16.239999999999998</v>
      </c>
      <c r="BN677" s="4">
        <v>124.52</v>
      </c>
      <c r="BO677" s="4">
        <v>124.52</v>
      </c>
      <c r="BP677" t="s">
        <v>1076</v>
      </c>
      <c r="BQ677" t="s">
        <v>93</v>
      </c>
      <c r="BR677" t="s">
        <v>84</v>
      </c>
      <c r="BS677" s="3">
        <v>43805</v>
      </c>
      <c r="BT677" s="5">
        <v>0.34027777777777773</v>
      </c>
      <c r="BU677" t="s">
        <v>98</v>
      </c>
      <c r="BV677" t="s">
        <v>86</v>
      </c>
      <c r="BY677">
        <v>6498</v>
      </c>
      <c r="CA677" t="s">
        <v>99</v>
      </c>
      <c r="CC677" t="s">
        <v>80</v>
      </c>
      <c r="CD677">
        <v>6001</v>
      </c>
      <c r="CE677" t="s">
        <v>116</v>
      </c>
      <c r="CF677" s="3">
        <v>43808</v>
      </c>
      <c r="CI677">
        <v>2</v>
      </c>
      <c r="CJ677">
        <v>1</v>
      </c>
      <c r="CK677" t="s">
        <v>113</v>
      </c>
      <c r="CL677" t="s">
        <v>89</v>
      </c>
    </row>
    <row r="678" spans="1:90">
      <c r="A678" t="s">
        <v>72</v>
      </c>
      <c r="B678" t="s">
        <v>73</v>
      </c>
      <c r="C678" t="s">
        <v>74</v>
      </c>
      <c r="E678" t="str">
        <f>"009939422422"</f>
        <v>009939422422</v>
      </c>
      <c r="F678" s="3">
        <v>43804</v>
      </c>
      <c r="G678">
        <v>202006</v>
      </c>
      <c r="H678" t="s">
        <v>169</v>
      </c>
      <c r="I678" t="s">
        <v>170</v>
      </c>
      <c r="J678" t="s">
        <v>1157</v>
      </c>
      <c r="K678" t="s">
        <v>78</v>
      </c>
      <c r="L678" t="s">
        <v>75</v>
      </c>
      <c r="M678" t="s">
        <v>76</v>
      </c>
      <c r="N678" t="s">
        <v>100</v>
      </c>
      <c r="O678" t="s">
        <v>104</v>
      </c>
      <c r="P678" t="str">
        <f>"                              "</f>
        <v xml:space="preserve">                              </v>
      </c>
      <c r="Q678">
        <v>0</v>
      </c>
      <c r="R678">
        <v>0</v>
      </c>
      <c r="S678">
        <v>0</v>
      </c>
      <c r="T678">
        <v>0</v>
      </c>
      <c r="U678">
        <v>0</v>
      </c>
      <c r="V678">
        <v>0</v>
      </c>
      <c r="W678">
        <v>0</v>
      </c>
      <c r="X678">
        <v>0</v>
      </c>
      <c r="Y678">
        <v>0</v>
      </c>
      <c r="Z678">
        <v>0</v>
      </c>
      <c r="AA678">
        <v>0</v>
      </c>
      <c r="AB678">
        <v>0</v>
      </c>
      <c r="AC678">
        <v>0</v>
      </c>
      <c r="AD678">
        <v>0</v>
      </c>
      <c r="AE678">
        <v>0</v>
      </c>
      <c r="AF678">
        <v>0</v>
      </c>
      <c r="AG678">
        <v>0</v>
      </c>
      <c r="AH678">
        <v>0</v>
      </c>
      <c r="AI678">
        <v>0</v>
      </c>
      <c r="AJ678">
        <v>0</v>
      </c>
      <c r="AK678">
        <v>0</v>
      </c>
      <c r="AL678">
        <v>0</v>
      </c>
      <c r="AM678">
        <v>12.07</v>
      </c>
      <c r="AN678">
        <v>0</v>
      </c>
      <c r="AO678">
        <v>0</v>
      </c>
      <c r="AP678">
        <v>0</v>
      </c>
      <c r="AQ678">
        <v>0</v>
      </c>
      <c r="AR678">
        <v>0</v>
      </c>
      <c r="AS678">
        <v>0</v>
      </c>
      <c r="AT678">
        <v>0</v>
      </c>
      <c r="AU678">
        <v>0</v>
      </c>
      <c r="AV678">
        <v>0</v>
      </c>
      <c r="AW678">
        <v>0</v>
      </c>
      <c r="AX678">
        <v>0</v>
      </c>
      <c r="AY678">
        <v>0</v>
      </c>
      <c r="AZ678">
        <v>0</v>
      </c>
      <c r="BA678">
        <v>0</v>
      </c>
      <c r="BB678">
        <v>0</v>
      </c>
      <c r="BC678">
        <v>0</v>
      </c>
      <c r="BD678">
        <v>0</v>
      </c>
      <c r="BE678">
        <v>0</v>
      </c>
      <c r="BF678">
        <v>0</v>
      </c>
      <c r="BG678">
        <v>0</v>
      </c>
      <c r="BH678">
        <v>1</v>
      </c>
      <c r="BI678">
        <v>12</v>
      </c>
      <c r="BJ678">
        <v>8.6</v>
      </c>
      <c r="BK678">
        <v>12</v>
      </c>
      <c r="BL678" s="4">
        <v>75.95</v>
      </c>
      <c r="BM678" s="4">
        <v>11.39</v>
      </c>
      <c r="BN678" s="4">
        <v>87.34</v>
      </c>
      <c r="BO678" s="4">
        <v>87.34</v>
      </c>
      <c r="BQ678" t="s">
        <v>1158</v>
      </c>
      <c r="BR678" t="s">
        <v>1159</v>
      </c>
      <c r="BS678" s="3">
        <v>43805</v>
      </c>
      <c r="BT678" s="5">
        <v>0.42569444444444443</v>
      </c>
      <c r="BU678" t="s">
        <v>154</v>
      </c>
      <c r="BV678" t="s">
        <v>86</v>
      </c>
      <c r="BY678">
        <v>42784.14</v>
      </c>
      <c r="CA678" t="s">
        <v>155</v>
      </c>
      <c r="CC678" t="s">
        <v>76</v>
      </c>
      <c r="CD678">
        <v>1600</v>
      </c>
      <c r="CE678" t="s">
        <v>96</v>
      </c>
      <c r="CF678" s="3">
        <v>43808</v>
      </c>
      <c r="CI678">
        <v>1</v>
      </c>
      <c r="CJ678">
        <v>1</v>
      </c>
      <c r="CK678" t="s">
        <v>123</v>
      </c>
      <c r="CL678" t="s">
        <v>89</v>
      </c>
    </row>
    <row r="679" spans="1:90">
      <c r="A679" t="s">
        <v>72</v>
      </c>
      <c r="B679" t="s">
        <v>73</v>
      </c>
      <c r="C679" t="s">
        <v>74</v>
      </c>
      <c r="E679" t="str">
        <f>"009939462174"</f>
        <v>009939462174</v>
      </c>
      <c r="F679" s="3">
        <v>43804</v>
      </c>
      <c r="G679">
        <v>202006</v>
      </c>
      <c r="H679" t="s">
        <v>75</v>
      </c>
      <c r="I679" t="s">
        <v>76</v>
      </c>
      <c r="J679" t="s">
        <v>100</v>
      </c>
      <c r="K679" t="s">
        <v>78</v>
      </c>
      <c r="L679" t="s">
        <v>198</v>
      </c>
      <c r="M679" t="s">
        <v>199</v>
      </c>
      <c r="N679" t="s">
        <v>1160</v>
      </c>
      <c r="O679" t="s">
        <v>104</v>
      </c>
      <c r="P679" t="str">
        <f>"                              "</f>
        <v xml:space="preserve">                              </v>
      </c>
      <c r="Q679">
        <v>0</v>
      </c>
      <c r="R679">
        <v>0</v>
      </c>
      <c r="S679">
        <v>0</v>
      </c>
      <c r="T679">
        <v>0</v>
      </c>
      <c r="U679">
        <v>0</v>
      </c>
      <c r="V679">
        <v>0</v>
      </c>
      <c r="W679">
        <v>0</v>
      </c>
      <c r="X679">
        <v>0</v>
      </c>
      <c r="Y679">
        <v>0</v>
      </c>
      <c r="Z679">
        <v>0</v>
      </c>
      <c r="AA679">
        <v>0</v>
      </c>
      <c r="AB679">
        <v>0</v>
      </c>
      <c r="AC679">
        <v>0</v>
      </c>
      <c r="AD679">
        <v>0</v>
      </c>
      <c r="AE679">
        <v>0</v>
      </c>
      <c r="AF679">
        <v>0</v>
      </c>
      <c r="AG679">
        <v>0</v>
      </c>
      <c r="AH679">
        <v>0</v>
      </c>
      <c r="AI679">
        <v>0</v>
      </c>
      <c r="AJ679">
        <v>0</v>
      </c>
      <c r="AK679">
        <v>0</v>
      </c>
      <c r="AL679">
        <v>0</v>
      </c>
      <c r="AM679">
        <v>12.07</v>
      </c>
      <c r="AN679">
        <v>0</v>
      </c>
      <c r="AO679">
        <v>0</v>
      </c>
      <c r="AP679">
        <v>0</v>
      </c>
      <c r="AQ679">
        <v>0</v>
      </c>
      <c r="AR679">
        <v>0</v>
      </c>
      <c r="AS679">
        <v>0</v>
      </c>
      <c r="AT679">
        <v>0</v>
      </c>
      <c r="AU679">
        <v>0</v>
      </c>
      <c r="AV679">
        <v>0</v>
      </c>
      <c r="AW679">
        <v>0</v>
      </c>
      <c r="AX679">
        <v>0</v>
      </c>
      <c r="AY679">
        <v>0</v>
      </c>
      <c r="AZ679">
        <v>0</v>
      </c>
      <c r="BA679">
        <v>0</v>
      </c>
      <c r="BB679">
        <v>0</v>
      </c>
      <c r="BC679">
        <v>0</v>
      </c>
      <c r="BD679">
        <v>0</v>
      </c>
      <c r="BE679">
        <v>0</v>
      </c>
      <c r="BF679">
        <v>0</v>
      </c>
      <c r="BG679">
        <v>0</v>
      </c>
      <c r="BH679">
        <v>1</v>
      </c>
      <c r="BI679">
        <v>5.0999999999999996</v>
      </c>
      <c r="BJ679">
        <v>1.6</v>
      </c>
      <c r="BK679">
        <v>6</v>
      </c>
      <c r="BL679" s="4">
        <v>75.95</v>
      </c>
      <c r="BM679" s="4">
        <v>11.39</v>
      </c>
      <c r="BN679" s="4">
        <v>87.34</v>
      </c>
      <c r="BO679" s="4">
        <v>87.34</v>
      </c>
      <c r="BQ679" t="s">
        <v>1161</v>
      </c>
      <c r="BR679" t="s">
        <v>1158</v>
      </c>
      <c r="BS679" s="3">
        <v>43808</v>
      </c>
      <c r="BT679" s="5">
        <v>0.45833333333333331</v>
      </c>
      <c r="BU679" t="s">
        <v>1014</v>
      </c>
      <c r="BV679" t="s">
        <v>89</v>
      </c>
      <c r="BW679" t="s">
        <v>1162</v>
      </c>
      <c r="BX679" t="s">
        <v>1163</v>
      </c>
      <c r="BY679">
        <v>8018.3</v>
      </c>
      <c r="CC679" t="s">
        <v>199</v>
      </c>
      <c r="CD679">
        <v>4000</v>
      </c>
      <c r="CE679" t="s">
        <v>96</v>
      </c>
      <c r="CF679" s="3">
        <v>43809</v>
      </c>
      <c r="CI679">
        <v>1</v>
      </c>
      <c r="CJ679">
        <v>2</v>
      </c>
      <c r="CK679" t="s">
        <v>1164</v>
      </c>
      <c r="CL679" t="s">
        <v>89</v>
      </c>
    </row>
    <row r="680" spans="1:90">
      <c r="A680" t="s">
        <v>72</v>
      </c>
      <c r="B680" t="s">
        <v>73</v>
      </c>
      <c r="C680" t="s">
        <v>74</v>
      </c>
      <c r="E680" t="str">
        <f>"009939397502"</f>
        <v>009939397502</v>
      </c>
      <c r="F680" s="3">
        <v>43804</v>
      </c>
      <c r="G680">
        <v>202006</v>
      </c>
      <c r="H680" t="s">
        <v>90</v>
      </c>
      <c r="I680" t="s">
        <v>91</v>
      </c>
      <c r="J680" t="s">
        <v>1165</v>
      </c>
      <c r="K680" t="s">
        <v>78</v>
      </c>
      <c r="L680" t="s">
        <v>75</v>
      </c>
      <c r="M680" t="s">
        <v>76</v>
      </c>
      <c r="N680" t="s">
        <v>100</v>
      </c>
      <c r="O680" t="s">
        <v>104</v>
      </c>
      <c r="P680" t="str">
        <f>"JNB1912050154                 "</f>
        <v xml:space="preserve">JNB1912050154                 </v>
      </c>
      <c r="Q680">
        <v>0</v>
      </c>
      <c r="R680">
        <v>0</v>
      </c>
      <c r="S680">
        <v>0</v>
      </c>
      <c r="T680">
        <v>0</v>
      </c>
      <c r="U680">
        <v>0</v>
      </c>
      <c r="V680">
        <v>0</v>
      </c>
      <c r="W680">
        <v>0</v>
      </c>
      <c r="X680">
        <v>0</v>
      </c>
      <c r="Y680">
        <v>0</v>
      </c>
      <c r="Z680">
        <v>0</v>
      </c>
      <c r="AA680">
        <v>0</v>
      </c>
      <c r="AB680">
        <v>0</v>
      </c>
      <c r="AC680">
        <v>0</v>
      </c>
      <c r="AD680">
        <v>0</v>
      </c>
      <c r="AE680">
        <v>0</v>
      </c>
      <c r="AF680">
        <v>0</v>
      </c>
      <c r="AG680">
        <v>0</v>
      </c>
      <c r="AH680">
        <v>0</v>
      </c>
      <c r="AI680">
        <v>0</v>
      </c>
      <c r="AJ680">
        <v>0</v>
      </c>
      <c r="AK680">
        <v>0</v>
      </c>
      <c r="AL680">
        <v>0</v>
      </c>
      <c r="AM680">
        <v>17.57</v>
      </c>
      <c r="AN680">
        <v>0</v>
      </c>
      <c r="AO680">
        <v>0</v>
      </c>
      <c r="AP680">
        <v>0</v>
      </c>
      <c r="AQ680">
        <v>0</v>
      </c>
      <c r="AR680">
        <v>0</v>
      </c>
      <c r="AS680">
        <v>0</v>
      </c>
      <c r="AT680">
        <v>0</v>
      </c>
      <c r="AU680">
        <v>0</v>
      </c>
      <c r="AV680">
        <v>0</v>
      </c>
      <c r="AW680">
        <v>0</v>
      </c>
      <c r="AX680">
        <v>0</v>
      </c>
      <c r="AY680">
        <v>0</v>
      </c>
      <c r="AZ680">
        <v>0</v>
      </c>
      <c r="BA680">
        <v>0</v>
      </c>
      <c r="BB680">
        <v>0</v>
      </c>
      <c r="BC680">
        <v>0</v>
      </c>
      <c r="BD680">
        <v>0</v>
      </c>
      <c r="BE680">
        <v>0</v>
      </c>
      <c r="BF680">
        <v>0</v>
      </c>
      <c r="BG680">
        <v>0</v>
      </c>
      <c r="BH680">
        <v>1</v>
      </c>
      <c r="BI680">
        <v>0.7</v>
      </c>
      <c r="BJ680">
        <v>3</v>
      </c>
      <c r="BK680">
        <v>3</v>
      </c>
      <c r="BL680" s="4">
        <v>108.28</v>
      </c>
      <c r="BM680" s="4">
        <v>16.239999999999998</v>
      </c>
      <c r="BN680" s="4">
        <v>124.52</v>
      </c>
      <c r="BO680" s="4">
        <v>124.52</v>
      </c>
      <c r="BQ680" t="s">
        <v>127</v>
      </c>
      <c r="BR680" t="s">
        <v>1166</v>
      </c>
      <c r="BS680" s="3">
        <v>43808</v>
      </c>
      <c r="BT680" s="5">
        <v>0.37152777777777773</v>
      </c>
      <c r="BU680" t="s">
        <v>154</v>
      </c>
      <c r="BV680" t="s">
        <v>86</v>
      </c>
      <c r="BY680">
        <v>15046.01</v>
      </c>
      <c r="CA680" t="s">
        <v>155</v>
      </c>
      <c r="CC680" t="s">
        <v>76</v>
      </c>
      <c r="CD680">
        <v>1600</v>
      </c>
      <c r="CE680" t="s">
        <v>1167</v>
      </c>
      <c r="CF680" s="3">
        <v>43809</v>
      </c>
      <c r="CI680">
        <v>2</v>
      </c>
      <c r="CJ680">
        <v>2</v>
      </c>
      <c r="CK680" t="s">
        <v>113</v>
      </c>
      <c r="CL680" t="s">
        <v>89</v>
      </c>
    </row>
    <row r="681" spans="1:90">
      <c r="A681" t="s">
        <v>331</v>
      </c>
      <c r="B681" t="s">
        <v>73</v>
      </c>
      <c r="C681" t="s">
        <v>74</v>
      </c>
      <c r="E681" t="str">
        <f>"009939633512"</f>
        <v>009939633512</v>
      </c>
      <c r="F681" s="3">
        <v>43804</v>
      </c>
      <c r="G681">
        <v>202006</v>
      </c>
      <c r="H681" t="s">
        <v>221</v>
      </c>
      <c r="I681" t="s">
        <v>222</v>
      </c>
      <c r="J681" t="s">
        <v>1168</v>
      </c>
      <c r="K681" t="s">
        <v>78</v>
      </c>
      <c r="L681" t="s">
        <v>75</v>
      </c>
      <c r="M681" t="s">
        <v>76</v>
      </c>
      <c r="N681" t="s">
        <v>100</v>
      </c>
      <c r="O681" t="s">
        <v>104</v>
      </c>
      <c r="P681" t="str">
        <f>"                              "</f>
        <v xml:space="preserve">                              </v>
      </c>
      <c r="Q681">
        <v>0</v>
      </c>
      <c r="R681">
        <v>0</v>
      </c>
      <c r="S681">
        <v>0</v>
      </c>
      <c r="T681">
        <v>0</v>
      </c>
      <c r="U681">
        <v>0</v>
      </c>
      <c r="V681">
        <v>0</v>
      </c>
      <c r="W681">
        <v>0</v>
      </c>
      <c r="X681">
        <v>0</v>
      </c>
      <c r="Y681">
        <v>0</v>
      </c>
      <c r="Z681">
        <v>0</v>
      </c>
      <c r="AA681">
        <v>0</v>
      </c>
      <c r="AB681">
        <v>0</v>
      </c>
      <c r="AC681">
        <v>0</v>
      </c>
      <c r="AD681">
        <v>0</v>
      </c>
      <c r="AE681">
        <v>0</v>
      </c>
      <c r="AF681">
        <v>0</v>
      </c>
      <c r="AG681">
        <v>0</v>
      </c>
      <c r="AH681">
        <v>0</v>
      </c>
      <c r="AI681">
        <v>0</v>
      </c>
      <c r="AJ681">
        <v>0</v>
      </c>
      <c r="AK681">
        <v>0</v>
      </c>
      <c r="AL681">
        <v>0</v>
      </c>
      <c r="AM681">
        <v>16.09</v>
      </c>
      <c r="AN681">
        <v>0</v>
      </c>
      <c r="AO681">
        <v>0</v>
      </c>
      <c r="AP681">
        <v>0</v>
      </c>
      <c r="AQ681">
        <v>0</v>
      </c>
      <c r="AR681">
        <v>0</v>
      </c>
      <c r="AS681">
        <v>0</v>
      </c>
      <c r="AT681">
        <v>0</v>
      </c>
      <c r="AU681">
        <v>0</v>
      </c>
      <c r="AV681">
        <v>0</v>
      </c>
      <c r="AW681">
        <v>0</v>
      </c>
      <c r="AX681">
        <v>0</v>
      </c>
      <c r="AY681">
        <v>0</v>
      </c>
      <c r="AZ681">
        <v>0</v>
      </c>
      <c r="BA681">
        <v>0</v>
      </c>
      <c r="BB681">
        <v>0</v>
      </c>
      <c r="BC681">
        <v>0</v>
      </c>
      <c r="BD681">
        <v>0</v>
      </c>
      <c r="BE681">
        <v>0</v>
      </c>
      <c r="BF681">
        <v>0</v>
      </c>
      <c r="BG681">
        <v>0</v>
      </c>
      <c r="BH681">
        <v>1</v>
      </c>
      <c r="BI681">
        <v>2.2000000000000002</v>
      </c>
      <c r="BJ681">
        <v>1.2</v>
      </c>
      <c r="BK681">
        <v>3</v>
      </c>
      <c r="BL681" s="4">
        <v>99.59</v>
      </c>
      <c r="BM681" s="4">
        <v>14.94</v>
      </c>
      <c r="BN681" s="4">
        <v>114.53</v>
      </c>
      <c r="BO681" s="4">
        <v>114.53</v>
      </c>
      <c r="BR681" t="s">
        <v>1169</v>
      </c>
      <c r="BS681" s="3">
        <v>43805</v>
      </c>
      <c r="BT681" s="5">
        <v>0.42569444444444443</v>
      </c>
      <c r="BU681" t="s">
        <v>1078</v>
      </c>
      <c r="BV681" t="s">
        <v>86</v>
      </c>
      <c r="BY681">
        <v>5888</v>
      </c>
      <c r="CA681" t="s">
        <v>746</v>
      </c>
      <c r="CC681" t="s">
        <v>76</v>
      </c>
      <c r="CD681">
        <v>1600</v>
      </c>
      <c r="CE681" t="s">
        <v>96</v>
      </c>
      <c r="CF681" s="3">
        <v>43808</v>
      </c>
      <c r="CI681">
        <v>1</v>
      </c>
      <c r="CJ681">
        <v>1</v>
      </c>
      <c r="CK681" t="s">
        <v>740</v>
      </c>
      <c r="CL681" t="s">
        <v>89</v>
      </c>
    </row>
    <row r="682" spans="1:90">
      <c r="A682" t="s">
        <v>72</v>
      </c>
      <c r="B682" t="s">
        <v>73</v>
      </c>
      <c r="C682" t="s">
        <v>74</v>
      </c>
      <c r="E682" t="str">
        <f>"FES1162727576"</f>
        <v>FES1162727576</v>
      </c>
      <c r="F682" s="3">
        <v>43809</v>
      </c>
      <c r="G682">
        <v>202006</v>
      </c>
      <c r="H682" t="s">
        <v>75</v>
      </c>
      <c r="I682" t="s">
        <v>76</v>
      </c>
      <c r="J682" t="s">
        <v>77</v>
      </c>
      <c r="K682" t="s">
        <v>78</v>
      </c>
      <c r="L682" t="s">
        <v>1170</v>
      </c>
      <c r="M682" t="s">
        <v>1170</v>
      </c>
      <c r="N682" t="s">
        <v>1171</v>
      </c>
      <c r="O682" t="s">
        <v>82</v>
      </c>
      <c r="P682" t="str">
        <f>"217071062                     "</f>
        <v xml:space="preserve">217071062                     </v>
      </c>
      <c r="Q682">
        <v>0</v>
      </c>
      <c r="R682">
        <v>0</v>
      </c>
      <c r="S682">
        <v>0</v>
      </c>
      <c r="T682">
        <v>0</v>
      </c>
      <c r="U682">
        <v>0</v>
      </c>
      <c r="V682">
        <v>0</v>
      </c>
      <c r="W682">
        <v>0</v>
      </c>
      <c r="X682">
        <v>0</v>
      </c>
      <c r="Y682">
        <v>0</v>
      </c>
      <c r="Z682">
        <v>0</v>
      </c>
      <c r="AA682">
        <v>0</v>
      </c>
      <c r="AB682">
        <v>0</v>
      </c>
      <c r="AC682">
        <v>0</v>
      </c>
      <c r="AD682">
        <v>0</v>
      </c>
      <c r="AE682">
        <v>0</v>
      </c>
      <c r="AF682">
        <v>0</v>
      </c>
      <c r="AG682">
        <v>0</v>
      </c>
      <c r="AH682">
        <v>0</v>
      </c>
      <c r="AI682">
        <v>0</v>
      </c>
      <c r="AJ682">
        <v>0</v>
      </c>
      <c r="AK682">
        <v>0</v>
      </c>
      <c r="AL682">
        <v>0</v>
      </c>
      <c r="AM682">
        <v>12.07</v>
      </c>
      <c r="AN682">
        <v>0</v>
      </c>
      <c r="AO682">
        <v>0</v>
      </c>
      <c r="AP682">
        <v>0</v>
      </c>
      <c r="AQ682">
        <v>0</v>
      </c>
      <c r="AR682">
        <v>0</v>
      </c>
      <c r="AS682">
        <v>0</v>
      </c>
      <c r="AT682">
        <v>0</v>
      </c>
      <c r="AU682">
        <v>0</v>
      </c>
      <c r="AV682">
        <v>0</v>
      </c>
      <c r="AW682">
        <v>0</v>
      </c>
      <c r="AX682">
        <v>0</v>
      </c>
      <c r="AY682">
        <v>0</v>
      </c>
      <c r="AZ682">
        <v>0</v>
      </c>
      <c r="BA682">
        <v>0</v>
      </c>
      <c r="BB682">
        <v>0</v>
      </c>
      <c r="BC682">
        <v>0</v>
      </c>
      <c r="BD682">
        <v>0</v>
      </c>
      <c r="BE682">
        <v>0</v>
      </c>
      <c r="BF682">
        <v>0</v>
      </c>
      <c r="BG682">
        <v>0</v>
      </c>
      <c r="BH682">
        <v>1</v>
      </c>
      <c r="BI682">
        <v>1</v>
      </c>
      <c r="BJ682">
        <v>0.2</v>
      </c>
      <c r="BK682">
        <v>1</v>
      </c>
      <c r="BL682" s="4">
        <v>70.95</v>
      </c>
      <c r="BM682" s="4">
        <v>10.64</v>
      </c>
      <c r="BN682" s="4">
        <v>81.59</v>
      </c>
      <c r="BO682" s="4">
        <v>81.59</v>
      </c>
      <c r="BQ682" t="s">
        <v>1172</v>
      </c>
      <c r="BR682" t="s">
        <v>84</v>
      </c>
      <c r="BS682" s="3">
        <v>43810</v>
      </c>
      <c r="BT682" s="5">
        <v>0.33333333333333331</v>
      </c>
      <c r="BU682" t="s">
        <v>1173</v>
      </c>
      <c r="BV682" t="s">
        <v>86</v>
      </c>
      <c r="BY682">
        <v>1200</v>
      </c>
      <c r="CC682" t="s">
        <v>1170</v>
      </c>
      <c r="CD682">
        <v>1490</v>
      </c>
      <c r="CE682" t="s">
        <v>88</v>
      </c>
      <c r="CF682" s="3">
        <v>43811</v>
      </c>
      <c r="CI682">
        <v>1</v>
      </c>
      <c r="CJ682">
        <v>1</v>
      </c>
      <c r="CK682">
        <v>24</v>
      </c>
      <c r="CL682" t="s">
        <v>89</v>
      </c>
    </row>
    <row r="683" spans="1:90">
      <c r="A683" t="s">
        <v>72</v>
      </c>
      <c r="B683" t="s">
        <v>73</v>
      </c>
      <c r="C683" t="s">
        <v>74</v>
      </c>
      <c r="E683" t="str">
        <f>"FES1162727158"</f>
        <v>FES1162727158</v>
      </c>
      <c r="F683" s="3">
        <v>43805</v>
      </c>
      <c r="G683">
        <v>202006</v>
      </c>
      <c r="H683" t="s">
        <v>75</v>
      </c>
      <c r="I683" t="s">
        <v>76</v>
      </c>
      <c r="J683" t="s">
        <v>77</v>
      </c>
      <c r="K683" t="s">
        <v>78</v>
      </c>
      <c r="L683" t="s">
        <v>308</v>
      </c>
      <c r="M683" t="s">
        <v>308</v>
      </c>
      <c r="N683" t="s">
        <v>858</v>
      </c>
      <c r="O683" t="s">
        <v>82</v>
      </c>
      <c r="P683" t="str">
        <f>"2170720346                    "</f>
        <v xml:space="preserve">2170720346                    </v>
      </c>
      <c r="Q683">
        <v>0</v>
      </c>
      <c r="R683">
        <v>0</v>
      </c>
      <c r="S683">
        <v>0</v>
      </c>
      <c r="T683">
        <v>0</v>
      </c>
      <c r="U683">
        <v>0</v>
      </c>
      <c r="V683">
        <v>0</v>
      </c>
      <c r="W683">
        <v>0</v>
      </c>
      <c r="X683">
        <v>0</v>
      </c>
      <c r="Y683">
        <v>0</v>
      </c>
      <c r="Z683">
        <v>0</v>
      </c>
      <c r="AA683">
        <v>0</v>
      </c>
      <c r="AB683">
        <v>0</v>
      </c>
      <c r="AC683">
        <v>0</v>
      </c>
      <c r="AD683">
        <v>0</v>
      </c>
      <c r="AE683">
        <v>0</v>
      </c>
      <c r="AF683">
        <v>0</v>
      </c>
      <c r="AG683">
        <v>0</v>
      </c>
      <c r="AH683">
        <v>0</v>
      </c>
      <c r="AI683">
        <v>0</v>
      </c>
      <c r="AJ683">
        <v>0</v>
      </c>
      <c r="AK683">
        <v>0</v>
      </c>
      <c r="AL683">
        <v>0</v>
      </c>
      <c r="AM683">
        <v>16.63</v>
      </c>
      <c r="AN683">
        <v>0</v>
      </c>
      <c r="AO683">
        <v>0</v>
      </c>
      <c r="AP683">
        <v>0</v>
      </c>
      <c r="AQ683">
        <v>0</v>
      </c>
      <c r="AR683">
        <v>0</v>
      </c>
      <c r="AS683">
        <v>0</v>
      </c>
      <c r="AT683">
        <v>0</v>
      </c>
      <c r="AU683">
        <v>0</v>
      </c>
      <c r="AV683">
        <v>0</v>
      </c>
      <c r="AW683">
        <v>0</v>
      </c>
      <c r="AX683">
        <v>0</v>
      </c>
      <c r="AY683">
        <v>0</v>
      </c>
      <c r="AZ683">
        <v>0</v>
      </c>
      <c r="BA683">
        <v>0</v>
      </c>
      <c r="BB683">
        <v>0</v>
      </c>
      <c r="BC683">
        <v>0</v>
      </c>
      <c r="BD683">
        <v>0</v>
      </c>
      <c r="BE683">
        <v>0</v>
      </c>
      <c r="BF683">
        <v>0</v>
      </c>
      <c r="BG683">
        <v>0</v>
      </c>
      <c r="BH683">
        <v>1</v>
      </c>
      <c r="BI683">
        <v>1</v>
      </c>
      <c r="BJ683">
        <v>0.2</v>
      </c>
      <c r="BK683">
        <v>1</v>
      </c>
      <c r="BL683" s="4">
        <v>97.75</v>
      </c>
      <c r="BM683" s="4">
        <v>14.66</v>
      </c>
      <c r="BN683" s="4">
        <v>112.41</v>
      </c>
      <c r="BO683" s="4">
        <v>112.41</v>
      </c>
      <c r="BR683" t="s">
        <v>84</v>
      </c>
      <c r="BS683" s="3">
        <v>43808</v>
      </c>
      <c r="BT683" s="5">
        <v>0.4375</v>
      </c>
      <c r="BU683" t="s">
        <v>859</v>
      </c>
      <c r="BV683" t="s">
        <v>86</v>
      </c>
      <c r="BY683">
        <v>1200</v>
      </c>
      <c r="CA683" t="s">
        <v>311</v>
      </c>
      <c r="CC683" t="s">
        <v>308</v>
      </c>
      <c r="CD683">
        <v>7646</v>
      </c>
      <c r="CE683" t="s">
        <v>88</v>
      </c>
      <c r="CF683" s="3">
        <v>43809</v>
      </c>
      <c r="CI683">
        <v>1</v>
      </c>
      <c r="CJ683">
        <v>1</v>
      </c>
      <c r="CK683">
        <v>23</v>
      </c>
      <c r="CL683" t="s">
        <v>89</v>
      </c>
    </row>
    <row r="684" spans="1:90">
      <c r="A684" t="s">
        <v>72</v>
      </c>
      <c r="B684" t="s">
        <v>73</v>
      </c>
      <c r="C684" t="s">
        <v>74</v>
      </c>
      <c r="E684" t="str">
        <f>"RFES1162726475"</f>
        <v>RFES1162726475</v>
      </c>
      <c r="F684" s="3">
        <v>43805</v>
      </c>
      <c r="G684">
        <v>202006</v>
      </c>
      <c r="H684" t="s">
        <v>671</v>
      </c>
      <c r="I684" t="s">
        <v>672</v>
      </c>
      <c r="J684" t="s">
        <v>673</v>
      </c>
      <c r="K684" t="s">
        <v>78</v>
      </c>
      <c r="L684" t="s">
        <v>75</v>
      </c>
      <c r="M684" t="s">
        <v>76</v>
      </c>
      <c r="N684" t="s">
        <v>77</v>
      </c>
      <c r="O684" t="s">
        <v>82</v>
      </c>
      <c r="P684" t="str">
        <f>"2170719910                    "</f>
        <v xml:space="preserve">2170719910                    </v>
      </c>
      <c r="Q684">
        <v>0</v>
      </c>
      <c r="R684">
        <v>0</v>
      </c>
      <c r="S684">
        <v>0</v>
      </c>
      <c r="T684">
        <v>0</v>
      </c>
      <c r="U684">
        <v>0</v>
      </c>
      <c r="V684">
        <v>0</v>
      </c>
      <c r="W684">
        <v>0</v>
      </c>
      <c r="X684">
        <v>0</v>
      </c>
      <c r="Y684">
        <v>0</v>
      </c>
      <c r="Z684">
        <v>0</v>
      </c>
      <c r="AA684">
        <v>0</v>
      </c>
      <c r="AB684">
        <v>0</v>
      </c>
      <c r="AC684">
        <v>0</v>
      </c>
      <c r="AD684">
        <v>0</v>
      </c>
      <c r="AE684">
        <v>0</v>
      </c>
      <c r="AF684">
        <v>0</v>
      </c>
      <c r="AG684">
        <v>0</v>
      </c>
      <c r="AH684">
        <v>0</v>
      </c>
      <c r="AI684">
        <v>0</v>
      </c>
      <c r="AJ684">
        <v>0</v>
      </c>
      <c r="AK684">
        <v>0</v>
      </c>
      <c r="AL684">
        <v>0</v>
      </c>
      <c r="AM684">
        <v>16.63</v>
      </c>
      <c r="AN684">
        <v>0</v>
      </c>
      <c r="AO684">
        <v>0</v>
      </c>
      <c r="AP684">
        <v>0</v>
      </c>
      <c r="AQ684">
        <v>0</v>
      </c>
      <c r="AR684">
        <v>0</v>
      </c>
      <c r="AS684">
        <v>0</v>
      </c>
      <c r="AT684">
        <v>0</v>
      </c>
      <c r="AU684">
        <v>0</v>
      </c>
      <c r="AV684">
        <v>0</v>
      </c>
      <c r="AW684">
        <v>0</v>
      </c>
      <c r="AX684">
        <v>0</v>
      </c>
      <c r="AY684">
        <v>0</v>
      </c>
      <c r="AZ684">
        <v>0</v>
      </c>
      <c r="BA684">
        <v>0</v>
      </c>
      <c r="BB684">
        <v>0</v>
      </c>
      <c r="BC684">
        <v>0</v>
      </c>
      <c r="BD684">
        <v>0</v>
      </c>
      <c r="BE684">
        <v>0</v>
      </c>
      <c r="BF684">
        <v>0</v>
      </c>
      <c r="BG684">
        <v>0</v>
      </c>
      <c r="BH684">
        <v>1</v>
      </c>
      <c r="BI684">
        <v>0.9</v>
      </c>
      <c r="BJ684">
        <v>1.3</v>
      </c>
      <c r="BK684">
        <v>1.5</v>
      </c>
      <c r="BL684" s="4">
        <v>97.75</v>
      </c>
      <c r="BM684" s="4">
        <v>14.66</v>
      </c>
      <c r="BN684" s="4">
        <v>112.41</v>
      </c>
      <c r="BO684" s="4">
        <v>112.41</v>
      </c>
      <c r="BQ684" t="s">
        <v>84</v>
      </c>
      <c r="BR684" t="s">
        <v>674</v>
      </c>
      <c r="BS684" s="3">
        <v>43808</v>
      </c>
      <c r="BT684" s="5">
        <v>0.37152777777777773</v>
      </c>
      <c r="BU684" t="s">
        <v>154</v>
      </c>
      <c r="BV684" t="s">
        <v>86</v>
      </c>
      <c r="BY684">
        <v>6628.86</v>
      </c>
      <c r="CA684" t="s">
        <v>155</v>
      </c>
      <c r="CC684" t="s">
        <v>76</v>
      </c>
      <c r="CD684">
        <v>1601</v>
      </c>
      <c r="CE684" t="s">
        <v>96</v>
      </c>
      <c r="CF684" s="3">
        <v>43809</v>
      </c>
      <c r="CI684">
        <v>1</v>
      </c>
      <c r="CJ684">
        <v>1</v>
      </c>
      <c r="CK684">
        <v>23</v>
      </c>
      <c r="CL684" t="s">
        <v>89</v>
      </c>
    </row>
    <row r="685" spans="1:90">
      <c r="A685" t="s">
        <v>72</v>
      </c>
      <c r="B685" t="s">
        <v>73</v>
      </c>
      <c r="C685" t="s">
        <v>74</v>
      </c>
      <c r="E685" t="str">
        <f>"FES1162727183"</f>
        <v>FES1162727183</v>
      </c>
      <c r="F685" s="3">
        <v>43805</v>
      </c>
      <c r="G685">
        <v>202006</v>
      </c>
      <c r="H685" t="s">
        <v>75</v>
      </c>
      <c r="I685" t="s">
        <v>76</v>
      </c>
      <c r="J685" t="s">
        <v>77</v>
      </c>
      <c r="K685" t="s">
        <v>78</v>
      </c>
      <c r="L685" t="s">
        <v>1174</v>
      </c>
      <c r="M685" t="s">
        <v>1175</v>
      </c>
      <c r="N685" t="s">
        <v>1176</v>
      </c>
      <c r="O685" t="s">
        <v>82</v>
      </c>
      <c r="P685" t="str">
        <f>"2170720658                    "</f>
        <v xml:space="preserve">2170720658                    </v>
      </c>
      <c r="Q685">
        <v>0</v>
      </c>
      <c r="R685">
        <v>0</v>
      </c>
      <c r="S685">
        <v>0</v>
      </c>
      <c r="T685">
        <v>0</v>
      </c>
      <c r="U685">
        <v>0</v>
      </c>
      <c r="V685">
        <v>0</v>
      </c>
      <c r="W685">
        <v>0</v>
      </c>
      <c r="X685">
        <v>0</v>
      </c>
      <c r="Y685">
        <v>0</v>
      </c>
      <c r="Z685">
        <v>0</v>
      </c>
      <c r="AA685">
        <v>0</v>
      </c>
      <c r="AB685">
        <v>0</v>
      </c>
      <c r="AC685">
        <v>0</v>
      </c>
      <c r="AD685">
        <v>0</v>
      </c>
      <c r="AE685">
        <v>0</v>
      </c>
      <c r="AF685">
        <v>0</v>
      </c>
      <c r="AG685">
        <v>0</v>
      </c>
      <c r="AH685">
        <v>0</v>
      </c>
      <c r="AI685">
        <v>0</v>
      </c>
      <c r="AJ685">
        <v>0</v>
      </c>
      <c r="AK685">
        <v>0</v>
      </c>
      <c r="AL685">
        <v>0</v>
      </c>
      <c r="AM685">
        <v>16.63</v>
      </c>
      <c r="AN685">
        <v>0</v>
      </c>
      <c r="AO685">
        <v>0</v>
      </c>
      <c r="AP685">
        <v>0</v>
      </c>
      <c r="AQ685">
        <v>0</v>
      </c>
      <c r="AR685">
        <v>0</v>
      </c>
      <c r="AS685">
        <v>0</v>
      </c>
      <c r="AT685">
        <v>0</v>
      </c>
      <c r="AU685">
        <v>0</v>
      </c>
      <c r="AV685">
        <v>0</v>
      </c>
      <c r="AW685">
        <v>0</v>
      </c>
      <c r="AX685">
        <v>0</v>
      </c>
      <c r="AY685">
        <v>0</v>
      </c>
      <c r="AZ685">
        <v>0</v>
      </c>
      <c r="BA685">
        <v>0</v>
      </c>
      <c r="BB685">
        <v>0</v>
      </c>
      <c r="BC685">
        <v>0</v>
      </c>
      <c r="BD685">
        <v>0</v>
      </c>
      <c r="BE685">
        <v>0</v>
      </c>
      <c r="BF685">
        <v>0</v>
      </c>
      <c r="BG685">
        <v>0</v>
      </c>
      <c r="BH685">
        <v>1</v>
      </c>
      <c r="BI685">
        <v>1</v>
      </c>
      <c r="BJ685">
        <v>0.2</v>
      </c>
      <c r="BK685">
        <v>1</v>
      </c>
      <c r="BL685" s="4">
        <v>97.75</v>
      </c>
      <c r="BM685" s="4">
        <v>14.66</v>
      </c>
      <c r="BN685" s="4">
        <v>112.41</v>
      </c>
      <c r="BO685" s="4">
        <v>112.41</v>
      </c>
      <c r="BQ685" t="s">
        <v>1177</v>
      </c>
      <c r="BR685" t="s">
        <v>84</v>
      </c>
      <c r="BS685" s="3">
        <v>43808</v>
      </c>
      <c r="BT685" s="5">
        <v>0.53611111111111109</v>
      </c>
      <c r="BU685" t="s">
        <v>1178</v>
      </c>
      <c r="BV685" t="s">
        <v>86</v>
      </c>
      <c r="BY685">
        <v>1200</v>
      </c>
      <c r="CA685" t="s">
        <v>569</v>
      </c>
      <c r="CC685" t="s">
        <v>1175</v>
      </c>
      <c r="CD685">
        <v>4252</v>
      </c>
      <c r="CE685" t="s">
        <v>88</v>
      </c>
      <c r="CF685" s="3">
        <v>43809</v>
      </c>
      <c r="CI685">
        <v>1</v>
      </c>
      <c r="CJ685">
        <v>1</v>
      </c>
      <c r="CK685">
        <v>23</v>
      </c>
      <c r="CL685" t="s">
        <v>89</v>
      </c>
    </row>
    <row r="686" spans="1:90">
      <c r="A686" t="s">
        <v>72</v>
      </c>
      <c r="B686" t="s">
        <v>73</v>
      </c>
      <c r="C686" t="s">
        <v>74</v>
      </c>
      <c r="E686" t="str">
        <f>"FES1162727120"</f>
        <v>FES1162727120</v>
      </c>
      <c r="F686" s="3">
        <v>43805</v>
      </c>
      <c r="G686">
        <v>202006</v>
      </c>
      <c r="H686" t="s">
        <v>75</v>
      </c>
      <c r="I686" t="s">
        <v>76</v>
      </c>
      <c r="J686" t="s">
        <v>77</v>
      </c>
      <c r="K686" t="s">
        <v>78</v>
      </c>
      <c r="L686" t="s">
        <v>164</v>
      </c>
      <c r="M686" t="s">
        <v>165</v>
      </c>
      <c r="N686" t="s">
        <v>369</v>
      </c>
      <c r="O686" t="s">
        <v>82</v>
      </c>
      <c r="P686" t="str">
        <f>"217070467                     "</f>
        <v xml:space="preserve">217070467                     </v>
      </c>
      <c r="Q686">
        <v>0</v>
      </c>
      <c r="R686">
        <v>0</v>
      </c>
      <c r="S686">
        <v>0</v>
      </c>
      <c r="T686">
        <v>0</v>
      </c>
      <c r="U686">
        <v>0</v>
      </c>
      <c r="V686">
        <v>0</v>
      </c>
      <c r="W686">
        <v>0</v>
      </c>
      <c r="X686">
        <v>0</v>
      </c>
      <c r="Y686">
        <v>0</v>
      </c>
      <c r="Z686">
        <v>0</v>
      </c>
      <c r="AA686">
        <v>0</v>
      </c>
      <c r="AB686">
        <v>0</v>
      </c>
      <c r="AC686">
        <v>0</v>
      </c>
      <c r="AD686">
        <v>0</v>
      </c>
      <c r="AE686">
        <v>0</v>
      </c>
      <c r="AF686">
        <v>0</v>
      </c>
      <c r="AG686">
        <v>0</v>
      </c>
      <c r="AH686">
        <v>0</v>
      </c>
      <c r="AI686">
        <v>0</v>
      </c>
      <c r="AJ686">
        <v>0</v>
      </c>
      <c r="AK686">
        <v>0</v>
      </c>
      <c r="AL686">
        <v>0</v>
      </c>
      <c r="AM686">
        <v>34.31</v>
      </c>
      <c r="AN686">
        <v>0</v>
      </c>
      <c r="AO686">
        <v>0</v>
      </c>
      <c r="AP686">
        <v>0</v>
      </c>
      <c r="AQ686">
        <v>0</v>
      </c>
      <c r="AR686">
        <v>0</v>
      </c>
      <c r="AS686">
        <v>0</v>
      </c>
      <c r="AT686">
        <v>0</v>
      </c>
      <c r="AU686">
        <v>0</v>
      </c>
      <c r="AV686">
        <v>0</v>
      </c>
      <c r="AW686">
        <v>0</v>
      </c>
      <c r="AX686">
        <v>0</v>
      </c>
      <c r="AY686">
        <v>0</v>
      </c>
      <c r="AZ686">
        <v>0</v>
      </c>
      <c r="BA686">
        <v>0</v>
      </c>
      <c r="BB686">
        <v>0</v>
      </c>
      <c r="BC686">
        <v>0</v>
      </c>
      <c r="BD686">
        <v>0</v>
      </c>
      <c r="BE686">
        <v>0</v>
      </c>
      <c r="BF686">
        <v>0</v>
      </c>
      <c r="BG686">
        <v>0</v>
      </c>
      <c r="BH686">
        <v>1</v>
      </c>
      <c r="BI686">
        <v>7.8</v>
      </c>
      <c r="BJ686">
        <v>3</v>
      </c>
      <c r="BK686">
        <v>8</v>
      </c>
      <c r="BL686" s="4">
        <v>201.7</v>
      </c>
      <c r="BM686" s="4">
        <v>30.26</v>
      </c>
      <c r="BN686" s="4">
        <v>231.96</v>
      </c>
      <c r="BO686" s="4">
        <v>231.96</v>
      </c>
      <c r="BQ686" t="s">
        <v>93</v>
      </c>
      <c r="BR686" t="s">
        <v>84</v>
      </c>
      <c r="BS686" s="3">
        <v>43808</v>
      </c>
      <c r="BT686" s="5">
        <v>0.3576388888888889</v>
      </c>
      <c r="BU686" t="s">
        <v>1013</v>
      </c>
      <c r="BV686" t="s">
        <v>86</v>
      </c>
      <c r="BY686">
        <v>15165.99</v>
      </c>
      <c r="CA686" t="s">
        <v>371</v>
      </c>
      <c r="CC686" t="s">
        <v>165</v>
      </c>
      <c r="CD686">
        <v>5201</v>
      </c>
      <c r="CE686" t="s">
        <v>96</v>
      </c>
      <c r="CF686" s="3">
        <v>43809</v>
      </c>
      <c r="CI686">
        <v>1</v>
      </c>
      <c r="CJ686">
        <v>1</v>
      </c>
      <c r="CK686">
        <v>21</v>
      </c>
      <c r="CL686" t="s">
        <v>89</v>
      </c>
    </row>
    <row r="687" spans="1:90">
      <c r="A687" t="s">
        <v>72</v>
      </c>
      <c r="B687" t="s">
        <v>73</v>
      </c>
      <c r="C687" t="s">
        <v>74</v>
      </c>
      <c r="E687" t="str">
        <f>"FES1162727020"</f>
        <v>FES1162727020</v>
      </c>
      <c r="F687" s="3">
        <v>43805</v>
      </c>
      <c r="G687">
        <v>202006</v>
      </c>
      <c r="H687" t="s">
        <v>75</v>
      </c>
      <c r="I687" t="s">
        <v>76</v>
      </c>
      <c r="J687" t="s">
        <v>77</v>
      </c>
      <c r="K687" t="s">
        <v>78</v>
      </c>
      <c r="L687" t="s">
        <v>151</v>
      </c>
      <c r="M687" t="s">
        <v>102</v>
      </c>
      <c r="N687" t="s">
        <v>706</v>
      </c>
      <c r="O687" t="s">
        <v>82</v>
      </c>
      <c r="P687" t="str">
        <f>"2170704777                    "</f>
        <v xml:space="preserve">2170704777                    </v>
      </c>
      <c r="Q687">
        <v>0</v>
      </c>
      <c r="R687">
        <v>0</v>
      </c>
      <c r="S687">
        <v>0</v>
      </c>
      <c r="T687">
        <v>0</v>
      </c>
      <c r="U687">
        <v>0</v>
      </c>
      <c r="V687">
        <v>0</v>
      </c>
      <c r="W687">
        <v>0</v>
      </c>
      <c r="X687">
        <v>0</v>
      </c>
      <c r="Y687">
        <v>0</v>
      </c>
      <c r="Z687">
        <v>0</v>
      </c>
      <c r="AA687">
        <v>0</v>
      </c>
      <c r="AB687">
        <v>0</v>
      </c>
      <c r="AC687">
        <v>0</v>
      </c>
      <c r="AD687">
        <v>0</v>
      </c>
      <c r="AE687">
        <v>0</v>
      </c>
      <c r="AF687">
        <v>0</v>
      </c>
      <c r="AG687">
        <v>0</v>
      </c>
      <c r="AH687">
        <v>0</v>
      </c>
      <c r="AI687">
        <v>0</v>
      </c>
      <c r="AJ687">
        <v>0</v>
      </c>
      <c r="AK687">
        <v>0</v>
      </c>
      <c r="AL687">
        <v>0</v>
      </c>
      <c r="AM687">
        <v>10.73</v>
      </c>
      <c r="AN687">
        <v>0</v>
      </c>
      <c r="AO687">
        <v>0</v>
      </c>
      <c r="AP687">
        <v>0</v>
      </c>
      <c r="AQ687">
        <v>0</v>
      </c>
      <c r="AR687">
        <v>0</v>
      </c>
      <c r="AS687">
        <v>0</v>
      </c>
      <c r="AT687">
        <v>0</v>
      </c>
      <c r="AU687">
        <v>0</v>
      </c>
      <c r="AV687">
        <v>0</v>
      </c>
      <c r="AW687">
        <v>0</v>
      </c>
      <c r="AX687">
        <v>0</v>
      </c>
      <c r="AY687">
        <v>0</v>
      </c>
      <c r="AZ687">
        <v>0</v>
      </c>
      <c r="BA687">
        <v>0</v>
      </c>
      <c r="BB687">
        <v>0</v>
      </c>
      <c r="BC687">
        <v>0</v>
      </c>
      <c r="BD687">
        <v>0</v>
      </c>
      <c r="BE687">
        <v>0</v>
      </c>
      <c r="BF687">
        <v>0</v>
      </c>
      <c r="BG687">
        <v>0</v>
      </c>
      <c r="BH687">
        <v>1</v>
      </c>
      <c r="BI687">
        <v>2.2000000000000002</v>
      </c>
      <c r="BJ687">
        <v>1.5</v>
      </c>
      <c r="BK687">
        <v>2.5</v>
      </c>
      <c r="BL687" s="4">
        <v>63.06</v>
      </c>
      <c r="BM687" s="4">
        <v>9.4600000000000009</v>
      </c>
      <c r="BN687" s="4">
        <v>72.52</v>
      </c>
      <c r="BO687" s="4">
        <v>72.52</v>
      </c>
      <c r="BQ687" t="s">
        <v>147</v>
      </c>
      <c r="BR687" t="s">
        <v>84</v>
      </c>
      <c r="BS687" s="3">
        <v>43808</v>
      </c>
      <c r="BT687" s="5">
        <v>0.4375</v>
      </c>
      <c r="BU687" t="s">
        <v>1179</v>
      </c>
      <c r="BV687" t="s">
        <v>86</v>
      </c>
      <c r="BY687">
        <v>7621.65</v>
      </c>
      <c r="CC687" t="s">
        <v>102</v>
      </c>
      <c r="CD687">
        <v>1</v>
      </c>
      <c r="CE687" t="s">
        <v>96</v>
      </c>
      <c r="CF687" s="3">
        <v>43810</v>
      </c>
      <c r="CI687">
        <v>1</v>
      </c>
      <c r="CJ687">
        <v>1</v>
      </c>
      <c r="CK687">
        <v>21</v>
      </c>
      <c r="CL687" t="s">
        <v>89</v>
      </c>
    </row>
    <row r="688" spans="1:90">
      <c r="A688" t="s">
        <v>72</v>
      </c>
      <c r="B688" t="s">
        <v>73</v>
      </c>
      <c r="C688" t="s">
        <v>74</v>
      </c>
      <c r="E688" t="str">
        <f>"FES1162726863"</f>
        <v>FES1162726863</v>
      </c>
      <c r="F688" s="3">
        <v>43805</v>
      </c>
      <c r="G688">
        <v>202006</v>
      </c>
      <c r="H688" t="s">
        <v>75</v>
      </c>
      <c r="I688" t="s">
        <v>76</v>
      </c>
      <c r="J688" t="s">
        <v>77</v>
      </c>
      <c r="K688" t="s">
        <v>78</v>
      </c>
      <c r="L688" t="s">
        <v>151</v>
      </c>
      <c r="M688" t="s">
        <v>102</v>
      </c>
      <c r="N688" t="s">
        <v>1180</v>
      </c>
      <c r="O688" t="s">
        <v>82</v>
      </c>
      <c r="P688" t="str">
        <f>"2170720305                    "</f>
        <v xml:space="preserve">2170720305                    </v>
      </c>
      <c r="Q688">
        <v>0</v>
      </c>
      <c r="R688">
        <v>0</v>
      </c>
      <c r="S688">
        <v>0</v>
      </c>
      <c r="T688">
        <v>0</v>
      </c>
      <c r="U688">
        <v>0</v>
      </c>
      <c r="V688">
        <v>0</v>
      </c>
      <c r="W688">
        <v>0</v>
      </c>
      <c r="X688">
        <v>0</v>
      </c>
      <c r="Y688">
        <v>0</v>
      </c>
      <c r="Z688">
        <v>0</v>
      </c>
      <c r="AA688">
        <v>0</v>
      </c>
      <c r="AB688">
        <v>0</v>
      </c>
      <c r="AC688">
        <v>0</v>
      </c>
      <c r="AD688">
        <v>0</v>
      </c>
      <c r="AE688">
        <v>0</v>
      </c>
      <c r="AF688">
        <v>0</v>
      </c>
      <c r="AG688">
        <v>0</v>
      </c>
      <c r="AH688">
        <v>0</v>
      </c>
      <c r="AI688">
        <v>0</v>
      </c>
      <c r="AJ688">
        <v>0</v>
      </c>
      <c r="AK688">
        <v>0</v>
      </c>
      <c r="AL688">
        <v>0</v>
      </c>
      <c r="AM688">
        <v>8.58</v>
      </c>
      <c r="AN688">
        <v>0</v>
      </c>
      <c r="AO688">
        <v>0</v>
      </c>
      <c r="AP688">
        <v>0</v>
      </c>
      <c r="AQ688">
        <v>0</v>
      </c>
      <c r="AR688">
        <v>0</v>
      </c>
      <c r="AS688">
        <v>0</v>
      </c>
      <c r="AT688">
        <v>0</v>
      </c>
      <c r="AU688">
        <v>0</v>
      </c>
      <c r="AV688">
        <v>0</v>
      </c>
      <c r="AW688">
        <v>0</v>
      </c>
      <c r="AX688">
        <v>0</v>
      </c>
      <c r="AY688">
        <v>0</v>
      </c>
      <c r="AZ688">
        <v>0</v>
      </c>
      <c r="BA688">
        <v>0</v>
      </c>
      <c r="BB688">
        <v>0</v>
      </c>
      <c r="BC688">
        <v>0</v>
      </c>
      <c r="BD688">
        <v>0</v>
      </c>
      <c r="BE688">
        <v>0</v>
      </c>
      <c r="BF688">
        <v>0</v>
      </c>
      <c r="BG688">
        <v>0</v>
      </c>
      <c r="BH688">
        <v>1</v>
      </c>
      <c r="BI688">
        <v>2</v>
      </c>
      <c r="BJ688">
        <v>0.2</v>
      </c>
      <c r="BK688">
        <v>2</v>
      </c>
      <c r="BL688" s="4">
        <v>50.45</v>
      </c>
      <c r="BM688" s="4">
        <v>7.57</v>
      </c>
      <c r="BN688" s="4">
        <v>58.02</v>
      </c>
      <c r="BO688" s="4">
        <v>58.02</v>
      </c>
      <c r="BQ688" t="s">
        <v>1181</v>
      </c>
      <c r="BR688" t="s">
        <v>84</v>
      </c>
      <c r="BS688" s="3">
        <v>43808</v>
      </c>
      <c r="BT688" s="5">
        <v>0.375</v>
      </c>
      <c r="BU688" t="s">
        <v>1182</v>
      </c>
      <c r="BV688" t="s">
        <v>86</v>
      </c>
      <c r="BY688">
        <v>1200</v>
      </c>
      <c r="CA688" t="s">
        <v>328</v>
      </c>
      <c r="CC688" t="s">
        <v>102</v>
      </c>
      <c r="CD688">
        <v>184</v>
      </c>
      <c r="CE688" t="s">
        <v>88</v>
      </c>
      <c r="CF688" s="3">
        <v>43810</v>
      </c>
      <c r="CI688">
        <v>1</v>
      </c>
      <c r="CJ688">
        <v>1</v>
      </c>
      <c r="CK688">
        <v>21</v>
      </c>
      <c r="CL688" t="s">
        <v>89</v>
      </c>
    </row>
    <row r="689" spans="1:90">
      <c r="A689" t="s">
        <v>72</v>
      </c>
      <c r="B689" t="s">
        <v>73</v>
      </c>
      <c r="C689" t="s">
        <v>74</v>
      </c>
      <c r="E689" t="str">
        <f>"FES1162726823"</f>
        <v>FES1162726823</v>
      </c>
      <c r="F689" s="3">
        <v>43805</v>
      </c>
      <c r="G689">
        <v>202006</v>
      </c>
      <c r="H689" t="s">
        <v>75</v>
      </c>
      <c r="I689" t="s">
        <v>76</v>
      </c>
      <c r="J689" t="s">
        <v>77</v>
      </c>
      <c r="K689" t="s">
        <v>78</v>
      </c>
      <c r="L689" t="s">
        <v>164</v>
      </c>
      <c r="M689" t="s">
        <v>165</v>
      </c>
      <c r="N689" t="s">
        <v>369</v>
      </c>
      <c r="O689" t="s">
        <v>82</v>
      </c>
      <c r="P689" t="str">
        <f>"2170712070                    "</f>
        <v xml:space="preserve">2170712070                    </v>
      </c>
      <c r="Q689">
        <v>0</v>
      </c>
      <c r="R689">
        <v>0</v>
      </c>
      <c r="S689">
        <v>0</v>
      </c>
      <c r="T689">
        <v>0</v>
      </c>
      <c r="U689">
        <v>0</v>
      </c>
      <c r="V689">
        <v>0</v>
      </c>
      <c r="W689">
        <v>0</v>
      </c>
      <c r="X689">
        <v>0</v>
      </c>
      <c r="Y689">
        <v>0</v>
      </c>
      <c r="Z689">
        <v>0</v>
      </c>
      <c r="AA689">
        <v>0</v>
      </c>
      <c r="AB689">
        <v>0</v>
      </c>
      <c r="AC689">
        <v>0</v>
      </c>
      <c r="AD689">
        <v>0</v>
      </c>
      <c r="AE689">
        <v>0</v>
      </c>
      <c r="AF689">
        <v>0</v>
      </c>
      <c r="AG689">
        <v>0</v>
      </c>
      <c r="AH689">
        <v>0</v>
      </c>
      <c r="AI689">
        <v>0</v>
      </c>
      <c r="AJ689">
        <v>0</v>
      </c>
      <c r="AK689">
        <v>0</v>
      </c>
      <c r="AL689">
        <v>0</v>
      </c>
      <c r="AM689">
        <v>12.87</v>
      </c>
      <c r="AN689">
        <v>0</v>
      </c>
      <c r="AO689">
        <v>0</v>
      </c>
      <c r="AP689">
        <v>0</v>
      </c>
      <c r="AQ689">
        <v>0</v>
      </c>
      <c r="AR689">
        <v>0</v>
      </c>
      <c r="AS689">
        <v>0</v>
      </c>
      <c r="AT689">
        <v>0</v>
      </c>
      <c r="AU689">
        <v>0</v>
      </c>
      <c r="AV689">
        <v>0</v>
      </c>
      <c r="AW689">
        <v>0</v>
      </c>
      <c r="AX689">
        <v>0</v>
      </c>
      <c r="AY689">
        <v>0</v>
      </c>
      <c r="AZ689">
        <v>0</v>
      </c>
      <c r="BA689">
        <v>0</v>
      </c>
      <c r="BB689">
        <v>0</v>
      </c>
      <c r="BC689">
        <v>0</v>
      </c>
      <c r="BD689">
        <v>0</v>
      </c>
      <c r="BE689">
        <v>0</v>
      </c>
      <c r="BF689">
        <v>0</v>
      </c>
      <c r="BG689">
        <v>0</v>
      </c>
      <c r="BH689">
        <v>1</v>
      </c>
      <c r="BI689">
        <v>1.3</v>
      </c>
      <c r="BJ689">
        <v>3</v>
      </c>
      <c r="BK689">
        <v>3</v>
      </c>
      <c r="BL689" s="4">
        <v>75.66</v>
      </c>
      <c r="BM689" s="4">
        <v>11.35</v>
      </c>
      <c r="BN689" s="4">
        <v>87.01</v>
      </c>
      <c r="BO689" s="4">
        <v>87.01</v>
      </c>
      <c r="BQ689" t="s">
        <v>93</v>
      </c>
      <c r="BR689" t="s">
        <v>84</v>
      </c>
      <c r="BS689" s="3">
        <v>43808</v>
      </c>
      <c r="BT689" s="5">
        <v>0.3576388888888889</v>
      </c>
      <c r="BU689" t="s">
        <v>1013</v>
      </c>
      <c r="BV689" t="s">
        <v>86</v>
      </c>
      <c r="BY689">
        <v>15215.2</v>
      </c>
      <c r="CA689" t="s">
        <v>371</v>
      </c>
      <c r="CC689" t="s">
        <v>165</v>
      </c>
      <c r="CD689">
        <v>5201</v>
      </c>
      <c r="CE689" t="s">
        <v>96</v>
      </c>
      <c r="CF689" s="3">
        <v>43809</v>
      </c>
      <c r="CI689">
        <v>1</v>
      </c>
      <c r="CJ689">
        <v>1</v>
      </c>
      <c r="CK689">
        <v>21</v>
      </c>
      <c r="CL689" t="s">
        <v>89</v>
      </c>
    </row>
    <row r="690" spans="1:90">
      <c r="A690" t="s">
        <v>72</v>
      </c>
      <c r="B690" t="s">
        <v>73</v>
      </c>
      <c r="C690" t="s">
        <v>74</v>
      </c>
      <c r="E690" t="str">
        <f>"FES1162726855"</f>
        <v>FES1162726855</v>
      </c>
      <c r="F690" s="3">
        <v>43805</v>
      </c>
      <c r="G690">
        <v>202006</v>
      </c>
      <c r="H690" t="s">
        <v>75</v>
      </c>
      <c r="I690" t="s">
        <v>76</v>
      </c>
      <c r="J690" t="s">
        <v>77</v>
      </c>
      <c r="K690" t="s">
        <v>78</v>
      </c>
      <c r="L690" t="s">
        <v>79</v>
      </c>
      <c r="M690" t="s">
        <v>80</v>
      </c>
      <c r="N690" t="s">
        <v>97</v>
      </c>
      <c r="O690" t="s">
        <v>82</v>
      </c>
      <c r="P690" t="str">
        <f>"2170715710                    "</f>
        <v xml:space="preserve">2170715710                    </v>
      </c>
      <c r="Q690">
        <v>0</v>
      </c>
      <c r="R690">
        <v>0</v>
      </c>
      <c r="S690">
        <v>0</v>
      </c>
      <c r="T690">
        <v>0</v>
      </c>
      <c r="U690">
        <v>0</v>
      </c>
      <c r="V690">
        <v>0</v>
      </c>
      <c r="W690">
        <v>0</v>
      </c>
      <c r="X690">
        <v>0</v>
      </c>
      <c r="Y690">
        <v>0</v>
      </c>
      <c r="Z690">
        <v>0</v>
      </c>
      <c r="AA690">
        <v>0</v>
      </c>
      <c r="AB690">
        <v>0</v>
      </c>
      <c r="AC690">
        <v>0</v>
      </c>
      <c r="AD690">
        <v>0</v>
      </c>
      <c r="AE690">
        <v>0</v>
      </c>
      <c r="AF690">
        <v>0</v>
      </c>
      <c r="AG690">
        <v>0</v>
      </c>
      <c r="AH690">
        <v>0</v>
      </c>
      <c r="AI690">
        <v>0</v>
      </c>
      <c r="AJ690">
        <v>0</v>
      </c>
      <c r="AK690">
        <v>0</v>
      </c>
      <c r="AL690">
        <v>0</v>
      </c>
      <c r="AM690">
        <v>8.58</v>
      </c>
      <c r="AN690">
        <v>0</v>
      </c>
      <c r="AO690">
        <v>0</v>
      </c>
      <c r="AP690">
        <v>0</v>
      </c>
      <c r="AQ690">
        <v>0</v>
      </c>
      <c r="AR690">
        <v>0</v>
      </c>
      <c r="AS690">
        <v>0</v>
      </c>
      <c r="AT690">
        <v>0</v>
      </c>
      <c r="AU690">
        <v>0</v>
      </c>
      <c r="AV690">
        <v>0</v>
      </c>
      <c r="AW690">
        <v>0</v>
      </c>
      <c r="AX690">
        <v>0</v>
      </c>
      <c r="AY690">
        <v>0</v>
      </c>
      <c r="AZ690">
        <v>0</v>
      </c>
      <c r="BA690">
        <v>0</v>
      </c>
      <c r="BB690">
        <v>0</v>
      </c>
      <c r="BC690">
        <v>0</v>
      </c>
      <c r="BD690">
        <v>0</v>
      </c>
      <c r="BE690">
        <v>0</v>
      </c>
      <c r="BF690">
        <v>0</v>
      </c>
      <c r="BG690">
        <v>0</v>
      </c>
      <c r="BH690">
        <v>1</v>
      </c>
      <c r="BI690">
        <v>1</v>
      </c>
      <c r="BJ690">
        <v>0.2</v>
      </c>
      <c r="BK690">
        <v>1</v>
      </c>
      <c r="BL690" s="4">
        <v>50.45</v>
      </c>
      <c r="BM690" s="4">
        <v>7.57</v>
      </c>
      <c r="BN690" s="4">
        <v>58.02</v>
      </c>
      <c r="BO690" s="4">
        <v>58.02</v>
      </c>
      <c r="BQ690" t="s">
        <v>93</v>
      </c>
      <c r="BR690" t="s">
        <v>84</v>
      </c>
      <c r="BS690" s="3">
        <v>43808</v>
      </c>
      <c r="BT690" s="5">
        <v>0.34027777777777773</v>
      </c>
      <c r="BU690" t="s">
        <v>98</v>
      </c>
      <c r="BV690" t="s">
        <v>86</v>
      </c>
      <c r="BY690">
        <v>1200</v>
      </c>
      <c r="CA690" t="s">
        <v>99</v>
      </c>
      <c r="CC690" t="s">
        <v>80</v>
      </c>
      <c r="CD690">
        <v>6001</v>
      </c>
      <c r="CE690" t="s">
        <v>88</v>
      </c>
      <c r="CF690" s="3">
        <v>43809</v>
      </c>
      <c r="CI690">
        <v>1</v>
      </c>
      <c r="CJ690">
        <v>1</v>
      </c>
      <c r="CK690">
        <v>21</v>
      </c>
      <c r="CL690" t="s">
        <v>89</v>
      </c>
    </row>
    <row r="691" spans="1:90">
      <c r="A691" t="s">
        <v>72</v>
      </c>
      <c r="B691" t="s">
        <v>73</v>
      </c>
      <c r="C691" t="s">
        <v>74</v>
      </c>
      <c r="E691" t="str">
        <f>"FES1162727169"</f>
        <v>FES1162727169</v>
      </c>
      <c r="F691" s="3">
        <v>43805</v>
      </c>
      <c r="G691">
        <v>202006</v>
      </c>
      <c r="H691" t="s">
        <v>75</v>
      </c>
      <c r="I691" t="s">
        <v>76</v>
      </c>
      <c r="J691" t="s">
        <v>77</v>
      </c>
      <c r="K691" t="s">
        <v>78</v>
      </c>
      <c r="L691" t="s">
        <v>1183</v>
      </c>
      <c r="M691" t="s">
        <v>1184</v>
      </c>
      <c r="N691" t="s">
        <v>1185</v>
      </c>
      <c r="O691" t="s">
        <v>82</v>
      </c>
      <c r="P691" t="str">
        <f>"2170720638                    "</f>
        <v xml:space="preserve">2170720638                    </v>
      </c>
      <c r="Q691">
        <v>0</v>
      </c>
      <c r="R691">
        <v>0</v>
      </c>
      <c r="S691">
        <v>0</v>
      </c>
      <c r="T691">
        <v>0</v>
      </c>
      <c r="U691">
        <v>0</v>
      </c>
      <c r="V691">
        <v>0</v>
      </c>
      <c r="W691">
        <v>0</v>
      </c>
      <c r="X691">
        <v>0</v>
      </c>
      <c r="Y691">
        <v>0</v>
      </c>
      <c r="Z691">
        <v>0</v>
      </c>
      <c r="AA691">
        <v>0</v>
      </c>
      <c r="AB691">
        <v>0</v>
      </c>
      <c r="AC691">
        <v>0</v>
      </c>
      <c r="AD691">
        <v>0</v>
      </c>
      <c r="AE691">
        <v>0</v>
      </c>
      <c r="AF691">
        <v>0</v>
      </c>
      <c r="AG691">
        <v>0</v>
      </c>
      <c r="AH691">
        <v>0</v>
      </c>
      <c r="AI691">
        <v>0</v>
      </c>
      <c r="AJ691">
        <v>0</v>
      </c>
      <c r="AK691">
        <v>0</v>
      </c>
      <c r="AL691">
        <v>0</v>
      </c>
      <c r="AM691">
        <v>16.63</v>
      </c>
      <c r="AN691">
        <v>0</v>
      </c>
      <c r="AO691">
        <v>0</v>
      </c>
      <c r="AP691">
        <v>0</v>
      </c>
      <c r="AQ691">
        <v>0</v>
      </c>
      <c r="AR691">
        <v>0</v>
      </c>
      <c r="AS691">
        <v>0</v>
      </c>
      <c r="AT691">
        <v>0</v>
      </c>
      <c r="AU691">
        <v>0</v>
      </c>
      <c r="AV691">
        <v>0</v>
      </c>
      <c r="AW691">
        <v>0</v>
      </c>
      <c r="AX691">
        <v>0</v>
      </c>
      <c r="AY691">
        <v>0</v>
      </c>
      <c r="AZ691">
        <v>0</v>
      </c>
      <c r="BA691">
        <v>0</v>
      </c>
      <c r="BB691">
        <v>0</v>
      </c>
      <c r="BC691">
        <v>0</v>
      </c>
      <c r="BD691">
        <v>0</v>
      </c>
      <c r="BE691">
        <v>0</v>
      </c>
      <c r="BF691">
        <v>0</v>
      </c>
      <c r="BG691">
        <v>0</v>
      </c>
      <c r="BH691">
        <v>1</v>
      </c>
      <c r="BI691">
        <v>1</v>
      </c>
      <c r="BJ691">
        <v>0.2</v>
      </c>
      <c r="BK691">
        <v>1</v>
      </c>
      <c r="BL691" s="4">
        <v>97.75</v>
      </c>
      <c r="BM691" s="4">
        <v>14.66</v>
      </c>
      <c r="BN691" s="4">
        <v>112.41</v>
      </c>
      <c r="BO691" s="4">
        <v>112.41</v>
      </c>
      <c r="BQ691" t="s">
        <v>93</v>
      </c>
      <c r="BR691" t="s">
        <v>84</v>
      </c>
      <c r="BS691" s="3">
        <v>43808</v>
      </c>
      <c r="BT691" s="5">
        <v>0.41666666666666669</v>
      </c>
      <c r="BU691" t="s">
        <v>1186</v>
      </c>
      <c r="BV691" t="s">
        <v>86</v>
      </c>
      <c r="BY691">
        <v>1200</v>
      </c>
      <c r="CA691" t="s">
        <v>1187</v>
      </c>
      <c r="CC691" t="s">
        <v>1184</v>
      </c>
      <c r="CD691">
        <v>3370</v>
      </c>
      <c r="CE691" t="s">
        <v>88</v>
      </c>
      <c r="CF691" s="3">
        <v>43810</v>
      </c>
      <c r="CI691">
        <v>3</v>
      </c>
      <c r="CJ691">
        <v>1</v>
      </c>
      <c r="CK691">
        <v>23</v>
      </c>
      <c r="CL691" t="s">
        <v>89</v>
      </c>
    </row>
    <row r="692" spans="1:90">
      <c r="A692" t="s">
        <v>72</v>
      </c>
      <c r="B692" t="s">
        <v>73</v>
      </c>
      <c r="C692" t="s">
        <v>74</v>
      </c>
      <c r="E692" t="str">
        <f>"FES1162726717"</f>
        <v>FES1162726717</v>
      </c>
      <c r="F692" s="3">
        <v>43805</v>
      </c>
      <c r="G692">
        <v>202006</v>
      </c>
      <c r="H692" t="s">
        <v>75</v>
      </c>
      <c r="I692" t="s">
        <v>76</v>
      </c>
      <c r="J692" t="s">
        <v>77</v>
      </c>
      <c r="K692" t="s">
        <v>78</v>
      </c>
      <c r="L692" t="s">
        <v>79</v>
      </c>
      <c r="M692" t="s">
        <v>80</v>
      </c>
      <c r="N692" t="s">
        <v>1101</v>
      </c>
      <c r="O692" t="s">
        <v>82</v>
      </c>
      <c r="P692" t="str">
        <f>"2170710142                    "</f>
        <v xml:space="preserve">2170710142                    </v>
      </c>
      <c r="Q692">
        <v>0</v>
      </c>
      <c r="R692">
        <v>0</v>
      </c>
      <c r="S692">
        <v>0</v>
      </c>
      <c r="T692">
        <v>0</v>
      </c>
      <c r="U692">
        <v>0</v>
      </c>
      <c r="V692">
        <v>0</v>
      </c>
      <c r="W692">
        <v>0</v>
      </c>
      <c r="X692">
        <v>0</v>
      </c>
      <c r="Y692">
        <v>0</v>
      </c>
      <c r="Z692">
        <v>0</v>
      </c>
      <c r="AA692">
        <v>0</v>
      </c>
      <c r="AB692">
        <v>0</v>
      </c>
      <c r="AC692">
        <v>0</v>
      </c>
      <c r="AD692">
        <v>0</v>
      </c>
      <c r="AE692">
        <v>0</v>
      </c>
      <c r="AF692">
        <v>0</v>
      </c>
      <c r="AG692">
        <v>0</v>
      </c>
      <c r="AH692">
        <v>0</v>
      </c>
      <c r="AI692">
        <v>0</v>
      </c>
      <c r="AJ692">
        <v>0</v>
      </c>
      <c r="AK692">
        <v>0</v>
      </c>
      <c r="AL692">
        <v>0</v>
      </c>
      <c r="AM692">
        <v>36.46</v>
      </c>
      <c r="AN692">
        <v>0</v>
      </c>
      <c r="AO692">
        <v>0</v>
      </c>
      <c r="AP692">
        <v>0</v>
      </c>
      <c r="AQ692">
        <v>0</v>
      </c>
      <c r="AR692">
        <v>0</v>
      </c>
      <c r="AS692">
        <v>0</v>
      </c>
      <c r="AT692">
        <v>0</v>
      </c>
      <c r="AU692">
        <v>0</v>
      </c>
      <c r="AV692">
        <v>0</v>
      </c>
      <c r="AW692">
        <v>0</v>
      </c>
      <c r="AX692">
        <v>0</v>
      </c>
      <c r="AY692">
        <v>0</v>
      </c>
      <c r="AZ692">
        <v>0</v>
      </c>
      <c r="BA692">
        <v>0</v>
      </c>
      <c r="BB692">
        <v>0</v>
      </c>
      <c r="BC692">
        <v>0</v>
      </c>
      <c r="BD692">
        <v>0</v>
      </c>
      <c r="BE692">
        <v>0</v>
      </c>
      <c r="BF692">
        <v>0</v>
      </c>
      <c r="BG692">
        <v>0</v>
      </c>
      <c r="BH692">
        <v>1</v>
      </c>
      <c r="BI692">
        <v>5.5</v>
      </c>
      <c r="BJ692">
        <v>8.1999999999999993</v>
      </c>
      <c r="BK692">
        <v>8.5</v>
      </c>
      <c r="BL692" s="4">
        <v>214.31</v>
      </c>
      <c r="BM692" s="4">
        <v>32.15</v>
      </c>
      <c r="BN692" s="4">
        <v>246.46</v>
      </c>
      <c r="BO692" s="4">
        <v>246.46</v>
      </c>
      <c r="BQ692" t="s">
        <v>147</v>
      </c>
      <c r="BR692" t="s">
        <v>84</v>
      </c>
      <c r="BS692" s="3">
        <v>43808</v>
      </c>
      <c r="BT692" s="5">
        <v>0.38541666666666669</v>
      </c>
      <c r="BU692" t="s">
        <v>1188</v>
      </c>
      <c r="BV692" t="s">
        <v>86</v>
      </c>
      <c r="BY692">
        <v>41005.800000000003</v>
      </c>
      <c r="CA692" t="s">
        <v>419</v>
      </c>
      <c r="CC692" t="s">
        <v>80</v>
      </c>
      <c r="CD692">
        <v>6001</v>
      </c>
      <c r="CE692" t="s">
        <v>96</v>
      </c>
      <c r="CF692" s="3">
        <v>43809</v>
      </c>
      <c r="CI692">
        <v>1</v>
      </c>
      <c r="CJ692">
        <v>1</v>
      </c>
      <c r="CK692">
        <v>21</v>
      </c>
      <c r="CL692" t="s">
        <v>89</v>
      </c>
    </row>
    <row r="693" spans="1:90">
      <c r="A693" t="s">
        <v>72</v>
      </c>
      <c r="B693" t="s">
        <v>73</v>
      </c>
      <c r="C693" t="s">
        <v>74</v>
      </c>
      <c r="E693" t="str">
        <f>"FES1162727168"</f>
        <v>FES1162727168</v>
      </c>
      <c r="F693" s="3">
        <v>43805</v>
      </c>
      <c r="G693">
        <v>202006</v>
      </c>
      <c r="H693" t="s">
        <v>75</v>
      </c>
      <c r="I693" t="s">
        <v>76</v>
      </c>
      <c r="J693" t="s">
        <v>77</v>
      </c>
      <c r="K693" t="s">
        <v>78</v>
      </c>
      <c r="L693" t="s">
        <v>201</v>
      </c>
      <c r="M693" t="s">
        <v>202</v>
      </c>
      <c r="N693" t="s">
        <v>1189</v>
      </c>
      <c r="O693" t="s">
        <v>82</v>
      </c>
      <c r="P693" t="str">
        <f>"2107020637                    "</f>
        <v xml:space="preserve">2107020637                    </v>
      </c>
      <c r="Q693">
        <v>0</v>
      </c>
      <c r="R693">
        <v>0</v>
      </c>
      <c r="S693">
        <v>0</v>
      </c>
      <c r="T693">
        <v>0</v>
      </c>
      <c r="U693">
        <v>0</v>
      </c>
      <c r="V693">
        <v>0</v>
      </c>
      <c r="W693">
        <v>0</v>
      </c>
      <c r="X693">
        <v>0</v>
      </c>
      <c r="Y693">
        <v>0</v>
      </c>
      <c r="Z693">
        <v>0</v>
      </c>
      <c r="AA693">
        <v>0</v>
      </c>
      <c r="AB693">
        <v>0</v>
      </c>
      <c r="AC693">
        <v>0</v>
      </c>
      <c r="AD693">
        <v>0</v>
      </c>
      <c r="AE693">
        <v>0</v>
      </c>
      <c r="AF693">
        <v>0</v>
      </c>
      <c r="AG693">
        <v>0</v>
      </c>
      <c r="AH693">
        <v>0</v>
      </c>
      <c r="AI693">
        <v>0</v>
      </c>
      <c r="AJ693">
        <v>0</v>
      </c>
      <c r="AK693">
        <v>0</v>
      </c>
      <c r="AL693">
        <v>0</v>
      </c>
      <c r="AM693">
        <v>8.58</v>
      </c>
      <c r="AN693">
        <v>0</v>
      </c>
      <c r="AO693">
        <v>0</v>
      </c>
      <c r="AP693">
        <v>0</v>
      </c>
      <c r="AQ693">
        <v>0</v>
      </c>
      <c r="AR693">
        <v>0</v>
      </c>
      <c r="AS693">
        <v>0</v>
      </c>
      <c r="AT693">
        <v>0</v>
      </c>
      <c r="AU693">
        <v>0</v>
      </c>
      <c r="AV693">
        <v>0</v>
      </c>
      <c r="AW693">
        <v>0</v>
      </c>
      <c r="AX693">
        <v>0</v>
      </c>
      <c r="AY693">
        <v>0</v>
      </c>
      <c r="AZ693">
        <v>0</v>
      </c>
      <c r="BA693">
        <v>0</v>
      </c>
      <c r="BB693">
        <v>0</v>
      </c>
      <c r="BC693">
        <v>0</v>
      </c>
      <c r="BD693">
        <v>0</v>
      </c>
      <c r="BE693">
        <v>0</v>
      </c>
      <c r="BF693">
        <v>0</v>
      </c>
      <c r="BG693">
        <v>0</v>
      </c>
      <c r="BH693">
        <v>1</v>
      </c>
      <c r="BI693">
        <v>1</v>
      </c>
      <c r="BJ693">
        <v>0.2</v>
      </c>
      <c r="BK693">
        <v>1</v>
      </c>
      <c r="BL693" s="4">
        <v>50.45</v>
      </c>
      <c r="BM693" s="4">
        <v>7.57</v>
      </c>
      <c r="BN693" s="4">
        <v>58.02</v>
      </c>
      <c r="BO693" s="4">
        <v>58.02</v>
      </c>
      <c r="BQ693" t="s">
        <v>147</v>
      </c>
      <c r="BR693" t="s">
        <v>84</v>
      </c>
      <c r="BS693" s="3">
        <v>43808</v>
      </c>
      <c r="BT693" s="5">
        <v>0.41111111111111115</v>
      </c>
      <c r="BU693" t="s">
        <v>1190</v>
      </c>
      <c r="BV693" t="s">
        <v>86</v>
      </c>
      <c r="BY693">
        <v>1200</v>
      </c>
      <c r="CA693" t="s">
        <v>288</v>
      </c>
      <c r="CC693" t="s">
        <v>202</v>
      </c>
      <c r="CD693">
        <v>3610</v>
      </c>
      <c r="CE693" t="s">
        <v>88</v>
      </c>
      <c r="CF693" s="3">
        <v>43809</v>
      </c>
      <c r="CI693">
        <v>1</v>
      </c>
      <c r="CJ693">
        <v>1</v>
      </c>
      <c r="CK693">
        <v>21</v>
      </c>
      <c r="CL693" t="s">
        <v>89</v>
      </c>
    </row>
    <row r="694" spans="1:90">
      <c r="A694" t="s">
        <v>72</v>
      </c>
      <c r="B694" t="s">
        <v>73</v>
      </c>
      <c r="C694" t="s">
        <v>74</v>
      </c>
      <c r="E694" t="str">
        <f>"FES1162727165"</f>
        <v>FES1162727165</v>
      </c>
      <c r="F694" s="3">
        <v>43805</v>
      </c>
      <c r="G694">
        <v>202006</v>
      </c>
      <c r="H694" t="s">
        <v>75</v>
      </c>
      <c r="I694" t="s">
        <v>76</v>
      </c>
      <c r="J694" t="s">
        <v>77</v>
      </c>
      <c r="K694" t="s">
        <v>78</v>
      </c>
      <c r="L694" t="s">
        <v>90</v>
      </c>
      <c r="M694" t="s">
        <v>91</v>
      </c>
      <c r="N694" t="s">
        <v>1191</v>
      </c>
      <c r="O694" t="s">
        <v>82</v>
      </c>
      <c r="P694" t="str">
        <f>"2170710632                    "</f>
        <v xml:space="preserve">2170710632                    </v>
      </c>
      <c r="Q694">
        <v>0</v>
      </c>
      <c r="R694">
        <v>0</v>
      </c>
      <c r="S694">
        <v>0</v>
      </c>
      <c r="T694">
        <v>0</v>
      </c>
      <c r="U694">
        <v>0</v>
      </c>
      <c r="V694">
        <v>0</v>
      </c>
      <c r="W694">
        <v>0</v>
      </c>
      <c r="X694">
        <v>0</v>
      </c>
      <c r="Y694">
        <v>0</v>
      </c>
      <c r="Z694">
        <v>0</v>
      </c>
      <c r="AA694">
        <v>0</v>
      </c>
      <c r="AB694">
        <v>0</v>
      </c>
      <c r="AC694">
        <v>0</v>
      </c>
      <c r="AD694">
        <v>0</v>
      </c>
      <c r="AE694">
        <v>0</v>
      </c>
      <c r="AF694">
        <v>0</v>
      </c>
      <c r="AG694">
        <v>0</v>
      </c>
      <c r="AH694">
        <v>0</v>
      </c>
      <c r="AI694">
        <v>0</v>
      </c>
      <c r="AJ694">
        <v>0</v>
      </c>
      <c r="AK694">
        <v>0</v>
      </c>
      <c r="AL694">
        <v>0</v>
      </c>
      <c r="AM694">
        <v>8.58</v>
      </c>
      <c r="AN694">
        <v>0</v>
      </c>
      <c r="AO694">
        <v>0</v>
      </c>
      <c r="AP694">
        <v>0</v>
      </c>
      <c r="AQ694">
        <v>0</v>
      </c>
      <c r="AR694">
        <v>0</v>
      </c>
      <c r="AS694">
        <v>0</v>
      </c>
      <c r="AT694">
        <v>0</v>
      </c>
      <c r="AU694">
        <v>0</v>
      </c>
      <c r="AV694">
        <v>0</v>
      </c>
      <c r="AW694">
        <v>0</v>
      </c>
      <c r="AX694">
        <v>0</v>
      </c>
      <c r="AY694">
        <v>0</v>
      </c>
      <c r="AZ694">
        <v>0</v>
      </c>
      <c r="BA694">
        <v>0</v>
      </c>
      <c r="BB694">
        <v>0</v>
      </c>
      <c r="BC694">
        <v>0</v>
      </c>
      <c r="BD694">
        <v>0</v>
      </c>
      <c r="BE694">
        <v>0</v>
      </c>
      <c r="BF694">
        <v>0</v>
      </c>
      <c r="BG694">
        <v>0</v>
      </c>
      <c r="BH694">
        <v>1</v>
      </c>
      <c r="BI694">
        <v>1</v>
      </c>
      <c r="BJ694">
        <v>0.9</v>
      </c>
      <c r="BK694">
        <v>1</v>
      </c>
      <c r="BL694" s="4">
        <v>50.45</v>
      </c>
      <c r="BM694" s="4">
        <v>7.57</v>
      </c>
      <c r="BN694" s="4">
        <v>58.02</v>
      </c>
      <c r="BO694" s="4">
        <v>58.02</v>
      </c>
      <c r="BR694" t="s">
        <v>84</v>
      </c>
      <c r="BS694" s="3">
        <v>43808</v>
      </c>
      <c r="BT694" s="5">
        <v>0.3</v>
      </c>
      <c r="BU694" t="s">
        <v>1192</v>
      </c>
      <c r="BV694" t="s">
        <v>86</v>
      </c>
      <c r="BY694">
        <v>4500</v>
      </c>
      <c r="CA694" t="s">
        <v>112</v>
      </c>
      <c r="CC694" t="s">
        <v>91</v>
      </c>
      <c r="CD694">
        <v>7405</v>
      </c>
      <c r="CE694" t="s">
        <v>116</v>
      </c>
      <c r="CF694" s="3">
        <v>43809</v>
      </c>
      <c r="CI694">
        <v>1</v>
      </c>
      <c r="CJ694">
        <v>1</v>
      </c>
      <c r="CK694">
        <v>21</v>
      </c>
      <c r="CL694" t="s">
        <v>89</v>
      </c>
    </row>
    <row r="695" spans="1:90">
      <c r="A695" t="s">
        <v>72</v>
      </c>
      <c r="B695" t="s">
        <v>73</v>
      </c>
      <c r="C695" t="s">
        <v>74</v>
      </c>
      <c r="E695" t="str">
        <f>"FES1162727103"</f>
        <v>FES1162727103</v>
      </c>
      <c r="F695" s="3">
        <v>43805</v>
      </c>
      <c r="G695">
        <v>202006</v>
      </c>
      <c r="H695" t="s">
        <v>75</v>
      </c>
      <c r="I695" t="s">
        <v>76</v>
      </c>
      <c r="J695" t="s">
        <v>77</v>
      </c>
      <c r="K695" t="s">
        <v>78</v>
      </c>
      <c r="L695" t="s">
        <v>198</v>
      </c>
      <c r="M695" t="s">
        <v>199</v>
      </c>
      <c r="N695" t="s">
        <v>1193</v>
      </c>
      <c r="O695" t="s">
        <v>82</v>
      </c>
      <c r="P695" t="str">
        <f>"2170720434                    "</f>
        <v xml:space="preserve">2170720434                    </v>
      </c>
      <c r="Q695">
        <v>0</v>
      </c>
      <c r="R695">
        <v>0</v>
      </c>
      <c r="S695">
        <v>0</v>
      </c>
      <c r="T695">
        <v>0</v>
      </c>
      <c r="U695">
        <v>0</v>
      </c>
      <c r="V695">
        <v>0</v>
      </c>
      <c r="W695">
        <v>0</v>
      </c>
      <c r="X695">
        <v>0</v>
      </c>
      <c r="Y695">
        <v>0</v>
      </c>
      <c r="Z695">
        <v>0</v>
      </c>
      <c r="AA695">
        <v>0</v>
      </c>
      <c r="AB695">
        <v>0</v>
      </c>
      <c r="AC695">
        <v>0</v>
      </c>
      <c r="AD695">
        <v>0</v>
      </c>
      <c r="AE695">
        <v>0</v>
      </c>
      <c r="AF695">
        <v>0</v>
      </c>
      <c r="AG695">
        <v>0</v>
      </c>
      <c r="AH695">
        <v>0</v>
      </c>
      <c r="AI695">
        <v>0</v>
      </c>
      <c r="AJ695">
        <v>0</v>
      </c>
      <c r="AK695">
        <v>0</v>
      </c>
      <c r="AL695">
        <v>0</v>
      </c>
      <c r="AM695">
        <v>23.59</v>
      </c>
      <c r="AN695">
        <v>0</v>
      </c>
      <c r="AO695">
        <v>0</v>
      </c>
      <c r="AP695">
        <v>0</v>
      </c>
      <c r="AQ695">
        <v>0</v>
      </c>
      <c r="AR695">
        <v>0</v>
      </c>
      <c r="AS695">
        <v>0</v>
      </c>
      <c r="AT695">
        <v>0</v>
      </c>
      <c r="AU695">
        <v>0</v>
      </c>
      <c r="AV695">
        <v>0</v>
      </c>
      <c r="AW695">
        <v>0</v>
      </c>
      <c r="AX695">
        <v>0</v>
      </c>
      <c r="AY695">
        <v>0</v>
      </c>
      <c r="AZ695">
        <v>0</v>
      </c>
      <c r="BA695">
        <v>0</v>
      </c>
      <c r="BB695">
        <v>0</v>
      </c>
      <c r="BC695">
        <v>0</v>
      </c>
      <c r="BD695">
        <v>0</v>
      </c>
      <c r="BE695">
        <v>0</v>
      </c>
      <c r="BF695">
        <v>0</v>
      </c>
      <c r="BG695">
        <v>0</v>
      </c>
      <c r="BH695">
        <v>1</v>
      </c>
      <c r="BI695">
        <v>5.4</v>
      </c>
      <c r="BJ695">
        <v>1.6</v>
      </c>
      <c r="BK695">
        <v>5.5</v>
      </c>
      <c r="BL695" s="4">
        <v>138.68</v>
      </c>
      <c r="BM695" s="4">
        <v>20.8</v>
      </c>
      <c r="BN695" s="4">
        <v>159.47999999999999</v>
      </c>
      <c r="BO695" s="4">
        <v>159.47999999999999</v>
      </c>
      <c r="BQ695" t="s">
        <v>1194</v>
      </c>
      <c r="BR695" t="s">
        <v>84</v>
      </c>
      <c r="BS695" s="3">
        <v>43808</v>
      </c>
      <c r="BT695" s="5">
        <v>0.41319444444444442</v>
      </c>
      <c r="BU695" t="s">
        <v>1195</v>
      </c>
      <c r="BV695" t="s">
        <v>86</v>
      </c>
      <c r="BY695">
        <v>8158.82</v>
      </c>
      <c r="CA695" t="s">
        <v>212</v>
      </c>
      <c r="CC695" t="s">
        <v>199</v>
      </c>
      <c r="CD695">
        <v>4068</v>
      </c>
      <c r="CE695" t="s">
        <v>116</v>
      </c>
      <c r="CF695" s="3">
        <v>43809</v>
      </c>
      <c r="CI695">
        <v>1</v>
      </c>
      <c r="CJ695">
        <v>1</v>
      </c>
      <c r="CK695">
        <v>21</v>
      </c>
      <c r="CL695" t="s">
        <v>89</v>
      </c>
    </row>
    <row r="696" spans="1:90">
      <c r="A696" t="s">
        <v>72</v>
      </c>
      <c r="B696" t="s">
        <v>73</v>
      </c>
      <c r="C696" t="s">
        <v>74</v>
      </c>
      <c r="E696" t="str">
        <f>"FES1162727149"</f>
        <v>FES1162727149</v>
      </c>
      <c r="F696" s="3">
        <v>43805</v>
      </c>
      <c r="G696">
        <v>202006</v>
      </c>
      <c r="H696" t="s">
        <v>75</v>
      </c>
      <c r="I696" t="s">
        <v>76</v>
      </c>
      <c r="J696" t="s">
        <v>77</v>
      </c>
      <c r="K696" t="s">
        <v>78</v>
      </c>
      <c r="L696" t="s">
        <v>90</v>
      </c>
      <c r="M696" t="s">
        <v>91</v>
      </c>
      <c r="N696" t="s">
        <v>1196</v>
      </c>
      <c r="O696" t="s">
        <v>82</v>
      </c>
      <c r="P696" t="str">
        <f>"21707120505                   "</f>
        <v xml:space="preserve">21707120505                   </v>
      </c>
      <c r="Q696">
        <v>0</v>
      </c>
      <c r="R696">
        <v>0</v>
      </c>
      <c r="S696">
        <v>0</v>
      </c>
      <c r="T696">
        <v>0</v>
      </c>
      <c r="U696">
        <v>0</v>
      </c>
      <c r="V696">
        <v>0</v>
      </c>
      <c r="W696">
        <v>0</v>
      </c>
      <c r="X696">
        <v>0</v>
      </c>
      <c r="Y696">
        <v>0</v>
      </c>
      <c r="Z696">
        <v>0</v>
      </c>
      <c r="AA696">
        <v>0</v>
      </c>
      <c r="AB696">
        <v>0</v>
      </c>
      <c r="AC696">
        <v>0</v>
      </c>
      <c r="AD696">
        <v>0</v>
      </c>
      <c r="AE696">
        <v>0</v>
      </c>
      <c r="AF696">
        <v>0</v>
      </c>
      <c r="AG696">
        <v>0</v>
      </c>
      <c r="AH696">
        <v>0</v>
      </c>
      <c r="AI696">
        <v>0</v>
      </c>
      <c r="AJ696">
        <v>0</v>
      </c>
      <c r="AK696">
        <v>0</v>
      </c>
      <c r="AL696">
        <v>0</v>
      </c>
      <c r="AM696">
        <v>27.88</v>
      </c>
      <c r="AN696">
        <v>0</v>
      </c>
      <c r="AO696">
        <v>0</v>
      </c>
      <c r="AP696">
        <v>0</v>
      </c>
      <c r="AQ696">
        <v>0</v>
      </c>
      <c r="AR696">
        <v>0</v>
      </c>
      <c r="AS696">
        <v>0</v>
      </c>
      <c r="AT696">
        <v>0</v>
      </c>
      <c r="AU696">
        <v>0</v>
      </c>
      <c r="AV696">
        <v>0</v>
      </c>
      <c r="AW696">
        <v>0</v>
      </c>
      <c r="AX696">
        <v>0</v>
      </c>
      <c r="AY696">
        <v>0</v>
      </c>
      <c r="AZ696">
        <v>0</v>
      </c>
      <c r="BA696">
        <v>0</v>
      </c>
      <c r="BB696">
        <v>0</v>
      </c>
      <c r="BC696">
        <v>0</v>
      </c>
      <c r="BD696">
        <v>0</v>
      </c>
      <c r="BE696">
        <v>0</v>
      </c>
      <c r="BF696">
        <v>0</v>
      </c>
      <c r="BG696">
        <v>0</v>
      </c>
      <c r="BH696">
        <v>1</v>
      </c>
      <c r="BI696">
        <v>6.5</v>
      </c>
      <c r="BJ696">
        <v>2.1</v>
      </c>
      <c r="BK696">
        <v>6.5</v>
      </c>
      <c r="BL696" s="4">
        <v>163.89</v>
      </c>
      <c r="BM696" s="4">
        <v>24.58</v>
      </c>
      <c r="BN696" s="4">
        <v>188.47</v>
      </c>
      <c r="BO696" s="4">
        <v>188.47</v>
      </c>
      <c r="BQ696" t="s">
        <v>277</v>
      </c>
      <c r="BR696" t="s">
        <v>84</v>
      </c>
      <c r="BS696" s="3">
        <v>43808</v>
      </c>
      <c r="BT696" s="5">
        <v>0.3743055555555555</v>
      </c>
      <c r="BU696" t="s">
        <v>1197</v>
      </c>
      <c r="BV696" t="s">
        <v>86</v>
      </c>
      <c r="BY696">
        <v>10412.06</v>
      </c>
      <c r="CA696" t="s">
        <v>145</v>
      </c>
      <c r="CC696" t="s">
        <v>91</v>
      </c>
      <c r="CD696">
        <v>7441</v>
      </c>
      <c r="CE696" t="s">
        <v>116</v>
      </c>
      <c r="CF696" s="3">
        <v>43809</v>
      </c>
      <c r="CI696">
        <v>1</v>
      </c>
      <c r="CJ696">
        <v>1</v>
      </c>
      <c r="CK696">
        <v>21</v>
      </c>
      <c r="CL696" t="s">
        <v>89</v>
      </c>
    </row>
    <row r="697" spans="1:90">
      <c r="A697" t="s">
        <v>72</v>
      </c>
      <c r="B697" t="s">
        <v>73</v>
      </c>
      <c r="C697" t="s">
        <v>74</v>
      </c>
      <c r="E697" t="str">
        <f>"FES1162727154"</f>
        <v>FES1162727154</v>
      </c>
      <c r="F697" s="3">
        <v>43805</v>
      </c>
      <c r="G697">
        <v>202006</v>
      </c>
      <c r="H697" t="s">
        <v>75</v>
      </c>
      <c r="I697" t="s">
        <v>76</v>
      </c>
      <c r="J697" t="s">
        <v>77</v>
      </c>
      <c r="K697" t="s">
        <v>78</v>
      </c>
      <c r="L697" t="s">
        <v>90</v>
      </c>
      <c r="M697" t="s">
        <v>91</v>
      </c>
      <c r="N697" t="s">
        <v>1198</v>
      </c>
      <c r="O697" t="s">
        <v>82</v>
      </c>
      <c r="P697" t="str">
        <f>"2170710621                    "</f>
        <v xml:space="preserve">2170710621                    </v>
      </c>
      <c r="Q697">
        <v>0</v>
      </c>
      <c r="R697">
        <v>0</v>
      </c>
      <c r="S697">
        <v>0</v>
      </c>
      <c r="T697">
        <v>0</v>
      </c>
      <c r="U697">
        <v>0</v>
      </c>
      <c r="V697">
        <v>0</v>
      </c>
      <c r="W697">
        <v>0</v>
      </c>
      <c r="X697">
        <v>0</v>
      </c>
      <c r="Y697">
        <v>0</v>
      </c>
      <c r="Z697">
        <v>0</v>
      </c>
      <c r="AA697">
        <v>0</v>
      </c>
      <c r="AB697">
        <v>0</v>
      </c>
      <c r="AC697">
        <v>0</v>
      </c>
      <c r="AD697">
        <v>0</v>
      </c>
      <c r="AE697">
        <v>0</v>
      </c>
      <c r="AF697">
        <v>0</v>
      </c>
      <c r="AG697">
        <v>0</v>
      </c>
      <c r="AH697">
        <v>0</v>
      </c>
      <c r="AI697">
        <v>0</v>
      </c>
      <c r="AJ697">
        <v>0</v>
      </c>
      <c r="AK697">
        <v>0</v>
      </c>
      <c r="AL697">
        <v>0</v>
      </c>
      <c r="AM697">
        <v>25.74</v>
      </c>
      <c r="AN697">
        <v>0</v>
      </c>
      <c r="AO697">
        <v>0</v>
      </c>
      <c r="AP697">
        <v>0</v>
      </c>
      <c r="AQ697">
        <v>0</v>
      </c>
      <c r="AR697">
        <v>0</v>
      </c>
      <c r="AS697">
        <v>0</v>
      </c>
      <c r="AT697">
        <v>0</v>
      </c>
      <c r="AU697">
        <v>0</v>
      </c>
      <c r="AV697">
        <v>0</v>
      </c>
      <c r="AW697">
        <v>0</v>
      </c>
      <c r="AX697">
        <v>0</v>
      </c>
      <c r="AY697">
        <v>0</v>
      </c>
      <c r="AZ697">
        <v>0</v>
      </c>
      <c r="BA697">
        <v>0</v>
      </c>
      <c r="BB697">
        <v>0</v>
      </c>
      <c r="BC697">
        <v>0</v>
      </c>
      <c r="BD697">
        <v>0</v>
      </c>
      <c r="BE697">
        <v>0</v>
      </c>
      <c r="BF697">
        <v>0</v>
      </c>
      <c r="BG697">
        <v>0</v>
      </c>
      <c r="BH697">
        <v>1</v>
      </c>
      <c r="BI697">
        <v>6</v>
      </c>
      <c r="BJ697">
        <v>4.0999999999999996</v>
      </c>
      <c r="BK697">
        <v>6</v>
      </c>
      <c r="BL697" s="4">
        <v>151.29</v>
      </c>
      <c r="BM697" s="4">
        <v>22.69</v>
      </c>
      <c r="BN697" s="4">
        <v>173.98</v>
      </c>
      <c r="BO697" s="4">
        <v>173.98</v>
      </c>
      <c r="BQ697" t="s">
        <v>135</v>
      </c>
      <c r="BR697" t="s">
        <v>84</v>
      </c>
      <c r="BS697" s="3">
        <v>43808</v>
      </c>
      <c r="BT697" s="5">
        <v>0.34513888888888888</v>
      </c>
      <c r="BU697" t="s">
        <v>1199</v>
      </c>
      <c r="BV697" t="s">
        <v>86</v>
      </c>
      <c r="BY697">
        <v>20358</v>
      </c>
      <c r="CA697" t="s">
        <v>440</v>
      </c>
      <c r="CC697" t="s">
        <v>91</v>
      </c>
      <c r="CD697">
        <v>7500</v>
      </c>
      <c r="CE697" t="s">
        <v>96</v>
      </c>
      <c r="CF697" s="3">
        <v>43809</v>
      </c>
      <c r="CI697">
        <v>1</v>
      </c>
      <c r="CJ697">
        <v>1</v>
      </c>
      <c r="CK697">
        <v>21</v>
      </c>
      <c r="CL697" t="s">
        <v>89</v>
      </c>
    </row>
    <row r="698" spans="1:90">
      <c r="A698" t="s">
        <v>72</v>
      </c>
      <c r="B698" t="s">
        <v>73</v>
      </c>
      <c r="C698" t="s">
        <v>74</v>
      </c>
      <c r="E698" t="str">
        <f>"FES1162727139"</f>
        <v>FES1162727139</v>
      </c>
      <c r="F698" s="3">
        <v>43805</v>
      </c>
      <c r="G698">
        <v>202006</v>
      </c>
      <c r="H698" t="s">
        <v>75</v>
      </c>
      <c r="I698" t="s">
        <v>76</v>
      </c>
      <c r="J698" t="s">
        <v>77</v>
      </c>
      <c r="K698" t="s">
        <v>78</v>
      </c>
      <c r="L698" t="s">
        <v>90</v>
      </c>
      <c r="M698" t="s">
        <v>91</v>
      </c>
      <c r="N698" t="s">
        <v>875</v>
      </c>
      <c r="O698" t="s">
        <v>82</v>
      </c>
      <c r="P698" t="str">
        <f>"2170710608                    "</f>
        <v xml:space="preserve">2170710608                    </v>
      </c>
      <c r="Q698">
        <v>0</v>
      </c>
      <c r="R698">
        <v>0</v>
      </c>
      <c r="S698">
        <v>0</v>
      </c>
      <c r="T698">
        <v>0</v>
      </c>
      <c r="U698">
        <v>0</v>
      </c>
      <c r="V698">
        <v>0</v>
      </c>
      <c r="W698">
        <v>0</v>
      </c>
      <c r="X698">
        <v>0</v>
      </c>
      <c r="Y698">
        <v>0</v>
      </c>
      <c r="Z698">
        <v>0</v>
      </c>
      <c r="AA698">
        <v>0</v>
      </c>
      <c r="AB698">
        <v>0</v>
      </c>
      <c r="AC698">
        <v>0</v>
      </c>
      <c r="AD698">
        <v>0</v>
      </c>
      <c r="AE698">
        <v>0</v>
      </c>
      <c r="AF698">
        <v>0</v>
      </c>
      <c r="AG698">
        <v>0</v>
      </c>
      <c r="AH698">
        <v>0</v>
      </c>
      <c r="AI698">
        <v>0</v>
      </c>
      <c r="AJ698">
        <v>0</v>
      </c>
      <c r="AK698">
        <v>0</v>
      </c>
      <c r="AL698">
        <v>0</v>
      </c>
      <c r="AM698">
        <v>12.87</v>
      </c>
      <c r="AN698">
        <v>0</v>
      </c>
      <c r="AO698">
        <v>0</v>
      </c>
      <c r="AP698">
        <v>0</v>
      </c>
      <c r="AQ698">
        <v>0</v>
      </c>
      <c r="AR698">
        <v>0</v>
      </c>
      <c r="AS698">
        <v>0</v>
      </c>
      <c r="AT698">
        <v>0</v>
      </c>
      <c r="AU698">
        <v>0</v>
      </c>
      <c r="AV698">
        <v>0</v>
      </c>
      <c r="AW698">
        <v>0</v>
      </c>
      <c r="AX698">
        <v>0</v>
      </c>
      <c r="AY698">
        <v>0</v>
      </c>
      <c r="AZ698">
        <v>0</v>
      </c>
      <c r="BA698">
        <v>0</v>
      </c>
      <c r="BB698">
        <v>0</v>
      </c>
      <c r="BC698">
        <v>0</v>
      </c>
      <c r="BD698">
        <v>0</v>
      </c>
      <c r="BE698">
        <v>0</v>
      </c>
      <c r="BF698">
        <v>0</v>
      </c>
      <c r="BG698">
        <v>0</v>
      </c>
      <c r="BH698">
        <v>1</v>
      </c>
      <c r="BI698">
        <v>2.6</v>
      </c>
      <c r="BJ698">
        <v>1.3</v>
      </c>
      <c r="BK698">
        <v>3</v>
      </c>
      <c r="BL698" s="4">
        <v>75.66</v>
      </c>
      <c r="BM698" s="4">
        <v>11.35</v>
      </c>
      <c r="BN698" s="4">
        <v>87.01</v>
      </c>
      <c r="BO698" s="4">
        <v>87.01</v>
      </c>
      <c r="BQ698" t="s">
        <v>147</v>
      </c>
      <c r="BR698" t="s">
        <v>84</v>
      </c>
      <c r="BS698" s="3">
        <v>43808</v>
      </c>
      <c r="BT698" s="5">
        <v>0.34861111111111115</v>
      </c>
      <c r="BU698" t="s">
        <v>876</v>
      </c>
      <c r="BV698" t="s">
        <v>86</v>
      </c>
      <c r="BY698">
        <v>6311.4</v>
      </c>
      <c r="CA698" t="s">
        <v>809</v>
      </c>
      <c r="CC698" t="s">
        <v>91</v>
      </c>
      <c r="CD698">
        <v>7925</v>
      </c>
      <c r="CE698" t="s">
        <v>96</v>
      </c>
      <c r="CF698" s="3">
        <v>43809</v>
      </c>
      <c r="CI698">
        <v>1</v>
      </c>
      <c r="CJ698">
        <v>1</v>
      </c>
      <c r="CK698">
        <v>21</v>
      </c>
      <c r="CL698" t="s">
        <v>89</v>
      </c>
    </row>
    <row r="699" spans="1:90">
      <c r="A699" t="s">
        <v>72</v>
      </c>
      <c r="B699" t="s">
        <v>73</v>
      </c>
      <c r="C699" t="s">
        <v>74</v>
      </c>
      <c r="E699" t="str">
        <f>"FES1162727027"</f>
        <v>FES1162727027</v>
      </c>
      <c r="F699" s="3">
        <v>43805</v>
      </c>
      <c r="G699">
        <v>202006</v>
      </c>
      <c r="H699" t="s">
        <v>75</v>
      </c>
      <c r="I699" t="s">
        <v>76</v>
      </c>
      <c r="J699" t="s">
        <v>77</v>
      </c>
      <c r="K699" t="s">
        <v>78</v>
      </c>
      <c r="L699" t="s">
        <v>79</v>
      </c>
      <c r="M699" t="s">
        <v>80</v>
      </c>
      <c r="N699" t="s">
        <v>300</v>
      </c>
      <c r="O699" t="s">
        <v>82</v>
      </c>
      <c r="P699" t="str">
        <f>"2170720488                    "</f>
        <v xml:space="preserve">2170720488                    </v>
      </c>
      <c r="Q699">
        <v>0</v>
      </c>
      <c r="R699">
        <v>0</v>
      </c>
      <c r="S699">
        <v>0</v>
      </c>
      <c r="T699">
        <v>0</v>
      </c>
      <c r="U699">
        <v>0</v>
      </c>
      <c r="V699">
        <v>0</v>
      </c>
      <c r="W699">
        <v>0</v>
      </c>
      <c r="X699">
        <v>0</v>
      </c>
      <c r="Y699">
        <v>0</v>
      </c>
      <c r="Z699">
        <v>0</v>
      </c>
      <c r="AA699">
        <v>0</v>
      </c>
      <c r="AB699">
        <v>0</v>
      </c>
      <c r="AC699">
        <v>0</v>
      </c>
      <c r="AD699">
        <v>0</v>
      </c>
      <c r="AE699">
        <v>0</v>
      </c>
      <c r="AF699">
        <v>0</v>
      </c>
      <c r="AG699">
        <v>0</v>
      </c>
      <c r="AH699">
        <v>0</v>
      </c>
      <c r="AI699">
        <v>0</v>
      </c>
      <c r="AJ699">
        <v>0</v>
      </c>
      <c r="AK699">
        <v>0</v>
      </c>
      <c r="AL699">
        <v>0</v>
      </c>
      <c r="AM699">
        <v>8.58</v>
      </c>
      <c r="AN699">
        <v>0</v>
      </c>
      <c r="AO699">
        <v>0</v>
      </c>
      <c r="AP699">
        <v>0</v>
      </c>
      <c r="AQ699">
        <v>0</v>
      </c>
      <c r="AR699">
        <v>0</v>
      </c>
      <c r="AS699">
        <v>0</v>
      </c>
      <c r="AT699">
        <v>0</v>
      </c>
      <c r="AU699">
        <v>0</v>
      </c>
      <c r="AV699">
        <v>0</v>
      </c>
      <c r="AW699">
        <v>0</v>
      </c>
      <c r="AX699">
        <v>0</v>
      </c>
      <c r="AY699">
        <v>0</v>
      </c>
      <c r="AZ699">
        <v>0</v>
      </c>
      <c r="BA699">
        <v>0</v>
      </c>
      <c r="BB699">
        <v>0</v>
      </c>
      <c r="BC699">
        <v>0</v>
      </c>
      <c r="BD699">
        <v>0</v>
      </c>
      <c r="BE699">
        <v>0</v>
      </c>
      <c r="BF699">
        <v>0</v>
      </c>
      <c r="BG699">
        <v>0</v>
      </c>
      <c r="BH699">
        <v>1</v>
      </c>
      <c r="BI699">
        <v>1.4</v>
      </c>
      <c r="BJ699">
        <v>1.5</v>
      </c>
      <c r="BK699">
        <v>1.5</v>
      </c>
      <c r="BL699" s="4">
        <v>50.45</v>
      </c>
      <c r="BM699" s="4">
        <v>7.57</v>
      </c>
      <c r="BN699" s="4">
        <v>58.02</v>
      </c>
      <c r="BO699" s="4">
        <v>58.02</v>
      </c>
      <c r="BQ699" t="s">
        <v>147</v>
      </c>
      <c r="BR699" t="s">
        <v>84</v>
      </c>
      <c r="BS699" s="3">
        <v>43808</v>
      </c>
      <c r="BT699" s="5">
        <v>0.3888888888888889</v>
      </c>
      <c r="BU699" t="s">
        <v>403</v>
      </c>
      <c r="BV699" t="s">
        <v>86</v>
      </c>
      <c r="BY699">
        <v>7541.42</v>
      </c>
      <c r="CA699" t="s">
        <v>99</v>
      </c>
      <c r="CC699" t="s">
        <v>80</v>
      </c>
      <c r="CD699">
        <v>6001</v>
      </c>
      <c r="CE699" t="s">
        <v>96</v>
      </c>
      <c r="CF699" s="3">
        <v>43809</v>
      </c>
      <c r="CI699">
        <v>1</v>
      </c>
      <c r="CJ699">
        <v>1</v>
      </c>
      <c r="CK699">
        <v>21</v>
      </c>
      <c r="CL699" t="s">
        <v>89</v>
      </c>
    </row>
    <row r="700" spans="1:90">
      <c r="A700" t="s">
        <v>72</v>
      </c>
      <c r="B700" t="s">
        <v>73</v>
      </c>
      <c r="C700" t="s">
        <v>74</v>
      </c>
      <c r="E700" t="str">
        <f>"FES1162726656"</f>
        <v>FES1162726656</v>
      </c>
      <c r="F700" s="3">
        <v>43805</v>
      </c>
      <c r="G700">
        <v>202006</v>
      </c>
      <c r="H700" t="s">
        <v>75</v>
      </c>
      <c r="I700" t="s">
        <v>76</v>
      </c>
      <c r="J700" t="s">
        <v>77</v>
      </c>
      <c r="K700" t="s">
        <v>78</v>
      </c>
      <c r="L700" t="s">
        <v>79</v>
      </c>
      <c r="M700" t="s">
        <v>80</v>
      </c>
      <c r="N700" t="s">
        <v>97</v>
      </c>
      <c r="O700" t="s">
        <v>82</v>
      </c>
      <c r="P700" t="str">
        <f>"2170715579                    "</f>
        <v xml:space="preserve">2170715579                    </v>
      </c>
      <c r="Q700">
        <v>0</v>
      </c>
      <c r="R700">
        <v>0</v>
      </c>
      <c r="S700">
        <v>0</v>
      </c>
      <c r="T700">
        <v>0</v>
      </c>
      <c r="U700">
        <v>0</v>
      </c>
      <c r="V700">
        <v>0</v>
      </c>
      <c r="W700">
        <v>0</v>
      </c>
      <c r="X700">
        <v>0</v>
      </c>
      <c r="Y700">
        <v>0</v>
      </c>
      <c r="Z700">
        <v>0</v>
      </c>
      <c r="AA700">
        <v>0</v>
      </c>
      <c r="AB700">
        <v>0</v>
      </c>
      <c r="AC700">
        <v>0</v>
      </c>
      <c r="AD700">
        <v>0</v>
      </c>
      <c r="AE700">
        <v>0</v>
      </c>
      <c r="AF700">
        <v>0</v>
      </c>
      <c r="AG700">
        <v>0</v>
      </c>
      <c r="AH700">
        <v>0</v>
      </c>
      <c r="AI700">
        <v>0</v>
      </c>
      <c r="AJ700">
        <v>0</v>
      </c>
      <c r="AK700">
        <v>0</v>
      </c>
      <c r="AL700">
        <v>0</v>
      </c>
      <c r="AM700">
        <v>8.58</v>
      </c>
      <c r="AN700">
        <v>0</v>
      </c>
      <c r="AO700">
        <v>0</v>
      </c>
      <c r="AP700">
        <v>0</v>
      </c>
      <c r="AQ700">
        <v>0</v>
      </c>
      <c r="AR700">
        <v>0</v>
      </c>
      <c r="AS700">
        <v>0</v>
      </c>
      <c r="AT700">
        <v>0</v>
      </c>
      <c r="AU700">
        <v>0</v>
      </c>
      <c r="AV700">
        <v>0</v>
      </c>
      <c r="AW700">
        <v>0</v>
      </c>
      <c r="AX700">
        <v>0</v>
      </c>
      <c r="AY700">
        <v>0</v>
      </c>
      <c r="AZ700">
        <v>0</v>
      </c>
      <c r="BA700">
        <v>0</v>
      </c>
      <c r="BB700">
        <v>0</v>
      </c>
      <c r="BC700">
        <v>0</v>
      </c>
      <c r="BD700">
        <v>0</v>
      </c>
      <c r="BE700">
        <v>0</v>
      </c>
      <c r="BF700">
        <v>0</v>
      </c>
      <c r="BG700">
        <v>0</v>
      </c>
      <c r="BH700">
        <v>1</v>
      </c>
      <c r="BI700">
        <v>2</v>
      </c>
      <c r="BJ700">
        <v>0.2</v>
      </c>
      <c r="BK700">
        <v>2</v>
      </c>
      <c r="BL700" s="4">
        <v>50.45</v>
      </c>
      <c r="BM700" s="4">
        <v>7.57</v>
      </c>
      <c r="BN700" s="4">
        <v>58.02</v>
      </c>
      <c r="BO700" s="4">
        <v>58.02</v>
      </c>
      <c r="BQ700" t="s">
        <v>93</v>
      </c>
      <c r="BR700" t="s">
        <v>84</v>
      </c>
      <c r="BS700" s="3">
        <v>43808</v>
      </c>
      <c r="BT700" s="5">
        <v>0.34027777777777773</v>
      </c>
      <c r="BU700" t="s">
        <v>98</v>
      </c>
      <c r="BV700" t="s">
        <v>86</v>
      </c>
      <c r="BY700">
        <v>1200</v>
      </c>
      <c r="CA700" t="s">
        <v>99</v>
      </c>
      <c r="CC700" t="s">
        <v>80</v>
      </c>
      <c r="CD700">
        <v>6001</v>
      </c>
      <c r="CE700" t="s">
        <v>88</v>
      </c>
      <c r="CF700" s="3">
        <v>43809</v>
      </c>
      <c r="CI700">
        <v>1</v>
      </c>
      <c r="CJ700">
        <v>1</v>
      </c>
      <c r="CK700">
        <v>21</v>
      </c>
      <c r="CL700" t="s">
        <v>89</v>
      </c>
    </row>
    <row r="701" spans="1:90">
      <c r="A701" t="s">
        <v>72</v>
      </c>
      <c r="B701" t="s">
        <v>73</v>
      </c>
      <c r="C701" t="s">
        <v>74</v>
      </c>
      <c r="E701" t="str">
        <f>"FES1162727187"</f>
        <v>FES1162727187</v>
      </c>
      <c r="F701" s="3">
        <v>43805</v>
      </c>
      <c r="G701">
        <v>202006</v>
      </c>
      <c r="H701" t="s">
        <v>75</v>
      </c>
      <c r="I701" t="s">
        <v>76</v>
      </c>
      <c r="J701" t="s">
        <v>77</v>
      </c>
      <c r="K701" t="s">
        <v>78</v>
      </c>
      <c r="L701" t="s">
        <v>446</v>
      </c>
      <c r="M701" t="s">
        <v>447</v>
      </c>
      <c r="N701" t="s">
        <v>448</v>
      </c>
      <c r="O701" t="s">
        <v>82</v>
      </c>
      <c r="P701" t="str">
        <f>"2170719987                    "</f>
        <v xml:space="preserve">2170719987                    </v>
      </c>
      <c r="Q701">
        <v>0</v>
      </c>
      <c r="R701">
        <v>0</v>
      </c>
      <c r="S701">
        <v>0</v>
      </c>
      <c r="T701">
        <v>0</v>
      </c>
      <c r="U701">
        <v>0</v>
      </c>
      <c r="V701">
        <v>0</v>
      </c>
      <c r="W701">
        <v>0</v>
      </c>
      <c r="X701">
        <v>0</v>
      </c>
      <c r="Y701">
        <v>0</v>
      </c>
      <c r="Z701">
        <v>0</v>
      </c>
      <c r="AA701">
        <v>0</v>
      </c>
      <c r="AB701">
        <v>0</v>
      </c>
      <c r="AC701">
        <v>0</v>
      </c>
      <c r="AD701">
        <v>0</v>
      </c>
      <c r="AE701">
        <v>0</v>
      </c>
      <c r="AF701">
        <v>0</v>
      </c>
      <c r="AG701">
        <v>0</v>
      </c>
      <c r="AH701">
        <v>0</v>
      </c>
      <c r="AI701">
        <v>0</v>
      </c>
      <c r="AJ701">
        <v>0</v>
      </c>
      <c r="AK701">
        <v>0</v>
      </c>
      <c r="AL701">
        <v>0</v>
      </c>
      <c r="AM701">
        <v>8.58</v>
      </c>
      <c r="AN701">
        <v>0</v>
      </c>
      <c r="AO701">
        <v>0</v>
      </c>
      <c r="AP701">
        <v>0</v>
      </c>
      <c r="AQ701">
        <v>0</v>
      </c>
      <c r="AR701">
        <v>0</v>
      </c>
      <c r="AS701">
        <v>0</v>
      </c>
      <c r="AT701">
        <v>0</v>
      </c>
      <c r="AU701">
        <v>0</v>
      </c>
      <c r="AV701">
        <v>0</v>
      </c>
      <c r="AW701">
        <v>0</v>
      </c>
      <c r="AX701">
        <v>0</v>
      </c>
      <c r="AY701">
        <v>0</v>
      </c>
      <c r="AZ701">
        <v>0</v>
      </c>
      <c r="BA701">
        <v>0</v>
      </c>
      <c r="BB701">
        <v>0</v>
      </c>
      <c r="BC701">
        <v>0</v>
      </c>
      <c r="BD701">
        <v>0</v>
      </c>
      <c r="BE701">
        <v>0</v>
      </c>
      <c r="BF701">
        <v>0</v>
      </c>
      <c r="BG701">
        <v>0</v>
      </c>
      <c r="BH701">
        <v>1</v>
      </c>
      <c r="BI701">
        <v>1</v>
      </c>
      <c r="BJ701">
        <v>0.2</v>
      </c>
      <c r="BK701">
        <v>1</v>
      </c>
      <c r="BL701" s="4">
        <v>50.45</v>
      </c>
      <c r="BM701" s="4">
        <v>7.57</v>
      </c>
      <c r="BN701" s="4">
        <v>58.02</v>
      </c>
      <c r="BO701" s="4">
        <v>58.02</v>
      </c>
      <c r="BQ701" t="s">
        <v>256</v>
      </c>
      <c r="BR701" t="s">
        <v>84</v>
      </c>
      <c r="BS701" s="3">
        <v>43808</v>
      </c>
      <c r="BT701" s="5">
        <v>0.41041666666666665</v>
      </c>
      <c r="BU701" t="s">
        <v>1200</v>
      </c>
      <c r="BV701" t="s">
        <v>86</v>
      </c>
      <c r="BY701">
        <v>1200</v>
      </c>
      <c r="CA701" t="s">
        <v>270</v>
      </c>
      <c r="CC701" t="s">
        <v>447</v>
      </c>
      <c r="CD701">
        <v>4113</v>
      </c>
      <c r="CE701" t="s">
        <v>88</v>
      </c>
      <c r="CF701" s="3">
        <v>43809</v>
      </c>
      <c r="CI701">
        <v>1</v>
      </c>
      <c r="CJ701">
        <v>1</v>
      </c>
      <c r="CK701">
        <v>21</v>
      </c>
      <c r="CL701" t="s">
        <v>89</v>
      </c>
    </row>
    <row r="702" spans="1:90">
      <c r="A702" t="s">
        <v>72</v>
      </c>
      <c r="B702" t="s">
        <v>73</v>
      </c>
      <c r="C702" t="s">
        <v>74</v>
      </c>
      <c r="E702" t="str">
        <f>"FES1162727177"</f>
        <v>FES1162727177</v>
      </c>
      <c r="F702" s="3">
        <v>43805</v>
      </c>
      <c r="G702">
        <v>202006</v>
      </c>
      <c r="H702" t="s">
        <v>75</v>
      </c>
      <c r="I702" t="s">
        <v>76</v>
      </c>
      <c r="J702" t="s">
        <v>77</v>
      </c>
      <c r="K702" t="s">
        <v>78</v>
      </c>
      <c r="L702" t="s">
        <v>221</v>
      </c>
      <c r="M702" t="s">
        <v>222</v>
      </c>
      <c r="N702" t="s">
        <v>845</v>
      </c>
      <c r="O702" t="s">
        <v>82</v>
      </c>
      <c r="P702" t="str">
        <f>"2170720655                    "</f>
        <v xml:space="preserve">2170720655                    </v>
      </c>
      <c r="Q702">
        <v>0</v>
      </c>
      <c r="R702">
        <v>0</v>
      </c>
      <c r="S702">
        <v>0</v>
      </c>
      <c r="T702">
        <v>0</v>
      </c>
      <c r="U702">
        <v>0</v>
      </c>
      <c r="V702">
        <v>0</v>
      </c>
      <c r="W702">
        <v>0</v>
      </c>
      <c r="X702">
        <v>0</v>
      </c>
      <c r="Y702">
        <v>0</v>
      </c>
      <c r="Z702">
        <v>0</v>
      </c>
      <c r="AA702">
        <v>0</v>
      </c>
      <c r="AB702">
        <v>0</v>
      </c>
      <c r="AC702">
        <v>0</v>
      </c>
      <c r="AD702">
        <v>0</v>
      </c>
      <c r="AE702">
        <v>0</v>
      </c>
      <c r="AF702">
        <v>0</v>
      </c>
      <c r="AG702">
        <v>0</v>
      </c>
      <c r="AH702">
        <v>0</v>
      </c>
      <c r="AI702">
        <v>0</v>
      </c>
      <c r="AJ702">
        <v>0</v>
      </c>
      <c r="AK702">
        <v>0</v>
      </c>
      <c r="AL702">
        <v>0</v>
      </c>
      <c r="AM702">
        <v>8.58</v>
      </c>
      <c r="AN702">
        <v>0</v>
      </c>
      <c r="AO702">
        <v>0</v>
      </c>
      <c r="AP702">
        <v>0</v>
      </c>
      <c r="AQ702">
        <v>0</v>
      </c>
      <c r="AR702">
        <v>0</v>
      </c>
      <c r="AS702">
        <v>0</v>
      </c>
      <c r="AT702">
        <v>0</v>
      </c>
      <c r="AU702">
        <v>0</v>
      </c>
      <c r="AV702">
        <v>0</v>
      </c>
      <c r="AW702">
        <v>0</v>
      </c>
      <c r="AX702">
        <v>0</v>
      </c>
      <c r="AY702">
        <v>0</v>
      </c>
      <c r="AZ702">
        <v>0</v>
      </c>
      <c r="BA702">
        <v>0</v>
      </c>
      <c r="BB702">
        <v>0</v>
      </c>
      <c r="BC702">
        <v>0</v>
      </c>
      <c r="BD702">
        <v>0</v>
      </c>
      <c r="BE702">
        <v>0</v>
      </c>
      <c r="BF702">
        <v>0</v>
      </c>
      <c r="BG702">
        <v>0</v>
      </c>
      <c r="BH702">
        <v>1</v>
      </c>
      <c r="BI702">
        <v>1</v>
      </c>
      <c r="BJ702">
        <v>0.2</v>
      </c>
      <c r="BK702">
        <v>1</v>
      </c>
      <c r="BL702" s="4">
        <v>50.45</v>
      </c>
      <c r="BM702" s="4">
        <v>7.57</v>
      </c>
      <c r="BN702" s="4">
        <v>58.02</v>
      </c>
      <c r="BO702" s="4">
        <v>58.02</v>
      </c>
      <c r="BQ702" t="s">
        <v>93</v>
      </c>
      <c r="BR702" t="s">
        <v>84</v>
      </c>
      <c r="BS702" s="3">
        <v>43808</v>
      </c>
      <c r="BT702" s="5">
        <v>0.34722222222222227</v>
      </c>
      <c r="BU702" t="s">
        <v>1075</v>
      </c>
      <c r="BV702" t="s">
        <v>86</v>
      </c>
      <c r="BY702">
        <v>1200</v>
      </c>
      <c r="CA702" t="s">
        <v>847</v>
      </c>
      <c r="CC702" t="s">
        <v>222</v>
      </c>
      <c r="CD702">
        <v>3201</v>
      </c>
      <c r="CE702" t="s">
        <v>88</v>
      </c>
      <c r="CF702" s="3">
        <v>43809</v>
      </c>
      <c r="CI702">
        <v>1</v>
      </c>
      <c r="CJ702">
        <v>1</v>
      </c>
      <c r="CK702">
        <v>21</v>
      </c>
      <c r="CL702" t="s">
        <v>89</v>
      </c>
    </row>
    <row r="703" spans="1:90">
      <c r="A703" t="s">
        <v>72</v>
      </c>
      <c r="B703" t="s">
        <v>73</v>
      </c>
      <c r="C703" t="s">
        <v>74</v>
      </c>
      <c r="E703" t="str">
        <f>"FES1162727127"</f>
        <v>FES1162727127</v>
      </c>
      <c r="F703" s="3">
        <v>43805</v>
      </c>
      <c r="G703">
        <v>202006</v>
      </c>
      <c r="H703" t="s">
        <v>75</v>
      </c>
      <c r="I703" t="s">
        <v>76</v>
      </c>
      <c r="J703" t="s">
        <v>77</v>
      </c>
      <c r="K703" t="s">
        <v>78</v>
      </c>
      <c r="L703" t="s">
        <v>79</v>
      </c>
      <c r="M703" t="s">
        <v>80</v>
      </c>
      <c r="N703" t="s">
        <v>97</v>
      </c>
      <c r="O703" t="s">
        <v>82</v>
      </c>
      <c r="P703" t="str">
        <f>"2170716281                    "</f>
        <v xml:space="preserve">2170716281                    </v>
      </c>
      <c r="Q703">
        <v>0</v>
      </c>
      <c r="R703">
        <v>0</v>
      </c>
      <c r="S703">
        <v>0</v>
      </c>
      <c r="T703">
        <v>0</v>
      </c>
      <c r="U703">
        <v>0</v>
      </c>
      <c r="V703">
        <v>0</v>
      </c>
      <c r="W703">
        <v>0</v>
      </c>
      <c r="X703">
        <v>0</v>
      </c>
      <c r="Y703">
        <v>0</v>
      </c>
      <c r="Z703">
        <v>0</v>
      </c>
      <c r="AA703">
        <v>0</v>
      </c>
      <c r="AB703">
        <v>0</v>
      </c>
      <c r="AC703">
        <v>0</v>
      </c>
      <c r="AD703">
        <v>0</v>
      </c>
      <c r="AE703">
        <v>0</v>
      </c>
      <c r="AF703">
        <v>0</v>
      </c>
      <c r="AG703">
        <v>0</v>
      </c>
      <c r="AH703">
        <v>0</v>
      </c>
      <c r="AI703">
        <v>0</v>
      </c>
      <c r="AJ703">
        <v>0</v>
      </c>
      <c r="AK703">
        <v>0</v>
      </c>
      <c r="AL703">
        <v>0</v>
      </c>
      <c r="AM703">
        <v>8.58</v>
      </c>
      <c r="AN703">
        <v>0</v>
      </c>
      <c r="AO703">
        <v>0</v>
      </c>
      <c r="AP703">
        <v>0</v>
      </c>
      <c r="AQ703">
        <v>0</v>
      </c>
      <c r="AR703">
        <v>0</v>
      </c>
      <c r="AS703">
        <v>0</v>
      </c>
      <c r="AT703">
        <v>0</v>
      </c>
      <c r="AU703">
        <v>0</v>
      </c>
      <c r="AV703">
        <v>0</v>
      </c>
      <c r="AW703">
        <v>0</v>
      </c>
      <c r="AX703">
        <v>0</v>
      </c>
      <c r="AY703">
        <v>0</v>
      </c>
      <c r="AZ703">
        <v>0</v>
      </c>
      <c r="BA703">
        <v>0</v>
      </c>
      <c r="BB703">
        <v>0</v>
      </c>
      <c r="BC703">
        <v>0</v>
      </c>
      <c r="BD703">
        <v>0</v>
      </c>
      <c r="BE703">
        <v>0</v>
      </c>
      <c r="BF703">
        <v>0</v>
      </c>
      <c r="BG703">
        <v>0</v>
      </c>
      <c r="BH703">
        <v>1</v>
      </c>
      <c r="BI703">
        <v>1</v>
      </c>
      <c r="BJ703">
        <v>0.2</v>
      </c>
      <c r="BK703">
        <v>1</v>
      </c>
      <c r="BL703" s="4">
        <v>50.45</v>
      </c>
      <c r="BM703" s="4">
        <v>7.57</v>
      </c>
      <c r="BN703" s="4">
        <v>58.02</v>
      </c>
      <c r="BO703" s="4">
        <v>58.02</v>
      </c>
      <c r="BQ703" t="s">
        <v>93</v>
      </c>
      <c r="BR703" t="s">
        <v>84</v>
      </c>
      <c r="BS703" s="3">
        <v>43808</v>
      </c>
      <c r="BT703" s="5">
        <v>0.34027777777777773</v>
      </c>
      <c r="BU703" t="s">
        <v>98</v>
      </c>
      <c r="BV703" t="s">
        <v>86</v>
      </c>
      <c r="BY703">
        <v>1200</v>
      </c>
      <c r="CA703" t="s">
        <v>99</v>
      </c>
      <c r="CC703" t="s">
        <v>80</v>
      </c>
      <c r="CD703">
        <v>6001</v>
      </c>
      <c r="CE703" t="s">
        <v>88</v>
      </c>
      <c r="CF703" s="3">
        <v>43809</v>
      </c>
      <c r="CI703">
        <v>1</v>
      </c>
      <c r="CJ703">
        <v>1</v>
      </c>
      <c r="CK703">
        <v>21</v>
      </c>
      <c r="CL703" t="s">
        <v>89</v>
      </c>
    </row>
    <row r="704" spans="1:90">
      <c r="A704" t="s">
        <v>72</v>
      </c>
      <c r="B704" t="s">
        <v>73</v>
      </c>
      <c r="C704" t="s">
        <v>74</v>
      </c>
      <c r="E704" t="str">
        <f>"FES1162727115"</f>
        <v>FES1162727115</v>
      </c>
      <c r="F704" s="3">
        <v>43805</v>
      </c>
      <c r="G704">
        <v>202006</v>
      </c>
      <c r="H704" t="s">
        <v>75</v>
      </c>
      <c r="I704" t="s">
        <v>76</v>
      </c>
      <c r="J704" t="s">
        <v>77</v>
      </c>
      <c r="K704" t="s">
        <v>78</v>
      </c>
      <c r="L704" t="s">
        <v>79</v>
      </c>
      <c r="M704" t="s">
        <v>80</v>
      </c>
      <c r="N704" t="s">
        <v>1101</v>
      </c>
      <c r="O704" t="s">
        <v>82</v>
      </c>
      <c r="P704" t="str">
        <f>"2170720587                    "</f>
        <v xml:space="preserve">2170720587                    </v>
      </c>
      <c r="Q704">
        <v>0</v>
      </c>
      <c r="R704">
        <v>0</v>
      </c>
      <c r="S704">
        <v>0</v>
      </c>
      <c r="T704">
        <v>0</v>
      </c>
      <c r="U704">
        <v>0</v>
      </c>
      <c r="V704">
        <v>0</v>
      </c>
      <c r="W704">
        <v>0</v>
      </c>
      <c r="X704">
        <v>0</v>
      </c>
      <c r="Y704">
        <v>0</v>
      </c>
      <c r="Z704">
        <v>0</v>
      </c>
      <c r="AA704">
        <v>0</v>
      </c>
      <c r="AB704">
        <v>0</v>
      </c>
      <c r="AC704">
        <v>0</v>
      </c>
      <c r="AD704">
        <v>0</v>
      </c>
      <c r="AE704">
        <v>0</v>
      </c>
      <c r="AF704">
        <v>0</v>
      </c>
      <c r="AG704">
        <v>0</v>
      </c>
      <c r="AH704">
        <v>0</v>
      </c>
      <c r="AI704">
        <v>0</v>
      </c>
      <c r="AJ704">
        <v>0</v>
      </c>
      <c r="AK704">
        <v>0</v>
      </c>
      <c r="AL704">
        <v>0</v>
      </c>
      <c r="AM704">
        <v>8.58</v>
      </c>
      <c r="AN704">
        <v>0</v>
      </c>
      <c r="AO704">
        <v>0</v>
      </c>
      <c r="AP704">
        <v>0</v>
      </c>
      <c r="AQ704">
        <v>0</v>
      </c>
      <c r="AR704">
        <v>0</v>
      </c>
      <c r="AS704">
        <v>0</v>
      </c>
      <c r="AT704">
        <v>0</v>
      </c>
      <c r="AU704">
        <v>0</v>
      </c>
      <c r="AV704">
        <v>0</v>
      </c>
      <c r="AW704">
        <v>0</v>
      </c>
      <c r="AX704">
        <v>0</v>
      </c>
      <c r="AY704">
        <v>0</v>
      </c>
      <c r="AZ704">
        <v>0</v>
      </c>
      <c r="BA704">
        <v>0</v>
      </c>
      <c r="BB704">
        <v>0</v>
      </c>
      <c r="BC704">
        <v>0</v>
      </c>
      <c r="BD704">
        <v>0</v>
      </c>
      <c r="BE704">
        <v>0</v>
      </c>
      <c r="BF704">
        <v>0</v>
      </c>
      <c r="BG704">
        <v>0</v>
      </c>
      <c r="BH704">
        <v>1</v>
      </c>
      <c r="BI704">
        <v>1</v>
      </c>
      <c r="BJ704">
        <v>0.2</v>
      </c>
      <c r="BK704">
        <v>1</v>
      </c>
      <c r="BL704" s="4">
        <v>50.45</v>
      </c>
      <c r="BM704" s="4">
        <v>7.57</v>
      </c>
      <c r="BN704" s="4">
        <v>58.02</v>
      </c>
      <c r="BO704" s="4">
        <v>58.02</v>
      </c>
      <c r="BQ704" t="s">
        <v>147</v>
      </c>
      <c r="BR704" t="s">
        <v>84</v>
      </c>
      <c r="BS704" s="3">
        <v>43808</v>
      </c>
      <c r="BT704" s="5">
        <v>0.38472222222222219</v>
      </c>
      <c r="BU704" t="s">
        <v>1188</v>
      </c>
      <c r="BV704" t="s">
        <v>86</v>
      </c>
      <c r="BY704">
        <v>1200</v>
      </c>
      <c r="CA704" t="s">
        <v>419</v>
      </c>
      <c r="CC704" t="s">
        <v>80</v>
      </c>
      <c r="CD704">
        <v>6001</v>
      </c>
      <c r="CE704" t="s">
        <v>88</v>
      </c>
      <c r="CF704" s="3">
        <v>43809</v>
      </c>
      <c r="CI704">
        <v>1</v>
      </c>
      <c r="CJ704">
        <v>1</v>
      </c>
      <c r="CK704">
        <v>21</v>
      </c>
      <c r="CL704" t="s">
        <v>89</v>
      </c>
    </row>
    <row r="705" spans="1:90">
      <c r="A705" t="s">
        <v>72</v>
      </c>
      <c r="B705" t="s">
        <v>73</v>
      </c>
      <c r="C705" t="s">
        <v>74</v>
      </c>
      <c r="E705" t="str">
        <f>"FES1162727114"</f>
        <v>FES1162727114</v>
      </c>
      <c r="F705" s="3">
        <v>43805</v>
      </c>
      <c r="G705">
        <v>202006</v>
      </c>
      <c r="H705" t="s">
        <v>75</v>
      </c>
      <c r="I705" t="s">
        <v>76</v>
      </c>
      <c r="J705" t="s">
        <v>77</v>
      </c>
      <c r="K705" t="s">
        <v>78</v>
      </c>
      <c r="L705" t="s">
        <v>79</v>
      </c>
      <c r="M705" t="s">
        <v>80</v>
      </c>
      <c r="N705" t="s">
        <v>1201</v>
      </c>
      <c r="O705" t="s">
        <v>82</v>
      </c>
      <c r="P705" t="str">
        <f>"2170720586                    "</f>
        <v xml:space="preserve">2170720586                    </v>
      </c>
      <c r="Q705">
        <v>0</v>
      </c>
      <c r="R705">
        <v>0</v>
      </c>
      <c r="S705">
        <v>0</v>
      </c>
      <c r="T705">
        <v>0</v>
      </c>
      <c r="U705">
        <v>0</v>
      </c>
      <c r="V705">
        <v>0</v>
      </c>
      <c r="W705">
        <v>0</v>
      </c>
      <c r="X705">
        <v>0</v>
      </c>
      <c r="Y705">
        <v>0</v>
      </c>
      <c r="Z705">
        <v>0</v>
      </c>
      <c r="AA705">
        <v>0</v>
      </c>
      <c r="AB705">
        <v>0</v>
      </c>
      <c r="AC705">
        <v>0</v>
      </c>
      <c r="AD705">
        <v>0</v>
      </c>
      <c r="AE705">
        <v>0</v>
      </c>
      <c r="AF705">
        <v>0</v>
      </c>
      <c r="AG705">
        <v>0</v>
      </c>
      <c r="AH705">
        <v>0</v>
      </c>
      <c r="AI705">
        <v>0</v>
      </c>
      <c r="AJ705">
        <v>0</v>
      </c>
      <c r="AK705">
        <v>0</v>
      </c>
      <c r="AL705">
        <v>0</v>
      </c>
      <c r="AM705">
        <v>8.58</v>
      </c>
      <c r="AN705">
        <v>0</v>
      </c>
      <c r="AO705">
        <v>0</v>
      </c>
      <c r="AP705">
        <v>0</v>
      </c>
      <c r="AQ705">
        <v>0</v>
      </c>
      <c r="AR705">
        <v>0</v>
      </c>
      <c r="AS705">
        <v>0</v>
      </c>
      <c r="AT705">
        <v>0</v>
      </c>
      <c r="AU705">
        <v>0</v>
      </c>
      <c r="AV705">
        <v>0</v>
      </c>
      <c r="AW705">
        <v>0</v>
      </c>
      <c r="AX705">
        <v>0</v>
      </c>
      <c r="AY705">
        <v>0</v>
      </c>
      <c r="AZ705">
        <v>0</v>
      </c>
      <c r="BA705">
        <v>0</v>
      </c>
      <c r="BB705">
        <v>0</v>
      </c>
      <c r="BC705">
        <v>0</v>
      </c>
      <c r="BD705">
        <v>0</v>
      </c>
      <c r="BE705">
        <v>0</v>
      </c>
      <c r="BF705">
        <v>0</v>
      </c>
      <c r="BG705">
        <v>0</v>
      </c>
      <c r="BH705">
        <v>1</v>
      </c>
      <c r="BI705">
        <v>1</v>
      </c>
      <c r="BJ705">
        <v>0.2</v>
      </c>
      <c r="BK705">
        <v>1</v>
      </c>
      <c r="BL705" s="4">
        <v>50.45</v>
      </c>
      <c r="BM705" s="4">
        <v>7.57</v>
      </c>
      <c r="BN705" s="4">
        <v>58.02</v>
      </c>
      <c r="BO705" s="4">
        <v>58.02</v>
      </c>
      <c r="BQ705" t="s">
        <v>1202</v>
      </c>
      <c r="BR705" t="s">
        <v>84</v>
      </c>
      <c r="BS705" s="3">
        <v>43808</v>
      </c>
      <c r="BT705" s="5">
        <v>0.41111111111111115</v>
      </c>
      <c r="BU705" t="s">
        <v>560</v>
      </c>
      <c r="BV705" t="s">
        <v>86</v>
      </c>
      <c r="BY705">
        <v>1200</v>
      </c>
      <c r="CA705" t="s">
        <v>185</v>
      </c>
      <c r="CC705" t="s">
        <v>80</v>
      </c>
      <c r="CD705">
        <v>6012</v>
      </c>
      <c r="CE705" t="s">
        <v>88</v>
      </c>
      <c r="CF705" s="3">
        <v>43809</v>
      </c>
      <c r="CI705">
        <v>1</v>
      </c>
      <c r="CJ705">
        <v>1</v>
      </c>
      <c r="CK705">
        <v>21</v>
      </c>
      <c r="CL705" t="s">
        <v>89</v>
      </c>
    </row>
    <row r="706" spans="1:90">
      <c r="A706" t="s">
        <v>72</v>
      </c>
      <c r="B706" t="s">
        <v>73</v>
      </c>
      <c r="C706" t="s">
        <v>74</v>
      </c>
      <c r="E706" t="str">
        <f>"FES1162726948"</f>
        <v>FES1162726948</v>
      </c>
      <c r="F706" s="3">
        <v>43805</v>
      </c>
      <c r="G706">
        <v>202006</v>
      </c>
      <c r="H706" t="s">
        <v>75</v>
      </c>
      <c r="I706" t="s">
        <v>76</v>
      </c>
      <c r="J706" t="s">
        <v>77</v>
      </c>
      <c r="K706" t="s">
        <v>78</v>
      </c>
      <c r="L706" t="s">
        <v>79</v>
      </c>
      <c r="M706" t="s">
        <v>80</v>
      </c>
      <c r="N706" t="s">
        <v>388</v>
      </c>
      <c r="O706" t="s">
        <v>82</v>
      </c>
      <c r="P706" t="str">
        <f>"2170720396                    "</f>
        <v xml:space="preserve">2170720396                    </v>
      </c>
      <c r="Q706">
        <v>0</v>
      </c>
      <c r="R706">
        <v>0</v>
      </c>
      <c r="S706">
        <v>0</v>
      </c>
      <c r="T706">
        <v>0</v>
      </c>
      <c r="U706">
        <v>0</v>
      </c>
      <c r="V706">
        <v>0</v>
      </c>
      <c r="W706">
        <v>0</v>
      </c>
      <c r="X706">
        <v>0</v>
      </c>
      <c r="Y706">
        <v>0</v>
      </c>
      <c r="Z706">
        <v>0</v>
      </c>
      <c r="AA706">
        <v>0</v>
      </c>
      <c r="AB706">
        <v>0</v>
      </c>
      <c r="AC706">
        <v>0</v>
      </c>
      <c r="AD706">
        <v>0</v>
      </c>
      <c r="AE706">
        <v>0</v>
      </c>
      <c r="AF706">
        <v>0</v>
      </c>
      <c r="AG706">
        <v>0</v>
      </c>
      <c r="AH706">
        <v>0</v>
      </c>
      <c r="AI706">
        <v>0</v>
      </c>
      <c r="AJ706">
        <v>0</v>
      </c>
      <c r="AK706">
        <v>0</v>
      </c>
      <c r="AL706">
        <v>0</v>
      </c>
      <c r="AM706">
        <v>8.58</v>
      </c>
      <c r="AN706">
        <v>0</v>
      </c>
      <c r="AO706">
        <v>0</v>
      </c>
      <c r="AP706">
        <v>0</v>
      </c>
      <c r="AQ706">
        <v>0</v>
      </c>
      <c r="AR706">
        <v>0</v>
      </c>
      <c r="AS706">
        <v>0</v>
      </c>
      <c r="AT706">
        <v>0</v>
      </c>
      <c r="AU706">
        <v>0</v>
      </c>
      <c r="AV706">
        <v>0</v>
      </c>
      <c r="AW706">
        <v>0</v>
      </c>
      <c r="AX706">
        <v>0</v>
      </c>
      <c r="AY706">
        <v>0</v>
      </c>
      <c r="AZ706">
        <v>0</v>
      </c>
      <c r="BA706">
        <v>0</v>
      </c>
      <c r="BB706">
        <v>0</v>
      </c>
      <c r="BC706">
        <v>0</v>
      </c>
      <c r="BD706">
        <v>0</v>
      </c>
      <c r="BE706">
        <v>0</v>
      </c>
      <c r="BF706">
        <v>0</v>
      </c>
      <c r="BG706">
        <v>0</v>
      </c>
      <c r="BH706">
        <v>1</v>
      </c>
      <c r="BI706">
        <v>2</v>
      </c>
      <c r="BJ706">
        <v>0.2</v>
      </c>
      <c r="BK706">
        <v>2</v>
      </c>
      <c r="BL706" s="4">
        <v>50.45</v>
      </c>
      <c r="BM706" s="4">
        <v>7.57</v>
      </c>
      <c r="BN706" s="4">
        <v>58.02</v>
      </c>
      <c r="BO706" s="4">
        <v>58.02</v>
      </c>
      <c r="BQ706" t="s">
        <v>147</v>
      </c>
      <c r="BR706" t="s">
        <v>84</v>
      </c>
      <c r="BS706" s="3">
        <v>43808</v>
      </c>
      <c r="BT706" s="5">
        <v>0.36041666666666666</v>
      </c>
      <c r="BU706" t="s">
        <v>1203</v>
      </c>
      <c r="BV706" t="s">
        <v>86</v>
      </c>
      <c r="BY706">
        <v>1200</v>
      </c>
      <c r="CA706" t="s">
        <v>1156</v>
      </c>
      <c r="CC706" t="s">
        <v>80</v>
      </c>
      <c r="CD706">
        <v>6001</v>
      </c>
      <c r="CE706" t="s">
        <v>88</v>
      </c>
      <c r="CF706" s="3">
        <v>43809</v>
      </c>
      <c r="CI706">
        <v>1</v>
      </c>
      <c r="CJ706">
        <v>1</v>
      </c>
      <c r="CK706">
        <v>21</v>
      </c>
      <c r="CL706" t="s">
        <v>89</v>
      </c>
    </row>
    <row r="707" spans="1:90">
      <c r="A707" t="s">
        <v>72</v>
      </c>
      <c r="B707" t="s">
        <v>73</v>
      </c>
      <c r="C707" t="s">
        <v>74</v>
      </c>
      <c r="E707" t="str">
        <f>"FES1162727160"</f>
        <v>FES1162727160</v>
      </c>
      <c r="F707" s="3">
        <v>43805</v>
      </c>
      <c r="G707">
        <v>202006</v>
      </c>
      <c r="H707" t="s">
        <v>75</v>
      </c>
      <c r="I707" t="s">
        <v>76</v>
      </c>
      <c r="J707" t="s">
        <v>77</v>
      </c>
      <c r="K707" t="s">
        <v>78</v>
      </c>
      <c r="L707" t="s">
        <v>186</v>
      </c>
      <c r="M707" t="s">
        <v>187</v>
      </c>
      <c r="N707" t="s">
        <v>266</v>
      </c>
      <c r="O707" t="s">
        <v>82</v>
      </c>
      <c r="P707" t="str">
        <f>"2170720561                    "</f>
        <v xml:space="preserve">2170720561                    </v>
      </c>
      <c r="Q707">
        <v>0</v>
      </c>
      <c r="R707">
        <v>0</v>
      </c>
      <c r="S707">
        <v>0</v>
      </c>
      <c r="T707">
        <v>0</v>
      </c>
      <c r="U707">
        <v>0</v>
      </c>
      <c r="V707">
        <v>0</v>
      </c>
      <c r="W707">
        <v>0</v>
      </c>
      <c r="X707">
        <v>0</v>
      </c>
      <c r="Y707">
        <v>0</v>
      </c>
      <c r="Z707">
        <v>0</v>
      </c>
      <c r="AA707">
        <v>0</v>
      </c>
      <c r="AB707">
        <v>0</v>
      </c>
      <c r="AC707">
        <v>0</v>
      </c>
      <c r="AD707">
        <v>0</v>
      </c>
      <c r="AE707">
        <v>0</v>
      </c>
      <c r="AF707">
        <v>0</v>
      </c>
      <c r="AG707">
        <v>0</v>
      </c>
      <c r="AH707">
        <v>0</v>
      </c>
      <c r="AI707">
        <v>0</v>
      </c>
      <c r="AJ707">
        <v>0</v>
      </c>
      <c r="AK707">
        <v>0</v>
      </c>
      <c r="AL707">
        <v>0</v>
      </c>
      <c r="AM707">
        <v>16.63</v>
      </c>
      <c r="AN707">
        <v>0</v>
      </c>
      <c r="AO707">
        <v>0</v>
      </c>
      <c r="AP707">
        <v>0</v>
      </c>
      <c r="AQ707">
        <v>0</v>
      </c>
      <c r="AR707">
        <v>0</v>
      </c>
      <c r="AS707">
        <v>0</v>
      </c>
      <c r="AT707">
        <v>0</v>
      </c>
      <c r="AU707">
        <v>0</v>
      </c>
      <c r="AV707">
        <v>0</v>
      </c>
      <c r="AW707">
        <v>0</v>
      </c>
      <c r="AX707">
        <v>0</v>
      </c>
      <c r="AY707">
        <v>0</v>
      </c>
      <c r="AZ707">
        <v>0</v>
      </c>
      <c r="BA707">
        <v>0</v>
      </c>
      <c r="BB707">
        <v>0</v>
      </c>
      <c r="BC707">
        <v>0</v>
      </c>
      <c r="BD707">
        <v>0</v>
      </c>
      <c r="BE707">
        <v>0</v>
      </c>
      <c r="BF707">
        <v>0</v>
      </c>
      <c r="BG707">
        <v>0</v>
      </c>
      <c r="BH707">
        <v>1</v>
      </c>
      <c r="BI707">
        <v>1</v>
      </c>
      <c r="BJ707">
        <v>0.2</v>
      </c>
      <c r="BK707">
        <v>1</v>
      </c>
      <c r="BL707" s="4">
        <v>97.75</v>
      </c>
      <c r="BM707" s="4">
        <v>14.66</v>
      </c>
      <c r="BN707" s="4">
        <v>112.41</v>
      </c>
      <c r="BO707" s="4">
        <v>112.41</v>
      </c>
      <c r="BQ707" t="s">
        <v>135</v>
      </c>
      <c r="BR707" t="s">
        <v>84</v>
      </c>
      <c r="BS707" s="3">
        <v>43809</v>
      </c>
      <c r="BT707" s="5">
        <v>0.3923611111111111</v>
      </c>
      <c r="BU707" t="s">
        <v>1204</v>
      </c>
      <c r="BV707" t="s">
        <v>86</v>
      </c>
      <c r="BY707">
        <v>1200</v>
      </c>
      <c r="CA707" t="s">
        <v>1205</v>
      </c>
      <c r="CC707" t="s">
        <v>187</v>
      </c>
      <c r="CD707">
        <v>6850</v>
      </c>
      <c r="CE707" t="s">
        <v>88</v>
      </c>
      <c r="CF707" s="3">
        <v>43810</v>
      </c>
      <c r="CI707">
        <v>3</v>
      </c>
      <c r="CJ707">
        <v>2</v>
      </c>
      <c r="CK707">
        <v>23</v>
      </c>
      <c r="CL707" t="s">
        <v>89</v>
      </c>
    </row>
    <row r="708" spans="1:90">
      <c r="A708" t="s">
        <v>72</v>
      </c>
      <c r="B708" t="s">
        <v>73</v>
      </c>
      <c r="C708" t="s">
        <v>74</v>
      </c>
      <c r="E708" t="str">
        <f>"FES1162727062"</f>
        <v>FES1162727062</v>
      </c>
      <c r="F708" s="3">
        <v>43805</v>
      </c>
      <c r="G708">
        <v>202006</v>
      </c>
      <c r="H708" t="s">
        <v>75</v>
      </c>
      <c r="I708" t="s">
        <v>76</v>
      </c>
      <c r="J708" t="s">
        <v>77</v>
      </c>
      <c r="K708" t="s">
        <v>78</v>
      </c>
      <c r="L708" t="s">
        <v>213</v>
      </c>
      <c r="M708" t="s">
        <v>214</v>
      </c>
      <c r="N708" t="s">
        <v>598</v>
      </c>
      <c r="O708" t="s">
        <v>82</v>
      </c>
      <c r="P708" t="str">
        <f>"21707150358                   "</f>
        <v xml:space="preserve">21707150358                   </v>
      </c>
      <c r="Q708">
        <v>0</v>
      </c>
      <c r="R708">
        <v>0</v>
      </c>
      <c r="S708">
        <v>0</v>
      </c>
      <c r="T708">
        <v>0</v>
      </c>
      <c r="U708">
        <v>0</v>
      </c>
      <c r="V708">
        <v>0</v>
      </c>
      <c r="W708">
        <v>0</v>
      </c>
      <c r="X708">
        <v>0</v>
      </c>
      <c r="Y708">
        <v>0</v>
      </c>
      <c r="Z708">
        <v>0</v>
      </c>
      <c r="AA708">
        <v>0</v>
      </c>
      <c r="AB708">
        <v>0</v>
      </c>
      <c r="AC708">
        <v>0</v>
      </c>
      <c r="AD708">
        <v>0</v>
      </c>
      <c r="AE708">
        <v>0</v>
      </c>
      <c r="AF708">
        <v>0</v>
      </c>
      <c r="AG708">
        <v>0</v>
      </c>
      <c r="AH708">
        <v>0</v>
      </c>
      <c r="AI708">
        <v>0</v>
      </c>
      <c r="AJ708">
        <v>0</v>
      </c>
      <c r="AK708">
        <v>0</v>
      </c>
      <c r="AL708">
        <v>0</v>
      </c>
      <c r="AM708">
        <v>8.58</v>
      </c>
      <c r="AN708">
        <v>0</v>
      </c>
      <c r="AO708">
        <v>0</v>
      </c>
      <c r="AP708">
        <v>0</v>
      </c>
      <c r="AQ708">
        <v>0</v>
      </c>
      <c r="AR708">
        <v>0</v>
      </c>
      <c r="AS708">
        <v>0</v>
      </c>
      <c r="AT708">
        <v>0</v>
      </c>
      <c r="AU708">
        <v>0</v>
      </c>
      <c r="AV708">
        <v>0</v>
      </c>
      <c r="AW708">
        <v>0</v>
      </c>
      <c r="AX708">
        <v>0</v>
      </c>
      <c r="AY708">
        <v>0</v>
      </c>
      <c r="AZ708">
        <v>0</v>
      </c>
      <c r="BA708">
        <v>0</v>
      </c>
      <c r="BB708">
        <v>0</v>
      </c>
      <c r="BC708">
        <v>0</v>
      </c>
      <c r="BD708">
        <v>0</v>
      </c>
      <c r="BE708">
        <v>0</v>
      </c>
      <c r="BF708">
        <v>0</v>
      </c>
      <c r="BG708">
        <v>0</v>
      </c>
      <c r="BH708">
        <v>1</v>
      </c>
      <c r="BI708">
        <v>2</v>
      </c>
      <c r="BJ708">
        <v>1.6</v>
      </c>
      <c r="BK708">
        <v>2</v>
      </c>
      <c r="BL708" s="4">
        <v>50.45</v>
      </c>
      <c r="BM708" s="4">
        <v>7.57</v>
      </c>
      <c r="BN708" s="4">
        <v>58.02</v>
      </c>
      <c r="BO708" s="4">
        <v>58.02</v>
      </c>
      <c r="BQ708" t="s">
        <v>147</v>
      </c>
      <c r="BR708" t="s">
        <v>84</v>
      </c>
      <c r="BS708" s="3">
        <v>43808</v>
      </c>
      <c r="BT708" s="5">
        <v>0.33333333333333331</v>
      </c>
      <c r="BU708" t="s">
        <v>1206</v>
      </c>
      <c r="BV708" t="s">
        <v>86</v>
      </c>
      <c r="BY708">
        <v>8174.38</v>
      </c>
      <c r="CA708" t="s">
        <v>302</v>
      </c>
      <c r="CC708" t="s">
        <v>214</v>
      </c>
      <c r="CD708">
        <v>6229</v>
      </c>
      <c r="CE708" t="s">
        <v>96</v>
      </c>
      <c r="CF708" s="3">
        <v>43809</v>
      </c>
      <c r="CI708">
        <v>1</v>
      </c>
      <c r="CJ708">
        <v>1</v>
      </c>
      <c r="CK708">
        <v>21</v>
      </c>
      <c r="CL708" t="s">
        <v>89</v>
      </c>
    </row>
    <row r="709" spans="1:90">
      <c r="A709" t="s">
        <v>72</v>
      </c>
      <c r="B709" t="s">
        <v>73</v>
      </c>
      <c r="C709" t="s">
        <v>74</v>
      </c>
      <c r="E709" t="str">
        <f>"FES1162727174"</f>
        <v>FES1162727174</v>
      </c>
      <c r="F709" s="3">
        <v>43805</v>
      </c>
      <c r="G709">
        <v>202006</v>
      </c>
      <c r="H709" t="s">
        <v>75</v>
      </c>
      <c r="I709" t="s">
        <v>76</v>
      </c>
      <c r="J709" t="s">
        <v>77</v>
      </c>
      <c r="K709" t="s">
        <v>78</v>
      </c>
      <c r="L709" t="s">
        <v>198</v>
      </c>
      <c r="M709" t="s">
        <v>199</v>
      </c>
      <c r="N709" t="s">
        <v>1207</v>
      </c>
      <c r="O709" t="s">
        <v>82</v>
      </c>
      <c r="P709" t="str">
        <f>"2170710648                    "</f>
        <v xml:space="preserve">2170710648                    </v>
      </c>
      <c r="Q709">
        <v>0</v>
      </c>
      <c r="R709">
        <v>0</v>
      </c>
      <c r="S709">
        <v>0</v>
      </c>
      <c r="T709">
        <v>0</v>
      </c>
      <c r="U709">
        <v>0</v>
      </c>
      <c r="V709">
        <v>0</v>
      </c>
      <c r="W709">
        <v>0</v>
      </c>
      <c r="X709">
        <v>0</v>
      </c>
      <c r="Y709">
        <v>0</v>
      </c>
      <c r="Z709">
        <v>0</v>
      </c>
      <c r="AA709">
        <v>0</v>
      </c>
      <c r="AB709">
        <v>0</v>
      </c>
      <c r="AC709">
        <v>0</v>
      </c>
      <c r="AD709">
        <v>0</v>
      </c>
      <c r="AE709">
        <v>0</v>
      </c>
      <c r="AF709">
        <v>0</v>
      </c>
      <c r="AG709">
        <v>0</v>
      </c>
      <c r="AH709">
        <v>0</v>
      </c>
      <c r="AI709">
        <v>0</v>
      </c>
      <c r="AJ709">
        <v>0</v>
      </c>
      <c r="AK709">
        <v>0</v>
      </c>
      <c r="AL709">
        <v>0</v>
      </c>
      <c r="AM709">
        <v>15.02</v>
      </c>
      <c r="AN709">
        <v>0</v>
      </c>
      <c r="AO709">
        <v>0</v>
      </c>
      <c r="AP709">
        <v>0</v>
      </c>
      <c r="AQ709">
        <v>0</v>
      </c>
      <c r="AR709">
        <v>0</v>
      </c>
      <c r="AS709">
        <v>0</v>
      </c>
      <c r="AT709">
        <v>0</v>
      </c>
      <c r="AU709">
        <v>0</v>
      </c>
      <c r="AV709">
        <v>0</v>
      </c>
      <c r="AW709">
        <v>0</v>
      </c>
      <c r="AX709">
        <v>0</v>
      </c>
      <c r="AY709">
        <v>0</v>
      </c>
      <c r="AZ709">
        <v>0</v>
      </c>
      <c r="BA709">
        <v>0</v>
      </c>
      <c r="BB709">
        <v>0</v>
      </c>
      <c r="BC709">
        <v>0</v>
      </c>
      <c r="BD709">
        <v>0</v>
      </c>
      <c r="BE709">
        <v>0</v>
      </c>
      <c r="BF709">
        <v>0</v>
      </c>
      <c r="BG709">
        <v>0</v>
      </c>
      <c r="BH709">
        <v>1</v>
      </c>
      <c r="BI709">
        <v>2.8</v>
      </c>
      <c r="BJ709">
        <v>3.1</v>
      </c>
      <c r="BK709">
        <v>3.5</v>
      </c>
      <c r="BL709" s="4">
        <v>88.27</v>
      </c>
      <c r="BM709" s="4">
        <v>13.24</v>
      </c>
      <c r="BN709" s="4">
        <v>101.51</v>
      </c>
      <c r="BO709" s="4">
        <v>101.51</v>
      </c>
      <c r="BQ709" t="s">
        <v>436</v>
      </c>
      <c r="BR709" t="s">
        <v>84</v>
      </c>
      <c r="BS709" s="3">
        <v>43808</v>
      </c>
      <c r="BT709" s="5">
        <v>0.43263888888888885</v>
      </c>
      <c r="BU709" t="s">
        <v>1208</v>
      </c>
      <c r="BV709" t="s">
        <v>86</v>
      </c>
      <c r="BY709">
        <v>15653.69</v>
      </c>
      <c r="CA709" t="s">
        <v>1209</v>
      </c>
      <c r="CC709" t="s">
        <v>199</v>
      </c>
      <c r="CD709">
        <v>4052</v>
      </c>
      <c r="CE709" t="s">
        <v>96</v>
      </c>
      <c r="CF709" s="3">
        <v>43809</v>
      </c>
      <c r="CI709">
        <v>1</v>
      </c>
      <c r="CJ709">
        <v>1</v>
      </c>
      <c r="CK709">
        <v>21</v>
      </c>
      <c r="CL709" t="s">
        <v>89</v>
      </c>
    </row>
    <row r="710" spans="1:90">
      <c r="A710" t="s">
        <v>72</v>
      </c>
      <c r="B710" t="s">
        <v>73</v>
      </c>
      <c r="C710" t="s">
        <v>74</v>
      </c>
      <c r="E710" t="str">
        <f>"FES1162727066"</f>
        <v>FES1162727066</v>
      </c>
      <c r="F710" s="3">
        <v>43805</v>
      </c>
      <c r="G710">
        <v>202006</v>
      </c>
      <c r="H710" t="s">
        <v>75</v>
      </c>
      <c r="I710" t="s">
        <v>76</v>
      </c>
      <c r="J710" t="s">
        <v>77</v>
      </c>
      <c r="K710" t="s">
        <v>78</v>
      </c>
      <c r="L710" t="s">
        <v>90</v>
      </c>
      <c r="M710" t="s">
        <v>91</v>
      </c>
      <c r="N710" t="s">
        <v>1210</v>
      </c>
      <c r="O710" t="s">
        <v>82</v>
      </c>
      <c r="P710" t="str">
        <f>"2170714985                    "</f>
        <v xml:space="preserve">2170714985                    </v>
      </c>
      <c r="Q710">
        <v>0</v>
      </c>
      <c r="R710">
        <v>0</v>
      </c>
      <c r="S710">
        <v>0</v>
      </c>
      <c r="T710">
        <v>0</v>
      </c>
      <c r="U710">
        <v>0</v>
      </c>
      <c r="V710">
        <v>0</v>
      </c>
      <c r="W710">
        <v>0</v>
      </c>
      <c r="X710">
        <v>0</v>
      </c>
      <c r="Y710">
        <v>0</v>
      </c>
      <c r="Z710">
        <v>0</v>
      </c>
      <c r="AA710">
        <v>0</v>
      </c>
      <c r="AB710">
        <v>0</v>
      </c>
      <c r="AC710">
        <v>0</v>
      </c>
      <c r="AD710">
        <v>0</v>
      </c>
      <c r="AE710">
        <v>0</v>
      </c>
      <c r="AF710">
        <v>0</v>
      </c>
      <c r="AG710">
        <v>0</v>
      </c>
      <c r="AH710">
        <v>0</v>
      </c>
      <c r="AI710">
        <v>0</v>
      </c>
      <c r="AJ710">
        <v>0</v>
      </c>
      <c r="AK710">
        <v>0</v>
      </c>
      <c r="AL710">
        <v>0</v>
      </c>
      <c r="AM710">
        <v>38.6</v>
      </c>
      <c r="AN710">
        <v>0</v>
      </c>
      <c r="AO710">
        <v>0</v>
      </c>
      <c r="AP710">
        <v>0</v>
      </c>
      <c r="AQ710">
        <v>0</v>
      </c>
      <c r="AR710">
        <v>0</v>
      </c>
      <c r="AS710">
        <v>0</v>
      </c>
      <c r="AT710">
        <v>0</v>
      </c>
      <c r="AU710">
        <v>0</v>
      </c>
      <c r="AV710">
        <v>0</v>
      </c>
      <c r="AW710">
        <v>0</v>
      </c>
      <c r="AX710">
        <v>0</v>
      </c>
      <c r="AY710">
        <v>0</v>
      </c>
      <c r="AZ710">
        <v>0</v>
      </c>
      <c r="BA710">
        <v>0</v>
      </c>
      <c r="BB710">
        <v>0</v>
      </c>
      <c r="BC710">
        <v>0</v>
      </c>
      <c r="BD710">
        <v>0</v>
      </c>
      <c r="BE710">
        <v>0</v>
      </c>
      <c r="BF710">
        <v>0</v>
      </c>
      <c r="BG710">
        <v>0</v>
      </c>
      <c r="BH710">
        <v>1</v>
      </c>
      <c r="BI710">
        <v>8.8000000000000007</v>
      </c>
      <c r="BJ710">
        <v>3.3</v>
      </c>
      <c r="BK710">
        <v>9</v>
      </c>
      <c r="BL710" s="4">
        <v>226.91</v>
      </c>
      <c r="BM710" s="4">
        <v>34.04</v>
      </c>
      <c r="BN710" s="4">
        <v>260.95</v>
      </c>
      <c r="BO710" s="4">
        <v>260.95</v>
      </c>
      <c r="BQ710" t="s">
        <v>147</v>
      </c>
      <c r="BR710" t="s">
        <v>84</v>
      </c>
      <c r="BS710" s="3">
        <v>43808</v>
      </c>
      <c r="BT710" s="5">
        <v>0.36180555555555555</v>
      </c>
      <c r="BU710" t="s">
        <v>1211</v>
      </c>
      <c r="BV710" t="s">
        <v>86</v>
      </c>
      <c r="BY710">
        <v>16372.22</v>
      </c>
      <c r="CA710" t="s">
        <v>115</v>
      </c>
      <c r="CC710" t="s">
        <v>91</v>
      </c>
      <c r="CD710">
        <v>7764</v>
      </c>
      <c r="CE710" t="s">
        <v>96</v>
      </c>
      <c r="CF710" s="3">
        <v>43809</v>
      </c>
      <c r="CI710">
        <v>1</v>
      </c>
      <c r="CJ710">
        <v>1</v>
      </c>
      <c r="CK710">
        <v>21</v>
      </c>
      <c r="CL710" t="s">
        <v>89</v>
      </c>
    </row>
    <row r="711" spans="1:90">
      <c r="A711" t="s">
        <v>72</v>
      </c>
      <c r="B711" t="s">
        <v>73</v>
      </c>
      <c r="C711" t="s">
        <v>74</v>
      </c>
      <c r="E711" t="str">
        <f>"FES1162727192"</f>
        <v>FES1162727192</v>
      </c>
      <c r="F711" s="3">
        <v>43805</v>
      </c>
      <c r="G711">
        <v>202006</v>
      </c>
      <c r="H711" t="s">
        <v>75</v>
      </c>
      <c r="I711" t="s">
        <v>76</v>
      </c>
      <c r="J711" t="s">
        <v>77</v>
      </c>
      <c r="K711" t="s">
        <v>78</v>
      </c>
      <c r="L711" t="s">
        <v>201</v>
      </c>
      <c r="M711" t="s">
        <v>202</v>
      </c>
      <c r="N711" t="s">
        <v>1212</v>
      </c>
      <c r="O711" t="s">
        <v>82</v>
      </c>
      <c r="P711" t="str">
        <f>"21707106569                   "</f>
        <v xml:space="preserve">21707106569                   </v>
      </c>
      <c r="Q711">
        <v>0</v>
      </c>
      <c r="R711">
        <v>0</v>
      </c>
      <c r="S711">
        <v>0</v>
      </c>
      <c r="T711">
        <v>0</v>
      </c>
      <c r="U711">
        <v>0</v>
      </c>
      <c r="V711">
        <v>0</v>
      </c>
      <c r="W711">
        <v>0</v>
      </c>
      <c r="X711">
        <v>0</v>
      </c>
      <c r="Y711">
        <v>0</v>
      </c>
      <c r="Z711">
        <v>0</v>
      </c>
      <c r="AA711">
        <v>0</v>
      </c>
      <c r="AB711">
        <v>0</v>
      </c>
      <c r="AC711">
        <v>0</v>
      </c>
      <c r="AD711">
        <v>0</v>
      </c>
      <c r="AE711">
        <v>0</v>
      </c>
      <c r="AF711">
        <v>0</v>
      </c>
      <c r="AG711">
        <v>0</v>
      </c>
      <c r="AH711">
        <v>0</v>
      </c>
      <c r="AI711">
        <v>0</v>
      </c>
      <c r="AJ711">
        <v>0</v>
      </c>
      <c r="AK711">
        <v>0</v>
      </c>
      <c r="AL711">
        <v>0</v>
      </c>
      <c r="AM711">
        <v>8.58</v>
      </c>
      <c r="AN711">
        <v>0</v>
      </c>
      <c r="AO711">
        <v>0</v>
      </c>
      <c r="AP711">
        <v>0</v>
      </c>
      <c r="AQ711">
        <v>0</v>
      </c>
      <c r="AR711">
        <v>0</v>
      </c>
      <c r="AS711">
        <v>0</v>
      </c>
      <c r="AT711">
        <v>0</v>
      </c>
      <c r="AU711">
        <v>0</v>
      </c>
      <c r="AV711">
        <v>0</v>
      </c>
      <c r="AW711">
        <v>0</v>
      </c>
      <c r="AX711">
        <v>0</v>
      </c>
      <c r="AY711">
        <v>0</v>
      </c>
      <c r="AZ711">
        <v>0</v>
      </c>
      <c r="BA711">
        <v>0</v>
      </c>
      <c r="BB711">
        <v>0</v>
      </c>
      <c r="BC711">
        <v>0</v>
      </c>
      <c r="BD711">
        <v>0</v>
      </c>
      <c r="BE711">
        <v>0</v>
      </c>
      <c r="BF711">
        <v>0</v>
      </c>
      <c r="BG711">
        <v>0</v>
      </c>
      <c r="BH711">
        <v>1</v>
      </c>
      <c r="BI711">
        <v>0.9</v>
      </c>
      <c r="BJ711">
        <v>0.9</v>
      </c>
      <c r="BK711">
        <v>1</v>
      </c>
      <c r="BL711" s="4">
        <v>50.45</v>
      </c>
      <c r="BM711" s="4">
        <v>7.57</v>
      </c>
      <c r="BN711" s="4">
        <v>58.02</v>
      </c>
      <c r="BO711" s="4">
        <v>58.02</v>
      </c>
      <c r="BQ711" t="s">
        <v>93</v>
      </c>
      <c r="BR711" t="s">
        <v>84</v>
      </c>
      <c r="BS711" s="3">
        <v>43808</v>
      </c>
      <c r="BT711" s="5">
        <v>0.35833333333333334</v>
      </c>
      <c r="BU711" t="s">
        <v>1213</v>
      </c>
      <c r="BV711" t="s">
        <v>86</v>
      </c>
      <c r="BY711">
        <v>4522.53</v>
      </c>
      <c r="CA711" t="s">
        <v>1214</v>
      </c>
      <c r="CC711" t="s">
        <v>202</v>
      </c>
      <c r="CD711">
        <v>3610</v>
      </c>
      <c r="CE711" t="s">
        <v>96</v>
      </c>
      <c r="CF711" s="3">
        <v>43809</v>
      </c>
      <c r="CI711">
        <v>1</v>
      </c>
      <c r="CJ711">
        <v>1</v>
      </c>
      <c r="CK711">
        <v>21</v>
      </c>
      <c r="CL711" t="s">
        <v>89</v>
      </c>
    </row>
    <row r="712" spans="1:90">
      <c r="A712" t="s">
        <v>72</v>
      </c>
      <c r="B712" t="s">
        <v>73</v>
      </c>
      <c r="C712" t="s">
        <v>74</v>
      </c>
      <c r="E712" t="str">
        <f>"FES1162727180"</f>
        <v>FES1162727180</v>
      </c>
      <c r="F712" s="3">
        <v>43805</v>
      </c>
      <c r="G712">
        <v>202006</v>
      </c>
      <c r="H712" t="s">
        <v>75</v>
      </c>
      <c r="I712" t="s">
        <v>76</v>
      </c>
      <c r="J712" t="s">
        <v>77</v>
      </c>
      <c r="K712" t="s">
        <v>78</v>
      </c>
      <c r="L712" t="s">
        <v>626</v>
      </c>
      <c r="M712" t="s">
        <v>627</v>
      </c>
      <c r="N712" t="s">
        <v>1215</v>
      </c>
      <c r="O712" t="s">
        <v>82</v>
      </c>
      <c r="P712" t="str">
        <f>"2170719345                    "</f>
        <v xml:space="preserve">2170719345                    </v>
      </c>
      <c r="Q712">
        <v>0</v>
      </c>
      <c r="R712">
        <v>0</v>
      </c>
      <c r="S712">
        <v>0</v>
      </c>
      <c r="T712">
        <v>0</v>
      </c>
      <c r="U712">
        <v>0</v>
      </c>
      <c r="V712">
        <v>0</v>
      </c>
      <c r="W712">
        <v>0</v>
      </c>
      <c r="X712">
        <v>0</v>
      </c>
      <c r="Y712">
        <v>0</v>
      </c>
      <c r="Z712">
        <v>0</v>
      </c>
      <c r="AA712">
        <v>0</v>
      </c>
      <c r="AB712">
        <v>0</v>
      </c>
      <c r="AC712">
        <v>0</v>
      </c>
      <c r="AD712">
        <v>0</v>
      </c>
      <c r="AE712">
        <v>0</v>
      </c>
      <c r="AF712">
        <v>0</v>
      </c>
      <c r="AG712">
        <v>0</v>
      </c>
      <c r="AH712">
        <v>0</v>
      </c>
      <c r="AI712">
        <v>0</v>
      </c>
      <c r="AJ712">
        <v>0</v>
      </c>
      <c r="AK712">
        <v>0</v>
      </c>
      <c r="AL712">
        <v>0</v>
      </c>
      <c r="AM712">
        <v>12.87</v>
      </c>
      <c r="AN712">
        <v>0</v>
      </c>
      <c r="AO712">
        <v>0</v>
      </c>
      <c r="AP712">
        <v>0</v>
      </c>
      <c r="AQ712">
        <v>0</v>
      </c>
      <c r="AR712">
        <v>0</v>
      </c>
      <c r="AS712">
        <v>0</v>
      </c>
      <c r="AT712">
        <v>0</v>
      </c>
      <c r="AU712">
        <v>0</v>
      </c>
      <c r="AV712">
        <v>0</v>
      </c>
      <c r="AW712">
        <v>0</v>
      </c>
      <c r="AX712">
        <v>0</v>
      </c>
      <c r="AY712">
        <v>0</v>
      </c>
      <c r="AZ712">
        <v>0</v>
      </c>
      <c r="BA712">
        <v>0</v>
      </c>
      <c r="BB712">
        <v>0</v>
      </c>
      <c r="BC712">
        <v>0</v>
      </c>
      <c r="BD712">
        <v>0</v>
      </c>
      <c r="BE712">
        <v>0</v>
      </c>
      <c r="BF712">
        <v>0</v>
      </c>
      <c r="BG712">
        <v>0</v>
      </c>
      <c r="BH712">
        <v>1</v>
      </c>
      <c r="BI712">
        <v>2.7</v>
      </c>
      <c r="BJ712">
        <v>1.3</v>
      </c>
      <c r="BK712">
        <v>3</v>
      </c>
      <c r="BL712" s="4">
        <v>75.66</v>
      </c>
      <c r="BM712" s="4">
        <v>11.35</v>
      </c>
      <c r="BN712" s="4">
        <v>87.01</v>
      </c>
      <c r="BO712" s="4">
        <v>87.01</v>
      </c>
      <c r="BQ712" t="s">
        <v>1216</v>
      </c>
      <c r="BR712" t="s">
        <v>84</v>
      </c>
      <c r="BS712" s="3">
        <v>43808</v>
      </c>
      <c r="BT712" s="5">
        <v>0.3972222222222222</v>
      </c>
      <c r="BU712" t="s">
        <v>1217</v>
      </c>
      <c r="BV712" t="s">
        <v>86</v>
      </c>
      <c r="BY712">
        <v>6413.58</v>
      </c>
      <c r="CA712" t="s">
        <v>1218</v>
      </c>
      <c r="CC712" t="s">
        <v>627</v>
      </c>
      <c r="CD712">
        <v>4120</v>
      </c>
      <c r="CE712" t="s">
        <v>96</v>
      </c>
      <c r="CF712" s="3">
        <v>43809</v>
      </c>
      <c r="CI712">
        <v>1</v>
      </c>
      <c r="CJ712">
        <v>1</v>
      </c>
      <c r="CK712">
        <v>21</v>
      </c>
      <c r="CL712" t="s">
        <v>89</v>
      </c>
    </row>
    <row r="713" spans="1:90">
      <c r="A713" t="s">
        <v>72</v>
      </c>
      <c r="B713" t="s">
        <v>73</v>
      </c>
      <c r="C713" t="s">
        <v>74</v>
      </c>
      <c r="E713" t="str">
        <f>"FES1162727167"</f>
        <v>FES1162727167</v>
      </c>
      <c r="F713" s="3">
        <v>43805</v>
      </c>
      <c r="G713">
        <v>202006</v>
      </c>
      <c r="H713" t="s">
        <v>75</v>
      </c>
      <c r="I713" t="s">
        <v>76</v>
      </c>
      <c r="J713" t="s">
        <v>77</v>
      </c>
      <c r="K713" t="s">
        <v>78</v>
      </c>
      <c r="L713" t="s">
        <v>90</v>
      </c>
      <c r="M713" t="s">
        <v>91</v>
      </c>
      <c r="N713" t="s">
        <v>537</v>
      </c>
      <c r="O713" t="s">
        <v>82</v>
      </c>
      <c r="P713" t="str">
        <f>"2170720636                    "</f>
        <v xml:space="preserve">2170720636                    </v>
      </c>
      <c r="Q713">
        <v>0</v>
      </c>
      <c r="R713">
        <v>0</v>
      </c>
      <c r="S713">
        <v>0</v>
      </c>
      <c r="T713">
        <v>0</v>
      </c>
      <c r="U713">
        <v>0</v>
      </c>
      <c r="V713">
        <v>0</v>
      </c>
      <c r="W713">
        <v>0</v>
      </c>
      <c r="X713">
        <v>0</v>
      </c>
      <c r="Y713">
        <v>0</v>
      </c>
      <c r="Z713">
        <v>0</v>
      </c>
      <c r="AA713">
        <v>0</v>
      </c>
      <c r="AB713">
        <v>0</v>
      </c>
      <c r="AC713">
        <v>0</v>
      </c>
      <c r="AD713">
        <v>0</v>
      </c>
      <c r="AE713">
        <v>0</v>
      </c>
      <c r="AF713">
        <v>0</v>
      </c>
      <c r="AG713">
        <v>0</v>
      </c>
      <c r="AH713">
        <v>0</v>
      </c>
      <c r="AI713">
        <v>0</v>
      </c>
      <c r="AJ713">
        <v>0</v>
      </c>
      <c r="AK713">
        <v>0</v>
      </c>
      <c r="AL713">
        <v>0</v>
      </c>
      <c r="AM713">
        <v>8.58</v>
      </c>
      <c r="AN713">
        <v>0</v>
      </c>
      <c r="AO713">
        <v>0</v>
      </c>
      <c r="AP713">
        <v>0</v>
      </c>
      <c r="AQ713">
        <v>0</v>
      </c>
      <c r="AR713">
        <v>0</v>
      </c>
      <c r="AS713">
        <v>0</v>
      </c>
      <c r="AT713">
        <v>0</v>
      </c>
      <c r="AU713">
        <v>0</v>
      </c>
      <c r="AV713">
        <v>0</v>
      </c>
      <c r="AW713">
        <v>0</v>
      </c>
      <c r="AX713">
        <v>0</v>
      </c>
      <c r="AY713">
        <v>0</v>
      </c>
      <c r="AZ713">
        <v>0</v>
      </c>
      <c r="BA713">
        <v>0</v>
      </c>
      <c r="BB713">
        <v>0</v>
      </c>
      <c r="BC713">
        <v>0</v>
      </c>
      <c r="BD713">
        <v>0</v>
      </c>
      <c r="BE713">
        <v>0</v>
      </c>
      <c r="BF713">
        <v>0</v>
      </c>
      <c r="BG713">
        <v>0</v>
      </c>
      <c r="BH713">
        <v>1</v>
      </c>
      <c r="BI713">
        <v>1</v>
      </c>
      <c r="BJ713">
        <v>0.2</v>
      </c>
      <c r="BK713">
        <v>1</v>
      </c>
      <c r="BL713" s="4">
        <v>50.45</v>
      </c>
      <c r="BM713" s="4">
        <v>7.57</v>
      </c>
      <c r="BN713" s="4">
        <v>58.02</v>
      </c>
      <c r="BO713" s="4">
        <v>58.02</v>
      </c>
      <c r="BQ713" t="s">
        <v>93</v>
      </c>
      <c r="BR713" t="s">
        <v>84</v>
      </c>
      <c r="BS713" s="3">
        <v>43808</v>
      </c>
      <c r="BT713" s="5">
        <v>0.3125</v>
      </c>
      <c r="BU713" t="s">
        <v>1219</v>
      </c>
      <c r="BV713" t="s">
        <v>86</v>
      </c>
      <c r="BY713">
        <v>1200</v>
      </c>
      <c r="CA713" t="s">
        <v>539</v>
      </c>
      <c r="CC713" t="s">
        <v>91</v>
      </c>
      <c r="CD713">
        <v>7530</v>
      </c>
      <c r="CE713" t="s">
        <v>88</v>
      </c>
      <c r="CF713" s="3">
        <v>43809</v>
      </c>
      <c r="CI713">
        <v>1</v>
      </c>
      <c r="CJ713">
        <v>1</v>
      </c>
      <c r="CK713">
        <v>21</v>
      </c>
      <c r="CL713" t="s">
        <v>89</v>
      </c>
    </row>
    <row r="714" spans="1:90">
      <c r="A714" t="s">
        <v>72</v>
      </c>
      <c r="B714" t="s">
        <v>73</v>
      </c>
      <c r="C714" t="s">
        <v>74</v>
      </c>
      <c r="E714" t="str">
        <f>"FES1162727164"</f>
        <v>FES1162727164</v>
      </c>
      <c r="F714" s="3">
        <v>43805</v>
      </c>
      <c r="G714">
        <v>202006</v>
      </c>
      <c r="H714" t="s">
        <v>75</v>
      </c>
      <c r="I714" t="s">
        <v>76</v>
      </c>
      <c r="J714" t="s">
        <v>77</v>
      </c>
      <c r="K714" t="s">
        <v>78</v>
      </c>
      <c r="L714" t="s">
        <v>198</v>
      </c>
      <c r="M714" t="s">
        <v>199</v>
      </c>
      <c r="N714" t="s">
        <v>297</v>
      </c>
      <c r="O714" t="s">
        <v>82</v>
      </c>
      <c r="P714" t="str">
        <f>"2170720631                    "</f>
        <v xml:space="preserve">2170720631                    </v>
      </c>
      <c r="Q714">
        <v>0</v>
      </c>
      <c r="R714">
        <v>0</v>
      </c>
      <c r="S714">
        <v>0</v>
      </c>
      <c r="T714">
        <v>0</v>
      </c>
      <c r="U714">
        <v>0</v>
      </c>
      <c r="V714">
        <v>0</v>
      </c>
      <c r="W714">
        <v>0</v>
      </c>
      <c r="X714">
        <v>0</v>
      </c>
      <c r="Y714">
        <v>0</v>
      </c>
      <c r="Z714">
        <v>0</v>
      </c>
      <c r="AA714">
        <v>0</v>
      </c>
      <c r="AB714">
        <v>0</v>
      </c>
      <c r="AC714">
        <v>0</v>
      </c>
      <c r="AD714">
        <v>0</v>
      </c>
      <c r="AE714">
        <v>0</v>
      </c>
      <c r="AF714">
        <v>0</v>
      </c>
      <c r="AG714">
        <v>0</v>
      </c>
      <c r="AH714">
        <v>0</v>
      </c>
      <c r="AI714">
        <v>0</v>
      </c>
      <c r="AJ714">
        <v>0</v>
      </c>
      <c r="AK714">
        <v>0</v>
      </c>
      <c r="AL714">
        <v>0</v>
      </c>
      <c r="AM714">
        <v>8.58</v>
      </c>
      <c r="AN714">
        <v>0</v>
      </c>
      <c r="AO714">
        <v>0</v>
      </c>
      <c r="AP714">
        <v>0</v>
      </c>
      <c r="AQ714">
        <v>0</v>
      </c>
      <c r="AR714">
        <v>0</v>
      </c>
      <c r="AS714">
        <v>0</v>
      </c>
      <c r="AT714">
        <v>0</v>
      </c>
      <c r="AU714">
        <v>0</v>
      </c>
      <c r="AV714">
        <v>0</v>
      </c>
      <c r="AW714">
        <v>0</v>
      </c>
      <c r="AX714">
        <v>0</v>
      </c>
      <c r="AY714">
        <v>0</v>
      </c>
      <c r="AZ714">
        <v>0</v>
      </c>
      <c r="BA714">
        <v>0</v>
      </c>
      <c r="BB714">
        <v>0</v>
      </c>
      <c r="BC714">
        <v>0</v>
      </c>
      <c r="BD714">
        <v>0</v>
      </c>
      <c r="BE714">
        <v>0</v>
      </c>
      <c r="BF714">
        <v>0</v>
      </c>
      <c r="BG714">
        <v>0</v>
      </c>
      <c r="BH714">
        <v>1</v>
      </c>
      <c r="BI714">
        <v>0.7</v>
      </c>
      <c r="BJ714">
        <v>0.9</v>
      </c>
      <c r="BK714">
        <v>1</v>
      </c>
      <c r="BL714" s="4">
        <v>50.45</v>
      </c>
      <c r="BM714" s="4">
        <v>7.57</v>
      </c>
      <c r="BN714" s="4">
        <v>58.02</v>
      </c>
      <c r="BO714" s="4">
        <v>58.02</v>
      </c>
      <c r="BQ714" t="s">
        <v>172</v>
      </c>
      <c r="BR714" t="s">
        <v>84</v>
      </c>
      <c r="BS714" s="3">
        <v>43808</v>
      </c>
      <c r="BT714" s="5">
        <v>0.34097222222222223</v>
      </c>
      <c r="BU714" t="s">
        <v>542</v>
      </c>
      <c r="BV714" t="s">
        <v>86</v>
      </c>
      <c r="BY714">
        <v>4263.87</v>
      </c>
      <c r="CA714" t="s">
        <v>299</v>
      </c>
      <c r="CC714" t="s">
        <v>199</v>
      </c>
      <c r="CD714">
        <v>4000</v>
      </c>
      <c r="CE714" t="s">
        <v>116</v>
      </c>
      <c r="CF714" s="3">
        <v>43809</v>
      </c>
      <c r="CI714">
        <v>1</v>
      </c>
      <c r="CJ714">
        <v>1</v>
      </c>
      <c r="CK714">
        <v>21</v>
      </c>
      <c r="CL714" t="s">
        <v>89</v>
      </c>
    </row>
    <row r="715" spans="1:90">
      <c r="A715" t="s">
        <v>72</v>
      </c>
      <c r="B715" t="s">
        <v>73</v>
      </c>
      <c r="C715" t="s">
        <v>74</v>
      </c>
      <c r="E715" t="str">
        <f>"FES1162727163"</f>
        <v>FES1162727163</v>
      </c>
      <c r="F715" s="3">
        <v>43805</v>
      </c>
      <c r="G715">
        <v>202006</v>
      </c>
      <c r="H715" t="s">
        <v>75</v>
      </c>
      <c r="I715" t="s">
        <v>76</v>
      </c>
      <c r="J715" t="s">
        <v>77</v>
      </c>
      <c r="K715" t="s">
        <v>78</v>
      </c>
      <c r="L715" t="s">
        <v>90</v>
      </c>
      <c r="M715" t="s">
        <v>91</v>
      </c>
      <c r="N715" t="s">
        <v>110</v>
      </c>
      <c r="O715" t="s">
        <v>82</v>
      </c>
      <c r="P715" t="str">
        <f>"2170720626                    "</f>
        <v xml:space="preserve">2170720626                    </v>
      </c>
      <c r="Q715">
        <v>0</v>
      </c>
      <c r="R715">
        <v>0</v>
      </c>
      <c r="S715">
        <v>0</v>
      </c>
      <c r="T715">
        <v>0</v>
      </c>
      <c r="U715">
        <v>0</v>
      </c>
      <c r="V715">
        <v>0</v>
      </c>
      <c r="W715">
        <v>0</v>
      </c>
      <c r="X715">
        <v>0</v>
      </c>
      <c r="Y715">
        <v>0</v>
      </c>
      <c r="Z715">
        <v>0</v>
      </c>
      <c r="AA715">
        <v>0</v>
      </c>
      <c r="AB715">
        <v>0</v>
      </c>
      <c r="AC715">
        <v>0</v>
      </c>
      <c r="AD715">
        <v>0</v>
      </c>
      <c r="AE715">
        <v>0</v>
      </c>
      <c r="AF715">
        <v>0</v>
      </c>
      <c r="AG715">
        <v>0</v>
      </c>
      <c r="AH715">
        <v>0</v>
      </c>
      <c r="AI715">
        <v>0</v>
      </c>
      <c r="AJ715">
        <v>0</v>
      </c>
      <c r="AK715">
        <v>0</v>
      </c>
      <c r="AL715">
        <v>0</v>
      </c>
      <c r="AM715">
        <v>8.58</v>
      </c>
      <c r="AN715">
        <v>0</v>
      </c>
      <c r="AO715">
        <v>0</v>
      </c>
      <c r="AP715">
        <v>0</v>
      </c>
      <c r="AQ715">
        <v>0</v>
      </c>
      <c r="AR715">
        <v>0</v>
      </c>
      <c r="AS715">
        <v>0</v>
      </c>
      <c r="AT715">
        <v>0</v>
      </c>
      <c r="AU715">
        <v>0</v>
      </c>
      <c r="AV715">
        <v>0</v>
      </c>
      <c r="AW715">
        <v>0</v>
      </c>
      <c r="AX715">
        <v>0</v>
      </c>
      <c r="AY715">
        <v>0</v>
      </c>
      <c r="AZ715">
        <v>0</v>
      </c>
      <c r="BA715">
        <v>0</v>
      </c>
      <c r="BB715">
        <v>0</v>
      </c>
      <c r="BC715">
        <v>0</v>
      </c>
      <c r="BD715">
        <v>0</v>
      </c>
      <c r="BE715">
        <v>0</v>
      </c>
      <c r="BF715">
        <v>0</v>
      </c>
      <c r="BG715">
        <v>0</v>
      </c>
      <c r="BH715">
        <v>1</v>
      </c>
      <c r="BI715">
        <v>1</v>
      </c>
      <c r="BJ715">
        <v>0.2</v>
      </c>
      <c r="BK715">
        <v>1</v>
      </c>
      <c r="BL715" s="4">
        <v>50.45</v>
      </c>
      <c r="BM715" s="4">
        <v>7.57</v>
      </c>
      <c r="BN715" s="4">
        <v>58.02</v>
      </c>
      <c r="BO715" s="4">
        <v>58.02</v>
      </c>
      <c r="BQ715" t="s">
        <v>147</v>
      </c>
      <c r="BR715" t="s">
        <v>84</v>
      </c>
      <c r="BS715" s="3">
        <v>43808</v>
      </c>
      <c r="BT715" s="5">
        <v>0.2986111111111111</v>
      </c>
      <c r="BU715" t="s">
        <v>1220</v>
      </c>
      <c r="BV715" t="s">
        <v>86</v>
      </c>
      <c r="BY715">
        <v>1200</v>
      </c>
      <c r="CA715" t="s">
        <v>112</v>
      </c>
      <c r="CC715" t="s">
        <v>91</v>
      </c>
      <c r="CD715">
        <v>7405</v>
      </c>
      <c r="CE715" t="s">
        <v>88</v>
      </c>
      <c r="CF715" s="3">
        <v>43809</v>
      </c>
      <c r="CI715">
        <v>1</v>
      </c>
      <c r="CJ715">
        <v>1</v>
      </c>
      <c r="CK715">
        <v>21</v>
      </c>
      <c r="CL715" t="s">
        <v>89</v>
      </c>
    </row>
    <row r="716" spans="1:90">
      <c r="A716" t="s">
        <v>72</v>
      </c>
      <c r="B716" t="s">
        <v>73</v>
      </c>
      <c r="C716" t="s">
        <v>74</v>
      </c>
      <c r="E716" t="str">
        <f>"FES1162726786"</f>
        <v>FES1162726786</v>
      </c>
      <c r="F716" s="3">
        <v>43805</v>
      </c>
      <c r="G716">
        <v>202006</v>
      </c>
      <c r="H716" t="s">
        <v>75</v>
      </c>
      <c r="I716" t="s">
        <v>76</v>
      </c>
      <c r="J716" t="s">
        <v>77</v>
      </c>
      <c r="K716" t="s">
        <v>78</v>
      </c>
      <c r="L716" t="s">
        <v>151</v>
      </c>
      <c r="M716" t="s">
        <v>102</v>
      </c>
      <c r="N716" t="s">
        <v>1221</v>
      </c>
      <c r="O716" t="s">
        <v>82</v>
      </c>
      <c r="P716" t="str">
        <f>"21707101485                   "</f>
        <v xml:space="preserve">21707101485                   </v>
      </c>
      <c r="Q716">
        <v>0</v>
      </c>
      <c r="R716">
        <v>0</v>
      </c>
      <c r="S716">
        <v>0</v>
      </c>
      <c r="T716">
        <v>0</v>
      </c>
      <c r="U716">
        <v>0</v>
      </c>
      <c r="V716">
        <v>0</v>
      </c>
      <c r="W716">
        <v>0</v>
      </c>
      <c r="X716">
        <v>0</v>
      </c>
      <c r="Y716">
        <v>0</v>
      </c>
      <c r="Z716">
        <v>0</v>
      </c>
      <c r="AA716">
        <v>0</v>
      </c>
      <c r="AB716">
        <v>0</v>
      </c>
      <c r="AC716">
        <v>0</v>
      </c>
      <c r="AD716">
        <v>0</v>
      </c>
      <c r="AE716">
        <v>0</v>
      </c>
      <c r="AF716">
        <v>0</v>
      </c>
      <c r="AG716">
        <v>0</v>
      </c>
      <c r="AH716">
        <v>0</v>
      </c>
      <c r="AI716">
        <v>0</v>
      </c>
      <c r="AJ716">
        <v>0</v>
      </c>
      <c r="AK716">
        <v>0</v>
      </c>
      <c r="AL716">
        <v>0</v>
      </c>
      <c r="AM716">
        <v>15.02</v>
      </c>
      <c r="AN716">
        <v>0</v>
      </c>
      <c r="AO716">
        <v>0</v>
      </c>
      <c r="AP716">
        <v>0</v>
      </c>
      <c r="AQ716">
        <v>0</v>
      </c>
      <c r="AR716">
        <v>0</v>
      </c>
      <c r="AS716">
        <v>0</v>
      </c>
      <c r="AT716">
        <v>0</v>
      </c>
      <c r="AU716">
        <v>0</v>
      </c>
      <c r="AV716">
        <v>0</v>
      </c>
      <c r="AW716">
        <v>0</v>
      </c>
      <c r="AX716">
        <v>0</v>
      </c>
      <c r="AY716">
        <v>0</v>
      </c>
      <c r="AZ716">
        <v>0</v>
      </c>
      <c r="BA716">
        <v>0</v>
      </c>
      <c r="BB716">
        <v>0</v>
      </c>
      <c r="BC716">
        <v>0</v>
      </c>
      <c r="BD716">
        <v>0</v>
      </c>
      <c r="BE716">
        <v>0</v>
      </c>
      <c r="BF716">
        <v>0</v>
      </c>
      <c r="BG716">
        <v>0</v>
      </c>
      <c r="BH716">
        <v>1</v>
      </c>
      <c r="BI716">
        <v>3.2</v>
      </c>
      <c r="BJ716">
        <v>3</v>
      </c>
      <c r="BK716">
        <v>3.5</v>
      </c>
      <c r="BL716" s="4">
        <v>88.27</v>
      </c>
      <c r="BM716" s="4">
        <v>13.24</v>
      </c>
      <c r="BN716" s="4">
        <v>101.51</v>
      </c>
      <c r="BO716" s="4">
        <v>101.51</v>
      </c>
      <c r="BQ716" t="s">
        <v>135</v>
      </c>
      <c r="BR716" t="s">
        <v>84</v>
      </c>
      <c r="BS716" s="3">
        <v>43808</v>
      </c>
      <c r="BT716" s="5">
        <v>0.39583333333333331</v>
      </c>
      <c r="BU716" t="s">
        <v>1222</v>
      </c>
      <c r="BV716" t="s">
        <v>86</v>
      </c>
      <c r="BY716">
        <v>14991.91</v>
      </c>
      <c r="CA716" t="s">
        <v>1223</v>
      </c>
      <c r="CC716" t="s">
        <v>102</v>
      </c>
      <c r="CD716">
        <v>186</v>
      </c>
      <c r="CE716" t="s">
        <v>96</v>
      </c>
      <c r="CF716" s="3">
        <v>43810</v>
      </c>
      <c r="CI716">
        <v>1</v>
      </c>
      <c r="CJ716">
        <v>1</v>
      </c>
      <c r="CK716">
        <v>21</v>
      </c>
      <c r="CL716" t="s">
        <v>89</v>
      </c>
    </row>
    <row r="717" spans="1:90">
      <c r="A717" t="s">
        <v>72</v>
      </c>
      <c r="B717" t="s">
        <v>73</v>
      </c>
      <c r="C717" t="s">
        <v>74</v>
      </c>
      <c r="E717" t="str">
        <f>"FES1162727134"</f>
        <v>FES1162727134</v>
      </c>
      <c r="F717" s="3">
        <v>43805</v>
      </c>
      <c r="G717">
        <v>202006</v>
      </c>
      <c r="H717" t="s">
        <v>75</v>
      </c>
      <c r="I717" t="s">
        <v>76</v>
      </c>
      <c r="J717" t="s">
        <v>77</v>
      </c>
      <c r="K717" t="s">
        <v>78</v>
      </c>
      <c r="L717" t="s">
        <v>79</v>
      </c>
      <c r="M717" t="s">
        <v>80</v>
      </c>
      <c r="N717" t="s">
        <v>1101</v>
      </c>
      <c r="O717" t="s">
        <v>82</v>
      </c>
      <c r="P717" t="str">
        <f>"2170720603                    "</f>
        <v xml:space="preserve">2170720603                    </v>
      </c>
      <c r="Q717">
        <v>0</v>
      </c>
      <c r="R717">
        <v>0</v>
      </c>
      <c r="S717">
        <v>0</v>
      </c>
      <c r="T717">
        <v>0</v>
      </c>
      <c r="U717">
        <v>0</v>
      </c>
      <c r="V717">
        <v>0</v>
      </c>
      <c r="W717">
        <v>0</v>
      </c>
      <c r="X717">
        <v>0</v>
      </c>
      <c r="Y717">
        <v>0</v>
      </c>
      <c r="Z717">
        <v>0</v>
      </c>
      <c r="AA717">
        <v>0</v>
      </c>
      <c r="AB717">
        <v>0</v>
      </c>
      <c r="AC717">
        <v>0</v>
      </c>
      <c r="AD717">
        <v>0</v>
      </c>
      <c r="AE717">
        <v>0</v>
      </c>
      <c r="AF717">
        <v>0</v>
      </c>
      <c r="AG717">
        <v>0</v>
      </c>
      <c r="AH717">
        <v>0</v>
      </c>
      <c r="AI717">
        <v>0</v>
      </c>
      <c r="AJ717">
        <v>0</v>
      </c>
      <c r="AK717">
        <v>0</v>
      </c>
      <c r="AL717">
        <v>0</v>
      </c>
      <c r="AM717">
        <v>8.58</v>
      </c>
      <c r="AN717">
        <v>0</v>
      </c>
      <c r="AO717">
        <v>0</v>
      </c>
      <c r="AP717">
        <v>0</v>
      </c>
      <c r="AQ717">
        <v>0</v>
      </c>
      <c r="AR717">
        <v>0</v>
      </c>
      <c r="AS717">
        <v>0</v>
      </c>
      <c r="AT717">
        <v>0</v>
      </c>
      <c r="AU717">
        <v>0</v>
      </c>
      <c r="AV717">
        <v>0</v>
      </c>
      <c r="AW717">
        <v>0</v>
      </c>
      <c r="AX717">
        <v>0</v>
      </c>
      <c r="AY717">
        <v>0</v>
      </c>
      <c r="AZ717">
        <v>0</v>
      </c>
      <c r="BA717">
        <v>0</v>
      </c>
      <c r="BB717">
        <v>0</v>
      </c>
      <c r="BC717">
        <v>0</v>
      </c>
      <c r="BD717">
        <v>0</v>
      </c>
      <c r="BE717">
        <v>0</v>
      </c>
      <c r="BF717">
        <v>0</v>
      </c>
      <c r="BG717">
        <v>0</v>
      </c>
      <c r="BH717">
        <v>1</v>
      </c>
      <c r="BI717">
        <v>1</v>
      </c>
      <c r="BJ717">
        <v>0.2</v>
      </c>
      <c r="BK717">
        <v>1</v>
      </c>
      <c r="BL717" s="4">
        <v>50.45</v>
      </c>
      <c r="BM717" s="4">
        <v>7.57</v>
      </c>
      <c r="BN717" s="4">
        <v>58.02</v>
      </c>
      <c r="BO717" s="4">
        <v>58.02</v>
      </c>
      <c r="BQ717" t="s">
        <v>147</v>
      </c>
      <c r="BR717" t="s">
        <v>84</v>
      </c>
      <c r="BS717" s="3">
        <v>43808</v>
      </c>
      <c r="BT717" s="5">
        <v>0.38541666666666669</v>
      </c>
      <c r="BU717" t="s">
        <v>1224</v>
      </c>
      <c r="BV717" t="s">
        <v>86</v>
      </c>
      <c r="BY717">
        <v>1200</v>
      </c>
      <c r="CA717" t="s">
        <v>1225</v>
      </c>
      <c r="CC717" t="s">
        <v>80</v>
      </c>
      <c r="CD717">
        <v>6001</v>
      </c>
      <c r="CE717" t="s">
        <v>88</v>
      </c>
      <c r="CF717" s="3">
        <v>43809</v>
      </c>
      <c r="CI717">
        <v>1</v>
      </c>
      <c r="CJ717">
        <v>1</v>
      </c>
      <c r="CK717">
        <v>21</v>
      </c>
      <c r="CL717" t="s">
        <v>89</v>
      </c>
    </row>
    <row r="718" spans="1:90">
      <c r="A718" t="s">
        <v>72</v>
      </c>
      <c r="B718" t="s">
        <v>73</v>
      </c>
      <c r="C718" t="s">
        <v>74</v>
      </c>
      <c r="E718" t="str">
        <f>"FES1162727107"</f>
        <v>FES1162727107</v>
      </c>
      <c r="F718" s="3">
        <v>43805</v>
      </c>
      <c r="G718">
        <v>202006</v>
      </c>
      <c r="H718" t="s">
        <v>75</v>
      </c>
      <c r="I718" t="s">
        <v>76</v>
      </c>
      <c r="J718" t="s">
        <v>77</v>
      </c>
      <c r="K718" t="s">
        <v>78</v>
      </c>
      <c r="L718" t="s">
        <v>90</v>
      </c>
      <c r="M718" t="s">
        <v>91</v>
      </c>
      <c r="N718" t="s">
        <v>875</v>
      </c>
      <c r="O718" t="s">
        <v>82</v>
      </c>
      <c r="P718" t="str">
        <f>"2170720573                    "</f>
        <v xml:space="preserve">2170720573                    </v>
      </c>
      <c r="Q718">
        <v>0</v>
      </c>
      <c r="R718">
        <v>0</v>
      </c>
      <c r="S718">
        <v>0</v>
      </c>
      <c r="T718">
        <v>0</v>
      </c>
      <c r="U718">
        <v>0</v>
      </c>
      <c r="V718">
        <v>0</v>
      </c>
      <c r="W718">
        <v>0</v>
      </c>
      <c r="X718">
        <v>0</v>
      </c>
      <c r="Y718">
        <v>0</v>
      </c>
      <c r="Z718">
        <v>0</v>
      </c>
      <c r="AA718">
        <v>0</v>
      </c>
      <c r="AB718">
        <v>0</v>
      </c>
      <c r="AC718">
        <v>0</v>
      </c>
      <c r="AD718">
        <v>0</v>
      </c>
      <c r="AE718">
        <v>0</v>
      </c>
      <c r="AF718">
        <v>0</v>
      </c>
      <c r="AG718">
        <v>0</v>
      </c>
      <c r="AH718">
        <v>0</v>
      </c>
      <c r="AI718">
        <v>0</v>
      </c>
      <c r="AJ718">
        <v>0</v>
      </c>
      <c r="AK718">
        <v>0</v>
      </c>
      <c r="AL718">
        <v>0</v>
      </c>
      <c r="AM718">
        <v>8.58</v>
      </c>
      <c r="AN718">
        <v>0</v>
      </c>
      <c r="AO718">
        <v>0</v>
      </c>
      <c r="AP718">
        <v>0</v>
      </c>
      <c r="AQ718">
        <v>0</v>
      </c>
      <c r="AR718">
        <v>0</v>
      </c>
      <c r="AS718">
        <v>0</v>
      </c>
      <c r="AT718">
        <v>0</v>
      </c>
      <c r="AU718">
        <v>0</v>
      </c>
      <c r="AV718">
        <v>0</v>
      </c>
      <c r="AW718">
        <v>0</v>
      </c>
      <c r="AX718">
        <v>0</v>
      </c>
      <c r="AY718">
        <v>0</v>
      </c>
      <c r="AZ718">
        <v>0</v>
      </c>
      <c r="BA718">
        <v>0</v>
      </c>
      <c r="BB718">
        <v>0</v>
      </c>
      <c r="BC718">
        <v>0</v>
      </c>
      <c r="BD718">
        <v>0</v>
      </c>
      <c r="BE718">
        <v>0</v>
      </c>
      <c r="BF718">
        <v>0</v>
      </c>
      <c r="BG718">
        <v>0</v>
      </c>
      <c r="BH718">
        <v>1</v>
      </c>
      <c r="BI718">
        <v>1</v>
      </c>
      <c r="BJ718">
        <v>0.2</v>
      </c>
      <c r="BK718">
        <v>1</v>
      </c>
      <c r="BL718" s="4">
        <v>50.45</v>
      </c>
      <c r="BM718" s="4">
        <v>7.57</v>
      </c>
      <c r="BN718" s="4">
        <v>58.02</v>
      </c>
      <c r="BO718" s="4">
        <v>58.02</v>
      </c>
      <c r="BQ718" t="s">
        <v>147</v>
      </c>
      <c r="BR718" t="s">
        <v>84</v>
      </c>
      <c r="BS718" s="3">
        <v>43808</v>
      </c>
      <c r="BT718" s="5">
        <v>0.34861111111111115</v>
      </c>
      <c r="BU718" t="s">
        <v>876</v>
      </c>
      <c r="BV718" t="s">
        <v>86</v>
      </c>
      <c r="BY718">
        <v>1200</v>
      </c>
      <c r="CA718" t="s">
        <v>809</v>
      </c>
      <c r="CC718" t="s">
        <v>91</v>
      </c>
      <c r="CD718">
        <v>7925</v>
      </c>
      <c r="CE718" t="s">
        <v>88</v>
      </c>
      <c r="CF718" s="3">
        <v>43809</v>
      </c>
      <c r="CI718">
        <v>1</v>
      </c>
      <c r="CJ718">
        <v>1</v>
      </c>
      <c r="CK718">
        <v>21</v>
      </c>
      <c r="CL718" t="s">
        <v>89</v>
      </c>
    </row>
    <row r="719" spans="1:90">
      <c r="A719" t="s">
        <v>72</v>
      </c>
      <c r="B719" t="s">
        <v>73</v>
      </c>
      <c r="C719" t="s">
        <v>74</v>
      </c>
      <c r="E719" t="str">
        <f>"FES1162727116"</f>
        <v>FES1162727116</v>
      </c>
      <c r="F719" s="3">
        <v>43805</v>
      </c>
      <c r="G719">
        <v>202006</v>
      </c>
      <c r="H719" t="s">
        <v>75</v>
      </c>
      <c r="I719" t="s">
        <v>76</v>
      </c>
      <c r="J719" t="s">
        <v>77</v>
      </c>
      <c r="K719" t="s">
        <v>78</v>
      </c>
      <c r="L719" t="s">
        <v>79</v>
      </c>
      <c r="M719" t="s">
        <v>80</v>
      </c>
      <c r="N719" t="s">
        <v>97</v>
      </c>
      <c r="O719" t="s">
        <v>82</v>
      </c>
      <c r="P719" t="str">
        <f>"2170720588                    "</f>
        <v xml:space="preserve">2170720588                    </v>
      </c>
      <c r="Q719">
        <v>0</v>
      </c>
      <c r="R719">
        <v>0</v>
      </c>
      <c r="S719">
        <v>0</v>
      </c>
      <c r="T719">
        <v>0</v>
      </c>
      <c r="U719">
        <v>0</v>
      </c>
      <c r="V719">
        <v>0</v>
      </c>
      <c r="W719">
        <v>0</v>
      </c>
      <c r="X719">
        <v>0</v>
      </c>
      <c r="Y719">
        <v>0</v>
      </c>
      <c r="Z719">
        <v>0</v>
      </c>
      <c r="AA719">
        <v>0</v>
      </c>
      <c r="AB719">
        <v>0</v>
      </c>
      <c r="AC719">
        <v>0</v>
      </c>
      <c r="AD719">
        <v>0</v>
      </c>
      <c r="AE719">
        <v>0</v>
      </c>
      <c r="AF719">
        <v>0</v>
      </c>
      <c r="AG719">
        <v>0</v>
      </c>
      <c r="AH719">
        <v>0</v>
      </c>
      <c r="AI719">
        <v>0</v>
      </c>
      <c r="AJ719">
        <v>0</v>
      </c>
      <c r="AK719">
        <v>0</v>
      </c>
      <c r="AL719">
        <v>0</v>
      </c>
      <c r="AM719">
        <v>8.58</v>
      </c>
      <c r="AN719">
        <v>0</v>
      </c>
      <c r="AO719">
        <v>0</v>
      </c>
      <c r="AP719">
        <v>0</v>
      </c>
      <c r="AQ719">
        <v>0</v>
      </c>
      <c r="AR719">
        <v>0</v>
      </c>
      <c r="AS719">
        <v>0</v>
      </c>
      <c r="AT719">
        <v>0</v>
      </c>
      <c r="AU719">
        <v>0</v>
      </c>
      <c r="AV719">
        <v>0</v>
      </c>
      <c r="AW719">
        <v>0</v>
      </c>
      <c r="AX719">
        <v>0</v>
      </c>
      <c r="AY719">
        <v>0</v>
      </c>
      <c r="AZ719">
        <v>0</v>
      </c>
      <c r="BA719">
        <v>0</v>
      </c>
      <c r="BB719">
        <v>0</v>
      </c>
      <c r="BC719">
        <v>0</v>
      </c>
      <c r="BD719">
        <v>0</v>
      </c>
      <c r="BE719">
        <v>0</v>
      </c>
      <c r="BF719">
        <v>0</v>
      </c>
      <c r="BG719">
        <v>0</v>
      </c>
      <c r="BH719">
        <v>1</v>
      </c>
      <c r="BI719">
        <v>1</v>
      </c>
      <c r="BJ719">
        <v>0.2</v>
      </c>
      <c r="BK719">
        <v>1</v>
      </c>
      <c r="BL719" s="4">
        <v>50.45</v>
      </c>
      <c r="BM719" s="4">
        <v>7.57</v>
      </c>
      <c r="BN719" s="4">
        <v>58.02</v>
      </c>
      <c r="BO719" s="4">
        <v>58.02</v>
      </c>
      <c r="BQ719" t="s">
        <v>93</v>
      </c>
      <c r="BR719" t="s">
        <v>84</v>
      </c>
      <c r="BS719" s="3">
        <v>43808</v>
      </c>
      <c r="BT719" s="5">
        <v>0.34027777777777773</v>
      </c>
      <c r="BU719" t="s">
        <v>98</v>
      </c>
      <c r="BV719" t="s">
        <v>86</v>
      </c>
      <c r="BY719">
        <v>1200</v>
      </c>
      <c r="CA719" t="s">
        <v>99</v>
      </c>
      <c r="CC719" t="s">
        <v>80</v>
      </c>
      <c r="CD719">
        <v>6001</v>
      </c>
      <c r="CE719" t="s">
        <v>88</v>
      </c>
      <c r="CF719" s="3">
        <v>43809</v>
      </c>
      <c r="CI719">
        <v>1</v>
      </c>
      <c r="CJ719">
        <v>1</v>
      </c>
      <c r="CK719">
        <v>21</v>
      </c>
      <c r="CL719" t="s">
        <v>89</v>
      </c>
    </row>
    <row r="720" spans="1:90">
      <c r="A720" t="s">
        <v>72</v>
      </c>
      <c r="B720" t="s">
        <v>73</v>
      </c>
      <c r="C720" t="s">
        <v>74</v>
      </c>
      <c r="E720" t="str">
        <f>"FES1162727188"</f>
        <v>FES1162727188</v>
      </c>
      <c r="F720" s="3">
        <v>43805</v>
      </c>
      <c r="G720">
        <v>202006</v>
      </c>
      <c r="H720" t="s">
        <v>75</v>
      </c>
      <c r="I720" t="s">
        <v>76</v>
      </c>
      <c r="J720" t="s">
        <v>77</v>
      </c>
      <c r="K720" t="s">
        <v>78</v>
      </c>
      <c r="L720" t="s">
        <v>778</v>
      </c>
      <c r="M720" t="s">
        <v>779</v>
      </c>
      <c r="N720" t="s">
        <v>1226</v>
      </c>
      <c r="O720" t="s">
        <v>82</v>
      </c>
      <c r="P720" t="str">
        <f>"2170720623                    "</f>
        <v xml:space="preserve">2170720623                    </v>
      </c>
      <c r="Q720">
        <v>0</v>
      </c>
      <c r="R720">
        <v>0</v>
      </c>
      <c r="S720">
        <v>0</v>
      </c>
      <c r="T720">
        <v>0</v>
      </c>
      <c r="U720">
        <v>0</v>
      </c>
      <c r="V720">
        <v>0</v>
      </c>
      <c r="W720">
        <v>0</v>
      </c>
      <c r="X720">
        <v>0</v>
      </c>
      <c r="Y720">
        <v>0</v>
      </c>
      <c r="Z720">
        <v>0</v>
      </c>
      <c r="AA720">
        <v>0</v>
      </c>
      <c r="AB720">
        <v>0</v>
      </c>
      <c r="AC720">
        <v>0</v>
      </c>
      <c r="AD720">
        <v>0</v>
      </c>
      <c r="AE720">
        <v>0</v>
      </c>
      <c r="AF720">
        <v>0</v>
      </c>
      <c r="AG720">
        <v>0</v>
      </c>
      <c r="AH720">
        <v>0</v>
      </c>
      <c r="AI720">
        <v>0</v>
      </c>
      <c r="AJ720">
        <v>0</v>
      </c>
      <c r="AK720">
        <v>0</v>
      </c>
      <c r="AL720">
        <v>0</v>
      </c>
      <c r="AM720">
        <v>16.63</v>
      </c>
      <c r="AN720">
        <v>0</v>
      </c>
      <c r="AO720">
        <v>0</v>
      </c>
      <c r="AP720">
        <v>0</v>
      </c>
      <c r="AQ720">
        <v>0</v>
      </c>
      <c r="AR720">
        <v>0</v>
      </c>
      <c r="AS720">
        <v>0</v>
      </c>
      <c r="AT720">
        <v>0</v>
      </c>
      <c r="AU720">
        <v>0</v>
      </c>
      <c r="AV720">
        <v>0</v>
      </c>
      <c r="AW720">
        <v>0</v>
      </c>
      <c r="AX720">
        <v>0</v>
      </c>
      <c r="AY720">
        <v>0</v>
      </c>
      <c r="AZ720">
        <v>0</v>
      </c>
      <c r="BA720">
        <v>0</v>
      </c>
      <c r="BB720">
        <v>0</v>
      </c>
      <c r="BC720">
        <v>0</v>
      </c>
      <c r="BD720">
        <v>0</v>
      </c>
      <c r="BE720">
        <v>0</v>
      </c>
      <c r="BF720">
        <v>0</v>
      </c>
      <c r="BG720">
        <v>0</v>
      </c>
      <c r="BH720">
        <v>1</v>
      </c>
      <c r="BI720">
        <v>1</v>
      </c>
      <c r="BJ720">
        <v>0.2</v>
      </c>
      <c r="BK720">
        <v>1</v>
      </c>
      <c r="BL720" s="4">
        <v>97.75</v>
      </c>
      <c r="BM720" s="4">
        <v>14.66</v>
      </c>
      <c r="BN720" s="4">
        <v>112.41</v>
      </c>
      <c r="BO720" s="4">
        <v>112.41</v>
      </c>
      <c r="BQ720" t="s">
        <v>147</v>
      </c>
      <c r="BR720" t="s">
        <v>84</v>
      </c>
      <c r="BS720" s="3">
        <v>43808</v>
      </c>
      <c r="BT720" s="5">
        <v>0.47222222222222227</v>
      </c>
      <c r="BU720" t="s">
        <v>1227</v>
      </c>
      <c r="BV720" t="s">
        <v>86</v>
      </c>
      <c r="BY720">
        <v>1200</v>
      </c>
      <c r="CA720" t="s">
        <v>1228</v>
      </c>
      <c r="CC720" t="s">
        <v>779</v>
      </c>
      <c r="CD720">
        <v>2520</v>
      </c>
      <c r="CE720" t="s">
        <v>88</v>
      </c>
      <c r="CF720" s="3">
        <v>43810</v>
      </c>
      <c r="CI720">
        <v>1</v>
      </c>
      <c r="CJ720">
        <v>1</v>
      </c>
      <c r="CK720">
        <v>23</v>
      </c>
      <c r="CL720" t="s">
        <v>89</v>
      </c>
    </row>
    <row r="721" spans="1:90">
      <c r="A721" t="s">
        <v>72</v>
      </c>
      <c r="B721" t="s">
        <v>73</v>
      </c>
      <c r="C721" t="s">
        <v>74</v>
      </c>
      <c r="E721" t="str">
        <f>"FES1162727129"</f>
        <v>FES1162727129</v>
      </c>
      <c r="F721" s="3">
        <v>43805</v>
      </c>
      <c r="G721">
        <v>202006</v>
      </c>
      <c r="H721" t="s">
        <v>75</v>
      </c>
      <c r="I721" t="s">
        <v>76</v>
      </c>
      <c r="J721" t="s">
        <v>77</v>
      </c>
      <c r="K721" t="s">
        <v>78</v>
      </c>
      <c r="L721" t="s">
        <v>667</v>
      </c>
      <c r="M721" t="s">
        <v>668</v>
      </c>
      <c r="N721" t="s">
        <v>953</v>
      </c>
      <c r="O721" t="s">
        <v>82</v>
      </c>
      <c r="P721" t="str">
        <f>"2170719422                    "</f>
        <v xml:space="preserve">2170719422                    </v>
      </c>
      <c r="Q721">
        <v>0</v>
      </c>
      <c r="R721">
        <v>0</v>
      </c>
      <c r="S721">
        <v>0</v>
      </c>
      <c r="T721">
        <v>0</v>
      </c>
      <c r="U721">
        <v>0</v>
      </c>
      <c r="V721">
        <v>0</v>
      </c>
      <c r="W721">
        <v>0</v>
      </c>
      <c r="X721">
        <v>0</v>
      </c>
      <c r="Y721">
        <v>0</v>
      </c>
      <c r="Z721">
        <v>0</v>
      </c>
      <c r="AA721">
        <v>0</v>
      </c>
      <c r="AB721">
        <v>0</v>
      </c>
      <c r="AC721">
        <v>0</v>
      </c>
      <c r="AD721">
        <v>0</v>
      </c>
      <c r="AE721">
        <v>0</v>
      </c>
      <c r="AF721">
        <v>0</v>
      </c>
      <c r="AG721">
        <v>0</v>
      </c>
      <c r="AH721">
        <v>0</v>
      </c>
      <c r="AI721">
        <v>0</v>
      </c>
      <c r="AJ721">
        <v>0</v>
      </c>
      <c r="AK721">
        <v>0</v>
      </c>
      <c r="AL721">
        <v>0</v>
      </c>
      <c r="AM721">
        <v>12.07</v>
      </c>
      <c r="AN721">
        <v>0</v>
      </c>
      <c r="AO721">
        <v>0</v>
      </c>
      <c r="AP721">
        <v>0</v>
      </c>
      <c r="AQ721">
        <v>0</v>
      </c>
      <c r="AR721">
        <v>0</v>
      </c>
      <c r="AS721">
        <v>0</v>
      </c>
      <c r="AT721">
        <v>0</v>
      </c>
      <c r="AU721">
        <v>0</v>
      </c>
      <c r="AV721">
        <v>0</v>
      </c>
      <c r="AW721">
        <v>0</v>
      </c>
      <c r="AX721">
        <v>0</v>
      </c>
      <c r="AY721">
        <v>0</v>
      </c>
      <c r="AZ721">
        <v>0</v>
      </c>
      <c r="BA721">
        <v>0</v>
      </c>
      <c r="BB721">
        <v>0</v>
      </c>
      <c r="BC721">
        <v>0</v>
      </c>
      <c r="BD721">
        <v>0</v>
      </c>
      <c r="BE721">
        <v>0</v>
      </c>
      <c r="BF721">
        <v>0</v>
      </c>
      <c r="BG721">
        <v>0</v>
      </c>
      <c r="BH721">
        <v>1</v>
      </c>
      <c r="BI721">
        <v>1</v>
      </c>
      <c r="BJ721">
        <v>0.2</v>
      </c>
      <c r="BK721">
        <v>1</v>
      </c>
      <c r="BL721" s="4">
        <v>70.95</v>
      </c>
      <c r="BM721" s="4">
        <v>10.64</v>
      </c>
      <c r="BN721" s="4">
        <v>81.59</v>
      </c>
      <c r="BO721" s="4">
        <v>81.59</v>
      </c>
      <c r="BQ721" t="s">
        <v>93</v>
      </c>
      <c r="BR721" t="s">
        <v>84</v>
      </c>
      <c r="BS721" s="3">
        <v>43808</v>
      </c>
      <c r="BT721" s="5">
        <v>0.36458333333333331</v>
      </c>
      <c r="BU721" t="s">
        <v>1229</v>
      </c>
      <c r="BV721" t="s">
        <v>86</v>
      </c>
      <c r="BY721">
        <v>1200</v>
      </c>
      <c r="CA721" t="s">
        <v>1230</v>
      </c>
      <c r="CC721" t="s">
        <v>668</v>
      </c>
      <c r="CD721">
        <v>1759</v>
      </c>
      <c r="CE721" t="s">
        <v>88</v>
      </c>
      <c r="CF721" s="3">
        <v>43809</v>
      </c>
      <c r="CI721">
        <v>1</v>
      </c>
      <c r="CJ721">
        <v>1</v>
      </c>
      <c r="CK721">
        <v>24</v>
      </c>
      <c r="CL721" t="s">
        <v>89</v>
      </c>
    </row>
    <row r="722" spans="1:90">
      <c r="A722" t="s">
        <v>72</v>
      </c>
      <c r="B722" t="s">
        <v>73</v>
      </c>
      <c r="C722" t="s">
        <v>74</v>
      </c>
      <c r="E722" t="str">
        <f>"FES1162727189"</f>
        <v>FES1162727189</v>
      </c>
      <c r="F722" s="3">
        <v>43805</v>
      </c>
      <c r="G722">
        <v>202006</v>
      </c>
      <c r="H722" t="s">
        <v>75</v>
      </c>
      <c r="I722" t="s">
        <v>76</v>
      </c>
      <c r="J722" t="s">
        <v>77</v>
      </c>
      <c r="K722" t="s">
        <v>78</v>
      </c>
      <c r="L722" t="s">
        <v>671</v>
      </c>
      <c r="M722" t="s">
        <v>672</v>
      </c>
      <c r="N722" t="s">
        <v>673</v>
      </c>
      <c r="O722" t="s">
        <v>82</v>
      </c>
      <c r="P722" t="str">
        <f>"2170720666                    "</f>
        <v xml:space="preserve">2170720666                    </v>
      </c>
      <c r="Q722">
        <v>0</v>
      </c>
      <c r="R722">
        <v>0</v>
      </c>
      <c r="S722">
        <v>0</v>
      </c>
      <c r="T722">
        <v>0</v>
      </c>
      <c r="U722">
        <v>0</v>
      </c>
      <c r="V722">
        <v>0</v>
      </c>
      <c r="W722">
        <v>0</v>
      </c>
      <c r="X722">
        <v>0</v>
      </c>
      <c r="Y722">
        <v>0</v>
      </c>
      <c r="Z722">
        <v>0</v>
      </c>
      <c r="AA722">
        <v>0</v>
      </c>
      <c r="AB722">
        <v>0</v>
      </c>
      <c r="AC722">
        <v>0</v>
      </c>
      <c r="AD722">
        <v>0</v>
      </c>
      <c r="AE722">
        <v>0</v>
      </c>
      <c r="AF722">
        <v>0</v>
      </c>
      <c r="AG722">
        <v>0</v>
      </c>
      <c r="AH722">
        <v>0</v>
      </c>
      <c r="AI722">
        <v>0</v>
      </c>
      <c r="AJ722">
        <v>0</v>
      </c>
      <c r="AK722">
        <v>0</v>
      </c>
      <c r="AL722">
        <v>0</v>
      </c>
      <c r="AM722">
        <v>16.63</v>
      </c>
      <c r="AN722">
        <v>0</v>
      </c>
      <c r="AO722">
        <v>0</v>
      </c>
      <c r="AP722">
        <v>0</v>
      </c>
      <c r="AQ722">
        <v>0</v>
      </c>
      <c r="AR722">
        <v>0</v>
      </c>
      <c r="AS722">
        <v>0</v>
      </c>
      <c r="AT722">
        <v>0</v>
      </c>
      <c r="AU722">
        <v>0</v>
      </c>
      <c r="AV722">
        <v>0</v>
      </c>
      <c r="AW722">
        <v>0</v>
      </c>
      <c r="AX722">
        <v>0</v>
      </c>
      <c r="AY722">
        <v>0</v>
      </c>
      <c r="AZ722">
        <v>0</v>
      </c>
      <c r="BA722">
        <v>0</v>
      </c>
      <c r="BB722">
        <v>0</v>
      </c>
      <c r="BC722">
        <v>0</v>
      </c>
      <c r="BD722">
        <v>0</v>
      </c>
      <c r="BE722">
        <v>0</v>
      </c>
      <c r="BF722">
        <v>0</v>
      </c>
      <c r="BG722">
        <v>0</v>
      </c>
      <c r="BH722">
        <v>1</v>
      </c>
      <c r="BI722">
        <v>1</v>
      </c>
      <c r="BJ722">
        <v>0.2</v>
      </c>
      <c r="BK722">
        <v>1</v>
      </c>
      <c r="BL722" s="4">
        <v>97.75</v>
      </c>
      <c r="BM722" s="4">
        <v>14.66</v>
      </c>
      <c r="BN722" s="4">
        <v>112.41</v>
      </c>
      <c r="BO722" s="4">
        <v>112.41</v>
      </c>
      <c r="BQ722" t="s">
        <v>674</v>
      </c>
      <c r="BR722" t="s">
        <v>84</v>
      </c>
      <c r="BS722" s="3">
        <v>43809</v>
      </c>
      <c r="BT722" s="5">
        <v>0.34930555555555554</v>
      </c>
      <c r="BU722" t="s">
        <v>1231</v>
      </c>
      <c r="BV722" t="s">
        <v>89</v>
      </c>
      <c r="BW722" t="s">
        <v>149</v>
      </c>
      <c r="BX722" t="s">
        <v>1232</v>
      </c>
      <c r="BY722">
        <v>1200</v>
      </c>
      <c r="CA722" t="s">
        <v>1233</v>
      </c>
      <c r="CC722" t="s">
        <v>672</v>
      </c>
      <c r="CD722">
        <v>1911</v>
      </c>
      <c r="CE722" t="s">
        <v>88</v>
      </c>
      <c r="CF722" s="3">
        <v>43810</v>
      </c>
      <c r="CI722">
        <v>1</v>
      </c>
      <c r="CJ722">
        <v>2</v>
      </c>
      <c r="CK722">
        <v>23</v>
      </c>
      <c r="CL722" t="s">
        <v>89</v>
      </c>
    </row>
    <row r="723" spans="1:90">
      <c r="A723" t="s">
        <v>72</v>
      </c>
      <c r="B723" t="s">
        <v>73</v>
      </c>
      <c r="C723" t="s">
        <v>74</v>
      </c>
      <c r="E723" t="str">
        <f>"FES1162727148"</f>
        <v>FES1162727148</v>
      </c>
      <c r="F723" s="3">
        <v>43805</v>
      </c>
      <c r="G723">
        <v>202006</v>
      </c>
      <c r="H723" t="s">
        <v>75</v>
      </c>
      <c r="I723" t="s">
        <v>76</v>
      </c>
      <c r="J723" t="s">
        <v>77</v>
      </c>
      <c r="K723" t="s">
        <v>78</v>
      </c>
      <c r="L723" t="s">
        <v>75</v>
      </c>
      <c r="M723" t="s">
        <v>76</v>
      </c>
      <c r="N723" t="s">
        <v>1234</v>
      </c>
      <c r="O723" t="s">
        <v>82</v>
      </c>
      <c r="P723" t="str">
        <f>"2170720198                    "</f>
        <v xml:space="preserve">2170720198                    </v>
      </c>
      <c r="Q723">
        <v>0</v>
      </c>
      <c r="R723">
        <v>0</v>
      </c>
      <c r="S723">
        <v>0</v>
      </c>
      <c r="T723">
        <v>0</v>
      </c>
      <c r="U723">
        <v>0</v>
      </c>
      <c r="V723">
        <v>0</v>
      </c>
      <c r="W723">
        <v>0</v>
      </c>
      <c r="X723">
        <v>0</v>
      </c>
      <c r="Y723">
        <v>0</v>
      </c>
      <c r="Z723">
        <v>0</v>
      </c>
      <c r="AA723">
        <v>0</v>
      </c>
      <c r="AB723">
        <v>0</v>
      </c>
      <c r="AC723">
        <v>0</v>
      </c>
      <c r="AD723">
        <v>0</v>
      </c>
      <c r="AE723">
        <v>0</v>
      </c>
      <c r="AF723">
        <v>0</v>
      </c>
      <c r="AG723">
        <v>0</v>
      </c>
      <c r="AH723">
        <v>0</v>
      </c>
      <c r="AI723">
        <v>0</v>
      </c>
      <c r="AJ723">
        <v>0</v>
      </c>
      <c r="AK723">
        <v>0</v>
      </c>
      <c r="AL723">
        <v>0</v>
      </c>
      <c r="AM723">
        <v>6.71</v>
      </c>
      <c r="AN723">
        <v>0</v>
      </c>
      <c r="AO723">
        <v>0</v>
      </c>
      <c r="AP723">
        <v>0</v>
      </c>
      <c r="AQ723">
        <v>0</v>
      </c>
      <c r="AR723">
        <v>0</v>
      </c>
      <c r="AS723">
        <v>0</v>
      </c>
      <c r="AT723">
        <v>0</v>
      </c>
      <c r="AU723">
        <v>0</v>
      </c>
      <c r="AV723">
        <v>0</v>
      </c>
      <c r="AW723">
        <v>0</v>
      </c>
      <c r="AX723">
        <v>0</v>
      </c>
      <c r="AY723">
        <v>0</v>
      </c>
      <c r="AZ723">
        <v>0</v>
      </c>
      <c r="BA723">
        <v>0</v>
      </c>
      <c r="BB723">
        <v>0</v>
      </c>
      <c r="BC723">
        <v>0</v>
      </c>
      <c r="BD723">
        <v>0</v>
      </c>
      <c r="BE723">
        <v>0</v>
      </c>
      <c r="BF723">
        <v>0</v>
      </c>
      <c r="BG723">
        <v>0</v>
      </c>
      <c r="BH723">
        <v>1</v>
      </c>
      <c r="BI723">
        <v>1</v>
      </c>
      <c r="BJ723">
        <v>0.2</v>
      </c>
      <c r="BK723">
        <v>1</v>
      </c>
      <c r="BL723" s="4">
        <v>39.42</v>
      </c>
      <c r="BM723" s="4">
        <v>5.91</v>
      </c>
      <c r="BN723" s="4">
        <v>45.33</v>
      </c>
      <c r="BO723" s="4">
        <v>45.33</v>
      </c>
      <c r="BR723" t="s">
        <v>84</v>
      </c>
      <c r="BS723" s="3">
        <v>43811</v>
      </c>
      <c r="BT723" s="5">
        <v>0.3125</v>
      </c>
      <c r="BU723" t="s">
        <v>1235</v>
      </c>
      <c r="BV723" t="s">
        <v>89</v>
      </c>
      <c r="BW723" t="s">
        <v>506</v>
      </c>
      <c r="BX723" t="s">
        <v>229</v>
      </c>
      <c r="BY723">
        <v>1200</v>
      </c>
      <c r="CA723" t="s">
        <v>344</v>
      </c>
      <c r="CC723" t="s">
        <v>76</v>
      </c>
      <c r="CD723">
        <v>1682</v>
      </c>
      <c r="CE723" t="s">
        <v>88</v>
      </c>
      <c r="CF723" s="3">
        <v>43812</v>
      </c>
      <c r="CI723">
        <v>1</v>
      </c>
      <c r="CJ723">
        <v>4</v>
      </c>
      <c r="CK723">
        <v>22</v>
      </c>
      <c r="CL723" t="s">
        <v>89</v>
      </c>
    </row>
    <row r="724" spans="1:90">
      <c r="A724" t="s">
        <v>72</v>
      </c>
      <c r="B724" t="s">
        <v>73</v>
      </c>
      <c r="C724" t="s">
        <v>74</v>
      </c>
      <c r="E724" t="str">
        <f>"FES1162726856"</f>
        <v>FES1162726856</v>
      </c>
      <c r="F724" s="3">
        <v>43805</v>
      </c>
      <c r="G724">
        <v>202006</v>
      </c>
      <c r="H724" t="s">
        <v>75</v>
      </c>
      <c r="I724" t="s">
        <v>76</v>
      </c>
      <c r="J724" t="s">
        <v>77</v>
      </c>
      <c r="K724" t="s">
        <v>78</v>
      </c>
      <c r="L724" t="s">
        <v>79</v>
      </c>
      <c r="M724" t="s">
        <v>80</v>
      </c>
      <c r="N724" t="s">
        <v>97</v>
      </c>
      <c r="O724" t="s">
        <v>82</v>
      </c>
      <c r="P724" t="str">
        <f>"2170714067                    "</f>
        <v xml:space="preserve">2170714067                    </v>
      </c>
      <c r="Q724">
        <v>0</v>
      </c>
      <c r="R724">
        <v>0</v>
      </c>
      <c r="S724">
        <v>0</v>
      </c>
      <c r="T724">
        <v>0</v>
      </c>
      <c r="U724">
        <v>0</v>
      </c>
      <c r="V724">
        <v>0</v>
      </c>
      <c r="W724">
        <v>0</v>
      </c>
      <c r="X724">
        <v>0</v>
      </c>
      <c r="Y724">
        <v>0</v>
      </c>
      <c r="Z724">
        <v>0</v>
      </c>
      <c r="AA724">
        <v>0</v>
      </c>
      <c r="AB724">
        <v>0</v>
      </c>
      <c r="AC724">
        <v>0</v>
      </c>
      <c r="AD724">
        <v>0</v>
      </c>
      <c r="AE724">
        <v>0</v>
      </c>
      <c r="AF724">
        <v>0</v>
      </c>
      <c r="AG724">
        <v>0</v>
      </c>
      <c r="AH724">
        <v>0</v>
      </c>
      <c r="AI724">
        <v>0</v>
      </c>
      <c r="AJ724">
        <v>0</v>
      </c>
      <c r="AK724">
        <v>0</v>
      </c>
      <c r="AL724">
        <v>0</v>
      </c>
      <c r="AM724">
        <v>32.17</v>
      </c>
      <c r="AN724">
        <v>0</v>
      </c>
      <c r="AO724">
        <v>0</v>
      </c>
      <c r="AP724">
        <v>0</v>
      </c>
      <c r="AQ724">
        <v>0</v>
      </c>
      <c r="AR724">
        <v>0</v>
      </c>
      <c r="AS724">
        <v>0</v>
      </c>
      <c r="AT724">
        <v>0</v>
      </c>
      <c r="AU724">
        <v>0</v>
      </c>
      <c r="AV724">
        <v>0</v>
      </c>
      <c r="AW724">
        <v>0</v>
      </c>
      <c r="AX724">
        <v>0</v>
      </c>
      <c r="AY724">
        <v>0</v>
      </c>
      <c r="AZ724">
        <v>0</v>
      </c>
      <c r="BA724">
        <v>0</v>
      </c>
      <c r="BB724">
        <v>0</v>
      </c>
      <c r="BC724">
        <v>0</v>
      </c>
      <c r="BD724">
        <v>0</v>
      </c>
      <c r="BE724">
        <v>0</v>
      </c>
      <c r="BF724">
        <v>0</v>
      </c>
      <c r="BG724">
        <v>0</v>
      </c>
      <c r="BH724">
        <v>4</v>
      </c>
      <c r="BI724">
        <v>7.1</v>
      </c>
      <c r="BJ724">
        <v>5.7</v>
      </c>
      <c r="BK724">
        <v>7.5</v>
      </c>
      <c r="BL724" s="4">
        <v>189.1</v>
      </c>
      <c r="BM724" s="4">
        <v>28.37</v>
      </c>
      <c r="BN724" s="4">
        <v>217.47</v>
      </c>
      <c r="BO724" s="4">
        <v>217.47</v>
      </c>
      <c r="BQ724" t="s">
        <v>93</v>
      </c>
      <c r="BR724" t="s">
        <v>84</v>
      </c>
      <c r="BS724" s="3">
        <v>43808</v>
      </c>
      <c r="BT724" s="5">
        <v>0.34027777777777773</v>
      </c>
      <c r="BU724" t="s">
        <v>98</v>
      </c>
      <c r="BV724" t="s">
        <v>86</v>
      </c>
      <c r="BY724">
        <v>28678.59</v>
      </c>
      <c r="CA724" t="s">
        <v>99</v>
      </c>
      <c r="CC724" t="s">
        <v>80</v>
      </c>
      <c r="CD724">
        <v>6001</v>
      </c>
      <c r="CE724" t="s">
        <v>1236</v>
      </c>
      <c r="CF724" s="3">
        <v>43809</v>
      </c>
      <c r="CI724">
        <v>1</v>
      </c>
      <c r="CJ724">
        <v>1</v>
      </c>
      <c r="CK724">
        <v>21</v>
      </c>
      <c r="CL724" t="s">
        <v>89</v>
      </c>
    </row>
    <row r="725" spans="1:90">
      <c r="A725" t="s">
        <v>72</v>
      </c>
      <c r="B725" t="s">
        <v>73</v>
      </c>
      <c r="C725" t="s">
        <v>74</v>
      </c>
      <c r="E725" t="str">
        <f>"FES1162726976"</f>
        <v>FES1162726976</v>
      </c>
      <c r="F725" s="3">
        <v>43805</v>
      </c>
      <c r="G725">
        <v>202006</v>
      </c>
      <c r="H725" t="s">
        <v>75</v>
      </c>
      <c r="I725" t="s">
        <v>76</v>
      </c>
      <c r="J725" t="s">
        <v>77</v>
      </c>
      <c r="K725" t="s">
        <v>78</v>
      </c>
      <c r="L725" t="s">
        <v>151</v>
      </c>
      <c r="M725" t="s">
        <v>102</v>
      </c>
      <c r="N725" t="s">
        <v>103</v>
      </c>
      <c r="O725" t="s">
        <v>82</v>
      </c>
      <c r="P725" t="str">
        <f>"2170710246                    "</f>
        <v xml:space="preserve">2170710246                    </v>
      </c>
      <c r="Q725">
        <v>0</v>
      </c>
      <c r="R725">
        <v>0</v>
      </c>
      <c r="S725">
        <v>0</v>
      </c>
      <c r="T725">
        <v>0</v>
      </c>
      <c r="U725">
        <v>0</v>
      </c>
      <c r="V725">
        <v>0</v>
      </c>
      <c r="W725">
        <v>0</v>
      </c>
      <c r="X725">
        <v>0</v>
      </c>
      <c r="Y725">
        <v>0</v>
      </c>
      <c r="Z725">
        <v>0</v>
      </c>
      <c r="AA725">
        <v>0</v>
      </c>
      <c r="AB725">
        <v>0</v>
      </c>
      <c r="AC725">
        <v>0</v>
      </c>
      <c r="AD725">
        <v>0</v>
      </c>
      <c r="AE725">
        <v>0</v>
      </c>
      <c r="AF725">
        <v>0</v>
      </c>
      <c r="AG725">
        <v>0</v>
      </c>
      <c r="AH725">
        <v>0</v>
      </c>
      <c r="AI725">
        <v>0</v>
      </c>
      <c r="AJ725">
        <v>0</v>
      </c>
      <c r="AK725">
        <v>0</v>
      </c>
      <c r="AL725">
        <v>0</v>
      </c>
      <c r="AM725">
        <v>15.02</v>
      </c>
      <c r="AN725">
        <v>0</v>
      </c>
      <c r="AO725">
        <v>0</v>
      </c>
      <c r="AP725">
        <v>0</v>
      </c>
      <c r="AQ725">
        <v>0</v>
      </c>
      <c r="AR725">
        <v>0</v>
      </c>
      <c r="AS725">
        <v>0</v>
      </c>
      <c r="AT725">
        <v>0</v>
      </c>
      <c r="AU725">
        <v>0</v>
      </c>
      <c r="AV725">
        <v>0</v>
      </c>
      <c r="AW725">
        <v>0</v>
      </c>
      <c r="AX725">
        <v>0</v>
      </c>
      <c r="AY725">
        <v>0</v>
      </c>
      <c r="AZ725">
        <v>0</v>
      </c>
      <c r="BA725">
        <v>0</v>
      </c>
      <c r="BB725">
        <v>0</v>
      </c>
      <c r="BC725">
        <v>0</v>
      </c>
      <c r="BD725">
        <v>0</v>
      </c>
      <c r="BE725">
        <v>0</v>
      </c>
      <c r="BF725">
        <v>0</v>
      </c>
      <c r="BG725">
        <v>0</v>
      </c>
      <c r="BH725">
        <v>1</v>
      </c>
      <c r="BI725">
        <v>1.9</v>
      </c>
      <c r="BJ725">
        <v>3.4</v>
      </c>
      <c r="BK725">
        <v>3.5</v>
      </c>
      <c r="BL725" s="4">
        <v>88.27</v>
      </c>
      <c r="BM725" s="4">
        <v>13.24</v>
      </c>
      <c r="BN725" s="4">
        <v>101.51</v>
      </c>
      <c r="BO725" s="4">
        <v>101.51</v>
      </c>
      <c r="BQ725" t="s">
        <v>93</v>
      </c>
      <c r="BR725" t="s">
        <v>84</v>
      </c>
      <c r="BS725" s="3">
        <v>43808</v>
      </c>
      <c r="BT725" s="5">
        <v>0.39583333333333331</v>
      </c>
      <c r="BU725" t="s">
        <v>1237</v>
      </c>
      <c r="BV725" t="s">
        <v>86</v>
      </c>
      <c r="BY725">
        <v>16868.25</v>
      </c>
      <c r="CA725" t="s">
        <v>1238</v>
      </c>
      <c r="CC725" t="s">
        <v>102</v>
      </c>
      <c r="CD725">
        <v>1</v>
      </c>
      <c r="CE725" t="s">
        <v>116</v>
      </c>
      <c r="CF725" s="3">
        <v>43810</v>
      </c>
      <c r="CI725">
        <v>1</v>
      </c>
      <c r="CJ725">
        <v>1</v>
      </c>
      <c r="CK725">
        <v>21</v>
      </c>
      <c r="CL725" t="s">
        <v>89</v>
      </c>
    </row>
    <row r="726" spans="1:90">
      <c r="A726" t="s">
        <v>72</v>
      </c>
      <c r="B726" t="s">
        <v>73</v>
      </c>
      <c r="C726" t="s">
        <v>74</v>
      </c>
      <c r="E726" t="str">
        <f>"FES1162727054"</f>
        <v>FES1162727054</v>
      </c>
      <c r="F726" s="3">
        <v>43805</v>
      </c>
      <c r="G726">
        <v>202006</v>
      </c>
      <c r="H726" t="s">
        <v>75</v>
      </c>
      <c r="I726" t="s">
        <v>76</v>
      </c>
      <c r="J726" t="s">
        <v>77</v>
      </c>
      <c r="K726" t="s">
        <v>78</v>
      </c>
      <c r="L726" t="s">
        <v>75</v>
      </c>
      <c r="M726" t="s">
        <v>76</v>
      </c>
      <c r="N726" t="s">
        <v>312</v>
      </c>
      <c r="O726" t="s">
        <v>82</v>
      </c>
      <c r="P726" t="str">
        <f>"2170710529                    "</f>
        <v xml:space="preserve">2170710529                    </v>
      </c>
      <c r="Q726">
        <v>0</v>
      </c>
      <c r="R726">
        <v>0</v>
      </c>
      <c r="S726">
        <v>0</v>
      </c>
      <c r="T726">
        <v>0</v>
      </c>
      <c r="U726">
        <v>0</v>
      </c>
      <c r="V726">
        <v>0</v>
      </c>
      <c r="W726">
        <v>0</v>
      </c>
      <c r="X726">
        <v>0</v>
      </c>
      <c r="Y726">
        <v>0</v>
      </c>
      <c r="Z726">
        <v>0</v>
      </c>
      <c r="AA726">
        <v>0</v>
      </c>
      <c r="AB726">
        <v>0</v>
      </c>
      <c r="AC726">
        <v>0</v>
      </c>
      <c r="AD726">
        <v>0</v>
      </c>
      <c r="AE726">
        <v>0</v>
      </c>
      <c r="AF726">
        <v>0</v>
      </c>
      <c r="AG726">
        <v>0</v>
      </c>
      <c r="AH726">
        <v>0</v>
      </c>
      <c r="AI726">
        <v>0</v>
      </c>
      <c r="AJ726">
        <v>0</v>
      </c>
      <c r="AK726">
        <v>0</v>
      </c>
      <c r="AL726">
        <v>0</v>
      </c>
      <c r="AM726">
        <v>6.71</v>
      </c>
      <c r="AN726">
        <v>0</v>
      </c>
      <c r="AO726">
        <v>0</v>
      </c>
      <c r="AP726">
        <v>0</v>
      </c>
      <c r="AQ726">
        <v>0</v>
      </c>
      <c r="AR726">
        <v>0</v>
      </c>
      <c r="AS726">
        <v>0</v>
      </c>
      <c r="AT726">
        <v>0</v>
      </c>
      <c r="AU726">
        <v>0</v>
      </c>
      <c r="AV726">
        <v>0</v>
      </c>
      <c r="AW726">
        <v>0</v>
      </c>
      <c r="AX726">
        <v>0</v>
      </c>
      <c r="AY726">
        <v>0</v>
      </c>
      <c r="AZ726">
        <v>0</v>
      </c>
      <c r="BA726">
        <v>0</v>
      </c>
      <c r="BB726">
        <v>0</v>
      </c>
      <c r="BC726">
        <v>0</v>
      </c>
      <c r="BD726">
        <v>0</v>
      </c>
      <c r="BE726">
        <v>0</v>
      </c>
      <c r="BF726">
        <v>0</v>
      </c>
      <c r="BG726">
        <v>0</v>
      </c>
      <c r="BH726">
        <v>1</v>
      </c>
      <c r="BI726">
        <v>2</v>
      </c>
      <c r="BJ726">
        <v>1.3</v>
      </c>
      <c r="BK726">
        <v>2</v>
      </c>
      <c r="BL726" s="4">
        <v>39.42</v>
      </c>
      <c r="BM726" s="4">
        <v>5.91</v>
      </c>
      <c r="BN726" s="4">
        <v>45.33</v>
      </c>
      <c r="BO726" s="4">
        <v>45.33</v>
      </c>
      <c r="BQ726" t="s">
        <v>147</v>
      </c>
      <c r="BR726" t="s">
        <v>84</v>
      </c>
      <c r="BS726" s="3">
        <v>43808</v>
      </c>
      <c r="BT726" s="5">
        <v>0.40625</v>
      </c>
      <c r="BU726" t="s">
        <v>625</v>
      </c>
      <c r="BV726" t="s">
        <v>86</v>
      </c>
      <c r="BY726">
        <v>6727</v>
      </c>
      <c r="CC726" t="s">
        <v>76</v>
      </c>
      <c r="CD726">
        <v>1609</v>
      </c>
      <c r="CE726" t="s">
        <v>116</v>
      </c>
      <c r="CF726" s="3">
        <v>43810</v>
      </c>
      <c r="CI726">
        <v>1</v>
      </c>
      <c r="CJ726">
        <v>1</v>
      </c>
      <c r="CK726">
        <v>22</v>
      </c>
      <c r="CL726" t="s">
        <v>89</v>
      </c>
    </row>
    <row r="727" spans="1:90">
      <c r="A727" t="s">
        <v>72</v>
      </c>
      <c r="B727" t="s">
        <v>73</v>
      </c>
      <c r="C727" t="s">
        <v>74</v>
      </c>
      <c r="E727" t="str">
        <f>"FES1162727202"</f>
        <v>FES1162727202</v>
      </c>
      <c r="F727" s="3">
        <v>43805</v>
      </c>
      <c r="G727">
        <v>202006</v>
      </c>
      <c r="H727" t="s">
        <v>75</v>
      </c>
      <c r="I727" t="s">
        <v>76</v>
      </c>
      <c r="J727" t="s">
        <v>77</v>
      </c>
      <c r="K727" t="s">
        <v>78</v>
      </c>
      <c r="L727" t="s">
        <v>151</v>
      </c>
      <c r="M727" t="s">
        <v>102</v>
      </c>
      <c r="N727" t="s">
        <v>1239</v>
      </c>
      <c r="O727" t="s">
        <v>82</v>
      </c>
      <c r="P727" t="str">
        <f>"2170712094                    "</f>
        <v xml:space="preserve">2170712094                    </v>
      </c>
      <c r="Q727">
        <v>0</v>
      </c>
      <c r="R727">
        <v>0</v>
      </c>
      <c r="S727">
        <v>0</v>
      </c>
      <c r="T727">
        <v>0</v>
      </c>
      <c r="U727">
        <v>0</v>
      </c>
      <c r="V727">
        <v>0</v>
      </c>
      <c r="W727">
        <v>0</v>
      </c>
      <c r="X727">
        <v>0</v>
      </c>
      <c r="Y727">
        <v>0</v>
      </c>
      <c r="Z727">
        <v>0</v>
      </c>
      <c r="AA727">
        <v>0</v>
      </c>
      <c r="AB727">
        <v>0</v>
      </c>
      <c r="AC727">
        <v>0</v>
      </c>
      <c r="AD727">
        <v>0</v>
      </c>
      <c r="AE727">
        <v>0</v>
      </c>
      <c r="AF727">
        <v>0</v>
      </c>
      <c r="AG727">
        <v>0</v>
      </c>
      <c r="AH727">
        <v>0</v>
      </c>
      <c r="AI727">
        <v>0</v>
      </c>
      <c r="AJ727">
        <v>0</v>
      </c>
      <c r="AK727">
        <v>0</v>
      </c>
      <c r="AL727">
        <v>0</v>
      </c>
      <c r="AM727">
        <v>8.58</v>
      </c>
      <c r="AN727">
        <v>0</v>
      </c>
      <c r="AO727">
        <v>0</v>
      </c>
      <c r="AP727">
        <v>0</v>
      </c>
      <c r="AQ727">
        <v>0</v>
      </c>
      <c r="AR727">
        <v>0</v>
      </c>
      <c r="AS727">
        <v>0</v>
      </c>
      <c r="AT727">
        <v>0</v>
      </c>
      <c r="AU727">
        <v>0</v>
      </c>
      <c r="AV727">
        <v>0</v>
      </c>
      <c r="AW727">
        <v>0</v>
      </c>
      <c r="AX727">
        <v>0</v>
      </c>
      <c r="AY727">
        <v>0</v>
      </c>
      <c r="AZ727">
        <v>0</v>
      </c>
      <c r="BA727">
        <v>0</v>
      </c>
      <c r="BB727">
        <v>0</v>
      </c>
      <c r="BC727">
        <v>0</v>
      </c>
      <c r="BD727">
        <v>0</v>
      </c>
      <c r="BE727">
        <v>0</v>
      </c>
      <c r="BF727">
        <v>0</v>
      </c>
      <c r="BG727">
        <v>0</v>
      </c>
      <c r="BH727">
        <v>1</v>
      </c>
      <c r="BI727">
        <v>1.7</v>
      </c>
      <c r="BJ727">
        <v>1.1000000000000001</v>
      </c>
      <c r="BK727">
        <v>2</v>
      </c>
      <c r="BL727" s="4">
        <v>50.45</v>
      </c>
      <c r="BM727" s="4">
        <v>7.57</v>
      </c>
      <c r="BN727" s="4">
        <v>58.02</v>
      </c>
      <c r="BO727" s="4">
        <v>58.02</v>
      </c>
      <c r="BQ727" t="s">
        <v>135</v>
      </c>
      <c r="BR727" t="s">
        <v>84</v>
      </c>
      <c r="BS727" s="3">
        <v>43808</v>
      </c>
      <c r="BT727" s="5">
        <v>0.41666666666666669</v>
      </c>
      <c r="BU727" t="s">
        <v>1240</v>
      </c>
      <c r="BV727" t="s">
        <v>86</v>
      </c>
      <c r="BY727">
        <v>5273.07</v>
      </c>
      <c r="CA727" t="s">
        <v>163</v>
      </c>
      <c r="CC727" t="s">
        <v>102</v>
      </c>
      <c r="CD727">
        <v>200</v>
      </c>
      <c r="CE727" t="s">
        <v>96</v>
      </c>
      <c r="CF727" s="3">
        <v>43810</v>
      </c>
      <c r="CI727">
        <v>1</v>
      </c>
      <c r="CJ727">
        <v>1</v>
      </c>
      <c r="CK727">
        <v>21</v>
      </c>
      <c r="CL727" t="s">
        <v>89</v>
      </c>
    </row>
    <row r="728" spans="1:90">
      <c r="A728" t="s">
        <v>72</v>
      </c>
      <c r="B728" t="s">
        <v>73</v>
      </c>
      <c r="C728" t="s">
        <v>74</v>
      </c>
      <c r="E728" t="str">
        <f>"FES1162727076"</f>
        <v>FES1162727076</v>
      </c>
      <c r="F728" s="3">
        <v>43805</v>
      </c>
      <c r="G728">
        <v>202006</v>
      </c>
      <c r="H728" t="s">
        <v>75</v>
      </c>
      <c r="I728" t="s">
        <v>76</v>
      </c>
      <c r="J728" t="s">
        <v>77</v>
      </c>
      <c r="K728" t="s">
        <v>78</v>
      </c>
      <c r="L728" t="s">
        <v>138</v>
      </c>
      <c r="M728" t="s">
        <v>139</v>
      </c>
      <c r="N728" t="s">
        <v>226</v>
      </c>
      <c r="O728" t="s">
        <v>82</v>
      </c>
      <c r="P728" t="str">
        <f>"21707107807                   "</f>
        <v xml:space="preserve">21707107807                   </v>
      </c>
      <c r="Q728">
        <v>0</v>
      </c>
      <c r="R728">
        <v>0</v>
      </c>
      <c r="S728">
        <v>0</v>
      </c>
      <c r="T728">
        <v>0</v>
      </c>
      <c r="U728">
        <v>0</v>
      </c>
      <c r="V728">
        <v>0</v>
      </c>
      <c r="W728">
        <v>0</v>
      </c>
      <c r="X728">
        <v>0</v>
      </c>
      <c r="Y728">
        <v>0</v>
      </c>
      <c r="Z728">
        <v>0</v>
      </c>
      <c r="AA728">
        <v>0</v>
      </c>
      <c r="AB728">
        <v>0</v>
      </c>
      <c r="AC728">
        <v>0</v>
      </c>
      <c r="AD728">
        <v>0</v>
      </c>
      <c r="AE728">
        <v>0</v>
      </c>
      <c r="AF728">
        <v>0</v>
      </c>
      <c r="AG728">
        <v>0</v>
      </c>
      <c r="AH728">
        <v>0</v>
      </c>
      <c r="AI728">
        <v>0</v>
      </c>
      <c r="AJ728">
        <v>0</v>
      </c>
      <c r="AK728">
        <v>0</v>
      </c>
      <c r="AL728">
        <v>0</v>
      </c>
      <c r="AM728">
        <v>10.72</v>
      </c>
      <c r="AN728">
        <v>0</v>
      </c>
      <c r="AO728">
        <v>0</v>
      </c>
      <c r="AP728">
        <v>0</v>
      </c>
      <c r="AQ728">
        <v>0</v>
      </c>
      <c r="AR728">
        <v>0</v>
      </c>
      <c r="AS728">
        <v>0</v>
      </c>
      <c r="AT728">
        <v>0</v>
      </c>
      <c r="AU728">
        <v>0</v>
      </c>
      <c r="AV728">
        <v>0</v>
      </c>
      <c r="AW728">
        <v>0</v>
      </c>
      <c r="AX728">
        <v>0</v>
      </c>
      <c r="AY728">
        <v>0</v>
      </c>
      <c r="AZ728">
        <v>0</v>
      </c>
      <c r="BA728">
        <v>0</v>
      </c>
      <c r="BB728">
        <v>0</v>
      </c>
      <c r="BC728">
        <v>0</v>
      </c>
      <c r="BD728">
        <v>0</v>
      </c>
      <c r="BE728">
        <v>0</v>
      </c>
      <c r="BF728">
        <v>0</v>
      </c>
      <c r="BG728">
        <v>0</v>
      </c>
      <c r="BH728">
        <v>1</v>
      </c>
      <c r="BI728">
        <v>3.9</v>
      </c>
      <c r="BJ728">
        <v>4.5</v>
      </c>
      <c r="BK728">
        <v>4.5</v>
      </c>
      <c r="BL728" s="4">
        <v>63.03</v>
      </c>
      <c r="BM728" s="4">
        <v>9.4499999999999993</v>
      </c>
      <c r="BN728" s="4">
        <v>72.48</v>
      </c>
      <c r="BO728" s="4">
        <v>72.48</v>
      </c>
      <c r="BQ728" t="s">
        <v>135</v>
      </c>
      <c r="BR728" t="s">
        <v>84</v>
      </c>
      <c r="BS728" s="3">
        <v>43808</v>
      </c>
      <c r="BT728" s="5">
        <v>0.43263888888888885</v>
      </c>
      <c r="BU728" t="s">
        <v>1241</v>
      </c>
      <c r="BV728" t="s">
        <v>86</v>
      </c>
      <c r="BY728">
        <v>22373.21</v>
      </c>
      <c r="CA728" t="s">
        <v>230</v>
      </c>
      <c r="CC728" t="s">
        <v>139</v>
      </c>
      <c r="CD728">
        <v>1401</v>
      </c>
      <c r="CE728" t="s">
        <v>96</v>
      </c>
      <c r="CF728" s="3">
        <v>43810</v>
      </c>
      <c r="CI728">
        <v>1</v>
      </c>
      <c r="CJ728">
        <v>1</v>
      </c>
      <c r="CK728">
        <v>22</v>
      </c>
      <c r="CL728" t="s">
        <v>89</v>
      </c>
    </row>
    <row r="729" spans="1:90">
      <c r="A729" t="s">
        <v>72</v>
      </c>
      <c r="B729" t="s">
        <v>73</v>
      </c>
      <c r="C729" t="s">
        <v>74</v>
      </c>
      <c r="E729" t="str">
        <f>"009935712079"</f>
        <v>009935712079</v>
      </c>
      <c r="F729" s="3">
        <v>43805</v>
      </c>
      <c r="G729">
        <v>202006</v>
      </c>
      <c r="H729" t="s">
        <v>75</v>
      </c>
      <c r="I729" t="s">
        <v>76</v>
      </c>
      <c r="J729" t="s">
        <v>77</v>
      </c>
      <c r="K729" t="s">
        <v>78</v>
      </c>
      <c r="L729" t="s">
        <v>714</v>
      </c>
      <c r="M729" t="s">
        <v>715</v>
      </c>
      <c r="N729" t="s">
        <v>1015</v>
      </c>
      <c r="O729" t="s">
        <v>82</v>
      </c>
      <c r="P729" t="str">
        <f>"1162723927                    "</f>
        <v xml:space="preserve">1162723927                    </v>
      </c>
      <c r="Q729">
        <v>0</v>
      </c>
      <c r="R729">
        <v>0</v>
      </c>
      <c r="S729">
        <v>0</v>
      </c>
      <c r="T729">
        <v>0</v>
      </c>
      <c r="U729">
        <v>0</v>
      </c>
      <c r="V729">
        <v>0</v>
      </c>
      <c r="W729">
        <v>0</v>
      </c>
      <c r="X729">
        <v>0</v>
      </c>
      <c r="Y729">
        <v>0</v>
      </c>
      <c r="Z729">
        <v>0</v>
      </c>
      <c r="AA729">
        <v>0</v>
      </c>
      <c r="AB729">
        <v>0</v>
      </c>
      <c r="AC729">
        <v>0</v>
      </c>
      <c r="AD729">
        <v>0</v>
      </c>
      <c r="AE729">
        <v>0</v>
      </c>
      <c r="AF729">
        <v>0</v>
      </c>
      <c r="AG729">
        <v>0</v>
      </c>
      <c r="AH729">
        <v>0</v>
      </c>
      <c r="AI729">
        <v>0</v>
      </c>
      <c r="AJ729">
        <v>0</v>
      </c>
      <c r="AK729">
        <v>0</v>
      </c>
      <c r="AL729">
        <v>0</v>
      </c>
      <c r="AM729">
        <v>6.71</v>
      </c>
      <c r="AN729">
        <v>0</v>
      </c>
      <c r="AO729">
        <v>0</v>
      </c>
      <c r="AP729">
        <v>0</v>
      </c>
      <c r="AQ729">
        <v>0</v>
      </c>
      <c r="AR729">
        <v>0</v>
      </c>
      <c r="AS729">
        <v>0</v>
      </c>
      <c r="AT729">
        <v>0</v>
      </c>
      <c r="AU729">
        <v>0</v>
      </c>
      <c r="AV729">
        <v>0</v>
      </c>
      <c r="AW729">
        <v>0</v>
      </c>
      <c r="AX729">
        <v>0</v>
      </c>
      <c r="AY729">
        <v>0</v>
      </c>
      <c r="AZ729">
        <v>0</v>
      </c>
      <c r="BA729">
        <v>0</v>
      </c>
      <c r="BB729">
        <v>0</v>
      </c>
      <c r="BC729">
        <v>0</v>
      </c>
      <c r="BD729">
        <v>0</v>
      </c>
      <c r="BE729">
        <v>0</v>
      </c>
      <c r="BF729">
        <v>0</v>
      </c>
      <c r="BG729">
        <v>0</v>
      </c>
      <c r="BH729">
        <v>1</v>
      </c>
      <c r="BI729">
        <v>1</v>
      </c>
      <c r="BJ729">
        <v>0.2</v>
      </c>
      <c r="BK729">
        <v>1</v>
      </c>
      <c r="BL729" s="4">
        <v>39.42</v>
      </c>
      <c r="BM729" s="4">
        <v>5.91</v>
      </c>
      <c r="BN729" s="4">
        <v>45.33</v>
      </c>
      <c r="BO729" s="4">
        <v>45.33</v>
      </c>
      <c r="BP729" t="s">
        <v>1242</v>
      </c>
      <c r="BQ729" t="s">
        <v>1016</v>
      </c>
      <c r="BR729" t="s">
        <v>84</v>
      </c>
      <c r="BS729" s="3">
        <v>43808</v>
      </c>
      <c r="BT729" s="5">
        <v>0.4375</v>
      </c>
      <c r="BU729" t="s">
        <v>1243</v>
      </c>
      <c r="BV729" t="s">
        <v>86</v>
      </c>
      <c r="BY729">
        <v>1200</v>
      </c>
      <c r="CC729" t="s">
        <v>715</v>
      </c>
      <c r="CD729">
        <v>1559</v>
      </c>
      <c r="CE729" t="s">
        <v>88</v>
      </c>
      <c r="CI729">
        <v>1</v>
      </c>
      <c r="CJ729">
        <v>1</v>
      </c>
      <c r="CK729">
        <v>22</v>
      </c>
      <c r="CL729" t="s">
        <v>89</v>
      </c>
    </row>
    <row r="730" spans="1:90">
      <c r="A730" t="s">
        <v>72</v>
      </c>
      <c r="B730" t="s">
        <v>73</v>
      </c>
      <c r="C730" t="s">
        <v>74</v>
      </c>
      <c r="E730" t="str">
        <f>"FES1162726782"</f>
        <v>FES1162726782</v>
      </c>
      <c r="F730" s="3">
        <v>43805</v>
      </c>
      <c r="G730">
        <v>202006</v>
      </c>
      <c r="H730" t="s">
        <v>75</v>
      </c>
      <c r="I730" t="s">
        <v>76</v>
      </c>
      <c r="J730" t="s">
        <v>77</v>
      </c>
      <c r="K730" t="s">
        <v>78</v>
      </c>
      <c r="L730" t="s">
        <v>79</v>
      </c>
      <c r="M730" t="s">
        <v>80</v>
      </c>
      <c r="N730" t="s">
        <v>1244</v>
      </c>
      <c r="O730" t="s">
        <v>82</v>
      </c>
      <c r="P730" t="str">
        <f>"2170710233                    "</f>
        <v xml:space="preserve">2170710233                    </v>
      </c>
      <c r="Q730">
        <v>0</v>
      </c>
      <c r="R730">
        <v>0</v>
      </c>
      <c r="S730">
        <v>0</v>
      </c>
      <c r="T730">
        <v>0</v>
      </c>
      <c r="U730">
        <v>0</v>
      </c>
      <c r="V730">
        <v>0</v>
      </c>
      <c r="W730">
        <v>0</v>
      </c>
      <c r="X730">
        <v>0</v>
      </c>
      <c r="Y730">
        <v>0</v>
      </c>
      <c r="Z730">
        <v>0</v>
      </c>
      <c r="AA730">
        <v>0</v>
      </c>
      <c r="AB730">
        <v>0</v>
      </c>
      <c r="AC730">
        <v>0</v>
      </c>
      <c r="AD730">
        <v>0</v>
      </c>
      <c r="AE730">
        <v>0</v>
      </c>
      <c r="AF730">
        <v>0</v>
      </c>
      <c r="AG730">
        <v>0</v>
      </c>
      <c r="AH730">
        <v>0</v>
      </c>
      <c r="AI730">
        <v>0</v>
      </c>
      <c r="AJ730">
        <v>0</v>
      </c>
      <c r="AK730">
        <v>0</v>
      </c>
      <c r="AL730">
        <v>0</v>
      </c>
      <c r="AM730">
        <v>36.46</v>
      </c>
      <c r="AN730">
        <v>0</v>
      </c>
      <c r="AO730">
        <v>0</v>
      </c>
      <c r="AP730">
        <v>0</v>
      </c>
      <c r="AQ730">
        <v>0</v>
      </c>
      <c r="AR730">
        <v>0</v>
      </c>
      <c r="AS730">
        <v>0</v>
      </c>
      <c r="AT730">
        <v>0</v>
      </c>
      <c r="AU730">
        <v>0</v>
      </c>
      <c r="AV730">
        <v>0</v>
      </c>
      <c r="AW730">
        <v>0</v>
      </c>
      <c r="AX730">
        <v>0</v>
      </c>
      <c r="AY730">
        <v>0</v>
      </c>
      <c r="AZ730">
        <v>0</v>
      </c>
      <c r="BA730">
        <v>0</v>
      </c>
      <c r="BB730">
        <v>0</v>
      </c>
      <c r="BC730">
        <v>0</v>
      </c>
      <c r="BD730">
        <v>0</v>
      </c>
      <c r="BE730">
        <v>0</v>
      </c>
      <c r="BF730">
        <v>0</v>
      </c>
      <c r="BG730">
        <v>0</v>
      </c>
      <c r="BH730">
        <v>1</v>
      </c>
      <c r="BI730">
        <v>8.4</v>
      </c>
      <c r="BJ730">
        <v>3.6</v>
      </c>
      <c r="BK730">
        <v>8.5</v>
      </c>
      <c r="BL730" s="4">
        <v>214.31</v>
      </c>
      <c r="BM730" s="4">
        <v>32.15</v>
      </c>
      <c r="BN730" s="4">
        <v>246.46</v>
      </c>
      <c r="BO730" s="4">
        <v>246.46</v>
      </c>
      <c r="BQ730" t="s">
        <v>93</v>
      </c>
      <c r="BR730" t="s">
        <v>84</v>
      </c>
      <c r="BS730" s="3">
        <v>43808</v>
      </c>
      <c r="BT730" s="5">
        <v>0.32847222222222222</v>
      </c>
      <c r="BU730" t="s">
        <v>1245</v>
      </c>
      <c r="BV730" t="s">
        <v>86</v>
      </c>
      <c r="BY730">
        <v>17928.68</v>
      </c>
      <c r="CA730" t="s">
        <v>185</v>
      </c>
      <c r="CC730" t="s">
        <v>80</v>
      </c>
      <c r="CD730">
        <v>6001</v>
      </c>
      <c r="CE730" t="s">
        <v>96</v>
      </c>
      <c r="CF730" s="3">
        <v>43809</v>
      </c>
      <c r="CI730">
        <v>1</v>
      </c>
      <c r="CJ730">
        <v>1</v>
      </c>
      <c r="CK730">
        <v>21</v>
      </c>
      <c r="CL730" t="s">
        <v>89</v>
      </c>
    </row>
    <row r="731" spans="1:90">
      <c r="A731" t="s">
        <v>72</v>
      </c>
      <c r="B731" t="s">
        <v>73</v>
      </c>
      <c r="C731" t="s">
        <v>74</v>
      </c>
      <c r="E731" t="str">
        <f>"FES1162726654"</f>
        <v>FES1162726654</v>
      </c>
      <c r="F731" s="3">
        <v>43805</v>
      </c>
      <c r="G731">
        <v>202006</v>
      </c>
      <c r="H731" t="s">
        <v>75</v>
      </c>
      <c r="I731" t="s">
        <v>76</v>
      </c>
      <c r="J731" t="s">
        <v>77</v>
      </c>
      <c r="K731" t="s">
        <v>78</v>
      </c>
      <c r="L731" t="s">
        <v>79</v>
      </c>
      <c r="M731" t="s">
        <v>80</v>
      </c>
      <c r="N731" t="s">
        <v>97</v>
      </c>
      <c r="O731" t="s">
        <v>82</v>
      </c>
      <c r="P731" t="str">
        <f>"2170715530                    "</f>
        <v xml:space="preserve">2170715530                    </v>
      </c>
      <c r="Q731">
        <v>0</v>
      </c>
      <c r="R731">
        <v>0</v>
      </c>
      <c r="S731">
        <v>0</v>
      </c>
      <c r="T731">
        <v>0</v>
      </c>
      <c r="U731">
        <v>0</v>
      </c>
      <c r="V731">
        <v>0</v>
      </c>
      <c r="W731">
        <v>0</v>
      </c>
      <c r="X731">
        <v>0</v>
      </c>
      <c r="Y731">
        <v>0</v>
      </c>
      <c r="Z731">
        <v>0</v>
      </c>
      <c r="AA731">
        <v>0</v>
      </c>
      <c r="AB731">
        <v>0</v>
      </c>
      <c r="AC731">
        <v>0</v>
      </c>
      <c r="AD731">
        <v>0</v>
      </c>
      <c r="AE731">
        <v>0</v>
      </c>
      <c r="AF731">
        <v>0</v>
      </c>
      <c r="AG731">
        <v>0</v>
      </c>
      <c r="AH731">
        <v>0</v>
      </c>
      <c r="AI731">
        <v>0</v>
      </c>
      <c r="AJ731">
        <v>0</v>
      </c>
      <c r="AK731">
        <v>0</v>
      </c>
      <c r="AL731">
        <v>0</v>
      </c>
      <c r="AM731">
        <v>15.02</v>
      </c>
      <c r="AN731">
        <v>0</v>
      </c>
      <c r="AO731">
        <v>0</v>
      </c>
      <c r="AP731">
        <v>0</v>
      </c>
      <c r="AQ731">
        <v>0</v>
      </c>
      <c r="AR731">
        <v>0</v>
      </c>
      <c r="AS731">
        <v>0</v>
      </c>
      <c r="AT731">
        <v>0</v>
      </c>
      <c r="AU731">
        <v>0</v>
      </c>
      <c r="AV731">
        <v>0</v>
      </c>
      <c r="AW731">
        <v>0</v>
      </c>
      <c r="AX731">
        <v>0</v>
      </c>
      <c r="AY731">
        <v>0</v>
      </c>
      <c r="AZ731">
        <v>0</v>
      </c>
      <c r="BA731">
        <v>0</v>
      </c>
      <c r="BB731">
        <v>0</v>
      </c>
      <c r="BC731">
        <v>0</v>
      </c>
      <c r="BD731">
        <v>0</v>
      </c>
      <c r="BE731">
        <v>0</v>
      </c>
      <c r="BF731">
        <v>0</v>
      </c>
      <c r="BG731">
        <v>0</v>
      </c>
      <c r="BH731">
        <v>2</v>
      </c>
      <c r="BI731">
        <v>3.1</v>
      </c>
      <c r="BJ731">
        <v>3.1</v>
      </c>
      <c r="BK731">
        <v>3.5</v>
      </c>
      <c r="BL731" s="4">
        <v>88.27</v>
      </c>
      <c r="BM731" s="4">
        <v>13.24</v>
      </c>
      <c r="BN731" s="4">
        <v>101.51</v>
      </c>
      <c r="BO731" s="4">
        <v>101.51</v>
      </c>
      <c r="BQ731" t="s">
        <v>93</v>
      </c>
      <c r="BR731" t="s">
        <v>84</v>
      </c>
      <c r="BS731" s="3">
        <v>43808</v>
      </c>
      <c r="BT731" s="5">
        <v>0.34027777777777773</v>
      </c>
      <c r="BU731" t="s">
        <v>98</v>
      </c>
      <c r="BV731" t="s">
        <v>86</v>
      </c>
      <c r="BY731">
        <v>15738.7</v>
      </c>
      <c r="CA731" t="s">
        <v>99</v>
      </c>
      <c r="CC731" t="s">
        <v>80</v>
      </c>
      <c r="CD731">
        <v>6001</v>
      </c>
      <c r="CE731" t="s">
        <v>122</v>
      </c>
      <c r="CF731" s="3">
        <v>43809</v>
      </c>
      <c r="CI731">
        <v>1</v>
      </c>
      <c r="CJ731">
        <v>1</v>
      </c>
      <c r="CK731">
        <v>21</v>
      </c>
      <c r="CL731" t="s">
        <v>89</v>
      </c>
    </row>
    <row r="732" spans="1:90">
      <c r="A732" t="s">
        <v>72</v>
      </c>
      <c r="B732" t="s">
        <v>73</v>
      </c>
      <c r="C732" t="s">
        <v>74</v>
      </c>
      <c r="E732" t="str">
        <f>"FES1162726662"</f>
        <v>FES1162726662</v>
      </c>
      <c r="F732" s="3">
        <v>43805</v>
      </c>
      <c r="G732">
        <v>202006</v>
      </c>
      <c r="H732" t="s">
        <v>75</v>
      </c>
      <c r="I732" t="s">
        <v>76</v>
      </c>
      <c r="J732" t="s">
        <v>77</v>
      </c>
      <c r="K732" t="s">
        <v>78</v>
      </c>
      <c r="L732" t="s">
        <v>213</v>
      </c>
      <c r="M732" t="s">
        <v>214</v>
      </c>
      <c r="N732" t="s">
        <v>303</v>
      </c>
      <c r="O732" t="s">
        <v>82</v>
      </c>
      <c r="P732" t="str">
        <f>"21707167621                   "</f>
        <v xml:space="preserve">21707167621                   </v>
      </c>
      <c r="Q732">
        <v>0</v>
      </c>
      <c r="R732">
        <v>0</v>
      </c>
      <c r="S732">
        <v>0</v>
      </c>
      <c r="T732">
        <v>0</v>
      </c>
      <c r="U732">
        <v>0</v>
      </c>
      <c r="V732">
        <v>0</v>
      </c>
      <c r="W732">
        <v>0</v>
      </c>
      <c r="X732">
        <v>0</v>
      </c>
      <c r="Y732">
        <v>0</v>
      </c>
      <c r="Z732">
        <v>0</v>
      </c>
      <c r="AA732">
        <v>0</v>
      </c>
      <c r="AB732">
        <v>0</v>
      </c>
      <c r="AC732">
        <v>0</v>
      </c>
      <c r="AD732">
        <v>0</v>
      </c>
      <c r="AE732">
        <v>0</v>
      </c>
      <c r="AF732">
        <v>0</v>
      </c>
      <c r="AG732">
        <v>0</v>
      </c>
      <c r="AH732">
        <v>0</v>
      </c>
      <c r="AI732">
        <v>0</v>
      </c>
      <c r="AJ732">
        <v>0</v>
      </c>
      <c r="AK732">
        <v>0</v>
      </c>
      <c r="AL732">
        <v>0</v>
      </c>
      <c r="AM732">
        <v>75.06</v>
      </c>
      <c r="AN732">
        <v>0</v>
      </c>
      <c r="AO732">
        <v>0</v>
      </c>
      <c r="AP732">
        <v>0</v>
      </c>
      <c r="AQ732">
        <v>0</v>
      </c>
      <c r="AR732">
        <v>0</v>
      </c>
      <c r="AS732">
        <v>0</v>
      </c>
      <c r="AT732">
        <v>0</v>
      </c>
      <c r="AU732">
        <v>0</v>
      </c>
      <c r="AV732">
        <v>0</v>
      </c>
      <c r="AW732">
        <v>0</v>
      </c>
      <c r="AX732">
        <v>0</v>
      </c>
      <c r="AY732">
        <v>0</v>
      </c>
      <c r="AZ732">
        <v>0</v>
      </c>
      <c r="BA732">
        <v>0</v>
      </c>
      <c r="BB732">
        <v>0</v>
      </c>
      <c r="BC732">
        <v>0</v>
      </c>
      <c r="BD732">
        <v>0</v>
      </c>
      <c r="BE732">
        <v>0</v>
      </c>
      <c r="BF732">
        <v>0</v>
      </c>
      <c r="BG732">
        <v>0</v>
      </c>
      <c r="BH732">
        <v>2</v>
      </c>
      <c r="BI732">
        <v>17.399999999999999</v>
      </c>
      <c r="BJ732">
        <v>10.9</v>
      </c>
      <c r="BK732">
        <v>17.5</v>
      </c>
      <c r="BL732" s="4">
        <v>441.19</v>
      </c>
      <c r="BM732" s="4">
        <v>66.180000000000007</v>
      </c>
      <c r="BN732" s="4">
        <v>507.37</v>
      </c>
      <c r="BO732" s="4">
        <v>507.37</v>
      </c>
      <c r="BQ732" t="s">
        <v>147</v>
      </c>
      <c r="BR732" t="s">
        <v>84</v>
      </c>
      <c r="BS732" s="3">
        <v>43808</v>
      </c>
      <c r="BT732" s="5">
        <v>0.3347222222222222</v>
      </c>
      <c r="BU732" t="s">
        <v>1246</v>
      </c>
      <c r="BV732" t="s">
        <v>86</v>
      </c>
      <c r="BY732">
        <v>54512.66</v>
      </c>
      <c r="CA732" t="s">
        <v>302</v>
      </c>
      <c r="CC732" t="s">
        <v>214</v>
      </c>
      <c r="CD732">
        <v>6230</v>
      </c>
      <c r="CE732" t="s">
        <v>122</v>
      </c>
      <c r="CF732" s="3">
        <v>43809</v>
      </c>
      <c r="CI732">
        <v>1</v>
      </c>
      <c r="CJ732">
        <v>1</v>
      </c>
      <c r="CK732">
        <v>21</v>
      </c>
      <c r="CL732" t="s">
        <v>89</v>
      </c>
    </row>
    <row r="733" spans="1:90">
      <c r="A733" t="s">
        <v>72</v>
      </c>
      <c r="B733" t="s">
        <v>73</v>
      </c>
      <c r="C733" t="s">
        <v>74</v>
      </c>
      <c r="E733" t="str">
        <f>"FES1162727142"</f>
        <v>FES1162727142</v>
      </c>
      <c r="F733" s="3">
        <v>43805</v>
      </c>
      <c r="G733">
        <v>202006</v>
      </c>
      <c r="H733" t="s">
        <v>75</v>
      </c>
      <c r="I733" t="s">
        <v>76</v>
      </c>
      <c r="J733" t="s">
        <v>77</v>
      </c>
      <c r="K733" t="s">
        <v>78</v>
      </c>
      <c r="L733" t="s">
        <v>75</v>
      </c>
      <c r="M733" t="s">
        <v>76</v>
      </c>
      <c r="N733" t="s">
        <v>1247</v>
      </c>
      <c r="O733" t="s">
        <v>82</v>
      </c>
      <c r="P733" t="str">
        <f>"2170720612                    "</f>
        <v xml:space="preserve">2170720612                    </v>
      </c>
      <c r="Q733">
        <v>0</v>
      </c>
      <c r="R733">
        <v>0</v>
      </c>
      <c r="S733">
        <v>0</v>
      </c>
      <c r="T733">
        <v>0</v>
      </c>
      <c r="U733">
        <v>0</v>
      </c>
      <c r="V733">
        <v>0</v>
      </c>
      <c r="W733">
        <v>0</v>
      </c>
      <c r="X733">
        <v>0</v>
      </c>
      <c r="Y733">
        <v>0</v>
      </c>
      <c r="Z733">
        <v>0</v>
      </c>
      <c r="AA733">
        <v>0</v>
      </c>
      <c r="AB733">
        <v>0</v>
      </c>
      <c r="AC733">
        <v>0</v>
      </c>
      <c r="AD733">
        <v>0</v>
      </c>
      <c r="AE733">
        <v>0</v>
      </c>
      <c r="AF733">
        <v>0</v>
      </c>
      <c r="AG733">
        <v>0</v>
      </c>
      <c r="AH733">
        <v>0</v>
      </c>
      <c r="AI733">
        <v>0</v>
      </c>
      <c r="AJ733">
        <v>0</v>
      </c>
      <c r="AK733">
        <v>0</v>
      </c>
      <c r="AL733">
        <v>0</v>
      </c>
      <c r="AM733">
        <v>6.71</v>
      </c>
      <c r="AN733">
        <v>0</v>
      </c>
      <c r="AO733">
        <v>0</v>
      </c>
      <c r="AP733">
        <v>0</v>
      </c>
      <c r="AQ733">
        <v>0</v>
      </c>
      <c r="AR733">
        <v>0</v>
      </c>
      <c r="AS733">
        <v>0</v>
      </c>
      <c r="AT733">
        <v>0</v>
      </c>
      <c r="AU733">
        <v>0</v>
      </c>
      <c r="AV733">
        <v>0</v>
      </c>
      <c r="AW733">
        <v>0</v>
      </c>
      <c r="AX733">
        <v>0</v>
      </c>
      <c r="AY733">
        <v>0</v>
      </c>
      <c r="AZ733">
        <v>0</v>
      </c>
      <c r="BA733">
        <v>0</v>
      </c>
      <c r="BB733">
        <v>0</v>
      </c>
      <c r="BC733">
        <v>0</v>
      </c>
      <c r="BD733">
        <v>0</v>
      </c>
      <c r="BE733">
        <v>0</v>
      </c>
      <c r="BF733">
        <v>0</v>
      </c>
      <c r="BG733">
        <v>0</v>
      </c>
      <c r="BH733">
        <v>1</v>
      </c>
      <c r="BI733">
        <v>1.3</v>
      </c>
      <c r="BJ733">
        <v>0.2</v>
      </c>
      <c r="BK733">
        <v>1.5</v>
      </c>
      <c r="BL733" s="4">
        <v>39.42</v>
      </c>
      <c r="BM733" s="4">
        <v>5.91</v>
      </c>
      <c r="BN733" s="4">
        <v>45.33</v>
      </c>
      <c r="BO733" s="4">
        <v>45.33</v>
      </c>
      <c r="BR733" t="s">
        <v>84</v>
      </c>
      <c r="BS733" s="3">
        <v>43808</v>
      </c>
      <c r="BT733" s="5">
        <v>0.3430555555555555</v>
      </c>
      <c r="BU733" t="s">
        <v>1248</v>
      </c>
      <c r="BV733" t="s">
        <v>86</v>
      </c>
      <c r="BY733">
        <v>1200</v>
      </c>
      <c r="CA733" t="s">
        <v>1249</v>
      </c>
      <c r="CC733" t="s">
        <v>76</v>
      </c>
      <c r="CD733">
        <v>1609</v>
      </c>
      <c r="CE733" t="s">
        <v>88</v>
      </c>
      <c r="CF733" s="3">
        <v>43810</v>
      </c>
      <c r="CI733">
        <v>1</v>
      </c>
      <c r="CJ733">
        <v>1</v>
      </c>
      <c r="CK733">
        <v>22</v>
      </c>
      <c r="CL733" t="s">
        <v>89</v>
      </c>
    </row>
    <row r="734" spans="1:90">
      <c r="A734" t="s">
        <v>72</v>
      </c>
      <c r="B734" t="s">
        <v>73</v>
      </c>
      <c r="C734" t="s">
        <v>74</v>
      </c>
      <c r="E734" t="str">
        <f>"FES1162727234"</f>
        <v>FES1162727234</v>
      </c>
      <c r="F734" s="3">
        <v>43805</v>
      </c>
      <c r="G734">
        <v>202006</v>
      </c>
      <c r="H734" t="s">
        <v>75</v>
      </c>
      <c r="I734" t="s">
        <v>76</v>
      </c>
      <c r="J734" t="s">
        <v>77</v>
      </c>
      <c r="K734" t="s">
        <v>78</v>
      </c>
      <c r="L734" t="s">
        <v>198</v>
      </c>
      <c r="M734" t="s">
        <v>199</v>
      </c>
      <c r="N734" t="s">
        <v>297</v>
      </c>
      <c r="O734" t="s">
        <v>82</v>
      </c>
      <c r="P734" t="str">
        <f>"2170720720                    "</f>
        <v xml:space="preserve">2170720720                    </v>
      </c>
      <c r="Q734">
        <v>0</v>
      </c>
      <c r="R734">
        <v>0</v>
      </c>
      <c r="S734">
        <v>0</v>
      </c>
      <c r="T734">
        <v>0</v>
      </c>
      <c r="U734">
        <v>0</v>
      </c>
      <c r="V734">
        <v>0</v>
      </c>
      <c r="W734">
        <v>0</v>
      </c>
      <c r="X734">
        <v>0</v>
      </c>
      <c r="Y734">
        <v>0</v>
      </c>
      <c r="Z734">
        <v>0</v>
      </c>
      <c r="AA734">
        <v>0</v>
      </c>
      <c r="AB734">
        <v>0</v>
      </c>
      <c r="AC734">
        <v>0</v>
      </c>
      <c r="AD734">
        <v>0</v>
      </c>
      <c r="AE734">
        <v>0</v>
      </c>
      <c r="AF734">
        <v>0</v>
      </c>
      <c r="AG734">
        <v>0</v>
      </c>
      <c r="AH734">
        <v>0</v>
      </c>
      <c r="AI734">
        <v>0</v>
      </c>
      <c r="AJ734">
        <v>0</v>
      </c>
      <c r="AK734">
        <v>0</v>
      </c>
      <c r="AL734">
        <v>0</v>
      </c>
      <c r="AM734">
        <v>8.58</v>
      </c>
      <c r="AN734">
        <v>0</v>
      </c>
      <c r="AO734">
        <v>0</v>
      </c>
      <c r="AP734">
        <v>0</v>
      </c>
      <c r="AQ734">
        <v>0</v>
      </c>
      <c r="AR734">
        <v>0</v>
      </c>
      <c r="AS734">
        <v>0</v>
      </c>
      <c r="AT734">
        <v>0</v>
      </c>
      <c r="AU734">
        <v>0</v>
      </c>
      <c r="AV734">
        <v>0</v>
      </c>
      <c r="AW734">
        <v>0</v>
      </c>
      <c r="AX734">
        <v>0</v>
      </c>
      <c r="AY734">
        <v>0</v>
      </c>
      <c r="AZ734">
        <v>0</v>
      </c>
      <c r="BA734">
        <v>0</v>
      </c>
      <c r="BB734">
        <v>0</v>
      </c>
      <c r="BC734">
        <v>0</v>
      </c>
      <c r="BD734">
        <v>0</v>
      </c>
      <c r="BE734">
        <v>0</v>
      </c>
      <c r="BF734">
        <v>0</v>
      </c>
      <c r="BG734">
        <v>0</v>
      </c>
      <c r="BH734">
        <v>1</v>
      </c>
      <c r="BI734">
        <v>1</v>
      </c>
      <c r="BJ734">
        <v>0.2</v>
      </c>
      <c r="BK734">
        <v>1</v>
      </c>
      <c r="BL734" s="4">
        <v>50.45</v>
      </c>
      <c r="BM734" s="4">
        <v>7.57</v>
      </c>
      <c r="BN734" s="4">
        <v>58.02</v>
      </c>
      <c r="BO734" s="4">
        <v>58.02</v>
      </c>
      <c r="BQ734" t="s">
        <v>172</v>
      </c>
      <c r="BR734" t="s">
        <v>84</v>
      </c>
      <c r="BS734" s="3">
        <v>43808</v>
      </c>
      <c r="BT734" s="5">
        <v>0.34097222222222223</v>
      </c>
      <c r="BU734" t="s">
        <v>542</v>
      </c>
      <c r="BV734" t="s">
        <v>86</v>
      </c>
      <c r="BY734">
        <v>1200</v>
      </c>
      <c r="CA734" t="s">
        <v>299</v>
      </c>
      <c r="CC734" t="s">
        <v>199</v>
      </c>
      <c r="CD734">
        <v>4000</v>
      </c>
      <c r="CE734" t="s">
        <v>88</v>
      </c>
      <c r="CF734" s="3">
        <v>43809</v>
      </c>
      <c r="CI734">
        <v>1</v>
      </c>
      <c r="CJ734">
        <v>1</v>
      </c>
      <c r="CK734">
        <v>21</v>
      </c>
      <c r="CL734" t="s">
        <v>89</v>
      </c>
    </row>
    <row r="735" spans="1:90">
      <c r="A735" t="s">
        <v>72</v>
      </c>
      <c r="B735" t="s">
        <v>73</v>
      </c>
      <c r="C735" t="s">
        <v>74</v>
      </c>
      <c r="E735" t="str">
        <f>"FES1162727074"</f>
        <v>FES1162727074</v>
      </c>
      <c r="F735" s="3">
        <v>43805</v>
      </c>
      <c r="G735">
        <v>202006</v>
      </c>
      <c r="H735" t="s">
        <v>75</v>
      </c>
      <c r="I735" t="s">
        <v>76</v>
      </c>
      <c r="J735" t="s">
        <v>77</v>
      </c>
      <c r="K735" t="s">
        <v>78</v>
      </c>
      <c r="L735" t="s">
        <v>75</v>
      </c>
      <c r="M735" t="s">
        <v>76</v>
      </c>
      <c r="N735" t="s">
        <v>1250</v>
      </c>
      <c r="O735" t="s">
        <v>82</v>
      </c>
      <c r="P735" t="str">
        <f>"2170712414                    "</f>
        <v xml:space="preserve">2170712414                    </v>
      </c>
      <c r="Q735">
        <v>0</v>
      </c>
      <c r="R735">
        <v>0</v>
      </c>
      <c r="S735">
        <v>0</v>
      </c>
      <c r="T735">
        <v>0</v>
      </c>
      <c r="U735">
        <v>0</v>
      </c>
      <c r="V735">
        <v>0</v>
      </c>
      <c r="W735">
        <v>0</v>
      </c>
      <c r="X735">
        <v>0</v>
      </c>
      <c r="Y735">
        <v>0</v>
      </c>
      <c r="Z735">
        <v>0</v>
      </c>
      <c r="AA735">
        <v>0</v>
      </c>
      <c r="AB735">
        <v>0</v>
      </c>
      <c r="AC735">
        <v>0</v>
      </c>
      <c r="AD735">
        <v>0</v>
      </c>
      <c r="AE735">
        <v>0</v>
      </c>
      <c r="AF735">
        <v>0</v>
      </c>
      <c r="AG735">
        <v>0</v>
      </c>
      <c r="AH735">
        <v>0</v>
      </c>
      <c r="AI735">
        <v>0</v>
      </c>
      <c r="AJ735">
        <v>0</v>
      </c>
      <c r="AK735">
        <v>0</v>
      </c>
      <c r="AL735">
        <v>0</v>
      </c>
      <c r="AM735">
        <v>8.31</v>
      </c>
      <c r="AN735">
        <v>0</v>
      </c>
      <c r="AO735">
        <v>0</v>
      </c>
      <c r="AP735">
        <v>0</v>
      </c>
      <c r="AQ735">
        <v>0</v>
      </c>
      <c r="AR735">
        <v>0</v>
      </c>
      <c r="AS735">
        <v>0</v>
      </c>
      <c r="AT735">
        <v>0</v>
      </c>
      <c r="AU735">
        <v>0</v>
      </c>
      <c r="AV735">
        <v>0</v>
      </c>
      <c r="AW735">
        <v>0</v>
      </c>
      <c r="AX735">
        <v>0</v>
      </c>
      <c r="AY735">
        <v>0</v>
      </c>
      <c r="AZ735">
        <v>0</v>
      </c>
      <c r="BA735">
        <v>0</v>
      </c>
      <c r="BB735">
        <v>0</v>
      </c>
      <c r="BC735">
        <v>0</v>
      </c>
      <c r="BD735">
        <v>0</v>
      </c>
      <c r="BE735">
        <v>0</v>
      </c>
      <c r="BF735">
        <v>0</v>
      </c>
      <c r="BG735">
        <v>0</v>
      </c>
      <c r="BH735">
        <v>1</v>
      </c>
      <c r="BI735">
        <v>1.1000000000000001</v>
      </c>
      <c r="BJ735">
        <v>2.6</v>
      </c>
      <c r="BK735">
        <v>3</v>
      </c>
      <c r="BL735" s="4">
        <v>48.86</v>
      </c>
      <c r="BM735" s="4">
        <v>7.33</v>
      </c>
      <c r="BN735" s="4">
        <v>56.19</v>
      </c>
      <c r="BO735" s="4">
        <v>56.19</v>
      </c>
      <c r="BQ735" t="s">
        <v>1251</v>
      </c>
      <c r="BR735" t="s">
        <v>84</v>
      </c>
      <c r="BS735" s="3">
        <v>43808</v>
      </c>
      <c r="BT735" s="5">
        <v>0.36458333333333331</v>
      </c>
      <c r="BU735" t="s">
        <v>1252</v>
      </c>
      <c r="BV735" t="s">
        <v>86</v>
      </c>
      <c r="BY735">
        <v>12857.38</v>
      </c>
      <c r="CC735" t="s">
        <v>76</v>
      </c>
      <c r="CD735">
        <v>1682</v>
      </c>
      <c r="CE735" t="s">
        <v>116</v>
      </c>
      <c r="CF735" s="3">
        <v>43810</v>
      </c>
      <c r="CI735">
        <v>1</v>
      </c>
      <c r="CJ735">
        <v>1</v>
      </c>
      <c r="CK735">
        <v>22</v>
      </c>
      <c r="CL735" t="s">
        <v>89</v>
      </c>
    </row>
    <row r="736" spans="1:90">
      <c r="A736" t="s">
        <v>72</v>
      </c>
      <c r="B736" t="s">
        <v>73</v>
      </c>
      <c r="C736" t="s">
        <v>74</v>
      </c>
      <c r="E736" t="str">
        <f>"FES1162727199"</f>
        <v>FES1162727199</v>
      </c>
      <c r="F736" s="3">
        <v>43805</v>
      </c>
      <c r="G736">
        <v>202006</v>
      </c>
      <c r="H736" t="s">
        <v>75</v>
      </c>
      <c r="I736" t="s">
        <v>76</v>
      </c>
      <c r="J736" t="s">
        <v>77</v>
      </c>
      <c r="K736" t="s">
        <v>78</v>
      </c>
      <c r="L736" t="s">
        <v>164</v>
      </c>
      <c r="M736" t="s">
        <v>165</v>
      </c>
      <c r="N736" t="s">
        <v>369</v>
      </c>
      <c r="O736" t="s">
        <v>82</v>
      </c>
      <c r="P736" t="str">
        <f>"2170715012                    "</f>
        <v xml:space="preserve">2170715012                    </v>
      </c>
      <c r="Q736">
        <v>0</v>
      </c>
      <c r="R736">
        <v>0</v>
      </c>
      <c r="S736">
        <v>0</v>
      </c>
      <c r="T736">
        <v>0</v>
      </c>
      <c r="U736">
        <v>0</v>
      </c>
      <c r="V736">
        <v>0</v>
      </c>
      <c r="W736">
        <v>0</v>
      </c>
      <c r="X736">
        <v>0</v>
      </c>
      <c r="Y736">
        <v>0</v>
      </c>
      <c r="Z736">
        <v>0</v>
      </c>
      <c r="AA736">
        <v>0</v>
      </c>
      <c r="AB736">
        <v>0</v>
      </c>
      <c r="AC736">
        <v>0</v>
      </c>
      <c r="AD736">
        <v>0</v>
      </c>
      <c r="AE736">
        <v>0</v>
      </c>
      <c r="AF736">
        <v>0</v>
      </c>
      <c r="AG736">
        <v>0</v>
      </c>
      <c r="AH736">
        <v>0</v>
      </c>
      <c r="AI736">
        <v>0</v>
      </c>
      <c r="AJ736">
        <v>0</v>
      </c>
      <c r="AK736">
        <v>0</v>
      </c>
      <c r="AL736">
        <v>0</v>
      </c>
      <c r="AM736">
        <v>34.31</v>
      </c>
      <c r="AN736">
        <v>0</v>
      </c>
      <c r="AO736">
        <v>0</v>
      </c>
      <c r="AP736">
        <v>0</v>
      </c>
      <c r="AQ736">
        <v>0</v>
      </c>
      <c r="AR736">
        <v>0</v>
      </c>
      <c r="AS736">
        <v>0</v>
      </c>
      <c r="AT736">
        <v>0</v>
      </c>
      <c r="AU736">
        <v>0</v>
      </c>
      <c r="AV736">
        <v>0</v>
      </c>
      <c r="AW736">
        <v>0</v>
      </c>
      <c r="AX736">
        <v>0</v>
      </c>
      <c r="AY736">
        <v>0</v>
      </c>
      <c r="AZ736">
        <v>0</v>
      </c>
      <c r="BA736">
        <v>0</v>
      </c>
      <c r="BB736">
        <v>0</v>
      </c>
      <c r="BC736">
        <v>0</v>
      </c>
      <c r="BD736">
        <v>0</v>
      </c>
      <c r="BE736">
        <v>0</v>
      </c>
      <c r="BF736">
        <v>0</v>
      </c>
      <c r="BG736">
        <v>0</v>
      </c>
      <c r="BH736">
        <v>1</v>
      </c>
      <c r="BI736">
        <v>7.7</v>
      </c>
      <c r="BJ736">
        <v>2.6</v>
      </c>
      <c r="BK736">
        <v>8</v>
      </c>
      <c r="BL736" s="4">
        <v>201.7</v>
      </c>
      <c r="BM736" s="4">
        <v>30.26</v>
      </c>
      <c r="BN736" s="4">
        <v>231.96</v>
      </c>
      <c r="BO736" s="4">
        <v>231.96</v>
      </c>
      <c r="BQ736" t="s">
        <v>93</v>
      </c>
      <c r="BR736" t="s">
        <v>84</v>
      </c>
      <c r="BS736" s="3">
        <v>43808</v>
      </c>
      <c r="BT736" s="5">
        <v>0.3576388888888889</v>
      </c>
      <c r="BU736" t="s">
        <v>1013</v>
      </c>
      <c r="BV736" t="s">
        <v>86</v>
      </c>
      <c r="BY736">
        <v>12948.58</v>
      </c>
      <c r="CA736" t="s">
        <v>371</v>
      </c>
      <c r="CC736" t="s">
        <v>165</v>
      </c>
      <c r="CD736">
        <v>5201</v>
      </c>
      <c r="CE736" t="s">
        <v>116</v>
      </c>
      <c r="CF736" s="3">
        <v>43809</v>
      </c>
      <c r="CI736">
        <v>1</v>
      </c>
      <c r="CJ736">
        <v>1</v>
      </c>
      <c r="CK736">
        <v>21</v>
      </c>
      <c r="CL736" t="s">
        <v>89</v>
      </c>
    </row>
    <row r="737" spans="1:90">
      <c r="A737" t="s">
        <v>72</v>
      </c>
      <c r="B737" t="s">
        <v>73</v>
      </c>
      <c r="C737" t="s">
        <v>74</v>
      </c>
      <c r="E737" t="str">
        <f>"FES1162727079"</f>
        <v>FES1162727079</v>
      </c>
      <c r="F737" s="3">
        <v>43805</v>
      </c>
      <c r="G737">
        <v>202006</v>
      </c>
      <c r="H737" t="s">
        <v>75</v>
      </c>
      <c r="I737" t="s">
        <v>76</v>
      </c>
      <c r="J737" t="s">
        <v>77</v>
      </c>
      <c r="K737" t="s">
        <v>78</v>
      </c>
      <c r="L737" t="s">
        <v>79</v>
      </c>
      <c r="M737" t="s">
        <v>80</v>
      </c>
      <c r="N737" t="s">
        <v>97</v>
      </c>
      <c r="O737" t="s">
        <v>82</v>
      </c>
      <c r="P737" t="str">
        <f>"2170718153                    "</f>
        <v xml:space="preserve">2170718153                    </v>
      </c>
      <c r="Q737">
        <v>0</v>
      </c>
      <c r="R737">
        <v>0</v>
      </c>
      <c r="S737">
        <v>0</v>
      </c>
      <c r="T737">
        <v>0</v>
      </c>
      <c r="U737">
        <v>0</v>
      </c>
      <c r="V737">
        <v>0</v>
      </c>
      <c r="W737">
        <v>0</v>
      </c>
      <c r="X737">
        <v>0</v>
      </c>
      <c r="Y737">
        <v>0</v>
      </c>
      <c r="Z737">
        <v>0</v>
      </c>
      <c r="AA737">
        <v>0</v>
      </c>
      <c r="AB737">
        <v>0</v>
      </c>
      <c r="AC737">
        <v>0</v>
      </c>
      <c r="AD737">
        <v>0</v>
      </c>
      <c r="AE737">
        <v>0</v>
      </c>
      <c r="AF737">
        <v>0</v>
      </c>
      <c r="AG737">
        <v>0</v>
      </c>
      <c r="AH737">
        <v>0</v>
      </c>
      <c r="AI737">
        <v>0</v>
      </c>
      <c r="AJ737">
        <v>0</v>
      </c>
      <c r="AK737">
        <v>0</v>
      </c>
      <c r="AL737">
        <v>0</v>
      </c>
      <c r="AM737">
        <v>8.58</v>
      </c>
      <c r="AN737">
        <v>0</v>
      </c>
      <c r="AO737">
        <v>0</v>
      </c>
      <c r="AP737">
        <v>0</v>
      </c>
      <c r="AQ737">
        <v>0</v>
      </c>
      <c r="AR737">
        <v>0</v>
      </c>
      <c r="AS737">
        <v>0</v>
      </c>
      <c r="AT737">
        <v>0</v>
      </c>
      <c r="AU737">
        <v>0</v>
      </c>
      <c r="AV737">
        <v>0</v>
      </c>
      <c r="AW737">
        <v>0</v>
      </c>
      <c r="AX737">
        <v>0</v>
      </c>
      <c r="AY737">
        <v>0</v>
      </c>
      <c r="AZ737">
        <v>0</v>
      </c>
      <c r="BA737">
        <v>0</v>
      </c>
      <c r="BB737">
        <v>0</v>
      </c>
      <c r="BC737">
        <v>0</v>
      </c>
      <c r="BD737">
        <v>0</v>
      </c>
      <c r="BE737">
        <v>0</v>
      </c>
      <c r="BF737">
        <v>0</v>
      </c>
      <c r="BG737">
        <v>0</v>
      </c>
      <c r="BH737">
        <v>1</v>
      </c>
      <c r="BI737">
        <v>0.5</v>
      </c>
      <c r="BJ737">
        <v>1.2</v>
      </c>
      <c r="BK737">
        <v>1.5</v>
      </c>
      <c r="BL737" s="4">
        <v>50.45</v>
      </c>
      <c r="BM737" s="4">
        <v>7.57</v>
      </c>
      <c r="BN737" s="4">
        <v>58.02</v>
      </c>
      <c r="BO737" s="4">
        <v>58.02</v>
      </c>
      <c r="BQ737" t="s">
        <v>93</v>
      </c>
      <c r="BR737" t="s">
        <v>84</v>
      </c>
      <c r="BS737" s="3">
        <v>43808</v>
      </c>
      <c r="BT737" s="5">
        <v>0.34027777777777773</v>
      </c>
      <c r="BU737" t="s">
        <v>98</v>
      </c>
      <c r="BV737" t="s">
        <v>86</v>
      </c>
      <c r="BY737">
        <v>6232.98</v>
      </c>
      <c r="CA737" t="s">
        <v>99</v>
      </c>
      <c r="CC737" t="s">
        <v>80</v>
      </c>
      <c r="CD737">
        <v>6001</v>
      </c>
      <c r="CE737" t="s">
        <v>96</v>
      </c>
      <c r="CF737" s="3">
        <v>43809</v>
      </c>
      <c r="CI737">
        <v>1</v>
      </c>
      <c r="CJ737">
        <v>1</v>
      </c>
      <c r="CK737">
        <v>21</v>
      </c>
      <c r="CL737" t="s">
        <v>89</v>
      </c>
    </row>
    <row r="738" spans="1:90">
      <c r="A738" t="s">
        <v>72</v>
      </c>
      <c r="B738" t="s">
        <v>73</v>
      </c>
      <c r="C738" t="s">
        <v>74</v>
      </c>
      <c r="E738" t="str">
        <f>"FES1162727200"</f>
        <v>FES1162727200</v>
      </c>
      <c r="F738" s="3">
        <v>43805</v>
      </c>
      <c r="G738">
        <v>202006</v>
      </c>
      <c r="H738" t="s">
        <v>75</v>
      </c>
      <c r="I738" t="s">
        <v>76</v>
      </c>
      <c r="J738" t="s">
        <v>77</v>
      </c>
      <c r="K738" t="s">
        <v>78</v>
      </c>
      <c r="L738" t="s">
        <v>164</v>
      </c>
      <c r="M738" t="s">
        <v>165</v>
      </c>
      <c r="N738" t="s">
        <v>369</v>
      </c>
      <c r="O738" t="s">
        <v>82</v>
      </c>
      <c r="P738" t="str">
        <f>"2170719087                    "</f>
        <v xml:space="preserve">2170719087                    </v>
      </c>
      <c r="Q738">
        <v>0</v>
      </c>
      <c r="R738">
        <v>0</v>
      </c>
      <c r="S738">
        <v>0</v>
      </c>
      <c r="T738">
        <v>0</v>
      </c>
      <c r="U738">
        <v>0</v>
      </c>
      <c r="V738">
        <v>0</v>
      </c>
      <c r="W738">
        <v>0</v>
      </c>
      <c r="X738">
        <v>0</v>
      </c>
      <c r="Y738">
        <v>0</v>
      </c>
      <c r="Z738">
        <v>0</v>
      </c>
      <c r="AA738">
        <v>0</v>
      </c>
      <c r="AB738">
        <v>0</v>
      </c>
      <c r="AC738">
        <v>0</v>
      </c>
      <c r="AD738">
        <v>0</v>
      </c>
      <c r="AE738">
        <v>0</v>
      </c>
      <c r="AF738">
        <v>0</v>
      </c>
      <c r="AG738">
        <v>0</v>
      </c>
      <c r="AH738">
        <v>0</v>
      </c>
      <c r="AI738">
        <v>0</v>
      </c>
      <c r="AJ738">
        <v>0</v>
      </c>
      <c r="AK738">
        <v>0</v>
      </c>
      <c r="AL738">
        <v>0</v>
      </c>
      <c r="AM738">
        <v>10.73</v>
      </c>
      <c r="AN738">
        <v>0</v>
      </c>
      <c r="AO738">
        <v>0</v>
      </c>
      <c r="AP738">
        <v>0</v>
      </c>
      <c r="AQ738">
        <v>0</v>
      </c>
      <c r="AR738">
        <v>0</v>
      </c>
      <c r="AS738">
        <v>0</v>
      </c>
      <c r="AT738">
        <v>0</v>
      </c>
      <c r="AU738">
        <v>0</v>
      </c>
      <c r="AV738">
        <v>0</v>
      </c>
      <c r="AW738">
        <v>0</v>
      </c>
      <c r="AX738">
        <v>0</v>
      </c>
      <c r="AY738">
        <v>0</v>
      </c>
      <c r="AZ738">
        <v>0</v>
      </c>
      <c r="BA738">
        <v>0</v>
      </c>
      <c r="BB738">
        <v>0</v>
      </c>
      <c r="BC738">
        <v>0</v>
      </c>
      <c r="BD738">
        <v>0</v>
      </c>
      <c r="BE738">
        <v>0</v>
      </c>
      <c r="BF738">
        <v>0</v>
      </c>
      <c r="BG738">
        <v>0</v>
      </c>
      <c r="BH738">
        <v>1</v>
      </c>
      <c r="BI738">
        <v>2.1</v>
      </c>
      <c r="BJ738">
        <v>1.1000000000000001</v>
      </c>
      <c r="BK738">
        <v>2.5</v>
      </c>
      <c r="BL738" s="4">
        <v>63.06</v>
      </c>
      <c r="BM738" s="4">
        <v>9.4600000000000009</v>
      </c>
      <c r="BN738" s="4">
        <v>72.52</v>
      </c>
      <c r="BO738" s="4">
        <v>72.52</v>
      </c>
      <c r="BQ738" t="s">
        <v>93</v>
      </c>
      <c r="BR738" t="s">
        <v>84</v>
      </c>
      <c r="BS738" s="3">
        <v>43810</v>
      </c>
      <c r="BT738" s="5">
        <v>0.35625000000000001</v>
      </c>
      <c r="BU738" t="s">
        <v>1253</v>
      </c>
      <c r="BV738" t="s">
        <v>89</v>
      </c>
      <c r="BW738" t="s">
        <v>1254</v>
      </c>
      <c r="BX738" t="s">
        <v>1255</v>
      </c>
      <c r="BY738">
        <v>5490.34</v>
      </c>
      <c r="CC738" t="s">
        <v>165</v>
      </c>
      <c r="CD738">
        <v>5201</v>
      </c>
      <c r="CE738" t="s">
        <v>96</v>
      </c>
      <c r="CF738" s="3">
        <v>43811</v>
      </c>
      <c r="CI738">
        <v>1</v>
      </c>
      <c r="CJ738">
        <v>3</v>
      </c>
      <c r="CK738">
        <v>21</v>
      </c>
      <c r="CL738" t="s">
        <v>89</v>
      </c>
    </row>
    <row r="739" spans="1:90">
      <c r="A739" t="s">
        <v>72</v>
      </c>
      <c r="B739" t="s">
        <v>73</v>
      </c>
      <c r="C739" t="s">
        <v>74</v>
      </c>
      <c r="E739" t="str">
        <f>"FES1162727075"</f>
        <v>FES1162727075</v>
      </c>
      <c r="F739" s="3">
        <v>43805</v>
      </c>
      <c r="G739">
        <v>202006</v>
      </c>
      <c r="H739" t="s">
        <v>75</v>
      </c>
      <c r="I739" t="s">
        <v>76</v>
      </c>
      <c r="J739" t="s">
        <v>77</v>
      </c>
      <c r="K739" t="s">
        <v>78</v>
      </c>
      <c r="L739" t="s">
        <v>79</v>
      </c>
      <c r="M739" t="s">
        <v>80</v>
      </c>
      <c r="N739" t="s">
        <v>97</v>
      </c>
      <c r="O739" t="s">
        <v>82</v>
      </c>
      <c r="P739" t="str">
        <f>"2170715261                    "</f>
        <v xml:space="preserve">2170715261                    </v>
      </c>
      <c r="Q739">
        <v>0</v>
      </c>
      <c r="R739">
        <v>0</v>
      </c>
      <c r="S739">
        <v>0</v>
      </c>
      <c r="T739">
        <v>0</v>
      </c>
      <c r="U739">
        <v>0</v>
      </c>
      <c r="V739">
        <v>0</v>
      </c>
      <c r="W739">
        <v>0</v>
      </c>
      <c r="X739">
        <v>0</v>
      </c>
      <c r="Y739">
        <v>0</v>
      </c>
      <c r="Z739">
        <v>0</v>
      </c>
      <c r="AA739">
        <v>0</v>
      </c>
      <c r="AB739">
        <v>0</v>
      </c>
      <c r="AC739">
        <v>0</v>
      </c>
      <c r="AD739">
        <v>0</v>
      </c>
      <c r="AE739">
        <v>0</v>
      </c>
      <c r="AF739">
        <v>0</v>
      </c>
      <c r="AG739">
        <v>0</v>
      </c>
      <c r="AH739">
        <v>0</v>
      </c>
      <c r="AI739">
        <v>0</v>
      </c>
      <c r="AJ739">
        <v>0</v>
      </c>
      <c r="AK739">
        <v>0</v>
      </c>
      <c r="AL739">
        <v>0</v>
      </c>
      <c r="AM739">
        <v>49.33</v>
      </c>
      <c r="AN739">
        <v>0</v>
      </c>
      <c r="AO739">
        <v>0</v>
      </c>
      <c r="AP739">
        <v>0</v>
      </c>
      <c r="AQ739">
        <v>0</v>
      </c>
      <c r="AR739">
        <v>0</v>
      </c>
      <c r="AS739">
        <v>0</v>
      </c>
      <c r="AT739">
        <v>0</v>
      </c>
      <c r="AU739">
        <v>0</v>
      </c>
      <c r="AV739">
        <v>0</v>
      </c>
      <c r="AW739">
        <v>0</v>
      </c>
      <c r="AX739">
        <v>0</v>
      </c>
      <c r="AY739">
        <v>0</v>
      </c>
      <c r="AZ739">
        <v>0</v>
      </c>
      <c r="BA739">
        <v>0</v>
      </c>
      <c r="BB739">
        <v>0</v>
      </c>
      <c r="BC739">
        <v>0</v>
      </c>
      <c r="BD739">
        <v>0</v>
      </c>
      <c r="BE739">
        <v>0</v>
      </c>
      <c r="BF739">
        <v>0</v>
      </c>
      <c r="BG739">
        <v>0</v>
      </c>
      <c r="BH739">
        <v>2</v>
      </c>
      <c r="BI739">
        <v>11.5</v>
      </c>
      <c r="BJ739">
        <v>6.9</v>
      </c>
      <c r="BK739">
        <v>11.5</v>
      </c>
      <c r="BL739" s="4">
        <v>289.94</v>
      </c>
      <c r="BM739" s="4">
        <v>43.49</v>
      </c>
      <c r="BN739" s="4">
        <v>333.43</v>
      </c>
      <c r="BO739" s="4">
        <v>333.43</v>
      </c>
      <c r="BQ739" t="s">
        <v>93</v>
      </c>
      <c r="BR739" t="s">
        <v>84</v>
      </c>
      <c r="BS739" s="3">
        <v>43808</v>
      </c>
      <c r="BT739" s="5">
        <v>0.34027777777777773</v>
      </c>
      <c r="BU739" t="s">
        <v>98</v>
      </c>
      <c r="BV739" t="s">
        <v>86</v>
      </c>
      <c r="BY739">
        <v>34561.839999999997</v>
      </c>
      <c r="CA739" t="s">
        <v>99</v>
      </c>
      <c r="CC739" t="s">
        <v>80</v>
      </c>
      <c r="CD739">
        <v>6001</v>
      </c>
      <c r="CE739" t="s">
        <v>413</v>
      </c>
      <c r="CF739" s="3">
        <v>43809</v>
      </c>
      <c r="CI739">
        <v>1</v>
      </c>
      <c r="CJ739">
        <v>1</v>
      </c>
      <c r="CK739">
        <v>21</v>
      </c>
      <c r="CL739" t="s">
        <v>89</v>
      </c>
    </row>
    <row r="740" spans="1:90">
      <c r="A740" t="s">
        <v>72</v>
      </c>
      <c r="B740" t="s">
        <v>73</v>
      </c>
      <c r="C740" t="s">
        <v>74</v>
      </c>
      <c r="E740" t="str">
        <f>"FES1162727208"</f>
        <v>FES1162727208</v>
      </c>
      <c r="F740" s="3">
        <v>43805</v>
      </c>
      <c r="G740">
        <v>202006</v>
      </c>
      <c r="H740" t="s">
        <v>75</v>
      </c>
      <c r="I740" t="s">
        <v>76</v>
      </c>
      <c r="J740" t="s">
        <v>77</v>
      </c>
      <c r="K740" t="s">
        <v>78</v>
      </c>
      <c r="L740" t="s">
        <v>221</v>
      </c>
      <c r="M740" t="s">
        <v>222</v>
      </c>
      <c r="N740" t="s">
        <v>521</v>
      </c>
      <c r="O740" t="s">
        <v>82</v>
      </c>
      <c r="P740" t="str">
        <f>"2170719669                    "</f>
        <v xml:space="preserve">2170719669                    </v>
      </c>
      <c r="Q740">
        <v>0</v>
      </c>
      <c r="R740">
        <v>0</v>
      </c>
      <c r="S740">
        <v>0</v>
      </c>
      <c r="T740">
        <v>0</v>
      </c>
      <c r="U740">
        <v>0</v>
      </c>
      <c r="V740">
        <v>0</v>
      </c>
      <c r="W740">
        <v>0</v>
      </c>
      <c r="X740">
        <v>0</v>
      </c>
      <c r="Y740">
        <v>0</v>
      </c>
      <c r="Z740">
        <v>0</v>
      </c>
      <c r="AA740">
        <v>0</v>
      </c>
      <c r="AB740">
        <v>0</v>
      </c>
      <c r="AC740">
        <v>0</v>
      </c>
      <c r="AD740">
        <v>0</v>
      </c>
      <c r="AE740">
        <v>0</v>
      </c>
      <c r="AF740">
        <v>0</v>
      </c>
      <c r="AG740">
        <v>0</v>
      </c>
      <c r="AH740">
        <v>0</v>
      </c>
      <c r="AI740">
        <v>0</v>
      </c>
      <c r="AJ740">
        <v>0</v>
      </c>
      <c r="AK740">
        <v>0</v>
      </c>
      <c r="AL740">
        <v>0</v>
      </c>
      <c r="AM740">
        <v>15.02</v>
      </c>
      <c r="AN740">
        <v>0</v>
      </c>
      <c r="AO740">
        <v>0</v>
      </c>
      <c r="AP740">
        <v>0</v>
      </c>
      <c r="AQ740">
        <v>0</v>
      </c>
      <c r="AR740">
        <v>0</v>
      </c>
      <c r="AS740">
        <v>0</v>
      </c>
      <c r="AT740">
        <v>0</v>
      </c>
      <c r="AU740">
        <v>0</v>
      </c>
      <c r="AV740">
        <v>0</v>
      </c>
      <c r="AW740">
        <v>0</v>
      </c>
      <c r="AX740">
        <v>0</v>
      </c>
      <c r="AY740">
        <v>0</v>
      </c>
      <c r="AZ740">
        <v>0</v>
      </c>
      <c r="BA740">
        <v>0</v>
      </c>
      <c r="BB740">
        <v>0</v>
      </c>
      <c r="BC740">
        <v>0</v>
      </c>
      <c r="BD740">
        <v>0</v>
      </c>
      <c r="BE740">
        <v>0</v>
      </c>
      <c r="BF740">
        <v>0</v>
      </c>
      <c r="BG740">
        <v>0</v>
      </c>
      <c r="BH740">
        <v>1</v>
      </c>
      <c r="BI740">
        <v>3.1</v>
      </c>
      <c r="BJ740">
        <v>3</v>
      </c>
      <c r="BK740">
        <v>3.5</v>
      </c>
      <c r="BL740" s="4">
        <v>88.27</v>
      </c>
      <c r="BM740" s="4">
        <v>13.24</v>
      </c>
      <c r="BN740" s="4">
        <v>101.51</v>
      </c>
      <c r="BO740" s="4">
        <v>101.51</v>
      </c>
      <c r="BQ740" t="s">
        <v>522</v>
      </c>
      <c r="BR740" t="s">
        <v>84</v>
      </c>
      <c r="BS740" s="3">
        <v>43808</v>
      </c>
      <c r="BT740" s="5">
        <v>0.3923611111111111</v>
      </c>
      <c r="BU740" t="s">
        <v>1256</v>
      </c>
      <c r="BV740" t="s">
        <v>86</v>
      </c>
      <c r="BY740">
        <v>15049.22</v>
      </c>
      <c r="CC740" t="s">
        <v>222</v>
      </c>
      <c r="CD740">
        <v>3201</v>
      </c>
      <c r="CE740" t="s">
        <v>96</v>
      </c>
      <c r="CF740" s="3">
        <v>43809</v>
      </c>
      <c r="CI740">
        <v>1</v>
      </c>
      <c r="CJ740">
        <v>1</v>
      </c>
      <c r="CK740">
        <v>21</v>
      </c>
      <c r="CL740" t="s">
        <v>89</v>
      </c>
    </row>
    <row r="741" spans="1:90">
      <c r="A741" t="s">
        <v>72</v>
      </c>
      <c r="B741" t="s">
        <v>73</v>
      </c>
      <c r="C741" t="s">
        <v>74</v>
      </c>
      <c r="E741" t="str">
        <f>"FES1162727197"</f>
        <v>FES1162727197</v>
      </c>
      <c r="F741" s="3">
        <v>43805</v>
      </c>
      <c r="G741">
        <v>202006</v>
      </c>
      <c r="H741" t="s">
        <v>75</v>
      </c>
      <c r="I741" t="s">
        <v>76</v>
      </c>
      <c r="J741" t="s">
        <v>77</v>
      </c>
      <c r="K741" t="s">
        <v>78</v>
      </c>
      <c r="L741" t="s">
        <v>626</v>
      </c>
      <c r="M741" t="s">
        <v>627</v>
      </c>
      <c r="N741" t="s">
        <v>1215</v>
      </c>
      <c r="O741" t="s">
        <v>82</v>
      </c>
      <c r="P741" t="str">
        <f>"2170719345                    "</f>
        <v xml:space="preserve">2170719345                    </v>
      </c>
      <c r="Q741">
        <v>0</v>
      </c>
      <c r="R741">
        <v>0</v>
      </c>
      <c r="S741">
        <v>0</v>
      </c>
      <c r="T741">
        <v>0</v>
      </c>
      <c r="U741">
        <v>0</v>
      </c>
      <c r="V741">
        <v>0</v>
      </c>
      <c r="W741">
        <v>0</v>
      </c>
      <c r="X741">
        <v>0</v>
      </c>
      <c r="Y741">
        <v>0</v>
      </c>
      <c r="Z741">
        <v>0</v>
      </c>
      <c r="AA741">
        <v>0</v>
      </c>
      <c r="AB741">
        <v>0</v>
      </c>
      <c r="AC741">
        <v>0</v>
      </c>
      <c r="AD741">
        <v>0</v>
      </c>
      <c r="AE741">
        <v>0</v>
      </c>
      <c r="AF741">
        <v>0</v>
      </c>
      <c r="AG741">
        <v>0</v>
      </c>
      <c r="AH741">
        <v>0</v>
      </c>
      <c r="AI741">
        <v>0</v>
      </c>
      <c r="AJ741">
        <v>0</v>
      </c>
      <c r="AK741">
        <v>0</v>
      </c>
      <c r="AL741">
        <v>0</v>
      </c>
      <c r="AM741">
        <v>55.76</v>
      </c>
      <c r="AN741">
        <v>0</v>
      </c>
      <c r="AO741">
        <v>0</v>
      </c>
      <c r="AP741">
        <v>0</v>
      </c>
      <c r="AQ741">
        <v>0</v>
      </c>
      <c r="AR741">
        <v>0</v>
      </c>
      <c r="AS741">
        <v>0</v>
      </c>
      <c r="AT741">
        <v>0</v>
      </c>
      <c r="AU741">
        <v>0</v>
      </c>
      <c r="AV741">
        <v>0</v>
      </c>
      <c r="AW741">
        <v>0</v>
      </c>
      <c r="AX741">
        <v>0</v>
      </c>
      <c r="AY741">
        <v>0</v>
      </c>
      <c r="AZ741">
        <v>0</v>
      </c>
      <c r="BA741">
        <v>0</v>
      </c>
      <c r="BB741">
        <v>0</v>
      </c>
      <c r="BC741">
        <v>0</v>
      </c>
      <c r="BD741">
        <v>0</v>
      </c>
      <c r="BE741">
        <v>0</v>
      </c>
      <c r="BF741">
        <v>0</v>
      </c>
      <c r="BG741">
        <v>0</v>
      </c>
      <c r="BH741">
        <v>1</v>
      </c>
      <c r="BI741">
        <v>12.9</v>
      </c>
      <c r="BJ741">
        <v>4.5</v>
      </c>
      <c r="BK741">
        <v>13</v>
      </c>
      <c r="BL741" s="4">
        <v>327.75</v>
      </c>
      <c r="BM741" s="4">
        <v>49.16</v>
      </c>
      <c r="BN741" s="4">
        <v>376.91</v>
      </c>
      <c r="BO741" s="4">
        <v>376.91</v>
      </c>
      <c r="BQ741" t="s">
        <v>1216</v>
      </c>
      <c r="BR741" t="s">
        <v>84</v>
      </c>
      <c r="BS741" s="3">
        <v>43808</v>
      </c>
      <c r="BT741" s="5">
        <v>0.3972222222222222</v>
      </c>
      <c r="BU741" t="s">
        <v>1217</v>
      </c>
      <c r="BV741" t="s">
        <v>86</v>
      </c>
      <c r="BY741">
        <v>22747.56</v>
      </c>
      <c r="CA741" t="s">
        <v>1218</v>
      </c>
      <c r="CC741" t="s">
        <v>627</v>
      </c>
      <c r="CD741">
        <v>4120</v>
      </c>
      <c r="CE741" t="s">
        <v>116</v>
      </c>
      <c r="CF741" s="3">
        <v>43809</v>
      </c>
      <c r="CI741">
        <v>1</v>
      </c>
      <c r="CJ741">
        <v>1</v>
      </c>
      <c r="CK741">
        <v>21</v>
      </c>
      <c r="CL741" t="s">
        <v>89</v>
      </c>
    </row>
    <row r="742" spans="1:90">
      <c r="A742" t="s">
        <v>72</v>
      </c>
      <c r="B742" t="s">
        <v>73</v>
      </c>
      <c r="C742" t="s">
        <v>74</v>
      </c>
      <c r="E742" t="str">
        <f>"FES116277073"</f>
        <v>FES116277073</v>
      </c>
      <c r="F742" s="3">
        <v>43805</v>
      </c>
      <c r="G742">
        <v>202006</v>
      </c>
      <c r="H742" t="s">
        <v>75</v>
      </c>
      <c r="I742" t="s">
        <v>76</v>
      </c>
      <c r="J742" t="s">
        <v>77</v>
      </c>
      <c r="K742" t="s">
        <v>78</v>
      </c>
      <c r="L742" t="s">
        <v>332</v>
      </c>
      <c r="M742" t="s">
        <v>333</v>
      </c>
      <c r="N742" t="s">
        <v>1006</v>
      </c>
      <c r="O742" t="s">
        <v>82</v>
      </c>
      <c r="P742" t="str">
        <f>"21707120042                   "</f>
        <v xml:space="preserve">21707120042                   </v>
      </c>
      <c r="Q742">
        <v>0</v>
      </c>
      <c r="R742">
        <v>0</v>
      </c>
      <c r="S742">
        <v>0</v>
      </c>
      <c r="T742">
        <v>0</v>
      </c>
      <c r="U742">
        <v>0</v>
      </c>
      <c r="V742">
        <v>0</v>
      </c>
      <c r="W742">
        <v>0</v>
      </c>
      <c r="X742">
        <v>0</v>
      </c>
      <c r="Y742">
        <v>0</v>
      </c>
      <c r="Z742">
        <v>0</v>
      </c>
      <c r="AA742">
        <v>0</v>
      </c>
      <c r="AB742">
        <v>0</v>
      </c>
      <c r="AC742">
        <v>0</v>
      </c>
      <c r="AD742">
        <v>0</v>
      </c>
      <c r="AE742">
        <v>0</v>
      </c>
      <c r="AF742">
        <v>0</v>
      </c>
      <c r="AG742">
        <v>0</v>
      </c>
      <c r="AH742">
        <v>0</v>
      </c>
      <c r="AI742">
        <v>0</v>
      </c>
      <c r="AJ742">
        <v>0</v>
      </c>
      <c r="AK742">
        <v>0</v>
      </c>
      <c r="AL742">
        <v>0</v>
      </c>
      <c r="AM742">
        <v>20.37</v>
      </c>
      <c r="AN742">
        <v>0</v>
      </c>
      <c r="AO742">
        <v>0</v>
      </c>
      <c r="AP742">
        <v>0</v>
      </c>
      <c r="AQ742">
        <v>0</v>
      </c>
      <c r="AR742">
        <v>0</v>
      </c>
      <c r="AS742">
        <v>0</v>
      </c>
      <c r="AT742">
        <v>0</v>
      </c>
      <c r="AU742">
        <v>0</v>
      </c>
      <c r="AV742">
        <v>0</v>
      </c>
      <c r="AW742">
        <v>0</v>
      </c>
      <c r="AX742">
        <v>0</v>
      </c>
      <c r="AY742">
        <v>0</v>
      </c>
      <c r="AZ742">
        <v>0</v>
      </c>
      <c r="BA742">
        <v>0</v>
      </c>
      <c r="BB742">
        <v>0</v>
      </c>
      <c r="BC742">
        <v>0</v>
      </c>
      <c r="BD742">
        <v>0</v>
      </c>
      <c r="BE742">
        <v>0</v>
      </c>
      <c r="BF742">
        <v>0</v>
      </c>
      <c r="BG742">
        <v>0</v>
      </c>
      <c r="BH742">
        <v>1</v>
      </c>
      <c r="BI742">
        <v>10.5</v>
      </c>
      <c r="BJ742">
        <v>8.1999999999999993</v>
      </c>
      <c r="BK742">
        <v>10.5</v>
      </c>
      <c r="BL742" s="4">
        <v>119.72</v>
      </c>
      <c r="BM742" s="4">
        <v>17.96</v>
      </c>
      <c r="BN742" s="4">
        <v>137.68</v>
      </c>
      <c r="BO742" s="4">
        <v>137.68</v>
      </c>
      <c r="BQ742" t="s">
        <v>1007</v>
      </c>
      <c r="BR742" t="s">
        <v>84</v>
      </c>
      <c r="BS742" s="3">
        <v>43808</v>
      </c>
      <c r="BT742" s="5">
        <v>0.3659722222222222</v>
      </c>
      <c r="BU742" t="s">
        <v>899</v>
      </c>
      <c r="BV742" t="s">
        <v>86</v>
      </c>
      <c r="BY742">
        <v>41149.68</v>
      </c>
      <c r="CC742" t="s">
        <v>333</v>
      </c>
      <c r="CD742">
        <v>2013</v>
      </c>
      <c r="CE742" t="s">
        <v>96</v>
      </c>
      <c r="CI742">
        <v>1</v>
      </c>
      <c r="CJ742">
        <v>1</v>
      </c>
      <c r="CK742">
        <v>22</v>
      </c>
      <c r="CL742" t="s">
        <v>89</v>
      </c>
    </row>
    <row r="743" spans="1:90">
      <c r="A743" t="s">
        <v>72</v>
      </c>
      <c r="B743" t="s">
        <v>73</v>
      </c>
      <c r="C743" t="s">
        <v>74</v>
      </c>
      <c r="E743" t="str">
        <f>"FES1162727209"</f>
        <v>FES1162727209</v>
      </c>
      <c r="F743" s="3">
        <v>43805</v>
      </c>
      <c r="G743">
        <v>202006</v>
      </c>
      <c r="H743" t="s">
        <v>75</v>
      </c>
      <c r="I743" t="s">
        <v>76</v>
      </c>
      <c r="J743" t="s">
        <v>77</v>
      </c>
      <c r="K743" t="s">
        <v>78</v>
      </c>
      <c r="L743" t="s">
        <v>332</v>
      </c>
      <c r="M743" t="s">
        <v>333</v>
      </c>
      <c r="N743" t="s">
        <v>701</v>
      </c>
      <c r="O743" t="s">
        <v>82</v>
      </c>
      <c r="P743" t="str">
        <f>"2170710685                    "</f>
        <v xml:space="preserve">2170710685                    </v>
      </c>
      <c r="Q743">
        <v>0</v>
      </c>
      <c r="R743">
        <v>0</v>
      </c>
      <c r="S743">
        <v>0</v>
      </c>
      <c r="T743">
        <v>0</v>
      </c>
      <c r="U743">
        <v>0</v>
      </c>
      <c r="V743">
        <v>0</v>
      </c>
      <c r="W743">
        <v>0</v>
      </c>
      <c r="X743">
        <v>0</v>
      </c>
      <c r="Y743">
        <v>0</v>
      </c>
      <c r="Z743">
        <v>0</v>
      </c>
      <c r="AA743">
        <v>0</v>
      </c>
      <c r="AB743">
        <v>0</v>
      </c>
      <c r="AC743">
        <v>0</v>
      </c>
      <c r="AD743">
        <v>0</v>
      </c>
      <c r="AE743">
        <v>0</v>
      </c>
      <c r="AF743">
        <v>0</v>
      </c>
      <c r="AG743">
        <v>0</v>
      </c>
      <c r="AH743">
        <v>0</v>
      </c>
      <c r="AI743">
        <v>0</v>
      </c>
      <c r="AJ743">
        <v>0</v>
      </c>
      <c r="AK743">
        <v>0</v>
      </c>
      <c r="AL743">
        <v>0</v>
      </c>
      <c r="AM743">
        <v>6.71</v>
      </c>
      <c r="AN743">
        <v>0</v>
      </c>
      <c r="AO743">
        <v>0</v>
      </c>
      <c r="AP743">
        <v>0</v>
      </c>
      <c r="AQ743">
        <v>0</v>
      </c>
      <c r="AR743">
        <v>0</v>
      </c>
      <c r="AS743">
        <v>0</v>
      </c>
      <c r="AT743">
        <v>0</v>
      </c>
      <c r="AU743">
        <v>0</v>
      </c>
      <c r="AV743">
        <v>0</v>
      </c>
      <c r="AW743">
        <v>0</v>
      </c>
      <c r="AX743">
        <v>0</v>
      </c>
      <c r="AY743">
        <v>0</v>
      </c>
      <c r="AZ743">
        <v>0</v>
      </c>
      <c r="BA743">
        <v>0</v>
      </c>
      <c r="BB743">
        <v>0</v>
      </c>
      <c r="BC743">
        <v>0</v>
      </c>
      <c r="BD743">
        <v>0</v>
      </c>
      <c r="BE743">
        <v>0</v>
      </c>
      <c r="BF743">
        <v>0</v>
      </c>
      <c r="BG743">
        <v>0</v>
      </c>
      <c r="BH743">
        <v>1</v>
      </c>
      <c r="BI743">
        <v>1.8</v>
      </c>
      <c r="BJ743">
        <v>1.3</v>
      </c>
      <c r="BK743">
        <v>2</v>
      </c>
      <c r="BL743" s="4">
        <v>39.42</v>
      </c>
      <c r="BM743" s="4">
        <v>5.91</v>
      </c>
      <c r="BN743" s="4">
        <v>45.33</v>
      </c>
      <c r="BO743" s="4">
        <v>45.33</v>
      </c>
      <c r="BQ743" t="s">
        <v>93</v>
      </c>
      <c r="BR743" t="s">
        <v>84</v>
      </c>
      <c r="BS743" s="3">
        <v>43808</v>
      </c>
      <c r="BT743" s="5">
        <v>0.42152777777777778</v>
      </c>
      <c r="BU743" t="s">
        <v>708</v>
      </c>
      <c r="BV743" t="s">
        <v>86</v>
      </c>
      <c r="BY743">
        <v>6432.41</v>
      </c>
      <c r="CA743" t="s">
        <v>700</v>
      </c>
      <c r="CC743" t="s">
        <v>333</v>
      </c>
      <c r="CD743">
        <v>2094</v>
      </c>
      <c r="CE743" t="s">
        <v>96</v>
      </c>
      <c r="CF743" s="3">
        <v>43809</v>
      </c>
      <c r="CI743">
        <v>1</v>
      </c>
      <c r="CJ743">
        <v>1</v>
      </c>
      <c r="CK743">
        <v>22</v>
      </c>
      <c r="CL743" t="s">
        <v>89</v>
      </c>
    </row>
    <row r="744" spans="1:90">
      <c r="A744" t="s">
        <v>72</v>
      </c>
      <c r="B744" t="s">
        <v>73</v>
      </c>
      <c r="C744" t="s">
        <v>74</v>
      </c>
      <c r="E744" t="str">
        <f>"FES1162727207"</f>
        <v>FES1162727207</v>
      </c>
      <c r="F744" s="3">
        <v>43805</v>
      </c>
      <c r="G744">
        <v>202006</v>
      </c>
      <c r="H744" t="s">
        <v>75</v>
      </c>
      <c r="I744" t="s">
        <v>76</v>
      </c>
      <c r="J744" t="s">
        <v>77</v>
      </c>
      <c r="K744" t="s">
        <v>78</v>
      </c>
      <c r="L744" t="s">
        <v>198</v>
      </c>
      <c r="M744" t="s">
        <v>199</v>
      </c>
      <c r="N744" t="s">
        <v>297</v>
      </c>
      <c r="O744" t="s">
        <v>82</v>
      </c>
      <c r="P744" t="str">
        <f>"2170720080                    "</f>
        <v xml:space="preserve">2170720080                    </v>
      </c>
      <c r="Q744">
        <v>0</v>
      </c>
      <c r="R744">
        <v>0</v>
      </c>
      <c r="S744">
        <v>0</v>
      </c>
      <c r="T744">
        <v>0</v>
      </c>
      <c r="U744">
        <v>0</v>
      </c>
      <c r="V744">
        <v>0</v>
      </c>
      <c r="W744">
        <v>0</v>
      </c>
      <c r="X744">
        <v>0</v>
      </c>
      <c r="Y744">
        <v>0</v>
      </c>
      <c r="Z744">
        <v>0</v>
      </c>
      <c r="AA744">
        <v>0</v>
      </c>
      <c r="AB744">
        <v>0</v>
      </c>
      <c r="AC744">
        <v>0</v>
      </c>
      <c r="AD744">
        <v>0</v>
      </c>
      <c r="AE744">
        <v>0</v>
      </c>
      <c r="AF744">
        <v>0</v>
      </c>
      <c r="AG744">
        <v>0</v>
      </c>
      <c r="AH744">
        <v>0</v>
      </c>
      <c r="AI744">
        <v>0</v>
      </c>
      <c r="AJ744">
        <v>0</v>
      </c>
      <c r="AK744">
        <v>0</v>
      </c>
      <c r="AL744">
        <v>0</v>
      </c>
      <c r="AM744">
        <v>8.58</v>
      </c>
      <c r="AN744">
        <v>0</v>
      </c>
      <c r="AO744">
        <v>0</v>
      </c>
      <c r="AP744">
        <v>0</v>
      </c>
      <c r="AQ744">
        <v>0</v>
      </c>
      <c r="AR744">
        <v>0</v>
      </c>
      <c r="AS744">
        <v>0</v>
      </c>
      <c r="AT744">
        <v>0</v>
      </c>
      <c r="AU744">
        <v>0</v>
      </c>
      <c r="AV744">
        <v>0</v>
      </c>
      <c r="AW744">
        <v>0</v>
      </c>
      <c r="AX744">
        <v>0</v>
      </c>
      <c r="AY744">
        <v>0</v>
      </c>
      <c r="AZ744">
        <v>0</v>
      </c>
      <c r="BA744">
        <v>0</v>
      </c>
      <c r="BB744">
        <v>0</v>
      </c>
      <c r="BC744">
        <v>0</v>
      </c>
      <c r="BD744">
        <v>0</v>
      </c>
      <c r="BE744">
        <v>0</v>
      </c>
      <c r="BF744">
        <v>0</v>
      </c>
      <c r="BG744">
        <v>0</v>
      </c>
      <c r="BH744">
        <v>1</v>
      </c>
      <c r="BI744">
        <v>0.5</v>
      </c>
      <c r="BJ744">
        <v>1.1000000000000001</v>
      </c>
      <c r="BK744">
        <v>1.5</v>
      </c>
      <c r="BL744" s="4">
        <v>50.45</v>
      </c>
      <c r="BM744" s="4">
        <v>7.57</v>
      </c>
      <c r="BN744" s="4">
        <v>58.02</v>
      </c>
      <c r="BO744" s="4">
        <v>58.02</v>
      </c>
      <c r="BQ744" t="s">
        <v>172</v>
      </c>
      <c r="BR744" t="s">
        <v>84</v>
      </c>
      <c r="BS744" s="3">
        <v>43808</v>
      </c>
      <c r="BT744" s="5">
        <v>0.34097222222222223</v>
      </c>
      <c r="BU744" t="s">
        <v>542</v>
      </c>
      <c r="BV744" t="s">
        <v>86</v>
      </c>
      <c r="BY744">
        <v>5425.06</v>
      </c>
      <c r="CA744" t="s">
        <v>299</v>
      </c>
      <c r="CC744" t="s">
        <v>199</v>
      </c>
      <c r="CD744">
        <v>4000</v>
      </c>
      <c r="CE744" t="s">
        <v>96</v>
      </c>
      <c r="CF744" s="3">
        <v>43809</v>
      </c>
      <c r="CI744">
        <v>1</v>
      </c>
      <c r="CJ744">
        <v>1</v>
      </c>
      <c r="CK744">
        <v>21</v>
      </c>
      <c r="CL744" t="s">
        <v>89</v>
      </c>
    </row>
    <row r="745" spans="1:90">
      <c r="A745" t="s">
        <v>72</v>
      </c>
      <c r="B745" t="s">
        <v>73</v>
      </c>
      <c r="C745" t="s">
        <v>74</v>
      </c>
      <c r="E745" t="str">
        <f>"FES1162727185"</f>
        <v>FES1162727185</v>
      </c>
      <c r="F745" s="3">
        <v>43805</v>
      </c>
      <c r="G745">
        <v>202006</v>
      </c>
      <c r="H745" t="s">
        <v>75</v>
      </c>
      <c r="I745" t="s">
        <v>76</v>
      </c>
      <c r="J745" t="s">
        <v>77</v>
      </c>
      <c r="K745" t="s">
        <v>78</v>
      </c>
      <c r="L745" t="s">
        <v>332</v>
      </c>
      <c r="M745" t="s">
        <v>333</v>
      </c>
      <c r="N745" t="s">
        <v>701</v>
      </c>
      <c r="O745" t="s">
        <v>82</v>
      </c>
      <c r="P745" t="str">
        <f>"2170710062                    "</f>
        <v xml:space="preserve">2170710062                    </v>
      </c>
      <c r="Q745">
        <v>0</v>
      </c>
      <c r="R745">
        <v>0</v>
      </c>
      <c r="S745">
        <v>0</v>
      </c>
      <c r="T745">
        <v>0</v>
      </c>
      <c r="U745">
        <v>0</v>
      </c>
      <c r="V745">
        <v>0</v>
      </c>
      <c r="W745">
        <v>0</v>
      </c>
      <c r="X745">
        <v>0</v>
      </c>
      <c r="Y745">
        <v>0</v>
      </c>
      <c r="Z745">
        <v>0</v>
      </c>
      <c r="AA745">
        <v>0</v>
      </c>
      <c r="AB745">
        <v>0</v>
      </c>
      <c r="AC745">
        <v>0</v>
      </c>
      <c r="AD745">
        <v>0</v>
      </c>
      <c r="AE745">
        <v>0</v>
      </c>
      <c r="AF745">
        <v>0</v>
      </c>
      <c r="AG745">
        <v>0</v>
      </c>
      <c r="AH745">
        <v>0</v>
      </c>
      <c r="AI745">
        <v>0</v>
      </c>
      <c r="AJ745">
        <v>0</v>
      </c>
      <c r="AK745">
        <v>0</v>
      </c>
      <c r="AL745">
        <v>0</v>
      </c>
      <c r="AM745">
        <v>6.71</v>
      </c>
      <c r="AN745">
        <v>0</v>
      </c>
      <c r="AO745">
        <v>0</v>
      </c>
      <c r="AP745">
        <v>0</v>
      </c>
      <c r="AQ745">
        <v>0</v>
      </c>
      <c r="AR745">
        <v>0</v>
      </c>
      <c r="AS745">
        <v>0</v>
      </c>
      <c r="AT745">
        <v>0</v>
      </c>
      <c r="AU745">
        <v>0</v>
      </c>
      <c r="AV745">
        <v>0</v>
      </c>
      <c r="AW745">
        <v>0</v>
      </c>
      <c r="AX745">
        <v>0</v>
      </c>
      <c r="AY745">
        <v>0</v>
      </c>
      <c r="AZ745">
        <v>0</v>
      </c>
      <c r="BA745">
        <v>0</v>
      </c>
      <c r="BB745">
        <v>0</v>
      </c>
      <c r="BC745">
        <v>0</v>
      </c>
      <c r="BD745">
        <v>0</v>
      </c>
      <c r="BE745">
        <v>0</v>
      </c>
      <c r="BF745">
        <v>0</v>
      </c>
      <c r="BG745">
        <v>0</v>
      </c>
      <c r="BH745">
        <v>1</v>
      </c>
      <c r="BI745">
        <v>1.2</v>
      </c>
      <c r="BJ745">
        <v>1</v>
      </c>
      <c r="BK745">
        <v>1.5</v>
      </c>
      <c r="BL745" s="4">
        <v>39.42</v>
      </c>
      <c r="BM745" s="4">
        <v>5.91</v>
      </c>
      <c r="BN745" s="4">
        <v>45.33</v>
      </c>
      <c r="BO745" s="4">
        <v>45.33</v>
      </c>
      <c r="BQ745" t="s">
        <v>93</v>
      </c>
      <c r="BR745" t="s">
        <v>84</v>
      </c>
      <c r="BS745" s="3">
        <v>43808</v>
      </c>
      <c r="BT745" s="5">
        <v>0.42291666666666666</v>
      </c>
      <c r="BU745" t="s">
        <v>708</v>
      </c>
      <c r="BV745" t="s">
        <v>86</v>
      </c>
      <c r="BY745">
        <v>4904.7</v>
      </c>
      <c r="CA745" t="s">
        <v>700</v>
      </c>
      <c r="CC745" t="s">
        <v>333</v>
      </c>
      <c r="CD745">
        <v>2094</v>
      </c>
      <c r="CE745" t="s">
        <v>96</v>
      </c>
      <c r="CF745" s="3">
        <v>43809</v>
      </c>
      <c r="CI745">
        <v>1</v>
      </c>
      <c r="CJ745">
        <v>1</v>
      </c>
      <c r="CK745">
        <v>22</v>
      </c>
      <c r="CL745" t="s">
        <v>89</v>
      </c>
    </row>
    <row r="746" spans="1:90">
      <c r="A746" t="s">
        <v>72</v>
      </c>
      <c r="B746" t="s">
        <v>73</v>
      </c>
      <c r="C746" t="s">
        <v>74</v>
      </c>
      <c r="E746" t="str">
        <f>"FES1162727145"</f>
        <v>FES1162727145</v>
      </c>
      <c r="F746" s="3">
        <v>43805</v>
      </c>
      <c r="G746">
        <v>202006</v>
      </c>
      <c r="H746" t="s">
        <v>75</v>
      </c>
      <c r="I746" t="s">
        <v>76</v>
      </c>
      <c r="J746" t="s">
        <v>77</v>
      </c>
      <c r="K746" t="s">
        <v>78</v>
      </c>
      <c r="L746" t="s">
        <v>132</v>
      </c>
      <c r="M746" t="s">
        <v>133</v>
      </c>
      <c r="N746" t="s">
        <v>1257</v>
      </c>
      <c r="O746" t="s">
        <v>82</v>
      </c>
      <c r="P746" t="str">
        <f>"2170716015                    "</f>
        <v xml:space="preserve">2170716015                    </v>
      </c>
      <c r="Q746">
        <v>0</v>
      </c>
      <c r="R746">
        <v>0</v>
      </c>
      <c r="S746">
        <v>0</v>
      </c>
      <c r="T746">
        <v>0</v>
      </c>
      <c r="U746">
        <v>0</v>
      </c>
      <c r="V746">
        <v>0</v>
      </c>
      <c r="W746">
        <v>0</v>
      </c>
      <c r="X746">
        <v>0</v>
      </c>
      <c r="Y746">
        <v>0</v>
      </c>
      <c r="Z746">
        <v>0</v>
      </c>
      <c r="AA746">
        <v>0</v>
      </c>
      <c r="AB746">
        <v>0</v>
      </c>
      <c r="AC746">
        <v>0</v>
      </c>
      <c r="AD746">
        <v>0</v>
      </c>
      <c r="AE746">
        <v>0</v>
      </c>
      <c r="AF746">
        <v>0</v>
      </c>
      <c r="AG746">
        <v>0</v>
      </c>
      <c r="AH746">
        <v>0</v>
      </c>
      <c r="AI746">
        <v>0</v>
      </c>
      <c r="AJ746">
        <v>0</v>
      </c>
      <c r="AK746">
        <v>0</v>
      </c>
      <c r="AL746">
        <v>0</v>
      </c>
      <c r="AM746">
        <v>8.58</v>
      </c>
      <c r="AN746">
        <v>0</v>
      </c>
      <c r="AO746">
        <v>0</v>
      </c>
      <c r="AP746">
        <v>0</v>
      </c>
      <c r="AQ746">
        <v>0</v>
      </c>
      <c r="AR746">
        <v>0</v>
      </c>
      <c r="AS746">
        <v>0</v>
      </c>
      <c r="AT746">
        <v>0</v>
      </c>
      <c r="AU746">
        <v>0</v>
      </c>
      <c r="AV746">
        <v>0</v>
      </c>
      <c r="AW746">
        <v>0</v>
      </c>
      <c r="AX746">
        <v>0</v>
      </c>
      <c r="AY746">
        <v>0</v>
      </c>
      <c r="AZ746">
        <v>0</v>
      </c>
      <c r="BA746">
        <v>0</v>
      </c>
      <c r="BB746">
        <v>0</v>
      </c>
      <c r="BC746">
        <v>0</v>
      </c>
      <c r="BD746">
        <v>0</v>
      </c>
      <c r="BE746">
        <v>0</v>
      </c>
      <c r="BF746">
        <v>0</v>
      </c>
      <c r="BG746">
        <v>0</v>
      </c>
      <c r="BH746">
        <v>1</v>
      </c>
      <c r="BI746">
        <v>1.7</v>
      </c>
      <c r="BJ746">
        <v>1.2</v>
      </c>
      <c r="BK746">
        <v>2</v>
      </c>
      <c r="BL746" s="4">
        <v>50.45</v>
      </c>
      <c r="BM746" s="4">
        <v>7.57</v>
      </c>
      <c r="BN746" s="4">
        <v>58.02</v>
      </c>
      <c r="BO746" s="4">
        <v>58.02</v>
      </c>
      <c r="BQ746" t="s">
        <v>147</v>
      </c>
      <c r="BR746" t="s">
        <v>84</v>
      </c>
      <c r="BS746" s="3">
        <v>43808</v>
      </c>
      <c r="BT746" s="5">
        <v>0.41041666666666665</v>
      </c>
      <c r="BU746" t="s">
        <v>417</v>
      </c>
      <c r="BV746" t="s">
        <v>86</v>
      </c>
      <c r="BY746">
        <v>6014.74</v>
      </c>
      <c r="CA746" t="s">
        <v>137</v>
      </c>
      <c r="CC746" t="s">
        <v>133</v>
      </c>
      <c r="CD746">
        <v>157</v>
      </c>
      <c r="CE746" t="s">
        <v>96</v>
      </c>
      <c r="CF746" s="3">
        <v>43810</v>
      </c>
      <c r="CI746">
        <v>1</v>
      </c>
      <c r="CJ746">
        <v>1</v>
      </c>
      <c r="CK746">
        <v>21</v>
      </c>
      <c r="CL746" t="s">
        <v>89</v>
      </c>
    </row>
    <row r="747" spans="1:90">
      <c r="A747" t="s">
        <v>72</v>
      </c>
      <c r="B747" t="s">
        <v>73</v>
      </c>
      <c r="C747" t="s">
        <v>74</v>
      </c>
      <c r="E747" t="str">
        <f>"FES1162727101"</f>
        <v>FES1162727101</v>
      </c>
      <c r="F747" s="3">
        <v>43805</v>
      </c>
      <c r="G747">
        <v>202006</v>
      </c>
      <c r="H747" t="s">
        <v>75</v>
      </c>
      <c r="I747" t="s">
        <v>76</v>
      </c>
      <c r="J747" t="s">
        <v>77</v>
      </c>
      <c r="K747" t="s">
        <v>78</v>
      </c>
      <c r="L747" t="s">
        <v>75</v>
      </c>
      <c r="M747" t="s">
        <v>76</v>
      </c>
      <c r="N747" t="s">
        <v>317</v>
      </c>
      <c r="O747" t="s">
        <v>82</v>
      </c>
      <c r="P747" t="str">
        <f>"2170719143                    "</f>
        <v xml:space="preserve">2170719143                    </v>
      </c>
      <c r="Q747">
        <v>0</v>
      </c>
      <c r="R747">
        <v>0</v>
      </c>
      <c r="S747">
        <v>0</v>
      </c>
      <c r="T747">
        <v>0</v>
      </c>
      <c r="U747">
        <v>0</v>
      </c>
      <c r="V747">
        <v>0</v>
      </c>
      <c r="W747">
        <v>0</v>
      </c>
      <c r="X747">
        <v>0</v>
      </c>
      <c r="Y747">
        <v>0</v>
      </c>
      <c r="Z747">
        <v>0</v>
      </c>
      <c r="AA747">
        <v>0</v>
      </c>
      <c r="AB747">
        <v>0</v>
      </c>
      <c r="AC747">
        <v>0</v>
      </c>
      <c r="AD747">
        <v>0</v>
      </c>
      <c r="AE747">
        <v>0</v>
      </c>
      <c r="AF747">
        <v>0</v>
      </c>
      <c r="AG747">
        <v>0</v>
      </c>
      <c r="AH747">
        <v>0</v>
      </c>
      <c r="AI747">
        <v>0</v>
      </c>
      <c r="AJ747">
        <v>0</v>
      </c>
      <c r="AK747">
        <v>0</v>
      </c>
      <c r="AL747">
        <v>0</v>
      </c>
      <c r="AM747">
        <v>9.1199999999999992</v>
      </c>
      <c r="AN747">
        <v>0</v>
      </c>
      <c r="AO747">
        <v>0</v>
      </c>
      <c r="AP747">
        <v>0</v>
      </c>
      <c r="AQ747">
        <v>0</v>
      </c>
      <c r="AR747">
        <v>0</v>
      </c>
      <c r="AS747">
        <v>0</v>
      </c>
      <c r="AT747">
        <v>0</v>
      </c>
      <c r="AU747">
        <v>0</v>
      </c>
      <c r="AV747">
        <v>0</v>
      </c>
      <c r="AW747">
        <v>0</v>
      </c>
      <c r="AX747">
        <v>0</v>
      </c>
      <c r="AY747">
        <v>0</v>
      </c>
      <c r="AZ747">
        <v>0</v>
      </c>
      <c r="BA747">
        <v>0</v>
      </c>
      <c r="BB747">
        <v>0</v>
      </c>
      <c r="BC747">
        <v>0</v>
      </c>
      <c r="BD747">
        <v>0</v>
      </c>
      <c r="BE747">
        <v>0</v>
      </c>
      <c r="BF747">
        <v>0</v>
      </c>
      <c r="BG747">
        <v>0</v>
      </c>
      <c r="BH747">
        <v>1</v>
      </c>
      <c r="BI747">
        <v>3.2</v>
      </c>
      <c r="BJ747">
        <v>1.7</v>
      </c>
      <c r="BK747">
        <v>3.5</v>
      </c>
      <c r="BL747" s="4">
        <v>53.59</v>
      </c>
      <c r="BM747" s="4">
        <v>8.0399999999999991</v>
      </c>
      <c r="BN747" s="4">
        <v>61.63</v>
      </c>
      <c r="BO747" s="4">
        <v>61.63</v>
      </c>
      <c r="BQ747" t="s">
        <v>318</v>
      </c>
      <c r="BR747" t="s">
        <v>84</v>
      </c>
      <c r="BS747" s="3">
        <v>43808</v>
      </c>
      <c r="BT747" s="5">
        <v>0.34722222222222227</v>
      </c>
      <c r="BU747" t="s">
        <v>1258</v>
      </c>
      <c r="BV747" t="s">
        <v>86</v>
      </c>
      <c r="BY747">
        <v>8648.64</v>
      </c>
      <c r="CA747" t="s">
        <v>320</v>
      </c>
      <c r="CC747" t="s">
        <v>76</v>
      </c>
      <c r="CD747">
        <v>1666</v>
      </c>
      <c r="CE747" t="s">
        <v>116</v>
      </c>
      <c r="CF747" s="3">
        <v>43809</v>
      </c>
      <c r="CI747">
        <v>1</v>
      </c>
      <c r="CJ747">
        <v>1</v>
      </c>
      <c r="CK747">
        <v>22</v>
      </c>
      <c r="CL747" t="s">
        <v>89</v>
      </c>
    </row>
    <row r="748" spans="1:90">
      <c r="A748" t="s">
        <v>72</v>
      </c>
      <c r="B748" t="s">
        <v>73</v>
      </c>
      <c r="C748" t="s">
        <v>74</v>
      </c>
      <c r="E748" t="str">
        <f>"FES1162727223"</f>
        <v>FES1162727223</v>
      </c>
      <c r="F748" s="3">
        <v>43805</v>
      </c>
      <c r="G748">
        <v>202006</v>
      </c>
      <c r="H748" t="s">
        <v>75</v>
      </c>
      <c r="I748" t="s">
        <v>76</v>
      </c>
      <c r="J748" t="s">
        <v>77</v>
      </c>
      <c r="K748" t="s">
        <v>78</v>
      </c>
      <c r="L748" t="s">
        <v>198</v>
      </c>
      <c r="M748" t="s">
        <v>199</v>
      </c>
      <c r="N748" t="s">
        <v>525</v>
      </c>
      <c r="O748" t="s">
        <v>82</v>
      </c>
      <c r="P748" t="str">
        <f>"21707120710                   "</f>
        <v xml:space="preserve">21707120710                   </v>
      </c>
      <c r="Q748">
        <v>0</v>
      </c>
      <c r="R748">
        <v>0</v>
      </c>
      <c r="S748">
        <v>0</v>
      </c>
      <c r="T748">
        <v>0</v>
      </c>
      <c r="U748">
        <v>0</v>
      </c>
      <c r="V748">
        <v>0</v>
      </c>
      <c r="W748">
        <v>0</v>
      </c>
      <c r="X748">
        <v>0</v>
      </c>
      <c r="Y748">
        <v>0</v>
      </c>
      <c r="Z748">
        <v>0</v>
      </c>
      <c r="AA748">
        <v>0</v>
      </c>
      <c r="AB748">
        <v>0</v>
      </c>
      <c r="AC748">
        <v>0</v>
      </c>
      <c r="AD748">
        <v>0</v>
      </c>
      <c r="AE748">
        <v>0</v>
      </c>
      <c r="AF748">
        <v>0</v>
      </c>
      <c r="AG748">
        <v>0</v>
      </c>
      <c r="AH748">
        <v>0</v>
      </c>
      <c r="AI748">
        <v>0</v>
      </c>
      <c r="AJ748">
        <v>0</v>
      </c>
      <c r="AK748">
        <v>0</v>
      </c>
      <c r="AL748">
        <v>0</v>
      </c>
      <c r="AM748">
        <v>8.58</v>
      </c>
      <c r="AN748">
        <v>0</v>
      </c>
      <c r="AO748">
        <v>0</v>
      </c>
      <c r="AP748">
        <v>0</v>
      </c>
      <c r="AQ748">
        <v>0</v>
      </c>
      <c r="AR748">
        <v>0</v>
      </c>
      <c r="AS748">
        <v>0</v>
      </c>
      <c r="AT748">
        <v>0</v>
      </c>
      <c r="AU748">
        <v>0</v>
      </c>
      <c r="AV748">
        <v>0</v>
      </c>
      <c r="AW748">
        <v>0</v>
      </c>
      <c r="AX748">
        <v>0</v>
      </c>
      <c r="AY748">
        <v>0</v>
      </c>
      <c r="AZ748">
        <v>0</v>
      </c>
      <c r="BA748">
        <v>0</v>
      </c>
      <c r="BB748">
        <v>0</v>
      </c>
      <c r="BC748">
        <v>0</v>
      </c>
      <c r="BD748">
        <v>0</v>
      </c>
      <c r="BE748">
        <v>0</v>
      </c>
      <c r="BF748">
        <v>0</v>
      </c>
      <c r="BG748">
        <v>0</v>
      </c>
      <c r="BH748">
        <v>1</v>
      </c>
      <c r="BI748">
        <v>1.6</v>
      </c>
      <c r="BJ748">
        <v>1.2</v>
      </c>
      <c r="BK748">
        <v>2</v>
      </c>
      <c r="BL748" s="4">
        <v>50.45</v>
      </c>
      <c r="BM748" s="4">
        <v>7.57</v>
      </c>
      <c r="BN748" s="4">
        <v>58.02</v>
      </c>
      <c r="BO748" s="4">
        <v>58.02</v>
      </c>
      <c r="BQ748" t="s">
        <v>147</v>
      </c>
      <c r="BR748" t="s">
        <v>84</v>
      </c>
      <c r="BS748" s="3">
        <v>43808</v>
      </c>
      <c r="BT748" s="5">
        <v>0.43402777777777773</v>
      </c>
      <c r="BU748" t="s">
        <v>1259</v>
      </c>
      <c r="BV748" t="s">
        <v>86</v>
      </c>
      <c r="BY748">
        <v>5904.58</v>
      </c>
      <c r="CA748" t="s">
        <v>408</v>
      </c>
      <c r="CC748" t="s">
        <v>199</v>
      </c>
      <c r="CD748">
        <v>4001</v>
      </c>
      <c r="CE748" t="s">
        <v>96</v>
      </c>
      <c r="CF748" s="3">
        <v>43809</v>
      </c>
      <c r="CI748">
        <v>1</v>
      </c>
      <c r="CJ748">
        <v>1</v>
      </c>
      <c r="CK748">
        <v>21</v>
      </c>
      <c r="CL748" t="s">
        <v>89</v>
      </c>
    </row>
    <row r="749" spans="1:90">
      <c r="A749" t="s">
        <v>72</v>
      </c>
      <c r="B749" t="s">
        <v>73</v>
      </c>
      <c r="C749" t="s">
        <v>74</v>
      </c>
      <c r="E749" t="str">
        <f>"FES1162727097"</f>
        <v>FES1162727097</v>
      </c>
      <c r="F749" s="3">
        <v>43805</v>
      </c>
      <c r="G749">
        <v>202006</v>
      </c>
      <c r="H749" t="s">
        <v>75</v>
      </c>
      <c r="I749" t="s">
        <v>76</v>
      </c>
      <c r="J749" t="s">
        <v>77</v>
      </c>
      <c r="K749" t="s">
        <v>78</v>
      </c>
      <c r="L749" t="s">
        <v>79</v>
      </c>
      <c r="M749" t="s">
        <v>80</v>
      </c>
      <c r="N749" t="s">
        <v>129</v>
      </c>
      <c r="O749" t="s">
        <v>82</v>
      </c>
      <c r="P749" t="str">
        <f>"2170710566                    "</f>
        <v xml:space="preserve">2170710566                    </v>
      </c>
      <c r="Q749">
        <v>0</v>
      </c>
      <c r="R749">
        <v>0</v>
      </c>
      <c r="S749">
        <v>0</v>
      </c>
      <c r="T749">
        <v>0</v>
      </c>
      <c r="U749">
        <v>0</v>
      </c>
      <c r="V749">
        <v>0</v>
      </c>
      <c r="W749">
        <v>0</v>
      </c>
      <c r="X749">
        <v>0</v>
      </c>
      <c r="Y749">
        <v>0</v>
      </c>
      <c r="Z749">
        <v>0</v>
      </c>
      <c r="AA749">
        <v>0</v>
      </c>
      <c r="AB749">
        <v>0</v>
      </c>
      <c r="AC749">
        <v>0</v>
      </c>
      <c r="AD749">
        <v>0</v>
      </c>
      <c r="AE749">
        <v>0</v>
      </c>
      <c r="AF749">
        <v>0</v>
      </c>
      <c r="AG749">
        <v>0</v>
      </c>
      <c r="AH749">
        <v>0</v>
      </c>
      <c r="AI749">
        <v>0</v>
      </c>
      <c r="AJ749">
        <v>0</v>
      </c>
      <c r="AK749">
        <v>0</v>
      </c>
      <c r="AL749">
        <v>0</v>
      </c>
      <c r="AM749">
        <v>12.87</v>
      </c>
      <c r="AN749">
        <v>0</v>
      </c>
      <c r="AO749">
        <v>0</v>
      </c>
      <c r="AP749">
        <v>0</v>
      </c>
      <c r="AQ749">
        <v>0</v>
      </c>
      <c r="AR749">
        <v>0</v>
      </c>
      <c r="AS749">
        <v>0</v>
      </c>
      <c r="AT749">
        <v>0</v>
      </c>
      <c r="AU749">
        <v>0</v>
      </c>
      <c r="AV749">
        <v>0</v>
      </c>
      <c r="AW749">
        <v>0</v>
      </c>
      <c r="AX749">
        <v>0</v>
      </c>
      <c r="AY749">
        <v>0</v>
      </c>
      <c r="AZ749">
        <v>0</v>
      </c>
      <c r="BA749">
        <v>0</v>
      </c>
      <c r="BB749">
        <v>0</v>
      </c>
      <c r="BC749">
        <v>0</v>
      </c>
      <c r="BD749">
        <v>0</v>
      </c>
      <c r="BE749">
        <v>0</v>
      </c>
      <c r="BF749">
        <v>0</v>
      </c>
      <c r="BG749">
        <v>0</v>
      </c>
      <c r="BH749">
        <v>1</v>
      </c>
      <c r="BI749">
        <v>3</v>
      </c>
      <c r="BJ749">
        <v>1.6</v>
      </c>
      <c r="BK749">
        <v>3</v>
      </c>
      <c r="BL749" s="4">
        <v>75.66</v>
      </c>
      <c r="BM749" s="4">
        <v>11.35</v>
      </c>
      <c r="BN749" s="4">
        <v>87.01</v>
      </c>
      <c r="BO749" s="4">
        <v>87.01</v>
      </c>
      <c r="BQ749" t="s">
        <v>147</v>
      </c>
      <c r="BR749" t="s">
        <v>84</v>
      </c>
      <c r="BS749" s="3">
        <v>43808</v>
      </c>
      <c r="BT749" s="5">
        <v>0.37083333333333335</v>
      </c>
      <c r="BU749" t="s">
        <v>1260</v>
      </c>
      <c r="BV749" t="s">
        <v>86</v>
      </c>
      <c r="BY749">
        <v>8137.58</v>
      </c>
      <c r="CA749" t="s">
        <v>1156</v>
      </c>
      <c r="CC749" t="s">
        <v>80</v>
      </c>
      <c r="CD749">
        <v>6001</v>
      </c>
      <c r="CE749" t="s">
        <v>96</v>
      </c>
      <c r="CF749" s="3">
        <v>43809</v>
      </c>
      <c r="CI749">
        <v>1</v>
      </c>
      <c r="CJ749">
        <v>1</v>
      </c>
      <c r="CK749">
        <v>21</v>
      </c>
      <c r="CL749" t="s">
        <v>89</v>
      </c>
    </row>
    <row r="750" spans="1:90">
      <c r="A750" t="s">
        <v>72</v>
      </c>
      <c r="B750" t="s">
        <v>73</v>
      </c>
      <c r="C750" t="s">
        <v>74</v>
      </c>
      <c r="E750" t="str">
        <f>"FES1162726642"</f>
        <v>FES1162726642</v>
      </c>
      <c r="F750" s="3">
        <v>43805</v>
      </c>
      <c r="G750">
        <v>202006</v>
      </c>
      <c r="H750" t="s">
        <v>75</v>
      </c>
      <c r="I750" t="s">
        <v>76</v>
      </c>
      <c r="J750" t="s">
        <v>77</v>
      </c>
      <c r="K750" t="s">
        <v>78</v>
      </c>
      <c r="L750" t="s">
        <v>164</v>
      </c>
      <c r="M750" t="s">
        <v>165</v>
      </c>
      <c r="N750" t="s">
        <v>263</v>
      </c>
      <c r="O750" t="s">
        <v>82</v>
      </c>
      <c r="P750" t="str">
        <f>"2170719591                    "</f>
        <v xml:space="preserve">2170719591                    </v>
      </c>
      <c r="Q750">
        <v>0</v>
      </c>
      <c r="R750">
        <v>0</v>
      </c>
      <c r="S750">
        <v>0</v>
      </c>
      <c r="T750">
        <v>0</v>
      </c>
      <c r="U750">
        <v>0</v>
      </c>
      <c r="V750">
        <v>0</v>
      </c>
      <c r="W750">
        <v>0</v>
      </c>
      <c r="X750">
        <v>0</v>
      </c>
      <c r="Y750">
        <v>0</v>
      </c>
      <c r="Z750">
        <v>0</v>
      </c>
      <c r="AA750">
        <v>0</v>
      </c>
      <c r="AB750">
        <v>0</v>
      </c>
      <c r="AC750">
        <v>0</v>
      </c>
      <c r="AD750">
        <v>0</v>
      </c>
      <c r="AE750">
        <v>0</v>
      </c>
      <c r="AF750">
        <v>0</v>
      </c>
      <c r="AG750">
        <v>0</v>
      </c>
      <c r="AH750">
        <v>0</v>
      </c>
      <c r="AI750">
        <v>0</v>
      </c>
      <c r="AJ750">
        <v>0</v>
      </c>
      <c r="AK750">
        <v>0</v>
      </c>
      <c r="AL750">
        <v>0</v>
      </c>
      <c r="AM750">
        <v>23.59</v>
      </c>
      <c r="AN750">
        <v>0</v>
      </c>
      <c r="AO750">
        <v>0</v>
      </c>
      <c r="AP750">
        <v>0</v>
      </c>
      <c r="AQ750">
        <v>0</v>
      </c>
      <c r="AR750">
        <v>0</v>
      </c>
      <c r="AS750">
        <v>0</v>
      </c>
      <c r="AT750">
        <v>0</v>
      </c>
      <c r="AU750">
        <v>0</v>
      </c>
      <c r="AV750">
        <v>0</v>
      </c>
      <c r="AW750">
        <v>0</v>
      </c>
      <c r="AX750">
        <v>0</v>
      </c>
      <c r="AY750">
        <v>0</v>
      </c>
      <c r="AZ750">
        <v>0</v>
      </c>
      <c r="BA750">
        <v>0</v>
      </c>
      <c r="BB750">
        <v>0</v>
      </c>
      <c r="BC750">
        <v>0</v>
      </c>
      <c r="BD750">
        <v>0</v>
      </c>
      <c r="BE750">
        <v>0</v>
      </c>
      <c r="BF750">
        <v>0</v>
      </c>
      <c r="BG750">
        <v>0</v>
      </c>
      <c r="BH750">
        <v>1</v>
      </c>
      <c r="BI750">
        <v>5.0999999999999996</v>
      </c>
      <c r="BJ750">
        <v>2.2000000000000002</v>
      </c>
      <c r="BK750">
        <v>5.5</v>
      </c>
      <c r="BL750" s="4">
        <v>138.68</v>
      </c>
      <c r="BM750" s="4">
        <v>20.8</v>
      </c>
      <c r="BN750" s="4">
        <v>159.47999999999999</v>
      </c>
      <c r="BO750" s="4">
        <v>159.47999999999999</v>
      </c>
      <c r="BQ750" t="s">
        <v>147</v>
      </c>
      <c r="BR750" t="s">
        <v>84</v>
      </c>
      <c r="BS750" s="3">
        <v>43808</v>
      </c>
      <c r="BT750" s="5">
        <v>0.36180555555555555</v>
      </c>
      <c r="BU750" t="s">
        <v>1261</v>
      </c>
      <c r="BV750" t="s">
        <v>86</v>
      </c>
      <c r="BY750">
        <v>11188.61</v>
      </c>
      <c r="CA750" t="s">
        <v>371</v>
      </c>
      <c r="CC750" t="s">
        <v>165</v>
      </c>
      <c r="CD750">
        <v>5201</v>
      </c>
      <c r="CE750" t="s">
        <v>116</v>
      </c>
      <c r="CF750" s="3">
        <v>43809</v>
      </c>
      <c r="CI750">
        <v>1</v>
      </c>
      <c r="CJ750">
        <v>1</v>
      </c>
      <c r="CK750">
        <v>21</v>
      </c>
      <c r="CL750" t="s">
        <v>89</v>
      </c>
    </row>
    <row r="751" spans="1:90">
      <c r="A751" t="s">
        <v>72</v>
      </c>
      <c r="B751" t="s">
        <v>73</v>
      </c>
      <c r="C751" t="s">
        <v>74</v>
      </c>
      <c r="E751" t="str">
        <f>"FES1162726719"</f>
        <v>FES1162726719</v>
      </c>
      <c r="F751" s="3">
        <v>43805</v>
      </c>
      <c r="G751">
        <v>202006</v>
      </c>
      <c r="H751" t="s">
        <v>75</v>
      </c>
      <c r="I751" t="s">
        <v>76</v>
      </c>
      <c r="J751" t="s">
        <v>77</v>
      </c>
      <c r="K751" t="s">
        <v>78</v>
      </c>
      <c r="L751" t="s">
        <v>79</v>
      </c>
      <c r="M751" t="s">
        <v>80</v>
      </c>
      <c r="N751" t="s">
        <v>300</v>
      </c>
      <c r="O751" t="s">
        <v>82</v>
      </c>
      <c r="P751" t="str">
        <f>"2170712019                    "</f>
        <v xml:space="preserve">2170712019                    </v>
      </c>
      <c r="Q751">
        <v>0</v>
      </c>
      <c r="R751">
        <v>0</v>
      </c>
      <c r="S751">
        <v>0</v>
      </c>
      <c r="T751">
        <v>0</v>
      </c>
      <c r="U751">
        <v>0</v>
      </c>
      <c r="V751">
        <v>0</v>
      </c>
      <c r="W751">
        <v>0</v>
      </c>
      <c r="X751">
        <v>0</v>
      </c>
      <c r="Y751">
        <v>0</v>
      </c>
      <c r="Z751">
        <v>0</v>
      </c>
      <c r="AA751">
        <v>0</v>
      </c>
      <c r="AB751">
        <v>0</v>
      </c>
      <c r="AC751">
        <v>0</v>
      </c>
      <c r="AD751">
        <v>0</v>
      </c>
      <c r="AE751">
        <v>0</v>
      </c>
      <c r="AF751">
        <v>0</v>
      </c>
      <c r="AG751">
        <v>0</v>
      </c>
      <c r="AH751">
        <v>0</v>
      </c>
      <c r="AI751">
        <v>0</v>
      </c>
      <c r="AJ751">
        <v>0</v>
      </c>
      <c r="AK751">
        <v>0</v>
      </c>
      <c r="AL751">
        <v>0</v>
      </c>
      <c r="AM751">
        <v>25.74</v>
      </c>
      <c r="AN751">
        <v>0</v>
      </c>
      <c r="AO751">
        <v>0</v>
      </c>
      <c r="AP751">
        <v>0</v>
      </c>
      <c r="AQ751">
        <v>0</v>
      </c>
      <c r="AR751">
        <v>0</v>
      </c>
      <c r="AS751">
        <v>0</v>
      </c>
      <c r="AT751">
        <v>0</v>
      </c>
      <c r="AU751">
        <v>0</v>
      </c>
      <c r="AV751">
        <v>0</v>
      </c>
      <c r="AW751">
        <v>0</v>
      </c>
      <c r="AX751">
        <v>0</v>
      </c>
      <c r="AY751">
        <v>0</v>
      </c>
      <c r="AZ751">
        <v>0</v>
      </c>
      <c r="BA751">
        <v>0</v>
      </c>
      <c r="BB751">
        <v>0</v>
      </c>
      <c r="BC751">
        <v>0</v>
      </c>
      <c r="BD751">
        <v>0</v>
      </c>
      <c r="BE751">
        <v>0</v>
      </c>
      <c r="BF751">
        <v>0</v>
      </c>
      <c r="BG751">
        <v>0</v>
      </c>
      <c r="BH751">
        <v>1</v>
      </c>
      <c r="BI751">
        <v>5.6</v>
      </c>
      <c r="BJ751">
        <v>3.4</v>
      </c>
      <c r="BK751">
        <v>6</v>
      </c>
      <c r="BL751" s="4">
        <v>151.29</v>
      </c>
      <c r="BM751" s="4">
        <v>22.69</v>
      </c>
      <c r="BN751" s="4">
        <v>173.98</v>
      </c>
      <c r="BO751" s="4">
        <v>173.98</v>
      </c>
      <c r="BQ751" t="s">
        <v>147</v>
      </c>
      <c r="BR751" t="s">
        <v>84</v>
      </c>
      <c r="BS751" s="3">
        <v>43808</v>
      </c>
      <c r="BT751" s="5">
        <v>0.3888888888888889</v>
      </c>
      <c r="BU751" t="s">
        <v>403</v>
      </c>
      <c r="BV751" t="s">
        <v>86</v>
      </c>
      <c r="BY751">
        <v>17206.509999999998</v>
      </c>
      <c r="CA751" t="s">
        <v>99</v>
      </c>
      <c r="CC751" t="s">
        <v>80</v>
      </c>
      <c r="CD751">
        <v>6001</v>
      </c>
      <c r="CE751" t="s">
        <v>96</v>
      </c>
      <c r="CF751" s="3">
        <v>43809</v>
      </c>
      <c r="CI751">
        <v>1</v>
      </c>
      <c r="CJ751">
        <v>1</v>
      </c>
      <c r="CK751">
        <v>21</v>
      </c>
      <c r="CL751" t="s">
        <v>89</v>
      </c>
    </row>
    <row r="752" spans="1:90">
      <c r="A752" t="s">
        <v>72</v>
      </c>
      <c r="B752" t="s">
        <v>73</v>
      </c>
      <c r="C752" t="s">
        <v>74</v>
      </c>
      <c r="E752" t="str">
        <f>"FES1162727078"</f>
        <v>FES1162727078</v>
      </c>
      <c r="F752" s="3">
        <v>43805</v>
      </c>
      <c r="G752">
        <v>202006</v>
      </c>
      <c r="H752" t="s">
        <v>75</v>
      </c>
      <c r="I752" t="s">
        <v>76</v>
      </c>
      <c r="J752" t="s">
        <v>77</v>
      </c>
      <c r="K752" t="s">
        <v>78</v>
      </c>
      <c r="L752" t="s">
        <v>332</v>
      </c>
      <c r="M752" t="s">
        <v>333</v>
      </c>
      <c r="N752" t="s">
        <v>1262</v>
      </c>
      <c r="O752" t="s">
        <v>82</v>
      </c>
      <c r="P752" t="str">
        <f>"2170717983                    "</f>
        <v xml:space="preserve">2170717983                    </v>
      </c>
      <c r="Q752">
        <v>0</v>
      </c>
      <c r="R752">
        <v>0</v>
      </c>
      <c r="S752">
        <v>0</v>
      </c>
      <c r="T752">
        <v>0</v>
      </c>
      <c r="U752">
        <v>0</v>
      </c>
      <c r="V752">
        <v>0</v>
      </c>
      <c r="W752">
        <v>0</v>
      </c>
      <c r="X752">
        <v>0</v>
      </c>
      <c r="Y752">
        <v>0</v>
      </c>
      <c r="Z752">
        <v>0</v>
      </c>
      <c r="AA752">
        <v>0</v>
      </c>
      <c r="AB752">
        <v>0</v>
      </c>
      <c r="AC752">
        <v>0</v>
      </c>
      <c r="AD752">
        <v>0</v>
      </c>
      <c r="AE752">
        <v>0</v>
      </c>
      <c r="AF752">
        <v>0</v>
      </c>
      <c r="AG752">
        <v>0</v>
      </c>
      <c r="AH752">
        <v>0</v>
      </c>
      <c r="AI752">
        <v>0</v>
      </c>
      <c r="AJ752">
        <v>0</v>
      </c>
      <c r="AK752">
        <v>0</v>
      </c>
      <c r="AL752">
        <v>0</v>
      </c>
      <c r="AM752">
        <v>6.71</v>
      </c>
      <c r="AN752">
        <v>0</v>
      </c>
      <c r="AO752">
        <v>0</v>
      </c>
      <c r="AP752">
        <v>0</v>
      </c>
      <c r="AQ752">
        <v>0</v>
      </c>
      <c r="AR752">
        <v>0</v>
      </c>
      <c r="AS752">
        <v>0</v>
      </c>
      <c r="AT752">
        <v>0</v>
      </c>
      <c r="AU752">
        <v>0</v>
      </c>
      <c r="AV752">
        <v>0</v>
      </c>
      <c r="AW752">
        <v>0</v>
      </c>
      <c r="AX752">
        <v>0</v>
      </c>
      <c r="AY752">
        <v>0</v>
      </c>
      <c r="AZ752">
        <v>0</v>
      </c>
      <c r="BA752">
        <v>0</v>
      </c>
      <c r="BB752">
        <v>0</v>
      </c>
      <c r="BC752">
        <v>0</v>
      </c>
      <c r="BD752">
        <v>0</v>
      </c>
      <c r="BE752">
        <v>0</v>
      </c>
      <c r="BF752">
        <v>0</v>
      </c>
      <c r="BG752">
        <v>0</v>
      </c>
      <c r="BH752">
        <v>1</v>
      </c>
      <c r="BI752">
        <v>1.7</v>
      </c>
      <c r="BJ752">
        <v>0.9</v>
      </c>
      <c r="BK752">
        <v>2</v>
      </c>
      <c r="BL752" s="4">
        <v>39.42</v>
      </c>
      <c r="BM752" s="4">
        <v>5.91</v>
      </c>
      <c r="BN752" s="4">
        <v>45.33</v>
      </c>
      <c r="BO752" s="4">
        <v>45.33</v>
      </c>
      <c r="BQ752" t="s">
        <v>256</v>
      </c>
      <c r="BR752" t="s">
        <v>84</v>
      </c>
      <c r="BS752" s="3">
        <v>43808</v>
      </c>
      <c r="BT752" s="5">
        <v>0.40972222222222227</v>
      </c>
      <c r="BU752" t="s">
        <v>1263</v>
      </c>
      <c r="BV752" t="s">
        <v>86</v>
      </c>
      <c r="BY752">
        <v>4371.21</v>
      </c>
      <c r="CA752" t="s">
        <v>1264</v>
      </c>
      <c r="CC752" t="s">
        <v>333</v>
      </c>
      <c r="CD752">
        <v>2091</v>
      </c>
      <c r="CE752" t="s">
        <v>96</v>
      </c>
      <c r="CI752">
        <v>1</v>
      </c>
      <c r="CJ752">
        <v>1</v>
      </c>
      <c r="CK752">
        <v>22</v>
      </c>
      <c r="CL752" t="s">
        <v>89</v>
      </c>
    </row>
    <row r="753" spans="1:90">
      <c r="A753" t="s">
        <v>72</v>
      </c>
      <c r="B753" t="s">
        <v>73</v>
      </c>
      <c r="C753" t="s">
        <v>74</v>
      </c>
      <c r="E753" t="str">
        <f>"FES1162727224"</f>
        <v>FES1162727224</v>
      </c>
      <c r="F753" s="3">
        <v>43805</v>
      </c>
      <c r="G753">
        <v>202006</v>
      </c>
      <c r="H753" t="s">
        <v>75</v>
      </c>
      <c r="I753" t="s">
        <v>76</v>
      </c>
      <c r="J753" t="s">
        <v>77</v>
      </c>
      <c r="K753" t="s">
        <v>78</v>
      </c>
      <c r="L753" t="s">
        <v>198</v>
      </c>
      <c r="M753" t="s">
        <v>199</v>
      </c>
      <c r="N753" t="s">
        <v>1265</v>
      </c>
      <c r="O753" t="s">
        <v>82</v>
      </c>
      <c r="P753" t="str">
        <f>"2170720711                    "</f>
        <v xml:space="preserve">2170720711                    </v>
      </c>
      <c r="Q753">
        <v>0</v>
      </c>
      <c r="R753">
        <v>0</v>
      </c>
      <c r="S753">
        <v>0</v>
      </c>
      <c r="T753">
        <v>0</v>
      </c>
      <c r="U753">
        <v>0</v>
      </c>
      <c r="V753">
        <v>0</v>
      </c>
      <c r="W753">
        <v>0</v>
      </c>
      <c r="X753">
        <v>0</v>
      </c>
      <c r="Y753">
        <v>0</v>
      </c>
      <c r="Z753">
        <v>0</v>
      </c>
      <c r="AA753">
        <v>0</v>
      </c>
      <c r="AB753">
        <v>0</v>
      </c>
      <c r="AC753">
        <v>0</v>
      </c>
      <c r="AD753">
        <v>0</v>
      </c>
      <c r="AE753">
        <v>0</v>
      </c>
      <c r="AF753">
        <v>0</v>
      </c>
      <c r="AG753">
        <v>0</v>
      </c>
      <c r="AH753">
        <v>0</v>
      </c>
      <c r="AI753">
        <v>0</v>
      </c>
      <c r="AJ753">
        <v>0</v>
      </c>
      <c r="AK753">
        <v>0</v>
      </c>
      <c r="AL753">
        <v>0</v>
      </c>
      <c r="AM753">
        <v>8.58</v>
      </c>
      <c r="AN753">
        <v>0</v>
      </c>
      <c r="AO753">
        <v>0</v>
      </c>
      <c r="AP753">
        <v>0</v>
      </c>
      <c r="AQ753">
        <v>0</v>
      </c>
      <c r="AR753">
        <v>0</v>
      </c>
      <c r="AS753">
        <v>0</v>
      </c>
      <c r="AT753">
        <v>0</v>
      </c>
      <c r="AU753">
        <v>0</v>
      </c>
      <c r="AV753">
        <v>0</v>
      </c>
      <c r="AW753">
        <v>0</v>
      </c>
      <c r="AX753">
        <v>0</v>
      </c>
      <c r="AY753">
        <v>0</v>
      </c>
      <c r="AZ753">
        <v>0</v>
      </c>
      <c r="BA753">
        <v>0</v>
      </c>
      <c r="BB753">
        <v>0</v>
      </c>
      <c r="BC753">
        <v>0</v>
      </c>
      <c r="BD753">
        <v>0</v>
      </c>
      <c r="BE753">
        <v>0</v>
      </c>
      <c r="BF753">
        <v>0</v>
      </c>
      <c r="BG753">
        <v>0</v>
      </c>
      <c r="BH753">
        <v>1</v>
      </c>
      <c r="BI753">
        <v>1</v>
      </c>
      <c r="BJ753">
        <v>0.2</v>
      </c>
      <c r="BK753">
        <v>1</v>
      </c>
      <c r="BL753" s="4">
        <v>50.45</v>
      </c>
      <c r="BM753" s="4">
        <v>7.57</v>
      </c>
      <c r="BN753" s="4">
        <v>58.02</v>
      </c>
      <c r="BO753" s="4">
        <v>58.02</v>
      </c>
      <c r="BQ753" t="s">
        <v>147</v>
      </c>
      <c r="BR753" t="s">
        <v>84</v>
      </c>
      <c r="BS753" s="3">
        <v>43808</v>
      </c>
      <c r="BT753" s="5">
        <v>0.43402777777777773</v>
      </c>
      <c r="BU753" t="s">
        <v>1259</v>
      </c>
      <c r="BV753" t="s">
        <v>86</v>
      </c>
      <c r="BY753">
        <v>1200</v>
      </c>
      <c r="CA753" t="s">
        <v>408</v>
      </c>
      <c r="CC753" t="s">
        <v>199</v>
      </c>
      <c r="CD753">
        <v>4001</v>
      </c>
      <c r="CE753" t="s">
        <v>88</v>
      </c>
      <c r="CF753" s="3">
        <v>43809</v>
      </c>
      <c r="CI753">
        <v>1</v>
      </c>
      <c r="CJ753">
        <v>1</v>
      </c>
      <c r="CK753">
        <v>21</v>
      </c>
      <c r="CL753" t="s">
        <v>89</v>
      </c>
    </row>
    <row r="754" spans="1:90">
      <c r="A754" t="s">
        <v>72</v>
      </c>
      <c r="B754" t="s">
        <v>73</v>
      </c>
      <c r="C754" t="s">
        <v>74</v>
      </c>
      <c r="E754" t="str">
        <f>"FES1162727193"</f>
        <v>FES1162727193</v>
      </c>
      <c r="F754" s="3">
        <v>43805</v>
      </c>
      <c r="G754">
        <v>202006</v>
      </c>
      <c r="H754" t="s">
        <v>75</v>
      </c>
      <c r="I754" t="s">
        <v>76</v>
      </c>
      <c r="J754" t="s">
        <v>77</v>
      </c>
      <c r="K754" t="s">
        <v>78</v>
      </c>
      <c r="L754" t="s">
        <v>198</v>
      </c>
      <c r="M754" t="s">
        <v>199</v>
      </c>
      <c r="N754" t="s">
        <v>503</v>
      </c>
      <c r="O754" t="s">
        <v>82</v>
      </c>
      <c r="P754" t="str">
        <f>"2170720670                    "</f>
        <v xml:space="preserve">2170720670                    </v>
      </c>
      <c r="Q754">
        <v>0</v>
      </c>
      <c r="R754">
        <v>0</v>
      </c>
      <c r="S754">
        <v>0</v>
      </c>
      <c r="T754">
        <v>0</v>
      </c>
      <c r="U754">
        <v>0</v>
      </c>
      <c r="V754">
        <v>0</v>
      </c>
      <c r="W754">
        <v>0</v>
      </c>
      <c r="X754">
        <v>0</v>
      </c>
      <c r="Y754">
        <v>0</v>
      </c>
      <c r="Z754">
        <v>0</v>
      </c>
      <c r="AA754">
        <v>0</v>
      </c>
      <c r="AB754">
        <v>0</v>
      </c>
      <c r="AC754">
        <v>0</v>
      </c>
      <c r="AD754">
        <v>0</v>
      </c>
      <c r="AE754">
        <v>0</v>
      </c>
      <c r="AF754">
        <v>0</v>
      </c>
      <c r="AG754">
        <v>0</v>
      </c>
      <c r="AH754">
        <v>0</v>
      </c>
      <c r="AI754">
        <v>0</v>
      </c>
      <c r="AJ754">
        <v>0</v>
      </c>
      <c r="AK754">
        <v>0</v>
      </c>
      <c r="AL754">
        <v>0</v>
      </c>
      <c r="AM754">
        <v>8.58</v>
      </c>
      <c r="AN754">
        <v>0</v>
      </c>
      <c r="AO754">
        <v>0</v>
      </c>
      <c r="AP754">
        <v>0</v>
      </c>
      <c r="AQ754">
        <v>0</v>
      </c>
      <c r="AR754">
        <v>0</v>
      </c>
      <c r="AS754">
        <v>0</v>
      </c>
      <c r="AT754">
        <v>0</v>
      </c>
      <c r="AU754">
        <v>0</v>
      </c>
      <c r="AV754">
        <v>0</v>
      </c>
      <c r="AW754">
        <v>0</v>
      </c>
      <c r="AX754">
        <v>0</v>
      </c>
      <c r="AY754">
        <v>0</v>
      </c>
      <c r="AZ754">
        <v>0</v>
      </c>
      <c r="BA754">
        <v>0</v>
      </c>
      <c r="BB754">
        <v>0</v>
      </c>
      <c r="BC754">
        <v>0</v>
      </c>
      <c r="BD754">
        <v>0</v>
      </c>
      <c r="BE754">
        <v>0</v>
      </c>
      <c r="BF754">
        <v>0</v>
      </c>
      <c r="BG754">
        <v>0</v>
      </c>
      <c r="BH754">
        <v>1</v>
      </c>
      <c r="BI754">
        <v>1</v>
      </c>
      <c r="BJ754">
        <v>0.2</v>
      </c>
      <c r="BK754">
        <v>1</v>
      </c>
      <c r="BL754" s="4">
        <v>50.45</v>
      </c>
      <c r="BM754" s="4">
        <v>7.57</v>
      </c>
      <c r="BN754" s="4">
        <v>58.02</v>
      </c>
      <c r="BO754" s="4">
        <v>58.02</v>
      </c>
      <c r="BQ754" t="s">
        <v>93</v>
      </c>
      <c r="BR754" t="s">
        <v>84</v>
      </c>
      <c r="BS754" s="3">
        <v>43808</v>
      </c>
      <c r="BT754" s="5">
        <v>0.43402777777777773</v>
      </c>
      <c r="BU754" t="s">
        <v>1266</v>
      </c>
      <c r="BV754" t="s">
        <v>86</v>
      </c>
      <c r="BY754">
        <v>1200</v>
      </c>
      <c r="CA754" t="s">
        <v>212</v>
      </c>
      <c r="CC754" t="s">
        <v>199</v>
      </c>
      <c r="CD754">
        <v>4068</v>
      </c>
      <c r="CE754" t="s">
        <v>88</v>
      </c>
      <c r="CF754" s="3">
        <v>43809</v>
      </c>
      <c r="CI754">
        <v>1</v>
      </c>
      <c r="CJ754">
        <v>1</v>
      </c>
      <c r="CK754">
        <v>21</v>
      </c>
      <c r="CL754" t="s">
        <v>89</v>
      </c>
    </row>
    <row r="755" spans="1:90">
      <c r="A755" t="s">
        <v>72</v>
      </c>
      <c r="B755" t="s">
        <v>73</v>
      </c>
      <c r="C755" t="s">
        <v>74</v>
      </c>
      <c r="E755" t="str">
        <f>"FES1162726933"</f>
        <v>FES1162726933</v>
      </c>
      <c r="F755" s="3">
        <v>43805</v>
      </c>
      <c r="G755">
        <v>202006</v>
      </c>
      <c r="H755" t="s">
        <v>75</v>
      </c>
      <c r="I755" t="s">
        <v>76</v>
      </c>
      <c r="J755" t="s">
        <v>77</v>
      </c>
      <c r="K755" t="s">
        <v>78</v>
      </c>
      <c r="L755" t="s">
        <v>132</v>
      </c>
      <c r="M755" t="s">
        <v>133</v>
      </c>
      <c r="N755" t="s">
        <v>1045</v>
      </c>
      <c r="O755" t="s">
        <v>82</v>
      </c>
      <c r="P755" t="str">
        <f>"2170720391                    "</f>
        <v xml:space="preserve">2170720391                    </v>
      </c>
      <c r="Q755">
        <v>0</v>
      </c>
      <c r="R755">
        <v>0</v>
      </c>
      <c r="S755">
        <v>0</v>
      </c>
      <c r="T755">
        <v>0</v>
      </c>
      <c r="U755">
        <v>0</v>
      </c>
      <c r="V755">
        <v>0</v>
      </c>
      <c r="W755">
        <v>0</v>
      </c>
      <c r="X755">
        <v>0</v>
      </c>
      <c r="Y755">
        <v>0</v>
      </c>
      <c r="Z755">
        <v>0</v>
      </c>
      <c r="AA755">
        <v>0</v>
      </c>
      <c r="AB755">
        <v>0</v>
      </c>
      <c r="AC755">
        <v>0</v>
      </c>
      <c r="AD755">
        <v>0</v>
      </c>
      <c r="AE755">
        <v>0</v>
      </c>
      <c r="AF755">
        <v>0</v>
      </c>
      <c r="AG755">
        <v>0</v>
      </c>
      <c r="AH755">
        <v>0</v>
      </c>
      <c r="AI755">
        <v>0</v>
      </c>
      <c r="AJ755">
        <v>0</v>
      </c>
      <c r="AK755">
        <v>0</v>
      </c>
      <c r="AL755">
        <v>0</v>
      </c>
      <c r="AM755">
        <v>8.58</v>
      </c>
      <c r="AN755">
        <v>0</v>
      </c>
      <c r="AO755">
        <v>0</v>
      </c>
      <c r="AP755">
        <v>0</v>
      </c>
      <c r="AQ755">
        <v>0</v>
      </c>
      <c r="AR755">
        <v>0</v>
      </c>
      <c r="AS755">
        <v>0</v>
      </c>
      <c r="AT755">
        <v>0</v>
      </c>
      <c r="AU755">
        <v>0</v>
      </c>
      <c r="AV755">
        <v>0</v>
      </c>
      <c r="AW755">
        <v>0</v>
      </c>
      <c r="AX755">
        <v>0</v>
      </c>
      <c r="AY755">
        <v>0</v>
      </c>
      <c r="AZ755">
        <v>0</v>
      </c>
      <c r="BA755">
        <v>0</v>
      </c>
      <c r="BB755">
        <v>0</v>
      </c>
      <c r="BC755">
        <v>0</v>
      </c>
      <c r="BD755">
        <v>0</v>
      </c>
      <c r="BE755">
        <v>0</v>
      </c>
      <c r="BF755">
        <v>0</v>
      </c>
      <c r="BG755">
        <v>0</v>
      </c>
      <c r="BH755">
        <v>1</v>
      </c>
      <c r="BI755">
        <v>1</v>
      </c>
      <c r="BJ755">
        <v>0.2</v>
      </c>
      <c r="BK755">
        <v>1</v>
      </c>
      <c r="BL755" s="4">
        <v>50.45</v>
      </c>
      <c r="BM755" s="4">
        <v>7.57</v>
      </c>
      <c r="BN755" s="4">
        <v>58.02</v>
      </c>
      <c r="BO755" s="4">
        <v>58.02</v>
      </c>
      <c r="BR755" t="s">
        <v>84</v>
      </c>
      <c r="BS755" s="3">
        <v>43808</v>
      </c>
      <c r="BT755" s="5">
        <v>0.43055555555555558</v>
      </c>
      <c r="BU755" t="s">
        <v>1267</v>
      </c>
      <c r="BV755" t="s">
        <v>86</v>
      </c>
      <c r="BY755">
        <v>1200</v>
      </c>
      <c r="CA755" t="s">
        <v>137</v>
      </c>
      <c r="CC755" t="s">
        <v>133</v>
      </c>
      <c r="CD755">
        <v>157</v>
      </c>
      <c r="CE755" t="s">
        <v>88</v>
      </c>
      <c r="CF755" s="3">
        <v>43810</v>
      </c>
      <c r="CI755">
        <v>1</v>
      </c>
      <c r="CJ755">
        <v>1</v>
      </c>
      <c r="CK755">
        <v>21</v>
      </c>
      <c r="CL755" t="s">
        <v>89</v>
      </c>
    </row>
    <row r="756" spans="1:90">
      <c r="A756" t="s">
        <v>72</v>
      </c>
      <c r="B756" t="s">
        <v>73</v>
      </c>
      <c r="C756" t="s">
        <v>74</v>
      </c>
      <c r="E756" t="str">
        <f>"FES1162727157"</f>
        <v>FES1162727157</v>
      </c>
      <c r="F756" s="3">
        <v>43805</v>
      </c>
      <c r="G756">
        <v>202006</v>
      </c>
      <c r="H756" t="s">
        <v>75</v>
      </c>
      <c r="I756" t="s">
        <v>76</v>
      </c>
      <c r="J756" t="s">
        <v>77</v>
      </c>
      <c r="K756" t="s">
        <v>78</v>
      </c>
      <c r="L756" t="s">
        <v>75</v>
      </c>
      <c r="M756" t="s">
        <v>76</v>
      </c>
      <c r="N756" t="s">
        <v>703</v>
      </c>
      <c r="O756" t="s">
        <v>82</v>
      </c>
      <c r="P756" t="str">
        <f>"2170720247                    "</f>
        <v xml:space="preserve">2170720247                    </v>
      </c>
      <c r="Q756">
        <v>0</v>
      </c>
      <c r="R756">
        <v>0</v>
      </c>
      <c r="S756">
        <v>0</v>
      </c>
      <c r="T756">
        <v>0</v>
      </c>
      <c r="U756">
        <v>0</v>
      </c>
      <c r="V756">
        <v>0</v>
      </c>
      <c r="W756">
        <v>0</v>
      </c>
      <c r="X756">
        <v>0</v>
      </c>
      <c r="Y756">
        <v>0</v>
      </c>
      <c r="Z756">
        <v>0</v>
      </c>
      <c r="AA756">
        <v>0</v>
      </c>
      <c r="AB756">
        <v>0</v>
      </c>
      <c r="AC756">
        <v>0</v>
      </c>
      <c r="AD756">
        <v>0</v>
      </c>
      <c r="AE756">
        <v>0</v>
      </c>
      <c r="AF756">
        <v>0</v>
      </c>
      <c r="AG756">
        <v>0</v>
      </c>
      <c r="AH756">
        <v>0</v>
      </c>
      <c r="AI756">
        <v>0</v>
      </c>
      <c r="AJ756">
        <v>0</v>
      </c>
      <c r="AK756">
        <v>0</v>
      </c>
      <c r="AL756">
        <v>0</v>
      </c>
      <c r="AM756">
        <v>6.71</v>
      </c>
      <c r="AN756">
        <v>0</v>
      </c>
      <c r="AO756">
        <v>0</v>
      </c>
      <c r="AP756">
        <v>0</v>
      </c>
      <c r="AQ756">
        <v>0</v>
      </c>
      <c r="AR756">
        <v>0</v>
      </c>
      <c r="AS756">
        <v>0</v>
      </c>
      <c r="AT756">
        <v>0</v>
      </c>
      <c r="AU756">
        <v>0</v>
      </c>
      <c r="AV756">
        <v>0</v>
      </c>
      <c r="AW756">
        <v>0</v>
      </c>
      <c r="AX756">
        <v>0</v>
      </c>
      <c r="AY756">
        <v>0</v>
      </c>
      <c r="AZ756">
        <v>0</v>
      </c>
      <c r="BA756">
        <v>0</v>
      </c>
      <c r="BB756">
        <v>0</v>
      </c>
      <c r="BC756">
        <v>0</v>
      </c>
      <c r="BD756">
        <v>0</v>
      </c>
      <c r="BE756">
        <v>0</v>
      </c>
      <c r="BF756">
        <v>0</v>
      </c>
      <c r="BG756">
        <v>0</v>
      </c>
      <c r="BH756">
        <v>1</v>
      </c>
      <c r="BI756">
        <v>1</v>
      </c>
      <c r="BJ756">
        <v>0.2</v>
      </c>
      <c r="BK756">
        <v>1</v>
      </c>
      <c r="BL756" s="4">
        <v>39.42</v>
      </c>
      <c r="BM756" s="4">
        <v>5.91</v>
      </c>
      <c r="BN756" s="4">
        <v>45.33</v>
      </c>
      <c r="BO756" s="4">
        <v>45.33</v>
      </c>
      <c r="BQ756" t="s">
        <v>93</v>
      </c>
      <c r="BR756" t="s">
        <v>84</v>
      </c>
      <c r="BS756" s="3">
        <v>43808</v>
      </c>
      <c r="BT756" s="5">
        <v>0.29166666666666669</v>
      </c>
      <c r="BU756" t="s">
        <v>1268</v>
      </c>
      <c r="BV756" t="s">
        <v>86</v>
      </c>
      <c r="BY756">
        <v>1200</v>
      </c>
      <c r="CA756" t="s">
        <v>320</v>
      </c>
      <c r="CC756" t="s">
        <v>76</v>
      </c>
      <c r="CD756">
        <v>1665</v>
      </c>
      <c r="CE756" t="s">
        <v>88</v>
      </c>
      <c r="CI756">
        <v>1</v>
      </c>
      <c r="CJ756">
        <v>1</v>
      </c>
      <c r="CK756">
        <v>22</v>
      </c>
      <c r="CL756" t="s">
        <v>89</v>
      </c>
    </row>
    <row r="757" spans="1:90">
      <c r="A757" t="s">
        <v>72</v>
      </c>
      <c r="B757" t="s">
        <v>73</v>
      </c>
      <c r="C757" t="s">
        <v>74</v>
      </c>
      <c r="E757" t="str">
        <f>"FES1162727213"</f>
        <v>FES1162727213</v>
      </c>
      <c r="F757" s="3">
        <v>43805</v>
      </c>
      <c r="G757">
        <v>202006</v>
      </c>
      <c r="H757" t="s">
        <v>75</v>
      </c>
      <c r="I757" t="s">
        <v>76</v>
      </c>
      <c r="J757" t="s">
        <v>77</v>
      </c>
      <c r="K757" t="s">
        <v>78</v>
      </c>
      <c r="L757" t="s">
        <v>201</v>
      </c>
      <c r="M757" t="s">
        <v>202</v>
      </c>
      <c r="N757" t="s">
        <v>1115</v>
      </c>
      <c r="O757" t="s">
        <v>82</v>
      </c>
      <c r="P757" t="str">
        <f>"2170720692                    "</f>
        <v xml:space="preserve">2170720692                    </v>
      </c>
      <c r="Q757">
        <v>0</v>
      </c>
      <c r="R757">
        <v>0</v>
      </c>
      <c r="S757">
        <v>0</v>
      </c>
      <c r="T757">
        <v>0</v>
      </c>
      <c r="U757">
        <v>0</v>
      </c>
      <c r="V757">
        <v>0</v>
      </c>
      <c r="W757">
        <v>0</v>
      </c>
      <c r="X757">
        <v>0</v>
      </c>
      <c r="Y757">
        <v>0</v>
      </c>
      <c r="Z757">
        <v>0</v>
      </c>
      <c r="AA757">
        <v>0</v>
      </c>
      <c r="AB757">
        <v>0</v>
      </c>
      <c r="AC757">
        <v>0</v>
      </c>
      <c r="AD757">
        <v>0</v>
      </c>
      <c r="AE757">
        <v>0</v>
      </c>
      <c r="AF757">
        <v>0</v>
      </c>
      <c r="AG757">
        <v>0</v>
      </c>
      <c r="AH757">
        <v>0</v>
      </c>
      <c r="AI757">
        <v>0</v>
      </c>
      <c r="AJ757">
        <v>0</v>
      </c>
      <c r="AK757">
        <v>0</v>
      </c>
      <c r="AL757">
        <v>0</v>
      </c>
      <c r="AM757">
        <v>8.58</v>
      </c>
      <c r="AN757">
        <v>0</v>
      </c>
      <c r="AO757">
        <v>0</v>
      </c>
      <c r="AP757">
        <v>0</v>
      </c>
      <c r="AQ757">
        <v>0</v>
      </c>
      <c r="AR757">
        <v>0</v>
      </c>
      <c r="AS757">
        <v>0</v>
      </c>
      <c r="AT757">
        <v>0</v>
      </c>
      <c r="AU757">
        <v>0</v>
      </c>
      <c r="AV757">
        <v>0</v>
      </c>
      <c r="AW757">
        <v>0</v>
      </c>
      <c r="AX757">
        <v>0</v>
      </c>
      <c r="AY757">
        <v>0</v>
      </c>
      <c r="AZ757">
        <v>0</v>
      </c>
      <c r="BA757">
        <v>0</v>
      </c>
      <c r="BB757">
        <v>0</v>
      </c>
      <c r="BC757">
        <v>0</v>
      </c>
      <c r="BD757">
        <v>0</v>
      </c>
      <c r="BE757">
        <v>0</v>
      </c>
      <c r="BF757">
        <v>0</v>
      </c>
      <c r="BG757">
        <v>0</v>
      </c>
      <c r="BH757">
        <v>1</v>
      </c>
      <c r="BI757">
        <v>1</v>
      </c>
      <c r="BJ757">
        <v>0.2</v>
      </c>
      <c r="BK757">
        <v>1</v>
      </c>
      <c r="BL757" s="4">
        <v>50.45</v>
      </c>
      <c r="BM757" s="4">
        <v>7.57</v>
      </c>
      <c r="BN757" s="4">
        <v>58.02</v>
      </c>
      <c r="BO757" s="4">
        <v>58.02</v>
      </c>
      <c r="BQ757" t="s">
        <v>93</v>
      </c>
      <c r="BR757" t="s">
        <v>84</v>
      </c>
      <c r="BS757" s="3">
        <v>43808</v>
      </c>
      <c r="BT757" s="5">
        <v>0.3979166666666667</v>
      </c>
      <c r="BU757" t="s">
        <v>1269</v>
      </c>
      <c r="BV757" t="s">
        <v>86</v>
      </c>
      <c r="BY757">
        <v>1200</v>
      </c>
      <c r="CA757" t="s">
        <v>288</v>
      </c>
      <c r="CC757" t="s">
        <v>202</v>
      </c>
      <c r="CD757">
        <v>3610</v>
      </c>
      <c r="CE757" t="s">
        <v>88</v>
      </c>
      <c r="CF757" s="3">
        <v>43809</v>
      </c>
      <c r="CI757">
        <v>1</v>
      </c>
      <c r="CJ757">
        <v>1</v>
      </c>
      <c r="CK757">
        <v>21</v>
      </c>
      <c r="CL757" t="s">
        <v>89</v>
      </c>
    </row>
    <row r="758" spans="1:90">
      <c r="A758" t="s">
        <v>72</v>
      </c>
      <c r="B758" t="s">
        <v>73</v>
      </c>
      <c r="C758" t="s">
        <v>74</v>
      </c>
      <c r="E758" t="str">
        <f>"FES1162727159"</f>
        <v>FES1162727159</v>
      </c>
      <c r="F758" s="3">
        <v>43805</v>
      </c>
      <c r="G758">
        <v>202006</v>
      </c>
      <c r="H758" t="s">
        <v>75</v>
      </c>
      <c r="I758" t="s">
        <v>76</v>
      </c>
      <c r="J758" t="s">
        <v>77</v>
      </c>
      <c r="K758" t="s">
        <v>78</v>
      </c>
      <c r="L758" t="s">
        <v>75</v>
      </c>
      <c r="M758" t="s">
        <v>76</v>
      </c>
      <c r="N758" t="s">
        <v>703</v>
      </c>
      <c r="O758" t="s">
        <v>82</v>
      </c>
      <c r="P758" t="str">
        <f>"2170720553                    "</f>
        <v xml:space="preserve">2170720553                    </v>
      </c>
      <c r="Q758">
        <v>0</v>
      </c>
      <c r="R758">
        <v>0</v>
      </c>
      <c r="S758">
        <v>0</v>
      </c>
      <c r="T758">
        <v>0</v>
      </c>
      <c r="U758">
        <v>0</v>
      </c>
      <c r="V758">
        <v>0</v>
      </c>
      <c r="W758">
        <v>0</v>
      </c>
      <c r="X758">
        <v>0</v>
      </c>
      <c r="Y758">
        <v>0</v>
      </c>
      <c r="Z758">
        <v>0</v>
      </c>
      <c r="AA758">
        <v>0</v>
      </c>
      <c r="AB758">
        <v>0</v>
      </c>
      <c r="AC758">
        <v>0</v>
      </c>
      <c r="AD758">
        <v>0</v>
      </c>
      <c r="AE758">
        <v>0</v>
      </c>
      <c r="AF758">
        <v>0</v>
      </c>
      <c r="AG758">
        <v>0</v>
      </c>
      <c r="AH758">
        <v>0</v>
      </c>
      <c r="AI758">
        <v>0</v>
      </c>
      <c r="AJ758">
        <v>0</v>
      </c>
      <c r="AK758">
        <v>0</v>
      </c>
      <c r="AL758">
        <v>0</v>
      </c>
      <c r="AM758">
        <v>6.71</v>
      </c>
      <c r="AN758">
        <v>0</v>
      </c>
      <c r="AO758">
        <v>0</v>
      </c>
      <c r="AP758">
        <v>0</v>
      </c>
      <c r="AQ758">
        <v>0</v>
      </c>
      <c r="AR758">
        <v>0</v>
      </c>
      <c r="AS758">
        <v>0</v>
      </c>
      <c r="AT758">
        <v>0</v>
      </c>
      <c r="AU758">
        <v>0</v>
      </c>
      <c r="AV758">
        <v>0</v>
      </c>
      <c r="AW758">
        <v>0</v>
      </c>
      <c r="AX758">
        <v>0</v>
      </c>
      <c r="AY758">
        <v>0</v>
      </c>
      <c r="AZ758">
        <v>0</v>
      </c>
      <c r="BA758">
        <v>0</v>
      </c>
      <c r="BB758">
        <v>0</v>
      </c>
      <c r="BC758">
        <v>0</v>
      </c>
      <c r="BD758">
        <v>0</v>
      </c>
      <c r="BE758">
        <v>0</v>
      </c>
      <c r="BF758">
        <v>0</v>
      </c>
      <c r="BG758">
        <v>0</v>
      </c>
      <c r="BH758">
        <v>1</v>
      </c>
      <c r="BI758">
        <v>1</v>
      </c>
      <c r="BJ758">
        <v>0.2</v>
      </c>
      <c r="BK758">
        <v>1</v>
      </c>
      <c r="BL758" s="4">
        <v>39.42</v>
      </c>
      <c r="BM758" s="4">
        <v>5.91</v>
      </c>
      <c r="BN758" s="4">
        <v>45.33</v>
      </c>
      <c r="BO758" s="4">
        <v>45.33</v>
      </c>
      <c r="BQ758" t="s">
        <v>93</v>
      </c>
      <c r="BR758" t="s">
        <v>84</v>
      </c>
      <c r="BS758" s="3">
        <v>43808</v>
      </c>
      <c r="BT758" s="5">
        <v>0.29166666666666669</v>
      </c>
      <c r="BU758" t="s">
        <v>1268</v>
      </c>
      <c r="BV758" t="s">
        <v>86</v>
      </c>
      <c r="BY758">
        <v>1200</v>
      </c>
      <c r="CA758" t="s">
        <v>320</v>
      </c>
      <c r="CC758" t="s">
        <v>76</v>
      </c>
      <c r="CD758">
        <v>1665</v>
      </c>
      <c r="CE758" t="s">
        <v>88</v>
      </c>
      <c r="CF758" s="3">
        <v>43809</v>
      </c>
      <c r="CI758">
        <v>1</v>
      </c>
      <c r="CJ758">
        <v>1</v>
      </c>
      <c r="CK758">
        <v>22</v>
      </c>
      <c r="CL758" t="s">
        <v>89</v>
      </c>
    </row>
    <row r="759" spans="1:90">
      <c r="A759" t="s">
        <v>72</v>
      </c>
      <c r="B759" t="s">
        <v>73</v>
      </c>
      <c r="C759" t="s">
        <v>74</v>
      </c>
      <c r="E759" t="str">
        <f>"FES1162727109"</f>
        <v>FES1162727109</v>
      </c>
      <c r="F759" s="3">
        <v>43805</v>
      </c>
      <c r="G759">
        <v>202006</v>
      </c>
      <c r="H759" t="s">
        <v>75</v>
      </c>
      <c r="I759" t="s">
        <v>76</v>
      </c>
      <c r="J759" t="s">
        <v>77</v>
      </c>
      <c r="K759" t="s">
        <v>78</v>
      </c>
      <c r="L759" t="s">
        <v>151</v>
      </c>
      <c r="M759" t="s">
        <v>102</v>
      </c>
      <c r="N759" t="s">
        <v>463</v>
      </c>
      <c r="O759" t="s">
        <v>82</v>
      </c>
      <c r="P759" t="str">
        <f>"2170720576                    "</f>
        <v xml:space="preserve">2170720576                    </v>
      </c>
      <c r="Q759">
        <v>0</v>
      </c>
      <c r="R759">
        <v>0</v>
      </c>
      <c r="S759">
        <v>0</v>
      </c>
      <c r="T759">
        <v>0</v>
      </c>
      <c r="U759">
        <v>0</v>
      </c>
      <c r="V759">
        <v>0</v>
      </c>
      <c r="W759">
        <v>0</v>
      </c>
      <c r="X759">
        <v>0</v>
      </c>
      <c r="Y759">
        <v>0</v>
      </c>
      <c r="Z759">
        <v>0</v>
      </c>
      <c r="AA759">
        <v>0</v>
      </c>
      <c r="AB759">
        <v>0</v>
      </c>
      <c r="AC759">
        <v>0</v>
      </c>
      <c r="AD759">
        <v>0</v>
      </c>
      <c r="AE759">
        <v>0</v>
      </c>
      <c r="AF759">
        <v>0</v>
      </c>
      <c r="AG759">
        <v>0</v>
      </c>
      <c r="AH759">
        <v>0</v>
      </c>
      <c r="AI759">
        <v>0</v>
      </c>
      <c r="AJ759">
        <v>0</v>
      </c>
      <c r="AK759">
        <v>0</v>
      </c>
      <c r="AL759">
        <v>0</v>
      </c>
      <c r="AM759">
        <v>8.58</v>
      </c>
      <c r="AN759">
        <v>0</v>
      </c>
      <c r="AO759">
        <v>0</v>
      </c>
      <c r="AP759">
        <v>0</v>
      </c>
      <c r="AQ759">
        <v>0</v>
      </c>
      <c r="AR759">
        <v>0</v>
      </c>
      <c r="AS759">
        <v>0</v>
      </c>
      <c r="AT759">
        <v>0</v>
      </c>
      <c r="AU759">
        <v>0</v>
      </c>
      <c r="AV759">
        <v>0</v>
      </c>
      <c r="AW759">
        <v>0</v>
      </c>
      <c r="AX759">
        <v>0</v>
      </c>
      <c r="AY759">
        <v>0</v>
      </c>
      <c r="AZ759">
        <v>0</v>
      </c>
      <c r="BA759">
        <v>0</v>
      </c>
      <c r="BB759">
        <v>0</v>
      </c>
      <c r="BC759">
        <v>0</v>
      </c>
      <c r="BD759">
        <v>0</v>
      </c>
      <c r="BE759">
        <v>0</v>
      </c>
      <c r="BF759">
        <v>0</v>
      </c>
      <c r="BG759">
        <v>0</v>
      </c>
      <c r="BH759">
        <v>1</v>
      </c>
      <c r="BI759">
        <v>1</v>
      </c>
      <c r="BJ759">
        <v>0.2</v>
      </c>
      <c r="BK759">
        <v>1</v>
      </c>
      <c r="BL759" s="4">
        <v>50.45</v>
      </c>
      <c r="BM759" s="4">
        <v>7.57</v>
      </c>
      <c r="BN759" s="4">
        <v>58.02</v>
      </c>
      <c r="BO759" s="4">
        <v>58.02</v>
      </c>
      <c r="BR759" t="s">
        <v>84</v>
      </c>
      <c r="BS759" s="3">
        <v>43808</v>
      </c>
      <c r="BT759" s="5">
        <v>0.39583333333333331</v>
      </c>
      <c r="BU759" t="s">
        <v>1270</v>
      </c>
      <c r="BV759" t="s">
        <v>86</v>
      </c>
      <c r="BY759">
        <v>1200</v>
      </c>
      <c r="CC759" t="s">
        <v>102</v>
      </c>
      <c r="CD759">
        <v>62</v>
      </c>
      <c r="CE759" t="s">
        <v>88</v>
      </c>
      <c r="CF759" s="3">
        <v>43810</v>
      </c>
      <c r="CI759">
        <v>1</v>
      </c>
      <c r="CJ759">
        <v>1</v>
      </c>
      <c r="CK759">
        <v>21</v>
      </c>
      <c r="CL759" t="s">
        <v>89</v>
      </c>
    </row>
    <row r="760" spans="1:90">
      <c r="A760" t="s">
        <v>72</v>
      </c>
      <c r="B760" t="s">
        <v>73</v>
      </c>
      <c r="C760" t="s">
        <v>74</v>
      </c>
      <c r="E760" t="str">
        <f>"FES1162727201"</f>
        <v>FES1162727201</v>
      </c>
      <c r="F760" s="3">
        <v>43805</v>
      </c>
      <c r="G760">
        <v>202006</v>
      </c>
      <c r="H760" t="s">
        <v>75</v>
      </c>
      <c r="I760" t="s">
        <v>76</v>
      </c>
      <c r="J760" t="s">
        <v>77</v>
      </c>
      <c r="K760" t="s">
        <v>78</v>
      </c>
      <c r="L760" t="s">
        <v>332</v>
      </c>
      <c r="M760" t="s">
        <v>333</v>
      </c>
      <c r="N760" t="s">
        <v>701</v>
      </c>
      <c r="O760" t="s">
        <v>82</v>
      </c>
      <c r="P760" t="str">
        <f>"2170720679                    "</f>
        <v xml:space="preserve">2170720679                    </v>
      </c>
      <c r="Q760">
        <v>0</v>
      </c>
      <c r="R760">
        <v>0</v>
      </c>
      <c r="S760">
        <v>0</v>
      </c>
      <c r="T760">
        <v>0</v>
      </c>
      <c r="U760">
        <v>0</v>
      </c>
      <c r="V760">
        <v>0</v>
      </c>
      <c r="W760">
        <v>0</v>
      </c>
      <c r="X760">
        <v>0</v>
      </c>
      <c r="Y760">
        <v>0</v>
      </c>
      <c r="Z760">
        <v>0</v>
      </c>
      <c r="AA760">
        <v>0</v>
      </c>
      <c r="AB760">
        <v>0</v>
      </c>
      <c r="AC760">
        <v>0</v>
      </c>
      <c r="AD760">
        <v>0</v>
      </c>
      <c r="AE760">
        <v>0</v>
      </c>
      <c r="AF760">
        <v>0</v>
      </c>
      <c r="AG760">
        <v>0</v>
      </c>
      <c r="AH760">
        <v>0</v>
      </c>
      <c r="AI760">
        <v>0</v>
      </c>
      <c r="AJ760">
        <v>0</v>
      </c>
      <c r="AK760">
        <v>0</v>
      </c>
      <c r="AL760">
        <v>0</v>
      </c>
      <c r="AM760">
        <v>6.71</v>
      </c>
      <c r="AN760">
        <v>0</v>
      </c>
      <c r="AO760">
        <v>0</v>
      </c>
      <c r="AP760">
        <v>0</v>
      </c>
      <c r="AQ760">
        <v>0</v>
      </c>
      <c r="AR760">
        <v>0</v>
      </c>
      <c r="AS760">
        <v>0</v>
      </c>
      <c r="AT760">
        <v>0</v>
      </c>
      <c r="AU760">
        <v>0</v>
      </c>
      <c r="AV760">
        <v>0</v>
      </c>
      <c r="AW760">
        <v>0</v>
      </c>
      <c r="AX760">
        <v>0</v>
      </c>
      <c r="AY760">
        <v>0</v>
      </c>
      <c r="AZ760">
        <v>0</v>
      </c>
      <c r="BA760">
        <v>0</v>
      </c>
      <c r="BB760">
        <v>0</v>
      </c>
      <c r="BC760">
        <v>0</v>
      </c>
      <c r="BD760">
        <v>0</v>
      </c>
      <c r="BE760">
        <v>0</v>
      </c>
      <c r="BF760">
        <v>0</v>
      </c>
      <c r="BG760">
        <v>0</v>
      </c>
      <c r="BH760">
        <v>1</v>
      </c>
      <c r="BI760">
        <v>1</v>
      </c>
      <c r="BJ760">
        <v>0.2</v>
      </c>
      <c r="BK760">
        <v>1</v>
      </c>
      <c r="BL760" s="4">
        <v>39.42</v>
      </c>
      <c r="BM760" s="4">
        <v>5.91</v>
      </c>
      <c r="BN760" s="4">
        <v>45.33</v>
      </c>
      <c r="BO760" s="4">
        <v>45.33</v>
      </c>
      <c r="BQ760" t="s">
        <v>93</v>
      </c>
      <c r="BR760" t="s">
        <v>84</v>
      </c>
      <c r="BS760" s="3">
        <v>43808</v>
      </c>
      <c r="BT760" s="5">
        <v>0.42222222222222222</v>
      </c>
      <c r="BU760" t="s">
        <v>708</v>
      </c>
      <c r="BV760" t="s">
        <v>86</v>
      </c>
      <c r="BY760">
        <v>1200</v>
      </c>
      <c r="CA760" t="s">
        <v>700</v>
      </c>
      <c r="CC760" t="s">
        <v>333</v>
      </c>
      <c r="CD760">
        <v>2094</v>
      </c>
      <c r="CE760" t="s">
        <v>88</v>
      </c>
      <c r="CF760" s="3">
        <v>43809</v>
      </c>
      <c r="CI760">
        <v>1</v>
      </c>
      <c r="CJ760">
        <v>1</v>
      </c>
      <c r="CK760">
        <v>22</v>
      </c>
      <c r="CL760" t="s">
        <v>89</v>
      </c>
    </row>
    <row r="761" spans="1:90">
      <c r="A761" t="s">
        <v>72</v>
      </c>
      <c r="B761" t="s">
        <v>73</v>
      </c>
      <c r="C761" t="s">
        <v>74</v>
      </c>
      <c r="E761" t="str">
        <f>"FES1162727086"</f>
        <v>FES1162727086</v>
      </c>
      <c r="F761" s="3">
        <v>43805</v>
      </c>
      <c r="G761">
        <v>202006</v>
      </c>
      <c r="H761" t="s">
        <v>75</v>
      </c>
      <c r="I761" t="s">
        <v>76</v>
      </c>
      <c r="J761" t="s">
        <v>77</v>
      </c>
      <c r="K761" t="s">
        <v>78</v>
      </c>
      <c r="L761" t="s">
        <v>1271</v>
      </c>
      <c r="M761" t="s">
        <v>1272</v>
      </c>
      <c r="N761" t="s">
        <v>1273</v>
      </c>
      <c r="O761" t="s">
        <v>82</v>
      </c>
      <c r="P761" t="str">
        <f>"2170710549                    "</f>
        <v xml:space="preserve">2170710549                    </v>
      </c>
      <c r="Q761">
        <v>0</v>
      </c>
      <c r="R761">
        <v>0</v>
      </c>
      <c r="S761">
        <v>0</v>
      </c>
      <c r="T761">
        <v>0</v>
      </c>
      <c r="U761">
        <v>0</v>
      </c>
      <c r="V761">
        <v>0</v>
      </c>
      <c r="W761">
        <v>0</v>
      </c>
      <c r="X761">
        <v>0</v>
      </c>
      <c r="Y761">
        <v>0</v>
      </c>
      <c r="Z761">
        <v>0</v>
      </c>
      <c r="AA761">
        <v>0</v>
      </c>
      <c r="AB761">
        <v>0</v>
      </c>
      <c r="AC761">
        <v>0</v>
      </c>
      <c r="AD761">
        <v>0</v>
      </c>
      <c r="AE761">
        <v>0</v>
      </c>
      <c r="AF761">
        <v>0</v>
      </c>
      <c r="AG761">
        <v>0</v>
      </c>
      <c r="AH761">
        <v>0</v>
      </c>
      <c r="AI761">
        <v>0</v>
      </c>
      <c r="AJ761">
        <v>0</v>
      </c>
      <c r="AK761">
        <v>0</v>
      </c>
      <c r="AL761">
        <v>0</v>
      </c>
      <c r="AM761">
        <v>7.51</v>
      </c>
      <c r="AN761">
        <v>0</v>
      </c>
      <c r="AO761">
        <v>0</v>
      </c>
      <c r="AP761">
        <v>0</v>
      </c>
      <c r="AQ761">
        <v>0</v>
      </c>
      <c r="AR761">
        <v>0</v>
      </c>
      <c r="AS761">
        <v>0</v>
      </c>
      <c r="AT761">
        <v>0</v>
      </c>
      <c r="AU761">
        <v>0</v>
      </c>
      <c r="AV761">
        <v>0</v>
      </c>
      <c r="AW761">
        <v>0</v>
      </c>
      <c r="AX761">
        <v>0</v>
      </c>
      <c r="AY761">
        <v>0</v>
      </c>
      <c r="AZ761">
        <v>0</v>
      </c>
      <c r="BA761">
        <v>0</v>
      </c>
      <c r="BB761">
        <v>0</v>
      </c>
      <c r="BC761">
        <v>0</v>
      </c>
      <c r="BD761">
        <v>0</v>
      </c>
      <c r="BE761">
        <v>0</v>
      </c>
      <c r="BF761">
        <v>0</v>
      </c>
      <c r="BG761">
        <v>0</v>
      </c>
      <c r="BH761">
        <v>1</v>
      </c>
      <c r="BI761">
        <v>2.2999999999999998</v>
      </c>
      <c r="BJ761">
        <v>1.2</v>
      </c>
      <c r="BK761">
        <v>2.5</v>
      </c>
      <c r="BL761" s="4">
        <v>44.14</v>
      </c>
      <c r="BM761" s="4">
        <v>6.62</v>
      </c>
      <c r="BN761" s="4">
        <v>50.76</v>
      </c>
      <c r="BO761" s="4">
        <v>50.76</v>
      </c>
      <c r="BQ761" t="s">
        <v>1274</v>
      </c>
      <c r="BR761" t="s">
        <v>84</v>
      </c>
      <c r="BS761" s="3">
        <v>43808</v>
      </c>
      <c r="BT761" s="5">
        <v>0.42152777777777778</v>
      </c>
      <c r="BU761" t="s">
        <v>1275</v>
      </c>
      <c r="BV761" t="s">
        <v>86</v>
      </c>
      <c r="BY761">
        <v>6149.68</v>
      </c>
      <c r="CC761" t="s">
        <v>1272</v>
      </c>
      <c r="CD761">
        <v>1684</v>
      </c>
      <c r="CE761" t="s">
        <v>96</v>
      </c>
      <c r="CF761" s="3">
        <v>43810</v>
      </c>
      <c r="CI761">
        <v>1</v>
      </c>
      <c r="CJ761">
        <v>1</v>
      </c>
      <c r="CK761">
        <v>22</v>
      </c>
      <c r="CL761" t="s">
        <v>89</v>
      </c>
    </row>
    <row r="762" spans="1:90">
      <c r="A762" t="s">
        <v>72</v>
      </c>
      <c r="B762" t="s">
        <v>73</v>
      </c>
      <c r="C762" t="s">
        <v>74</v>
      </c>
      <c r="E762" t="str">
        <f>"FES1162727219"</f>
        <v>FES1162727219</v>
      </c>
      <c r="F762" s="3">
        <v>43805</v>
      </c>
      <c r="G762">
        <v>202006</v>
      </c>
      <c r="H762" t="s">
        <v>75</v>
      </c>
      <c r="I762" t="s">
        <v>76</v>
      </c>
      <c r="J762" t="s">
        <v>77</v>
      </c>
      <c r="K762" t="s">
        <v>78</v>
      </c>
      <c r="L762" t="s">
        <v>198</v>
      </c>
      <c r="M762" t="s">
        <v>199</v>
      </c>
      <c r="N762" t="s">
        <v>424</v>
      </c>
      <c r="O762" t="s">
        <v>82</v>
      </c>
      <c r="P762" t="str">
        <f>"2170710269                    "</f>
        <v xml:space="preserve">2170710269                    </v>
      </c>
      <c r="Q762">
        <v>0</v>
      </c>
      <c r="R762">
        <v>0</v>
      </c>
      <c r="S762">
        <v>0</v>
      </c>
      <c r="T762">
        <v>0</v>
      </c>
      <c r="U762">
        <v>0</v>
      </c>
      <c r="V762">
        <v>0</v>
      </c>
      <c r="W762">
        <v>0</v>
      </c>
      <c r="X762">
        <v>0</v>
      </c>
      <c r="Y762">
        <v>0</v>
      </c>
      <c r="Z762">
        <v>0</v>
      </c>
      <c r="AA762">
        <v>0</v>
      </c>
      <c r="AB762">
        <v>0</v>
      </c>
      <c r="AC762">
        <v>0</v>
      </c>
      <c r="AD762">
        <v>0</v>
      </c>
      <c r="AE762">
        <v>0</v>
      </c>
      <c r="AF762">
        <v>0</v>
      </c>
      <c r="AG762">
        <v>0</v>
      </c>
      <c r="AH762">
        <v>0</v>
      </c>
      <c r="AI762">
        <v>0</v>
      </c>
      <c r="AJ762">
        <v>0</v>
      </c>
      <c r="AK762">
        <v>0</v>
      </c>
      <c r="AL762">
        <v>0</v>
      </c>
      <c r="AM762">
        <v>8.58</v>
      </c>
      <c r="AN762">
        <v>0</v>
      </c>
      <c r="AO762">
        <v>0</v>
      </c>
      <c r="AP762">
        <v>0</v>
      </c>
      <c r="AQ762">
        <v>0</v>
      </c>
      <c r="AR762">
        <v>0</v>
      </c>
      <c r="AS762">
        <v>0</v>
      </c>
      <c r="AT762">
        <v>0</v>
      </c>
      <c r="AU762">
        <v>0</v>
      </c>
      <c r="AV762">
        <v>0</v>
      </c>
      <c r="AW762">
        <v>0</v>
      </c>
      <c r="AX762">
        <v>0</v>
      </c>
      <c r="AY762">
        <v>0</v>
      </c>
      <c r="AZ762">
        <v>0</v>
      </c>
      <c r="BA762">
        <v>0</v>
      </c>
      <c r="BB762">
        <v>0</v>
      </c>
      <c r="BC762">
        <v>0</v>
      </c>
      <c r="BD762">
        <v>0</v>
      </c>
      <c r="BE762">
        <v>0</v>
      </c>
      <c r="BF762">
        <v>0</v>
      </c>
      <c r="BG762">
        <v>0</v>
      </c>
      <c r="BH762">
        <v>1</v>
      </c>
      <c r="BI762">
        <v>1.3</v>
      </c>
      <c r="BJ762">
        <v>0.8</v>
      </c>
      <c r="BK762">
        <v>1.5</v>
      </c>
      <c r="BL762" s="4">
        <v>50.45</v>
      </c>
      <c r="BM762" s="4">
        <v>7.57</v>
      </c>
      <c r="BN762" s="4">
        <v>58.02</v>
      </c>
      <c r="BO762" s="4">
        <v>58.02</v>
      </c>
      <c r="BQ762" t="s">
        <v>147</v>
      </c>
      <c r="BR762" t="s">
        <v>84</v>
      </c>
      <c r="BS762" s="3">
        <v>43808</v>
      </c>
      <c r="BT762" s="5">
        <v>0.43472222222222223</v>
      </c>
      <c r="BU762" t="s">
        <v>1141</v>
      </c>
      <c r="BV762" t="s">
        <v>86</v>
      </c>
      <c r="BY762">
        <v>3977.82</v>
      </c>
      <c r="CA762" t="s">
        <v>270</v>
      </c>
      <c r="CC762" t="s">
        <v>199</v>
      </c>
      <c r="CD762">
        <v>4001</v>
      </c>
      <c r="CE762" t="s">
        <v>116</v>
      </c>
      <c r="CF762" s="3">
        <v>43809</v>
      </c>
      <c r="CI762">
        <v>1</v>
      </c>
      <c r="CJ762">
        <v>1</v>
      </c>
      <c r="CK762">
        <v>21</v>
      </c>
      <c r="CL762" t="s">
        <v>89</v>
      </c>
    </row>
    <row r="763" spans="1:90">
      <c r="A763" t="s">
        <v>72</v>
      </c>
      <c r="B763" t="s">
        <v>73</v>
      </c>
      <c r="C763" t="s">
        <v>74</v>
      </c>
      <c r="E763" t="str">
        <f>"FES1162727218"</f>
        <v>FES1162727218</v>
      </c>
      <c r="F763" s="3">
        <v>43805</v>
      </c>
      <c r="G763">
        <v>202006</v>
      </c>
      <c r="H763" t="s">
        <v>75</v>
      </c>
      <c r="I763" t="s">
        <v>76</v>
      </c>
      <c r="J763" t="s">
        <v>77</v>
      </c>
      <c r="K763" t="s">
        <v>78</v>
      </c>
      <c r="L763" t="s">
        <v>308</v>
      </c>
      <c r="M763" t="s">
        <v>308</v>
      </c>
      <c r="N763" t="s">
        <v>755</v>
      </c>
      <c r="O763" t="s">
        <v>82</v>
      </c>
      <c r="P763" t="str">
        <f>"2170720696                    "</f>
        <v xml:space="preserve">2170720696                    </v>
      </c>
      <c r="Q763">
        <v>0</v>
      </c>
      <c r="R763">
        <v>0</v>
      </c>
      <c r="S763">
        <v>0</v>
      </c>
      <c r="T763">
        <v>0</v>
      </c>
      <c r="U763">
        <v>0</v>
      </c>
      <c r="V763">
        <v>0</v>
      </c>
      <c r="W763">
        <v>0</v>
      </c>
      <c r="X763">
        <v>0</v>
      </c>
      <c r="Y763">
        <v>0</v>
      </c>
      <c r="Z763">
        <v>0</v>
      </c>
      <c r="AA763">
        <v>0</v>
      </c>
      <c r="AB763">
        <v>0</v>
      </c>
      <c r="AC763">
        <v>0</v>
      </c>
      <c r="AD763">
        <v>0</v>
      </c>
      <c r="AE763">
        <v>0</v>
      </c>
      <c r="AF763">
        <v>0</v>
      </c>
      <c r="AG763">
        <v>0</v>
      </c>
      <c r="AH763">
        <v>0</v>
      </c>
      <c r="AI763">
        <v>0</v>
      </c>
      <c r="AJ763">
        <v>0</v>
      </c>
      <c r="AK763">
        <v>0</v>
      </c>
      <c r="AL763">
        <v>0</v>
      </c>
      <c r="AM763">
        <v>16.63</v>
      </c>
      <c r="AN763">
        <v>0</v>
      </c>
      <c r="AO763">
        <v>0</v>
      </c>
      <c r="AP763">
        <v>0</v>
      </c>
      <c r="AQ763">
        <v>0</v>
      </c>
      <c r="AR763">
        <v>0</v>
      </c>
      <c r="AS763">
        <v>0</v>
      </c>
      <c r="AT763">
        <v>0</v>
      </c>
      <c r="AU763">
        <v>0</v>
      </c>
      <c r="AV763">
        <v>0</v>
      </c>
      <c r="AW763">
        <v>0</v>
      </c>
      <c r="AX763">
        <v>0</v>
      </c>
      <c r="AY763">
        <v>0</v>
      </c>
      <c r="AZ763">
        <v>0</v>
      </c>
      <c r="BA763">
        <v>0</v>
      </c>
      <c r="BB763">
        <v>0</v>
      </c>
      <c r="BC763">
        <v>0</v>
      </c>
      <c r="BD763">
        <v>0</v>
      </c>
      <c r="BE763">
        <v>0</v>
      </c>
      <c r="BF763">
        <v>0</v>
      </c>
      <c r="BG763">
        <v>0</v>
      </c>
      <c r="BH763">
        <v>1</v>
      </c>
      <c r="BI763">
        <v>1</v>
      </c>
      <c r="BJ763">
        <v>0.2</v>
      </c>
      <c r="BK763">
        <v>1</v>
      </c>
      <c r="BL763" s="4">
        <v>97.75</v>
      </c>
      <c r="BM763" s="4">
        <v>14.66</v>
      </c>
      <c r="BN763" s="4">
        <v>112.41</v>
      </c>
      <c r="BO763" s="4">
        <v>112.41</v>
      </c>
      <c r="BQ763" t="s">
        <v>147</v>
      </c>
      <c r="BR763" t="s">
        <v>84</v>
      </c>
      <c r="BS763" s="3">
        <v>43808</v>
      </c>
      <c r="BT763" s="5">
        <v>0.4236111111111111</v>
      </c>
      <c r="BU763" t="s">
        <v>1276</v>
      </c>
      <c r="BV763" t="s">
        <v>86</v>
      </c>
      <c r="BY763">
        <v>1200</v>
      </c>
      <c r="CA763" t="s">
        <v>1277</v>
      </c>
      <c r="CC763" t="s">
        <v>308</v>
      </c>
      <c r="CD763">
        <v>7646</v>
      </c>
      <c r="CE763" t="s">
        <v>88</v>
      </c>
      <c r="CF763" s="3">
        <v>43809</v>
      </c>
      <c r="CI763">
        <v>1</v>
      </c>
      <c r="CJ763">
        <v>1</v>
      </c>
      <c r="CK763">
        <v>23</v>
      </c>
      <c r="CL763" t="s">
        <v>89</v>
      </c>
    </row>
    <row r="764" spans="1:90">
      <c r="A764" t="s">
        <v>72</v>
      </c>
      <c r="B764" t="s">
        <v>73</v>
      </c>
      <c r="C764" t="s">
        <v>74</v>
      </c>
      <c r="E764" t="str">
        <f>"FES1162727216"</f>
        <v>FES1162727216</v>
      </c>
      <c r="F764" s="3">
        <v>43805</v>
      </c>
      <c r="G764">
        <v>202006</v>
      </c>
      <c r="H764" t="s">
        <v>75</v>
      </c>
      <c r="I764" t="s">
        <v>76</v>
      </c>
      <c r="J764" t="s">
        <v>77</v>
      </c>
      <c r="K764" t="s">
        <v>78</v>
      </c>
      <c r="L764" t="s">
        <v>90</v>
      </c>
      <c r="M764" t="s">
        <v>91</v>
      </c>
      <c r="N764" t="s">
        <v>554</v>
      </c>
      <c r="O764" t="s">
        <v>82</v>
      </c>
      <c r="P764" t="str">
        <f>"2170720694                    "</f>
        <v xml:space="preserve">2170720694                    </v>
      </c>
      <c r="Q764">
        <v>0</v>
      </c>
      <c r="R764">
        <v>0</v>
      </c>
      <c r="S764">
        <v>0</v>
      </c>
      <c r="T764">
        <v>0</v>
      </c>
      <c r="U764">
        <v>0</v>
      </c>
      <c r="V764">
        <v>0</v>
      </c>
      <c r="W764">
        <v>0</v>
      </c>
      <c r="X764">
        <v>0</v>
      </c>
      <c r="Y764">
        <v>0</v>
      </c>
      <c r="Z764">
        <v>0</v>
      </c>
      <c r="AA764">
        <v>0</v>
      </c>
      <c r="AB764">
        <v>0</v>
      </c>
      <c r="AC764">
        <v>0</v>
      </c>
      <c r="AD764">
        <v>0</v>
      </c>
      <c r="AE764">
        <v>0</v>
      </c>
      <c r="AF764">
        <v>0</v>
      </c>
      <c r="AG764">
        <v>0</v>
      </c>
      <c r="AH764">
        <v>0</v>
      </c>
      <c r="AI764">
        <v>0</v>
      </c>
      <c r="AJ764">
        <v>0</v>
      </c>
      <c r="AK764">
        <v>0</v>
      </c>
      <c r="AL764">
        <v>0</v>
      </c>
      <c r="AM764">
        <v>8.58</v>
      </c>
      <c r="AN764">
        <v>0</v>
      </c>
      <c r="AO764">
        <v>0</v>
      </c>
      <c r="AP764">
        <v>0</v>
      </c>
      <c r="AQ764">
        <v>0</v>
      </c>
      <c r="AR764">
        <v>0</v>
      </c>
      <c r="AS764">
        <v>0</v>
      </c>
      <c r="AT764">
        <v>0</v>
      </c>
      <c r="AU764">
        <v>0</v>
      </c>
      <c r="AV764">
        <v>0</v>
      </c>
      <c r="AW764">
        <v>0</v>
      </c>
      <c r="AX764">
        <v>0</v>
      </c>
      <c r="AY764">
        <v>0</v>
      </c>
      <c r="AZ764">
        <v>0</v>
      </c>
      <c r="BA764">
        <v>0</v>
      </c>
      <c r="BB764">
        <v>0</v>
      </c>
      <c r="BC764">
        <v>0</v>
      </c>
      <c r="BD764">
        <v>0</v>
      </c>
      <c r="BE764">
        <v>0</v>
      </c>
      <c r="BF764">
        <v>0</v>
      </c>
      <c r="BG764">
        <v>0</v>
      </c>
      <c r="BH764">
        <v>1</v>
      </c>
      <c r="BI764">
        <v>1</v>
      </c>
      <c r="BJ764">
        <v>0.2</v>
      </c>
      <c r="BK764">
        <v>1</v>
      </c>
      <c r="BL764" s="4">
        <v>50.45</v>
      </c>
      <c r="BM764" s="4">
        <v>7.57</v>
      </c>
      <c r="BN764" s="4">
        <v>58.02</v>
      </c>
      <c r="BO764" s="4">
        <v>58.02</v>
      </c>
      <c r="BQ764" t="s">
        <v>147</v>
      </c>
      <c r="BR764" t="s">
        <v>84</v>
      </c>
      <c r="BS764" s="3">
        <v>43808</v>
      </c>
      <c r="BT764" s="5">
        <v>0.37291666666666662</v>
      </c>
      <c r="BU764" t="s">
        <v>1278</v>
      </c>
      <c r="BV764" t="s">
        <v>86</v>
      </c>
      <c r="BY764">
        <v>1200</v>
      </c>
      <c r="CA764" t="s">
        <v>818</v>
      </c>
      <c r="CC764" t="s">
        <v>91</v>
      </c>
      <c r="CD764">
        <v>7560</v>
      </c>
      <c r="CE764" t="s">
        <v>88</v>
      </c>
      <c r="CF764" s="3">
        <v>43809</v>
      </c>
      <c r="CI764">
        <v>1</v>
      </c>
      <c r="CJ764">
        <v>1</v>
      </c>
      <c r="CK764">
        <v>21</v>
      </c>
      <c r="CL764" t="s">
        <v>89</v>
      </c>
    </row>
    <row r="765" spans="1:90">
      <c r="A765" t="s">
        <v>72</v>
      </c>
      <c r="B765" t="s">
        <v>73</v>
      </c>
      <c r="C765" t="s">
        <v>74</v>
      </c>
      <c r="E765" t="str">
        <f>"FES1162727260"</f>
        <v>FES1162727260</v>
      </c>
      <c r="F765" s="3">
        <v>43805</v>
      </c>
      <c r="G765">
        <v>202006</v>
      </c>
      <c r="H765" t="s">
        <v>75</v>
      </c>
      <c r="I765" t="s">
        <v>76</v>
      </c>
      <c r="J765" t="s">
        <v>77</v>
      </c>
      <c r="K765" t="s">
        <v>78</v>
      </c>
      <c r="L765" t="s">
        <v>198</v>
      </c>
      <c r="M765" t="s">
        <v>199</v>
      </c>
      <c r="N765" t="s">
        <v>557</v>
      </c>
      <c r="O765" t="s">
        <v>82</v>
      </c>
      <c r="P765" t="str">
        <f>"2170720749                    "</f>
        <v xml:space="preserve">2170720749                    </v>
      </c>
      <c r="Q765">
        <v>0</v>
      </c>
      <c r="R765">
        <v>0</v>
      </c>
      <c r="S765">
        <v>0</v>
      </c>
      <c r="T765">
        <v>0</v>
      </c>
      <c r="U765">
        <v>0</v>
      </c>
      <c r="V765">
        <v>0</v>
      </c>
      <c r="W765">
        <v>0</v>
      </c>
      <c r="X765">
        <v>0</v>
      </c>
      <c r="Y765">
        <v>0</v>
      </c>
      <c r="Z765">
        <v>0</v>
      </c>
      <c r="AA765">
        <v>0</v>
      </c>
      <c r="AB765">
        <v>0</v>
      </c>
      <c r="AC765">
        <v>0</v>
      </c>
      <c r="AD765">
        <v>0</v>
      </c>
      <c r="AE765">
        <v>0</v>
      </c>
      <c r="AF765">
        <v>0</v>
      </c>
      <c r="AG765">
        <v>0</v>
      </c>
      <c r="AH765">
        <v>0</v>
      </c>
      <c r="AI765">
        <v>0</v>
      </c>
      <c r="AJ765">
        <v>0</v>
      </c>
      <c r="AK765">
        <v>0</v>
      </c>
      <c r="AL765">
        <v>0</v>
      </c>
      <c r="AM765">
        <v>8.58</v>
      </c>
      <c r="AN765">
        <v>0</v>
      </c>
      <c r="AO765">
        <v>0</v>
      </c>
      <c r="AP765">
        <v>0</v>
      </c>
      <c r="AQ765">
        <v>0</v>
      </c>
      <c r="AR765">
        <v>0</v>
      </c>
      <c r="AS765">
        <v>0</v>
      </c>
      <c r="AT765">
        <v>0</v>
      </c>
      <c r="AU765">
        <v>0</v>
      </c>
      <c r="AV765">
        <v>0</v>
      </c>
      <c r="AW765">
        <v>0</v>
      </c>
      <c r="AX765">
        <v>0</v>
      </c>
      <c r="AY765">
        <v>0</v>
      </c>
      <c r="AZ765">
        <v>0</v>
      </c>
      <c r="BA765">
        <v>0</v>
      </c>
      <c r="BB765">
        <v>0</v>
      </c>
      <c r="BC765">
        <v>0</v>
      </c>
      <c r="BD765">
        <v>0</v>
      </c>
      <c r="BE765">
        <v>0</v>
      </c>
      <c r="BF765">
        <v>0</v>
      </c>
      <c r="BG765">
        <v>0</v>
      </c>
      <c r="BH765">
        <v>1</v>
      </c>
      <c r="BI765">
        <v>1</v>
      </c>
      <c r="BJ765">
        <v>0.2</v>
      </c>
      <c r="BK765">
        <v>1</v>
      </c>
      <c r="BL765" s="4">
        <v>50.45</v>
      </c>
      <c r="BM765" s="4">
        <v>7.57</v>
      </c>
      <c r="BN765" s="4">
        <v>58.02</v>
      </c>
      <c r="BO765" s="4">
        <v>58.02</v>
      </c>
      <c r="BQ765" t="s">
        <v>93</v>
      </c>
      <c r="BR765" t="s">
        <v>84</v>
      </c>
      <c r="BS765" s="3">
        <v>43808</v>
      </c>
      <c r="BT765" s="5">
        <v>0.3527777777777778</v>
      </c>
      <c r="BU765" t="s">
        <v>1279</v>
      </c>
      <c r="BV765" t="s">
        <v>86</v>
      </c>
      <c r="BY765">
        <v>1200</v>
      </c>
      <c r="CA765" t="s">
        <v>270</v>
      </c>
      <c r="CC765" t="s">
        <v>199</v>
      </c>
      <c r="CD765">
        <v>4052</v>
      </c>
      <c r="CE765" t="s">
        <v>88</v>
      </c>
      <c r="CF765" s="3">
        <v>43809</v>
      </c>
      <c r="CI765">
        <v>1</v>
      </c>
      <c r="CJ765">
        <v>1</v>
      </c>
      <c r="CK765">
        <v>21</v>
      </c>
      <c r="CL765" t="s">
        <v>89</v>
      </c>
    </row>
    <row r="766" spans="1:90">
      <c r="A766" t="s">
        <v>72</v>
      </c>
      <c r="B766" t="s">
        <v>73</v>
      </c>
      <c r="C766" t="s">
        <v>74</v>
      </c>
      <c r="E766" t="str">
        <f>"FES1162727231"</f>
        <v>FES1162727231</v>
      </c>
      <c r="F766" s="3">
        <v>43805</v>
      </c>
      <c r="G766">
        <v>202006</v>
      </c>
      <c r="H766" t="s">
        <v>75</v>
      </c>
      <c r="I766" t="s">
        <v>76</v>
      </c>
      <c r="J766" t="s">
        <v>77</v>
      </c>
      <c r="K766" t="s">
        <v>78</v>
      </c>
      <c r="L766" t="s">
        <v>396</v>
      </c>
      <c r="M766" t="s">
        <v>397</v>
      </c>
      <c r="N766" t="s">
        <v>398</v>
      </c>
      <c r="O766" t="s">
        <v>82</v>
      </c>
      <c r="P766" t="str">
        <f>"2170720719                    "</f>
        <v xml:space="preserve">2170720719                    </v>
      </c>
      <c r="Q766">
        <v>0</v>
      </c>
      <c r="R766">
        <v>0</v>
      </c>
      <c r="S766">
        <v>0</v>
      </c>
      <c r="T766">
        <v>0</v>
      </c>
      <c r="U766">
        <v>0</v>
      </c>
      <c r="V766">
        <v>0</v>
      </c>
      <c r="W766">
        <v>0</v>
      </c>
      <c r="X766">
        <v>0</v>
      </c>
      <c r="Y766">
        <v>0</v>
      </c>
      <c r="Z766">
        <v>0</v>
      </c>
      <c r="AA766">
        <v>0</v>
      </c>
      <c r="AB766">
        <v>0</v>
      </c>
      <c r="AC766">
        <v>0</v>
      </c>
      <c r="AD766">
        <v>0</v>
      </c>
      <c r="AE766">
        <v>0</v>
      </c>
      <c r="AF766">
        <v>0</v>
      </c>
      <c r="AG766">
        <v>0</v>
      </c>
      <c r="AH766">
        <v>0</v>
      </c>
      <c r="AI766">
        <v>0</v>
      </c>
      <c r="AJ766">
        <v>0</v>
      </c>
      <c r="AK766">
        <v>0</v>
      </c>
      <c r="AL766">
        <v>0</v>
      </c>
      <c r="AM766">
        <v>16.63</v>
      </c>
      <c r="AN766">
        <v>0</v>
      </c>
      <c r="AO766">
        <v>0</v>
      </c>
      <c r="AP766">
        <v>0</v>
      </c>
      <c r="AQ766">
        <v>0</v>
      </c>
      <c r="AR766">
        <v>0</v>
      </c>
      <c r="AS766">
        <v>0</v>
      </c>
      <c r="AT766">
        <v>0</v>
      </c>
      <c r="AU766">
        <v>0</v>
      </c>
      <c r="AV766">
        <v>0</v>
      </c>
      <c r="AW766">
        <v>0</v>
      </c>
      <c r="AX766">
        <v>0</v>
      </c>
      <c r="AY766">
        <v>0</v>
      </c>
      <c r="AZ766">
        <v>0</v>
      </c>
      <c r="BA766">
        <v>0</v>
      </c>
      <c r="BB766">
        <v>0</v>
      </c>
      <c r="BC766">
        <v>0</v>
      </c>
      <c r="BD766">
        <v>0</v>
      </c>
      <c r="BE766">
        <v>0</v>
      </c>
      <c r="BF766">
        <v>0</v>
      </c>
      <c r="BG766">
        <v>0</v>
      </c>
      <c r="BH766">
        <v>1</v>
      </c>
      <c r="BI766">
        <v>1</v>
      </c>
      <c r="BJ766">
        <v>0.2</v>
      </c>
      <c r="BK766">
        <v>1</v>
      </c>
      <c r="BL766" s="4">
        <v>97.75</v>
      </c>
      <c r="BM766" s="4">
        <v>14.66</v>
      </c>
      <c r="BN766" s="4">
        <v>112.41</v>
      </c>
      <c r="BO766" s="4">
        <v>112.41</v>
      </c>
      <c r="BQ766" t="s">
        <v>93</v>
      </c>
      <c r="BR766" t="s">
        <v>84</v>
      </c>
      <c r="BS766" s="3">
        <v>43808</v>
      </c>
      <c r="BT766" s="5">
        <v>0.5180555555555556</v>
      </c>
      <c r="BU766" t="s">
        <v>1280</v>
      </c>
      <c r="BV766" t="s">
        <v>86</v>
      </c>
      <c r="BY766">
        <v>1200</v>
      </c>
      <c r="CA766" t="s">
        <v>400</v>
      </c>
      <c r="CC766" t="s">
        <v>397</v>
      </c>
      <c r="CD766">
        <v>7130</v>
      </c>
      <c r="CE766" t="s">
        <v>88</v>
      </c>
      <c r="CF766" s="3">
        <v>43809</v>
      </c>
      <c r="CI766">
        <v>1</v>
      </c>
      <c r="CJ766">
        <v>1</v>
      </c>
      <c r="CK766">
        <v>23</v>
      </c>
      <c r="CL766" t="s">
        <v>89</v>
      </c>
    </row>
    <row r="767" spans="1:90">
      <c r="A767" t="s">
        <v>72</v>
      </c>
      <c r="B767" t="s">
        <v>73</v>
      </c>
      <c r="C767" t="s">
        <v>74</v>
      </c>
      <c r="E767" t="str">
        <f>"FES1162727252"</f>
        <v>FES1162727252</v>
      </c>
      <c r="F767" s="3">
        <v>43805</v>
      </c>
      <c r="G767">
        <v>202006</v>
      </c>
      <c r="H767" t="s">
        <v>75</v>
      </c>
      <c r="I767" t="s">
        <v>76</v>
      </c>
      <c r="J767" t="s">
        <v>77</v>
      </c>
      <c r="K767" t="s">
        <v>78</v>
      </c>
      <c r="L767" t="s">
        <v>404</v>
      </c>
      <c r="M767" t="s">
        <v>405</v>
      </c>
      <c r="N767" t="s">
        <v>406</v>
      </c>
      <c r="O767" t="s">
        <v>82</v>
      </c>
      <c r="P767" t="str">
        <f>"2170720740                    "</f>
        <v xml:space="preserve">2170720740                    </v>
      </c>
      <c r="Q767">
        <v>0</v>
      </c>
      <c r="R767">
        <v>0</v>
      </c>
      <c r="S767">
        <v>0</v>
      </c>
      <c r="T767">
        <v>0</v>
      </c>
      <c r="U767">
        <v>0</v>
      </c>
      <c r="V767">
        <v>0</v>
      </c>
      <c r="W767">
        <v>0</v>
      </c>
      <c r="X767">
        <v>0</v>
      </c>
      <c r="Y767">
        <v>0</v>
      </c>
      <c r="Z767">
        <v>0</v>
      </c>
      <c r="AA767">
        <v>0</v>
      </c>
      <c r="AB767">
        <v>0</v>
      </c>
      <c r="AC767">
        <v>0</v>
      </c>
      <c r="AD767">
        <v>0</v>
      </c>
      <c r="AE767">
        <v>0</v>
      </c>
      <c r="AF767">
        <v>0</v>
      </c>
      <c r="AG767">
        <v>0</v>
      </c>
      <c r="AH767">
        <v>0</v>
      </c>
      <c r="AI767">
        <v>0</v>
      </c>
      <c r="AJ767">
        <v>0</v>
      </c>
      <c r="AK767">
        <v>0</v>
      </c>
      <c r="AL767">
        <v>0</v>
      </c>
      <c r="AM767">
        <v>8.58</v>
      </c>
      <c r="AN767">
        <v>0</v>
      </c>
      <c r="AO767">
        <v>0</v>
      </c>
      <c r="AP767">
        <v>0</v>
      </c>
      <c r="AQ767">
        <v>0</v>
      </c>
      <c r="AR767">
        <v>0</v>
      </c>
      <c r="AS767">
        <v>0</v>
      </c>
      <c r="AT767">
        <v>0</v>
      </c>
      <c r="AU767">
        <v>0</v>
      </c>
      <c r="AV767">
        <v>0</v>
      </c>
      <c r="AW767">
        <v>0</v>
      </c>
      <c r="AX767">
        <v>0</v>
      </c>
      <c r="AY767">
        <v>0</v>
      </c>
      <c r="AZ767">
        <v>0</v>
      </c>
      <c r="BA767">
        <v>0</v>
      </c>
      <c r="BB767">
        <v>0</v>
      </c>
      <c r="BC767">
        <v>0</v>
      </c>
      <c r="BD767">
        <v>0</v>
      </c>
      <c r="BE767">
        <v>0</v>
      </c>
      <c r="BF767">
        <v>0</v>
      </c>
      <c r="BG767">
        <v>0</v>
      </c>
      <c r="BH767">
        <v>1</v>
      </c>
      <c r="BI767">
        <v>1</v>
      </c>
      <c r="BJ767">
        <v>0.2</v>
      </c>
      <c r="BK767">
        <v>1</v>
      </c>
      <c r="BL767" s="4">
        <v>50.45</v>
      </c>
      <c r="BM767" s="4">
        <v>7.57</v>
      </c>
      <c r="BN767" s="4">
        <v>58.02</v>
      </c>
      <c r="BO767" s="4">
        <v>58.02</v>
      </c>
      <c r="BQ767" t="s">
        <v>93</v>
      </c>
      <c r="BR767" t="s">
        <v>84</v>
      </c>
      <c r="BS767" s="3">
        <v>43808</v>
      </c>
      <c r="BT767" s="5">
        <v>0.35625000000000001</v>
      </c>
      <c r="BU767" t="s">
        <v>1281</v>
      </c>
      <c r="BV767" t="s">
        <v>86</v>
      </c>
      <c r="BY767">
        <v>1200</v>
      </c>
      <c r="CA767" t="s">
        <v>408</v>
      </c>
      <c r="CC767" t="s">
        <v>405</v>
      </c>
      <c r="CD767">
        <v>4026</v>
      </c>
      <c r="CE767" t="s">
        <v>88</v>
      </c>
      <c r="CF767" s="3">
        <v>43809</v>
      </c>
      <c r="CI767">
        <v>1</v>
      </c>
      <c r="CJ767">
        <v>1</v>
      </c>
      <c r="CK767">
        <v>21</v>
      </c>
      <c r="CL767" t="s">
        <v>89</v>
      </c>
    </row>
    <row r="768" spans="1:90">
      <c r="A768" t="s">
        <v>72</v>
      </c>
      <c r="B768" t="s">
        <v>73</v>
      </c>
      <c r="C768" t="s">
        <v>74</v>
      </c>
      <c r="E768" t="str">
        <f>"FES1162726893"</f>
        <v>FES1162726893</v>
      </c>
      <c r="F768" s="3">
        <v>43805</v>
      </c>
      <c r="G768">
        <v>202006</v>
      </c>
      <c r="H768" t="s">
        <v>75</v>
      </c>
      <c r="I768" t="s">
        <v>76</v>
      </c>
      <c r="J768" t="s">
        <v>77</v>
      </c>
      <c r="K768" t="s">
        <v>78</v>
      </c>
      <c r="L768" t="s">
        <v>164</v>
      </c>
      <c r="M768" t="s">
        <v>165</v>
      </c>
      <c r="N768" t="s">
        <v>1282</v>
      </c>
      <c r="O768" t="s">
        <v>82</v>
      </c>
      <c r="P768" t="str">
        <f>"21707201013                   "</f>
        <v xml:space="preserve">21707201013                   </v>
      </c>
      <c r="Q768">
        <v>0</v>
      </c>
      <c r="R768">
        <v>0</v>
      </c>
      <c r="S768">
        <v>0</v>
      </c>
      <c r="T768">
        <v>0</v>
      </c>
      <c r="U768">
        <v>0</v>
      </c>
      <c r="V768">
        <v>0</v>
      </c>
      <c r="W768">
        <v>0</v>
      </c>
      <c r="X768">
        <v>0</v>
      </c>
      <c r="Y768">
        <v>0</v>
      </c>
      <c r="Z768">
        <v>0</v>
      </c>
      <c r="AA768">
        <v>0</v>
      </c>
      <c r="AB768">
        <v>0</v>
      </c>
      <c r="AC768">
        <v>0</v>
      </c>
      <c r="AD768">
        <v>0</v>
      </c>
      <c r="AE768">
        <v>0</v>
      </c>
      <c r="AF768">
        <v>0</v>
      </c>
      <c r="AG768">
        <v>0</v>
      </c>
      <c r="AH768">
        <v>0</v>
      </c>
      <c r="AI768">
        <v>0</v>
      </c>
      <c r="AJ768">
        <v>0</v>
      </c>
      <c r="AK768">
        <v>0</v>
      </c>
      <c r="AL768">
        <v>0</v>
      </c>
      <c r="AM768">
        <v>55.76</v>
      </c>
      <c r="AN768">
        <v>0</v>
      </c>
      <c r="AO768">
        <v>0</v>
      </c>
      <c r="AP768">
        <v>0</v>
      </c>
      <c r="AQ768">
        <v>0</v>
      </c>
      <c r="AR768">
        <v>0</v>
      </c>
      <c r="AS768">
        <v>0</v>
      </c>
      <c r="AT768">
        <v>0</v>
      </c>
      <c r="AU768">
        <v>0</v>
      </c>
      <c r="AV768">
        <v>0</v>
      </c>
      <c r="AW768">
        <v>0</v>
      </c>
      <c r="AX768">
        <v>0</v>
      </c>
      <c r="AY768">
        <v>0</v>
      </c>
      <c r="AZ768">
        <v>0</v>
      </c>
      <c r="BA768">
        <v>0</v>
      </c>
      <c r="BB768">
        <v>0</v>
      </c>
      <c r="BC768">
        <v>0</v>
      </c>
      <c r="BD768">
        <v>0</v>
      </c>
      <c r="BE768">
        <v>0</v>
      </c>
      <c r="BF768">
        <v>0</v>
      </c>
      <c r="BG768">
        <v>0</v>
      </c>
      <c r="BH768">
        <v>1</v>
      </c>
      <c r="BI768">
        <v>13</v>
      </c>
      <c r="BJ768">
        <v>4.3</v>
      </c>
      <c r="BK768">
        <v>13</v>
      </c>
      <c r="BL768" s="4">
        <v>327.75</v>
      </c>
      <c r="BM768" s="4">
        <v>49.16</v>
      </c>
      <c r="BN768" s="4">
        <v>376.91</v>
      </c>
      <c r="BO768" s="4">
        <v>376.91</v>
      </c>
      <c r="BQ768" t="s">
        <v>1283</v>
      </c>
      <c r="BR768" t="s">
        <v>84</v>
      </c>
      <c r="BS768" s="3">
        <v>43808</v>
      </c>
      <c r="BT768" s="5">
        <v>0.4375</v>
      </c>
      <c r="BU768" t="s">
        <v>1284</v>
      </c>
      <c r="BV768" t="s">
        <v>86</v>
      </c>
      <c r="BY768">
        <v>21391.63</v>
      </c>
      <c r="CA768" t="s">
        <v>1285</v>
      </c>
      <c r="CC768" t="s">
        <v>165</v>
      </c>
      <c r="CD768">
        <v>5200</v>
      </c>
      <c r="CE768" t="s">
        <v>116</v>
      </c>
      <c r="CF768" s="3">
        <v>43810</v>
      </c>
      <c r="CI768">
        <v>1</v>
      </c>
      <c r="CJ768">
        <v>1</v>
      </c>
      <c r="CK768">
        <v>21</v>
      </c>
      <c r="CL768" t="s">
        <v>89</v>
      </c>
    </row>
    <row r="769" spans="1:90">
      <c r="A769" t="s">
        <v>72</v>
      </c>
      <c r="B769" t="s">
        <v>73</v>
      </c>
      <c r="C769" t="s">
        <v>74</v>
      </c>
      <c r="E769" t="str">
        <f>"FES1162726966"</f>
        <v>FES1162726966</v>
      </c>
      <c r="F769" s="3">
        <v>43805</v>
      </c>
      <c r="G769">
        <v>202006</v>
      </c>
      <c r="H769" t="s">
        <v>75</v>
      </c>
      <c r="I769" t="s">
        <v>76</v>
      </c>
      <c r="J769" t="s">
        <v>77</v>
      </c>
      <c r="K769" t="s">
        <v>78</v>
      </c>
      <c r="L769" t="s">
        <v>164</v>
      </c>
      <c r="M769" t="s">
        <v>165</v>
      </c>
      <c r="N769" t="s">
        <v>1027</v>
      </c>
      <c r="O769" t="s">
        <v>82</v>
      </c>
      <c r="P769" t="str">
        <f>"2170710092                    "</f>
        <v xml:space="preserve">2170710092                    </v>
      </c>
      <c r="Q769">
        <v>0</v>
      </c>
      <c r="R769">
        <v>0</v>
      </c>
      <c r="S769">
        <v>0</v>
      </c>
      <c r="T769">
        <v>0</v>
      </c>
      <c r="U769">
        <v>0</v>
      </c>
      <c r="V769">
        <v>0</v>
      </c>
      <c r="W769">
        <v>0</v>
      </c>
      <c r="X769">
        <v>0</v>
      </c>
      <c r="Y769">
        <v>0</v>
      </c>
      <c r="Z769">
        <v>0</v>
      </c>
      <c r="AA769">
        <v>0</v>
      </c>
      <c r="AB769">
        <v>0</v>
      </c>
      <c r="AC769">
        <v>0</v>
      </c>
      <c r="AD769">
        <v>0</v>
      </c>
      <c r="AE769">
        <v>0</v>
      </c>
      <c r="AF769">
        <v>0</v>
      </c>
      <c r="AG769">
        <v>0</v>
      </c>
      <c r="AH769">
        <v>0</v>
      </c>
      <c r="AI769">
        <v>0</v>
      </c>
      <c r="AJ769">
        <v>0</v>
      </c>
      <c r="AK769">
        <v>0</v>
      </c>
      <c r="AL769">
        <v>0</v>
      </c>
      <c r="AM769">
        <v>55.76</v>
      </c>
      <c r="AN769">
        <v>0</v>
      </c>
      <c r="AO769">
        <v>0</v>
      </c>
      <c r="AP769">
        <v>0</v>
      </c>
      <c r="AQ769">
        <v>0</v>
      </c>
      <c r="AR769">
        <v>0</v>
      </c>
      <c r="AS769">
        <v>0</v>
      </c>
      <c r="AT769">
        <v>0</v>
      </c>
      <c r="AU769">
        <v>0</v>
      </c>
      <c r="AV769">
        <v>0</v>
      </c>
      <c r="AW769">
        <v>0</v>
      </c>
      <c r="AX769">
        <v>0</v>
      </c>
      <c r="AY769">
        <v>0</v>
      </c>
      <c r="AZ769">
        <v>0</v>
      </c>
      <c r="BA769">
        <v>0</v>
      </c>
      <c r="BB769">
        <v>0</v>
      </c>
      <c r="BC769">
        <v>0</v>
      </c>
      <c r="BD769">
        <v>0</v>
      </c>
      <c r="BE769">
        <v>0</v>
      </c>
      <c r="BF769">
        <v>0</v>
      </c>
      <c r="BG769">
        <v>0</v>
      </c>
      <c r="BH769">
        <v>2</v>
      </c>
      <c r="BI769">
        <v>12.8</v>
      </c>
      <c r="BJ769">
        <v>6.1</v>
      </c>
      <c r="BK769">
        <v>13</v>
      </c>
      <c r="BL769" s="4">
        <v>327.75</v>
      </c>
      <c r="BM769" s="4">
        <v>49.16</v>
      </c>
      <c r="BN769" s="4">
        <v>376.91</v>
      </c>
      <c r="BO769" s="4">
        <v>376.91</v>
      </c>
      <c r="BQ769" t="s">
        <v>93</v>
      </c>
      <c r="BR769" t="s">
        <v>84</v>
      </c>
      <c r="BS769" s="3">
        <v>43808</v>
      </c>
      <c r="BT769" s="5">
        <v>0.35972222222222222</v>
      </c>
      <c r="BU769" t="s">
        <v>1286</v>
      </c>
      <c r="BV769" t="s">
        <v>86</v>
      </c>
      <c r="BY769">
        <v>30263.02</v>
      </c>
      <c r="CA769" t="s">
        <v>168</v>
      </c>
      <c r="CC769" t="s">
        <v>165</v>
      </c>
      <c r="CD769">
        <v>5201</v>
      </c>
      <c r="CE769" t="s">
        <v>413</v>
      </c>
      <c r="CF769" s="3">
        <v>43810</v>
      </c>
      <c r="CI769">
        <v>1</v>
      </c>
      <c r="CJ769">
        <v>1</v>
      </c>
      <c r="CK769">
        <v>21</v>
      </c>
      <c r="CL769" t="s">
        <v>89</v>
      </c>
    </row>
    <row r="770" spans="1:90">
      <c r="A770" t="s">
        <v>72</v>
      </c>
      <c r="B770" t="s">
        <v>73</v>
      </c>
      <c r="C770" t="s">
        <v>74</v>
      </c>
      <c r="E770" t="str">
        <f>"FES1162727063"</f>
        <v>FES1162727063</v>
      </c>
      <c r="F770" s="3">
        <v>43805</v>
      </c>
      <c r="G770">
        <v>202006</v>
      </c>
      <c r="H770" t="s">
        <v>75</v>
      </c>
      <c r="I770" t="s">
        <v>76</v>
      </c>
      <c r="J770" t="s">
        <v>77</v>
      </c>
      <c r="K770" t="s">
        <v>78</v>
      </c>
      <c r="L770" t="s">
        <v>164</v>
      </c>
      <c r="M770" t="s">
        <v>165</v>
      </c>
      <c r="N770" t="s">
        <v>263</v>
      </c>
      <c r="O770" t="s">
        <v>82</v>
      </c>
      <c r="P770" t="str">
        <f>"217071539                     "</f>
        <v xml:space="preserve">217071539                     </v>
      </c>
      <c r="Q770">
        <v>0</v>
      </c>
      <c r="R770">
        <v>0</v>
      </c>
      <c r="S770">
        <v>0</v>
      </c>
      <c r="T770">
        <v>0</v>
      </c>
      <c r="U770">
        <v>0</v>
      </c>
      <c r="V770">
        <v>0</v>
      </c>
      <c r="W770">
        <v>0</v>
      </c>
      <c r="X770">
        <v>0</v>
      </c>
      <c r="Y770">
        <v>0</v>
      </c>
      <c r="Z770">
        <v>0</v>
      </c>
      <c r="AA770">
        <v>0</v>
      </c>
      <c r="AB770">
        <v>0</v>
      </c>
      <c r="AC770">
        <v>0</v>
      </c>
      <c r="AD770">
        <v>0</v>
      </c>
      <c r="AE770">
        <v>0</v>
      </c>
      <c r="AF770">
        <v>0</v>
      </c>
      <c r="AG770">
        <v>0</v>
      </c>
      <c r="AH770">
        <v>0</v>
      </c>
      <c r="AI770">
        <v>0</v>
      </c>
      <c r="AJ770">
        <v>0</v>
      </c>
      <c r="AK770">
        <v>0</v>
      </c>
      <c r="AL770">
        <v>0</v>
      </c>
      <c r="AM770">
        <v>23.59</v>
      </c>
      <c r="AN770">
        <v>0</v>
      </c>
      <c r="AO770">
        <v>0</v>
      </c>
      <c r="AP770">
        <v>0</v>
      </c>
      <c r="AQ770">
        <v>0</v>
      </c>
      <c r="AR770">
        <v>0</v>
      </c>
      <c r="AS770">
        <v>0</v>
      </c>
      <c r="AT770">
        <v>0</v>
      </c>
      <c r="AU770">
        <v>0</v>
      </c>
      <c r="AV770">
        <v>0</v>
      </c>
      <c r="AW770">
        <v>0</v>
      </c>
      <c r="AX770">
        <v>0</v>
      </c>
      <c r="AY770">
        <v>0</v>
      </c>
      <c r="AZ770">
        <v>0</v>
      </c>
      <c r="BA770">
        <v>0</v>
      </c>
      <c r="BB770">
        <v>0</v>
      </c>
      <c r="BC770">
        <v>0</v>
      </c>
      <c r="BD770">
        <v>0</v>
      </c>
      <c r="BE770">
        <v>0</v>
      </c>
      <c r="BF770">
        <v>0</v>
      </c>
      <c r="BG770">
        <v>0</v>
      </c>
      <c r="BH770">
        <v>1</v>
      </c>
      <c r="BI770">
        <v>5.5</v>
      </c>
      <c r="BJ770">
        <v>3.4</v>
      </c>
      <c r="BK770">
        <v>5.5</v>
      </c>
      <c r="BL770" s="4">
        <v>138.68</v>
      </c>
      <c r="BM770" s="4">
        <v>20.8</v>
      </c>
      <c r="BN770" s="4">
        <v>159.47999999999999</v>
      </c>
      <c r="BO770" s="4">
        <v>159.47999999999999</v>
      </c>
      <c r="BQ770" t="s">
        <v>147</v>
      </c>
      <c r="BR770" t="s">
        <v>84</v>
      </c>
      <c r="BS770" s="3">
        <v>43808</v>
      </c>
      <c r="BT770" s="5">
        <v>0.36180555555555555</v>
      </c>
      <c r="BU770" t="s">
        <v>1261</v>
      </c>
      <c r="BV770" t="s">
        <v>86</v>
      </c>
      <c r="BY770">
        <v>16811.28</v>
      </c>
      <c r="CA770" t="s">
        <v>371</v>
      </c>
      <c r="CC770" t="s">
        <v>165</v>
      </c>
      <c r="CD770">
        <v>5201</v>
      </c>
      <c r="CE770" t="s">
        <v>96</v>
      </c>
      <c r="CF770" s="3">
        <v>43809</v>
      </c>
      <c r="CI770">
        <v>1</v>
      </c>
      <c r="CJ770">
        <v>1</v>
      </c>
      <c r="CK770">
        <v>21</v>
      </c>
      <c r="CL770" t="s">
        <v>89</v>
      </c>
    </row>
    <row r="771" spans="1:90">
      <c r="A771" t="s">
        <v>72</v>
      </c>
      <c r="B771" t="s">
        <v>73</v>
      </c>
      <c r="C771" t="s">
        <v>74</v>
      </c>
      <c r="E771" t="str">
        <f>"FES1162727171"</f>
        <v>FES1162727171</v>
      </c>
      <c r="F771" s="3">
        <v>43805</v>
      </c>
      <c r="G771">
        <v>202006</v>
      </c>
      <c r="H771" t="s">
        <v>75</v>
      </c>
      <c r="I771" t="s">
        <v>76</v>
      </c>
      <c r="J771" t="s">
        <v>77</v>
      </c>
      <c r="K771" t="s">
        <v>78</v>
      </c>
      <c r="L771" t="s">
        <v>361</v>
      </c>
      <c r="M771" t="s">
        <v>362</v>
      </c>
      <c r="N771" t="s">
        <v>363</v>
      </c>
      <c r="O771" t="s">
        <v>82</v>
      </c>
      <c r="P771" t="str">
        <f>"21707106041                   "</f>
        <v xml:space="preserve">21707106041                   </v>
      </c>
      <c r="Q771">
        <v>0</v>
      </c>
      <c r="R771">
        <v>0</v>
      </c>
      <c r="S771">
        <v>0</v>
      </c>
      <c r="T771">
        <v>0</v>
      </c>
      <c r="U771">
        <v>0</v>
      </c>
      <c r="V771">
        <v>0</v>
      </c>
      <c r="W771">
        <v>0</v>
      </c>
      <c r="X771">
        <v>0</v>
      </c>
      <c r="Y771">
        <v>0</v>
      </c>
      <c r="Z771">
        <v>0</v>
      </c>
      <c r="AA771">
        <v>0</v>
      </c>
      <c r="AB771">
        <v>0</v>
      </c>
      <c r="AC771">
        <v>0</v>
      </c>
      <c r="AD771">
        <v>0</v>
      </c>
      <c r="AE771">
        <v>0</v>
      </c>
      <c r="AF771">
        <v>0</v>
      </c>
      <c r="AG771">
        <v>0</v>
      </c>
      <c r="AH771">
        <v>0</v>
      </c>
      <c r="AI771">
        <v>0</v>
      </c>
      <c r="AJ771">
        <v>0</v>
      </c>
      <c r="AK771">
        <v>0</v>
      </c>
      <c r="AL771">
        <v>0</v>
      </c>
      <c r="AM771">
        <v>12.87</v>
      </c>
      <c r="AN771">
        <v>0</v>
      </c>
      <c r="AO771">
        <v>0</v>
      </c>
      <c r="AP771">
        <v>0</v>
      </c>
      <c r="AQ771">
        <v>0</v>
      </c>
      <c r="AR771">
        <v>0</v>
      </c>
      <c r="AS771">
        <v>0</v>
      </c>
      <c r="AT771">
        <v>0</v>
      </c>
      <c r="AU771">
        <v>0</v>
      </c>
      <c r="AV771">
        <v>0</v>
      </c>
      <c r="AW771">
        <v>0</v>
      </c>
      <c r="AX771">
        <v>0</v>
      </c>
      <c r="AY771">
        <v>0</v>
      </c>
      <c r="AZ771">
        <v>0</v>
      </c>
      <c r="BA771">
        <v>0</v>
      </c>
      <c r="BB771">
        <v>0</v>
      </c>
      <c r="BC771">
        <v>0</v>
      </c>
      <c r="BD771">
        <v>0</v>
      </c>
      <c r="BE771">
        <v>0</v>
      </c>
      <c r="BF771">
        <v>0</v>
      </c>
      <c r="BG771">
        <v>0</v>
      </c>
      <c r="BH771">
        <v>1</v>
      </c>
      <c r="BI771">
        <v>2.7</v>
      </c>
      <c r="BJ771">
        <v>1.5</v>
      </c>
      <c r="BK771">
        <v>3</v>
      </c>
      <c r="BL771" s="4">
        <v>75.66</v>
      </c>
      <c r="BM771" s="4">
        <v>11.35</v>
      </c>
      <c r="BN771" s="4">
        <v>87.01</v>
      </c>
      <c r="BO771" s="4">
        <v>87.01</v>
      </c>
      <c r="BQ771" t="s">
        <v>93</v>
      </c>
      <c r="BR771" t="s">
        <v>84</v>
      </c>
      <c r="BS771" s="3">
        <v>43808</v>
      </c>
      <c r="BT771" s="5">
        <v>0.41944444444444445</v>
      </c>
      <c r="BU771" t="s">
        <v>364</v>
      </c>
      <c r="BV771" t="s">
        <v>86</v>
      </c>
      <c r="BY771">
        <v>7488.27</v>
      </c>
      <c r="CA771" t="s">
        <v>185</v>
      </c>
      <c r="CC771" t="s">
        <v>362</v>
      </c>
      <c r="CD771">
        <v>6220</v>
      </c>
      <c r="CE771" t="s">
        <v>96</v>
      </c>
      <c r="CF771" s="3">
        <v>43809</v>
      </c>
      <c r="CI771">
        <v>1</v>
      </c>
      <c r="CJ771">
        <v>1</v>
      </c>
      <c r="CK771">
        <v>21</v>
      </c>
      <c r="CL771" t="s">
        <v>89</v>
      </c>
    </row>
    <row r="772" spans="1:90">
      <c r="A772" t="s">
        <v>72</v>
      </c>
      <c r="B772" t="s">
        <v>73</v>
      </c>
      <c r="C772" t="s">
        <v>74</v>
      </c>
      <c r="E772" t="str">
        <f>"FES1162727119"</f>
        <v>FES1162727119</v>
      </c>
      <c r="F772" s="3">
        <v>43805</v>
      </c>
      <c r="G772">
        <v>202006</v>
      </c>
      <c r="H772" t="s">
        <v>75</v>
      </c>
      <c r="I772" t="s">
        <v>76</v>
      </c>
      <c r="J772" t="s">
        <v>77</v>
      </c>
      <c r="K772" t="s">
        <v>78</v>
      </c>
      <c r="L772" t="s">
        <v>132</v>
      </c>
      <c r="M772" t="s">
        <v>133</v>
      </c>
      <c r="N772" t="s">
        <v>694</v>
      </c>
      <c r="O772" t="s">
        <v>82</v>
      </c>
      <c r="P772" t="str">
        <f>"2170719920                    "</f>
        <v xml:space="preserve">2170719920                    </v>
      </c>
      <c r="Q772">
        <v>0</v>
      </c>
      <c r="R772">
        <v>0</v>
      </c>
      <c r="S772">
        <v>0</v>
      </c>
      <c r="T772">
        <v>0</v>
      </c>
      <c r="U772">
        <v>0</v>
      </c>
      <c r="V772">
        <v>0</v>
      </c>
      <c r="W772">
        <v>0</v>
      </c>
      <c r="X772">
        <v>0</v>
      </c>
      <c r="Y772">
        <v>0</v>
      </c>
      <c r="Z772">
        <v>0</v>
      </c>
      <c r="AA772">
        <v>0</v>
      </c>
      <c r="AB772">
        <v>0</v>
      </c>
      <c r="AC772">
        <v>0</v>
      </c>
      <c r="AD772">
        <v>0</v>
      </c>
      <c r="AE772">
        <v>0</v>
      </c>
      <c r="AF772">
        <v>0</v>
      </c>
      <c r="AG772">
        <v>0</v>
      </c>
      <c r="AH772">
        <v>0</v>
      </c>
      <c r="AI772">
        <v>0</v>
      </c>
      <c r="AJ772">
        <v>0</v>
      </c>
      <c r="AK772">
        <v>0</v>
      </c>
      <c r="AL772">
        <v>0</v>
      </c>
      <c r="AM772">
        <v>10.73</v>
      </c>
      <c r="AN772">
        <v>0</v>
      </c>
      <c r="AO772">
        <v>0</v>
      </c>
      <c r="AP772">
        <v>0</v>
      </c>
      <c r="AQ772">
        <v>0</v>
      </c>
      <c r="AR772">
        <v>0</v>
      </c>
      <c r="AS772">
        <v>0</v>
      </c>
      <c r="AT772">
        <v>0</v>
      </c>
      <c r="AU772">
        <v>0</v>
      </c>
      <c r="AV772">
        <v>0</v>
      </c>
      <c r="AW772">
        <v>0</v>
      </c>
      <c r="AX772">
        <v>0</v>
      </c>
      <c r="AY772">
        <v>0</v>
      </c>
      <c r="AZ772">
        <v>0</v>
      </c>
      <c r="BA772">
        <v>0</v>
      </c>
      <c r="BB772">
        <v>0</v>
      </c>
      <c r="BC772">
        <v>0</v>
      </c>
      <c r="BD772">
        <v>0</v>
      </c>
      <c r="BE772">
        <v>0</v>
      </c>
      <c r="BF772">
        <v>0</v>
      </c>
      <c r="BG772">
        <v>0</v>
      </c>
      <c r="BH772">
        <v>1</v>
      </c>
      <c r="BI772">
        <v>2.2000000000000002</v>
      </c>
      <c r="BJ772">
        <v>1.4</v>
      </c>
      <c r="BK772">
        <v>2.5</v>
      </c>
      <c r="BL772" s="4">
        <v>63.06</v>
      </c>
      <c r="BM772" s="4">
        <v>9.4600000000000009</v>
      </c>
      <c r="BN772" s="4">
        <v>72.52</v>
      </c>
      <c r="BO772" s="4">
        <v>72.52</v>
      </c>
      <c r="BQ772" t="s">
        <v>695</v>
      </c>
      <c r="BR772" t="s">
        <v>84</v>
      </c>
      <c r="BS772" s="3">
        <v>43808</v>
      </c>
      <c r="BT772" s="5">
        <v>0.40486111111111112</v>
      </c>
      <c r="BU772" t="s">
        <v>1287</v>
      </c>
      <c r="BV772" t="s">
        <v>86</v>
      </c>
      <c r="BY772">
        <v>6803.43</v>
      </c>
      <c r="CA772" t="s">
        <v>137</v>
      </c>
      <c r="CC772" t="s">
        <v>133</v>
      </c>
      <c r="CD772">
        <v>157</v>
      </c>
      <c r="CE772" t="s">
        <v>96</v>
      </c>
      <c r="CF772" s="3">
        <v>43810</v>
      </c>
      <c r="CI772">
        <v>1</v>
      </c>
      <c r="CJ772">
        <v>1</v>
      </c>
      <c r="CK772">
        <v>21</v>
      </c>
      <c r="CL772" t="s">
        <v>89</v>
      </c>
    </row>
    <row r="773" spans="1:90">
      <c r="A773" t="s">
        <v>72</v>
      </c>
      <c r="B773" t="s">
        <v>73</v>
      </c>
      <c r="C773" t="s">
        <v>74</v>
      </c>
      <c r="E773" t="str">
        <f>"FES1162727244"</f>
        <v>FES1162727244</v>
      </c>
      <c r="F773" s="3">
        <v>43805</v>
      </c>
      <c r="G773">
        <v>202006</v>
      </c>
      <c r="H773" t="s">
        <v>75</v>
      </c>
      <c r="I773" t="s">
        <v>76</v>
      </c>
      <c r="J773" t="s">
        <v>77</v>
      </c>
      <c r="K773" t="s">
        <v>78</v>
      </c>
      <c r="L773" t="s">
        <v>201</v>
      </c>
      <c r="M773" t="s">
        <v>202</v>
      </c>
      <c r="N773" t="s">
        <v>797</v>
      </c>
      <c r="O773" t="s">
        <v>82</v>
      </c>
      <c r="P773" t="str">
        <f>"2170710735                    "</f>
        <v xml:space="preserve">2170710735                    </v>
      </c>
      <c r="Q773">
        <v>0</v>
      </c>
      <c r="R773">
        <v>0</v>
      </c>
      <c r="S773">
        <v>0</v>
      </c>
      <c r="T773">
        <v>0</v>
      </c>
      <c r="U773">
        <v>0</v>
      </c>
      <c r="V773">
        <v>0</v>
      </c>
      <c r="W773">
        <v>0</v>
      </c>
      <c r="X773">
        <v>0</v>
      </c>
      <c r="Y773">
        <v>0</v>
      </c>
      <c r="Z773">
        <v>0</v>
      </c>
      <c r="AA773">
        <v>0</v>
      </c>
      <c r="AB773">
        <v>0</v>
      </c>
      <c r="AC773">
        <v>0</v>
      </c>
      <c r="AD773">
        <v>0</v>
      </c>
      <c r="AE773">
        <v>0</v>
      </c>
      <c r="AF773">
        <v>0</v>
      </c>
      <c r="AG773">
        <v>0</v>
      </c>
      <c r="AH773">
        <v>0</v>
      </c>
      <c r="AI773">
        <v>0</v>
      </c>
      <c r="AJ773">
        <v>0</v>
      </c>
      <c r="AK773">
        <v>0</v>
      </c>
      <c r="AL773">
        <v>0</v>
      </c>
      <c r="AM773">
        <v>8.58</v>
      </c>
      <c r="AN773">
        <v>0</v>
      </c>
      <c r="AO773">
        <v>0</v>
      </c>
      <c r="AP773">
        <v>0</v>
      </c>
      <c r="AQ773">
        <v>0</v>
      </c>
      <c r="AR773">
        <v>0</v>
      </c>
      <c r="AS773">
        <v>0</v>
      </c>
      <c r="AT773">
        <v>0</v>
      </c>
      <c r="AU773">
        <v>0</v>
      </c>
      <c r="AV773">
        <v>0</v>
      </c>
      <c r="AW773">
        <v>0</v>
      </c>
      <c r="AX773">
        <v>0</v>
      </c>
      <c r="AY773">
        <v>0</v>
      </c>
      <c r="AZ773">
        <v>0</v>
      </c>
      <c r="BA773">
        <v>0</v>
      </c>
      <c r="BB773">
        <v>0</v>
      </c>
      <c r="BC773">
        <v>0</v>
      </c>
      <c r="BD773">
        <v>0</v>
      </c>
      <c r="BE773">
        <v>0</v>
      </c>
      <c r="BF773">
        <v>0</v>
      </c>
      <c r="BG773">
        <v>0</v>
      </c>
      <c r="BH773">
        <v>1</v>
      </c>
      <c r="BI773">
        <v>2</v>
      </c>
      <c r="BJ773">
        <v>1.5</v>
      </c>
      <c r="BK773">
        <v>2</v>
      </c>
      <c r="BL773" s="4">
        <v>50.45</v>
      </c>
      <c r="BM773" s="4">
        <v>7.57</v>
      </c>
      <c r="BN773" s="4">
        <v>58.02</v>
      </c>
      <c r="BO773" s="4">
        <v>58.02</v>
      </c>
      <c r="BQ773" t="s">
        <v>798</v>
      </c>
      <c r="BR773" t="s">
        <v>84</v>
      </c>
      <c r="BS773" s="3">
        <v>43808</v>
      </c>
      <c r="BT773" s="5">
        <v>0.30972222222222223</v>
      </c>
      <c r="BU773" t="s">
        <v>799</v>
      </c>
      <c r="BV773" t="s">
        <v>86</v>
      </c>
      <c r="BY773">
        <v>7540</v>
      </c>
      <c r="CA773" t="s">
        <v>288</v>
      </c>
      <c r="CC773" t="s">
        <v>202</v>
      </c>
      <c r="CD773">
        <v>3610</v>
      </c>
      <c r="CE773" t="s">
        <v>96</v>
      </c>
      <c r="CF773" s="3">
        <v>43809</v>
      </c>
      <c r="CI773">
        <v>1</v>
      </c>
      <c r="CJ773">
        <v>1</v>
      </c>
      <c r="CK773">
        <v>21</v>
      </c>
      <c r="CL773" t="s">
        <v>89</v>
      </c>
    </row>
    <row r="774" spans="1:90">
      <c r="A774" t="s">
        <v>72</v>
      </c>
      <c r="B774" t="s">
        <v>73</v>
      </c>
      <c r="C774" t="s">
        <v>74</v>
      </c>
      <c r="E774" t="str">
        <f>"FES1162727243"</f>
        <v>FES1162727243</v>
      </c>
      <c r="F774" s="3">
        <v>43805</v>
      </c>
      <c r="G774">
        <v>202006</v>
      </c>
      <c r="H774" t="s">
        <v>75</v>
      </c>
      <c r="I774" t="s">
        <v>76</v>
      </c>
      <c r="J774" t="s">
        <v>77</v>
      </c>
      <c r="K774" t="s">
        <v>78</v>
      </c>
      <c r="L774" t="s">
        <v>151</v>
      </c>
      <c r="M774" t="s">
        <v>102</v>
      </c>
      <c r="N774" t="s">
        <v>103</v>
      </c>
      <c r="O774" t="s">
        <v>82</v>
      </c>
      <c r="P774" t="str">
        <f>"2170720734                    "</f>
        <v xml:space="preserve">2170720734                    </v>
      </c>
      <c r="Q774">
        <v>0</v>
      </c>
      <c r="R774">
        <v>0</v>
      </c>
      <c r="S774">
        <v>0</v>
      </c>
      <c r="T774">
        <v>0</v>
      </c>
      <c r="U774">
        <v>0</v>
      </c>
      <c r="V774">
        <v>0</v>
      </c>
      <c r="W774">
        <v>0</v>
      </c>
      <c r="X774">
        <v>0</v>
      </c>
      <c r="Y774">
        <v>0</v>
      </c>
      <c r="Z774">
        <v>0</v>
      </c>
      <c r="AA774">
        <v>0</v>
      </c>
      <c r="AB774">
        <v>0</v>
      </c>
      <c r="AC774">
        <v>0</v>
      </c>
      <c r="AD774">
        <v>0</v>
      </c>
      <c r="AE774">
        <v>0</v>
      </c>
      <c r="AF774">
        <v>0</v>
      </c>
      <c r="AG774">
        <v>0</v>
      </c>
      <c r="AH774">
        <v>0</v>
      </c>
      <c r="AI774">
        <v>0</v>
      </c>
      <c r="AJ774">
        <v>0</v>
      </c>
      <c r="AK774">
        <v>0</v>
      </c>
      <c r="AL774">
        <v>0</v>
      </c>
      <c r="AM774">
        <v>8.58</v>
      </c>
      <c r="AN774">
        <v>0</v>
      </c>
      <c r="AO774">
        <v>0</v>
      </c>
      <c r="AP774">
        <v>0</v>
      </c>
      <c r="AQ774">
        <v>0</v>
      </c>
      <c r="AR774">
        <v>0</v>
      </c>
      <c r="AS774">
        <v>0</v>
      </c>
      <c r="AT774">
        <v>0</v>
      </c>
      <c r="AU774">
        <v>0</v>
      </c>
      <c r="AV774">
        <v>0</v>
      </c>
      <c r="AW774">
        <v>0</v>
      </c>
      <c r="AX774">
        <v>0</v>
      </c>
      <c r="AY774">
        <v>0</v>
      </c>
      <c r="AZ774">
        <v>0</v>
      </c>
      <c r="BA774">
        <v>0</v>
      </c>
      <c r="BB774">
        <v>0</v>
      </c>
      <c r="BC774">
        <v>0</v>
      </c>
      <c r="BD774">
        <v>0</v>
      </c>
      <c r="BE774">
        <v>0</v>
      </c>
      <c r="BF774">
        <v>0</v>
      </c>
      <c r="BG774">
        <v>0</v>
      </c>
      <c r="BH774">
        <v>1</v>
      </c>
      <c r="BI774">
        <v>1</v>
      </c>
      <c r="BJ774">
        <v>0.2</v>
      </c>
      <c r="BK774">
        <v>1</v>
      </c>
      <c r="BL774" s="4">
        <v>50.45</v>
      </c>
      <c r="BM774" s="4">
        <v>7.57</v>
      </c>
      <c r="BN774" s="4">
        <v>58.02</v>
      </c>
      <c r="BO774" s="4">
        <v>58.02</v>
      </c>
      <c r="BQ774" t="s">
        <v>93</v>
      </c>
      <c r="BR774" t="s">
        <v>84</v>
      </c>
      <c r="BS774" s="3">
        <v>43809</v>
      </c>
      <c r="BT774" s="5">
        <v>0.36249999999999999</v>
      </c>
      <c r="BU774" t="s">
        <v>1288</v>
      </c>
      <c r="BV774" t="s">
        <v>89</v>
      </c>
      <c r="BW774" t="s">
        <v>149</v>
      </c>
      <c r="BX774" t="s">
        <v>785</v>
      </c>
      <c r="BY774">
        <v>1200</v>
      </c>
      <c r="CC774" t="s">
        <v>102</v>
      </c>
      <c r="CD774">
        <v>1</v>
      </c>
      <c r="CE774" t="s">
        <v>88</v>
      </c>
      <c r="CF774" s="3">
        <v>43810</v>
      </c>
      <c r="CI774">
        <v>1</v>
      </c>
      <c r="CJ774">
        <v>2</v>
      </c>
      <c r="CK774">
        <v>21</v>
      </c>
      <c r="CL774" t="s">
        <v>89</v>
      </c>
    </row>
    <row r="775" spans="1:90">
      <c r="A775" t="s">
        <v>72</v>
      </c>
      <c r="B775" t="s">
        <v>73</v>
      </c>
      <c r="C775" t="s">
        <v>74</v>
      </c>
      <c r="E775" t="str">
        <f>"FES1162727156"</f>
        <v>FES1162727156</v>
      </c>
      <c r="F775" s="3">
        <v>43805</v>
      </c>
      <c r="G775">
        <v>202006</v>
      </c>
      <c r="H775" t="s">
        <v>75</v>
      </c>
      <c r="I775" t="s">
        <v>76</v>
      </c>
      <c r="J775" t="s">
        <v>77</v>
      </c>
      <c r="K775" t="s">
        <v>78</v>
      </c>
      <c r="L775" t="s">
        <v>79</v>
      </c>
      <c r="M775" t="s">
        <v>80</v>
      </c>
      <c r="N775" t="s">
        <v>1289</v>
      </c>
      <c r="O775" t="s">
        <v>82</v>
      </c>
      <c r="P775" t="str">
        <f>"2170717091                    "</f>
        <v xml:space="preserve">2170717091                    </v>
      </c>
      <c r="Q775">
        <v>0</v>
      </c>
      <c r="R775">
        <v>0</v>
      </c>
      <c r="S775">
        <v>0</v>
      </c>
      <c r="T775">
        <v>0</v>
      </c>
      <c r="U775">
        <v>0</v>
      </c>
      <c r="V775">
        <v>0</v>
      </c>
      <c r="W775">
        <v>0</v>
      </c>
      <c r="X775">
        <v>0</v>
      </c>
      <c r="Y775">
        <v>0</v>
      </c>
      <c r="Z775">
        <v>0</v>
      </c>
      <c r="AA775">
        <v>0</v>
      </c>
      <c r="AB775">
        <v>0</v>
      </c>
      <c r="AC775">
        <v>0</v>
      </c>
      <c r="AD775">
        <v>0</v>
      </c>
      <c r="AE775">
        <v>0</v>
      </c>
      <c r="AF775">
        <v>0</v>
      </c>
      <c r="AG775">
        <v>0</v>
      </c>
      <c r="AH775">
        <v>0</v>
      </c>
      <c r="AI775">
        <v>0</v>
      </c>
      <c r="AJ775">
        <v>0</v>
      </c>
      <c r="AK775">
        <v>0</v>
      </c>
      <c r="AL775">
        <v>0</v>
      </c>
      <c r="AM775">
        <v>8.58</v>
      </c>
      <c r="AN775">
        <v>0</v>
      </c>
      <c r="AO775">
        <v>0</v>
      </c>
      <c r="AP775">
        <v>0</v>
      </c>
      <c r="AQ775">
        <v>0</v>
      </c>
      <c r="AR775">
        <v>0</v>
      </c>
      <c r="AS775">
        <v>0</v>
      </c>
      <c r="AT775">
        <v>0</v>
      </c>
      <c r="AU775">
        <v>0</v>
      </c>
      <c r="AV775">
        <v>0</v>
      </c>
      <c r="AW775">
        <v>0</v>
      </c>
      <c r="AX775">
        <v>0</v>
      </c>
      <c r="AY775">
        <v>0</v>
      </c>
      <c r="AZ775">
        <v>0</v>
      </c>
      <c r="BA775">
        <v>0</v>
      </c>
      <c r="BB775">
        <v>0</v>
      </c>
      <c r="BC775">
        <v>0</v>
      </c>
      <c r="BD775">
        <v>0</v>
      </c>
      <c r="BE775">
        <v>0</v>
      </c>
      <c r="BF775">
        <v>0</v>
      </c>
      <c r="BG775">
        <v>0</v>
      </c>
      <c r="BH775">
        <v>1</v>
      </c>
      <c r="BI775">
        <v>1</v>
      </c>
      <c r="BJ775">
        <v>0.2</v>
      </c>
      <c r="BK775">
        <v>1</v>
      </c>
      <c r="BL775" s="4">
        <v>50.45</v>
      </c>
      <c r="BM775" s="4">
        <v>7.57</v>
      </c>
      <c r="BN775" s="4">
        <v>58.02</v>
      </c>
      <c r="BO775" s="4">
        <v>58.02</v>
      </c>
      <c r="BQ775" t="s">
        <v>93</v>
      </c>
      <c r="BR775" t="s">
        <v>84</v>
      </c>
      <c r="BS775" s="3">
        <v>43808</v>
      </c>
      <c r="BT775" s="5">
        <v>0.33680555555555558</v>
      </c>
      <c r="BU775" t="s">
        <v>1290</v>
      </c>
      <c r="BV775" t="s">
        <v>86</v>
      </c>
      <c r="BY775">
        <v>1200</v>
      </c>
      <c r="CA775" t="s">
        <v>1156</v>
      </c>
      <c r="CC775" t="s">
        <v>80</v>
      </c>
      <c r="CD775">
        <v>6014</v>
      </c>
      <c r="CE775" t="s">
        <v>88</v>
      </c>
      <c r="CF775" s="3">
        <v>43809</v>
      </c>
      <c r="CI775">
        <v>1</v>
      </c>
      <c r="CJ775">
        <v>1</v>
      </c>
      <c r="CK775">
        <v>21</v>
      </c>
      <c r="CL775" t="s">
        <v>89</v>
      </c>
    </row>
    <row r="776" spans="1:90">
      <c r="A776" t="s">
        <v>72</v>
      </c>
      <c r="B776" t="s">
        <v>73</v>
      </c>
      <c r="C776" t="s">
        <v>74</v>
      </c>
      <c r="E776" t="str">
        <f>"FES1162727241"</f>
        <v>FES1162727241</v>
      </c>
      <c r="F776" s="3">
        <v>43805</v>
      </c>
      <c r="G776">
        <v>202006</v>
      </c>
      <c r="H776" t="s">
        <v>75</v>
      </c>
      <c r="I776" t="s">
        <v>76</v>
      </c>
      <c r="J776" t="s">
        <v>77</v>
      </c>
      <c r="K776" t="s">
        <v>78</v>
      </c>
      <c r="L776" t="s">
        <v>332</v>
      </c>
      <c r="M776" t="s">
        <v>333</v>
      </c>
      <c r="N776" t="s">
        <v>701</v>
      </c>
      <c r="O776" t="s">
        <v>82</v>
      </c>
      <c r="P776" t="str">
        <f>"2170720730                    "</f>
        <v xml:space="preserve">2170720730                    </v>
      </c>
      <c r="Q776">
        <v>0</v>
      </c>
      <c r="R776">
        <v>0</v>
      </c>
      <c r="S776">
        <v>0</v>
      </c>
      <c r="T776">
        <v>0</v>
      </c>
      <c r="U776">
        <v>0</v>
      </c>
      <c r="V776">
        <v>0</v>
      </c>
      <c r="W776">
        <v>0</v>
      </c>
      <c r="X776">
        <v>0</v>
      </c>
      <c r="Y776">
        <v>0</v>
      </c>
      <c r="Z776">
        <v>0</v>
      </c>
      <c r="AA776">
        <v>0</v>
      </c>
      <c r="AB776">
        <v>0</v>
      </c>
      <c r="AC776">
        <v>0</v>
      </c>
      <c r="AD776">
        <v>0</v>
      </c>
      <c r="AE776">
        <v>0</v>
      </c>
      <c r="AF776">
        <v>0</v>
      </c>
      <c r="AG776">
        <v>0</v>
      </c>
      <c r="AH776">
        <v>0</v>
      </c>
      <c r="AI776">
        <v>0</v>
      </c>
      <c r="AJ776">
        <v>0</v>
      </c>
      <c r="AK776">
        <v>0</v>
      </c>
      <c r="AL776">
        <v>0</v>
      </c>
      <c r="AM776">
        <v>6.71</v>
      </c>
      <c r="AN776">
        <v>0</v>
      </c>
      <c r="AO776">
        <v>0</v>
      </c>
      <c r="AP776">
        <v>0</v>
      </c>
      <c r="AQ776">
        <v>0</v>
      </c>
      <c r="AR776">
        <v>0</v>
      </c>
      <c r="AS776">
        <v>0</v>
      </c>
      <c r="AT776">
        <v>0</v>
      </c>
      <c r="AU776">
        <v>0</v>
      </c>
      <c r="AV776">
        <v>0</v>
      </c>
      <c r="AW776">
        <v>0</v>
      </c>
      <c r="AX776">
        <v>0</v>
      </c>
      <c r="AY776">
        <v>0</v>
      </c>
      <c r="AZ776">
        <v>0</v>
      </c>
      <c r="BA776">
        <v>0</v>
      </c>
      <c r="BB776">
        <v>0</v>
      </c>
      <c r="BC776">
        <v>0</v>
      </c>
      <c r="BD776">
        <v>0</v>
      </c>
      <c r="BE776">
        <v>0</v>
      </c>
      <c r="BF776">
        <v>0</v>
      </c>
      <c r="BG776">
        <v>0</v>
      </c>
      <c r="BH776">
        <v>1</v>
      </c>
      <c r="BI776">
        <v>1</v>
      </c>
      <c r="BJ776">
        <v>0.2</v>
      </c>
      <c r="BK776">
        <v>1</v>
      </c>
      <c r="BL776" s="4">
        <v>39.42</v>
      </c>
      <c r="BM776" s="4">
        <v>5.91</v>
      </c>
      <c r="BN776" s="4">
        <v>45.33</v>
      </c>
      <c r="BO776" s="4">
        <v>45.33</v>
      </c>
      <c r="BQ776" t="s">
        <v>93</v>
      </c>
      <c r="BR776" t="s">
        <v>84</v>
      </c>
      <c r="BS776" s="3">
        <v>43808</v>
      </c>
      <c r="BT776" s="5">
        <v>0.42291666666666666</v>
      </c>
      <c r="BU776" t="s">
        <v>702</v>
      </c>
      <c r="BV776" t="s">
        <v>86</v>
      </c>
      <c r="BY776">
        <v>1200</v>
      </c>
      <c r="CA776" t="s">
        <v>700</v>
      </c>
      <c r="CC776" t="s">
        <v>333</v>
      </c>
      <c r="CD776">
        <v>2094</v>
      </c>
      <c r="CE776" t="s">
        <v>88</v>
      </c>
      <c r="CF776" s="3">
        <v>43809</v>
      </c>
      <c r="CI776">
        <v>1</v>
      </c>
      <c r="CJ776">
        <v>1</v>
      </c>
      <c r="CK776">
        <v>22</v>
      </c>
      <c r="CL776" t="s">
        <v>89</v>
      </c>
    </row>
    <row r="777" spans="1:90">
      <c r="A777" t="s">
        <v>72</v>
      </c>
      <c r="B777" t="s">
        <v>73</v>
      </c>
      <c r="C777" t="s">
        <v>74</v>
      </c>
      <c r="E777" t="str">
        <f>"FES1162727061"</f>
        <v>FES1162727061</v>
      </c>
      <c r="F777" s="3">
        <v>43805</v>
      </c>
      <c r="G777">
        <v>202006</v>
      </c>
      <c r="H777" t="s">
        <v>75</v>
      </c>
      <c r="I777" t="s">
        <v>76</v>
      </c>
      <c r="J777" t="s">
        <v>77</v>
      </c>
      <c r="K777" t="s">
        <v>78</v>
      </c>
      <c r="L777" t="s">
        <v>332</v>
      </c>
      <c r="M777" t="s">
        <v>333</v>
      </c>
      <c r="N777" t="s">
        <v>950</v>
      </c>
      <c r="O777" t="s">
        <v>82</v>
      </c>
      <c r="P777" t="str">
        <f>"2170720536                    "</f>
        <v xml:space="preserve">2170720536                    </v>
      </c>
      <c r="Q777">
        <v>0</v>
      </c>
      <c r="R777">
        <v>0</v>
      </c>
      <c r="S777">
        <v>0</v>
      </c>
      <c r="T777">
        <v>0</v>
      </c>
      <c r="U777">
        <v>0</v>
      </c>
      <c r="V777">
        <v>0</v>
      </c>
      <c r="W777">
        <v>0</v>
      </c>
      <c r="X777">
        <v>0</v>
      </c>
      <c r="Y777">
        <v>0</v>
      </c>
      <c r="Z777">
        <v>0</v>
      </c>
      <c r="AA777">
        <v>0</v>
      </c>
      <c r="AB777">
        <v>0</v>
      </c>
      <c r="AC777">
        <v>0</v>
      </c>
      <c r="AD777">
        <v>0</v>
      </c>
      <c r="AE777">
        <v>0</v>
      </c>
      <c r="AF777">
        <v>0</v>
      </c>
      <c r="AG777">
        <v>0</v>
      </c>
      <c r="AH777">
        <v>0</v>
      </c>
      <c r="AI777">
        <v>0</v>
      </c>
      <c r="AJ777">
        <v>0</v>
      </c>
      <c r="AK777">
        <v>0</v>
      </c>
      <c r="AL777">
        <v>0</v>
      </c>
      <c r="AM777">
        <v>6.71</v>
      </c>
      <c r="AN777">
        <v>0</v>
      </c>
      <c r="AO777">
        <v>0</v>
      </c>
      <c r="AP777">
        <v>0</v>
      </c>
      <c r="AQ777">
        <v>0</v>
      </c>
      <c r="AR777">
        <v>0</v>
      </c>
      <c r="AS777">
        <v>0</v>
      </c>
      <c r="AT777">
        <v>0</v>
      </c>
      <c r="AU777">
        <v>0</v>
      </c>
      <c r="AV777">
        <v>0</v>
      </c>
      <c r="AW777">
        <v>0</v>
      </c>
      <c r="AX777">
        <v>0</v>
      </c>
      <c r="AY777">
        <v>0</v>
      </c>
      <c r="AZ777">
        <v>0</v>
      </c>
      <c r="BA777">
        <v>0</v>
      </c>
      <c r="BB777">
        <v>0</v>
      </c>
      <c r="BC777">
        <v>0</v>
      </c>
      <c r="BD777">
        <v>0</v>
      </c>
      <c r="BE777">
        <v>0</v>
      </c>
      <c r="BF777">
        <v>0</v>
      </c>
      <c r="BG777">
        <v>0</v>
      </c>
      <c r="BH777">
        <v>1</v>
      </c>
      <c r="BI777">
        <v>1</v>
      </c>
      <c r="BJ777">
        <v>0.2</v>
      </c>
      <c r="BK777">
        <v>1</v>
      </c>
      <c r="BL777" s="4">
        <v>39.42</v>
      </c>
      <c r="BM777" s="4">
        <v>5.91</v>
      </c>
      <c r="BN777" s="4">
        <v>45.33</v>
      </c>
      <c r="BO777" s="4">
        <v>45.33</v>
      </c>
      <c r="BQ777" t="s">
        <v>147</v>
      </c>
      <c r="BR777" t="s">
        <v>84</v>
      </c>
      <c r="BS777" s="3">
        <v>43808</v>
      </c>
      <c r="BT777" s="5">
        <v>0.34722222222222227</v>
      </c>
      <c r="BU777" t="s">
        <v>899</v>
      </c>
      <c r="BV777" t="s">
        <v>86</v>
      </c>
      <c r="BY777">
        <v>1200</v>
      </c>
      <c r="CC777" t="s">
        <v>333</v>
      </c>
      <c r="CD777">
        <v>2013</v>
      </c>
      <c r="CE777" t="s">
        <v>88</v>
      </c>
      <c r="CF777" s="3">
        <v>43809</v>
      </c>
      <c r="CI777">
        <v>1</v>
      </c>
      <c r="CJ777">
        <v>1</v>
      </c>
      <c r="CK777">
        <v>22</v>
      </c>
      <c r="CL777" t="s">
        <v>89</v>
      </c>
    </row>
    <row r="778" spans="1:90">
      <c r="A778" t="s">
        <v>72</v>
      </c>
      <c r="B778" t="s">
        <v>73</v>
      </c>
      <c r="C778" t="s">
        <v>74</v>
      </c>
      <c r="E778" t="str">
        <f>"FES1162727137"</f>
        <v>FES1162727137</v>
      </c>
      <c r="F778" s="3">
        <v>43805</v>
      </c>
      <c r="G778">
        <v>202006</v>
      </c>
      <c r="H778" t="s">
        <v>75</v>
      </c>
      <c r="I778" t="s">
        <v>76</v>
      </c>
      <c r="J778" t="s">
        <v>77</v>
      </c>
      <c r="K778" t="s">
        <v>78</v>
      </c>
      <c r="L778" t="s">
        <v>138</v>
      </c>
      <c r="M778" t="s">
        <v>139</v>
      </c>
      <c r="N778" t="s">
        <v>1291</v>
      </c>
      <c r="O778" t="s">
        <v>82</v>
      </c>
      <c r="P778" t="str">
        <f>"2170720606                    "</f>
        <v xml:space="preserve">2170720606                    </v>
      </c>
      <c r="Q778">
        <v>0</v>
      </c>
      <c r="R778">
        <v>0</v>
      </c>
      <c r="S778">
        <v>0</v>
      </c>
      <c r="T778">
        <v>0</v>
      </c>
      <c r="U778">
        <v>0</v>
      </c>
      <c r="V778">
        <v>0</v>
      </c>
      <c r="W778">
        <v>0</v>
      </c>
      <c r="X778">
        <v>0</v>
      </c>
      <c r="Y778">
        <v>0</v>
      </c>
      <c r="Z778">
        <v>0</v>
      </c>
      <c r="AA778">
        <v>0</v>
      </c>
      <c r="AB778">
        <v>0</v>
      </c>
      <c r="AC778">
        <v>0</v>
      </c>
      <c r="AD778">
        <v>0</v>
      </c>
      <c r="AE778">
        <v>0</v>
      </c>
      <c r="AF778">
        <v>0</v>
      </c>
      <c r="AG778">
        <v>0</v>
      </c>
      <c r="AH778">
        <v>0</v>
      </c>
      <c r="AI778">
        <v>0</v>
      </c>
      <c r="AJ778">
        <v>0</v>
      </c>
      <c r="AK778">
        <v>0</v>
      </c>
      <c r="AL778">
        <v>0</v>
      </c>
      <c r="AM778">
        <v>6.71</v>
      </c>
      <c r="AN778">
        <v>0</v>
      </c>
      <c r="AO778">
        <v>0</v>
      </c>
      <c r="AP778">
        <v>0</v>
      </c>
      <c r="AQ778">
        <v>0</v>
      </c>
      <c r="AR778">
        <v>0</v>
      </c>
      <c r="AS778">
        <v>0</v>
      </c>
      <c r="AT778">
        <v>0</v>
      </c>
      <c r="AU778">
        <v>0</v>
      </c>
      <c r="AV778">
        <v>0</v>
      </c>
      <c r="AW778">
        <v>0</v>
      </c>
      <c r="AX778">
        <v>0</v>
      </c>
      <c r="AY778">
        <v>0</v>
      </c>
      <c r="AZ778">
        <v>0</v>
      </c>
      <c r="BA778">
        <v>0</v>
      </c>
      <c r="BB778">
        <v>0</v>
      </c>
      <c r="BC778">
        <v>0</v>
      </c>
      <c r="BD778">
        <v>0</v>
      </c>
      <c r="BE778">
        <v>0</v>
      </c>
      <c r="BF778">
        <v>0</v>
      </c>
      <c r="BG778">
        <v>0</v>
      </c>
      <c r="BH778">
        <v>1</v>
      </c>
      <c r="BI778">
        <v>1</v>
      </c>
      <c r="BJ778">
        <v>0.2</v>
      </c>
      <c r="BK778">
        <v>1</v>
      </c>
      <c r="BL778" s="4">
        <v>39.42</v>
      </c>
      <c r="BM778" s="4">
        <v>5.91</v>
      </c>
      <c r="BN778" s="4">
        <v>45.33</v>
      </c>
      <c r="BO778" s="4">
        <v>45.33</v>
      </c>
      <c r="BQ778" t="s">
        <v>1292</v>
      </c>
      <c r="BR778" t="s">
        <v>84</v>
      </c>
      <c r="BS778" s="3">
        <v>43808</v>
      </c>
      <c r="BT778" s="5">
        <v>0.38194444444444442</v>
      </c>
      <c r="BU778" t="s">
        <v>1293</v>
      </c>
      <c r="BV778" t="s">
        <v>86</v>
      </c>
      <c r="BY778">
        <v>1200</v>
      </c>
      <c r="CC778" t="s">
        <v>139</v>
      </c>
      <c r="CD778">
        <v>1422</v>
      </c>
      <c r="CE778" t="s">
        <v>88</v>
      </c>
      <c r="CF778" s="3">
        <v>43810</v>
      </c>
      <c r="CI778">
        <v>1</v>
      </c>
      <c r="CJ778">
        <v>1</v>
      </c>
      <c r="CK778">
        <v>22</v>
      </c>
      <c r="CL778" t="s">
        <v>89</v>
      </c>
    </row>
    <row r="779" spans="1:90">
      <c r="A779" t="s">
        <v>72</v>
      </c>
      <c r="B779" t="s">
        <v>73</v>
      </c>
      <c r="C779" t="s">
        <v>74</v>
      </c>
      <c r="E779" t="str">
        <f>"FES1162727060"</f>
        <v>FES1162727060</v>
      </c>
      <c r="F779" s="3">
        <v>43805</v>
      </c>
      <c r="G779">
        <v>202006</v>
      </c>
      <c r="H779" t="s">
        <v>75</v>
      </c>
      <c r="I779" t="s">
        <v>76</v>
      </c>
      <c r="J779" t="s">
        <v>77</v>
      </c>
      <c r="K779" t="s">
        <v>78</v>
      </c>
      <c r="L779" t="s">
        <v>332</v>
      </c>
      <c r="M779" t="s">
        <v>333</v>
      </c>
      <c r="N779" t="s">
        <v>950</v>
      </c>
      <c r="O779" t="s">
        <v>82</v>
      </c>
      <c r="P779" t="str">
        <f>"2170720535                    "</f>
        <v xml:space="preserve">2170720535                    </v>
      </c>
      <c r="Q779">
        <v>0</v>
      </c>
      <c r="R779">
        <v>0</v>
      </c>
      <c r="S779">
        <v>0</v>
      </c>
      <c r="T779">
        <v>0</v>
      </c>
      <c r="U779">
        <v>0</v>
      </c>
      <c r="V779">
        <v>0</v>
      </c>
      <c r="W779">
        <v>0</v>
      </c>
      <c r="X779">
        <v>0</v>
      </c>
      <c r="Y779">
        <v>0</v>
      </c>
      <c r="Z779">
        <v>0</v>
      </c>
      <c r="AA779">
        <v>0</v>
      </c>
      <c r="AB779">
        <v>0</v>
      </c>
      <c r="AC779">
        <v>0</v>
      </c>
      <c r="AD779">
        <v>0</v>
      </c>
      <c r="AE779">
        <v>0</v>
      </c>
      <c r="AF779">
        <v>0</v>
      </c>
      <c r="AG779">
        <v>0</v>
      </c>
      <c r="AH779">
        <v>0</v>
      </c>
      <c r="AI779">
        <v>0</v>
      </c>
      <c r="AJ779">
        <v>0</v>
      </c>
      <c r="AK779">
        <v>0</v>
      </c>
      <c r="AL779">
        <v>0</v>
      </c>
      <c r="AM779">
        <v>6.71</v>
      </c>
      <c r="AN779">
        <v>0</v>
      </c>
      <c r="AO779">
        <v>0</v>
      </c>
      <c r="AP779">
        <v>0</v>
      </c>
      <c r="AQ779">
        <v>0</v>
      </c>
      <c r="AR779">
        <v>0</v>
      </c>
      <c r="AS779">
        <v>0</v>
      </c>
      <c r="AT779">
        <v>0</v>
      </c>
      <c r="AU779">
        <v>0</v>
      </c>
      <c r="AV779">
        <v>0</v>
      </c>
      <c r="AW779">
        <v>0</v>
      </c>
      <c r="AX779">
        <v>0</v>
      </c>
      <c r="AY779">
        <v>0</v>
      </c>
      <c r="AZ779">
        <v>0</v>
      </c>
      <c r="BA779">
        <v>0</v>
      </c>
      <c r="BB779">
        <v>0</v>
      </c>
      <c r="BC779">
        <v>0</v>
      </c>
      <c r="BD779">
        <v>0</v>
      </c>
      <c r="BE779">
        <v>0</v>
      </c>
      <c r="BF779">
        <v>0</v>
      </c>
      <c r="BG779">
        <v>0</v>
      </c>
      <c r="BH779">
        <v>1</v>
      </c>
      <c r="BI779">
        <v>1</v>
      </c>
      <c r="BJ779">
        <v>0.2</v>
      </c>
      <c r="BK779">
        <v>1</v>
      </c>
      <c r="BL779" s="4">
        <v>39.42</v>
      </c>
      <c r="BM779" s="4">
        <v>5.91</v>
      </c>
      <c r="BN779" s="4">
        <v>45.33</v>
      </c>
      <c r="BO779" s="4">
        <v>45.33</v>
      </c>
      <c r="BQ779" t="s">
        <v>147</v>
      </c>
      <c r="BR779" t="s">
        <v>84</v>
      </c>
      <c r="BS779" s="3">
        <v>43808</v>
      </c>
      <c r="BT779" s="5">
        <v>0.34722222222222227</v>
      </c>
      <c r="BU779" t="s">
        <v>899</v>
      </c>
      <c r="BV779" t="s">
        <v>86</v>
      </c>
      <c r="BY779">
        <v>1200</v>
      </c>
      <c r="CC779" t="s">
        <v>333</v>
      </c>
      <c r="CD779">
        <v>2013</v>
      </c>
      <c r="CE779" t="s">
        <v>88</v>
      </c>
      <c r="CF779" s="3">
        <v>43809</v>
      </c>
      <c r="CI779">
        <v>1</v>
      </c>
      <c r="CJ779">
        <v>1</v>
      </c>
      <c r="CK779">
        <v>22</v>
      </c>
      <c r="CL779" t="s">
        <v>89</v>
      </c>
    </row>
    <row r="780" spans="1:90">
      <c r="A780" t="s">
        <v>72</v>
      </c>
      <c r="B780" t="s">
        <v>73</v>
      </c>
      <c r="C780" t="s">
        <v>74</v>
      </c>
      <c r="E780" t="str">
        <f>"FES1162727225"</f>
        <v>FES1162727225</v>
      </c>
      <c r="F780" s="3">
        <v>43805</v>
      </c>
      <c r="G780">
        <v>202006</v>
      </c>
      <c r="H780" t="s">
        <v>75</v>
      </c>
      <c r="I780" t="s">
        <v>76</v>
      </c>
      <c r="J780" t="s">
        <v>77</v>
      </c>
      <c r="K780" t="s">
        <v>78</v>
      </c>
      <c r="L780" t="s">
        <v>332</v>
      </c>
      <c r="M780" t="s">
        <v>333</v>
      </c>
      <c r="N780" t="s">
        <v>1294</v>
      </c>
      <c r="O780" t="s">
        <v>82</v>
      </c>
      <c r="P780" t="str">
        <f>"2170720712                    "</f>
        <v xml:space="preserve">2170720712                    </v>
      </c>
      <c r="Q780">
        <v>0</v>
      </c>
      <c r="R780">
        <v>0</v>
      </c>
      <c r="S780">
        <v>0</v>
      </c>
      <c r="T780">
        <v>0</v>
      </c>
      <c r="U780">
        <v>0</v>
      </c>
      <c r="V780">
        <v>0</v>
      </c>
      <c r="W780">
        <v>0</v>
      </c>
      <c r="X780">
        <v>0</v>
      </c>
      <c r="Y780">
        <v>0</v>
      </c>
      <c r="Z780">
        <v>0</v>
      </c>
      <c r="AA780">
        <v>0</v>
      </c>
      <c r="AB780">
        <v>0</v>
      </c>
      <c r="AC780">
        <v>0</v>
      </c>
      <c r="AD780">
        <v>0</v>
      </c>
      <c r="AE780">
        <v>0</v>
      </c>
      <c r="AF780">
        <v>0</v>
      </c>
      <c r="AG780">
        <v>0</v>
      </c>
      <c r="AH780">
        <v>0</v>
      </c>
      <c r="AI780">
        <v>0</v>
      </c>
      <c r="AJ780">
        <v>0</v>
      </c>
      <c r="AK780">
        <v>0</v>
      </c>
      <c r="AL780">
        <v>0</v>
      </c>
      <c r="AM780">
        <v>6.71</v>
      </c>
      <c r="AN780">
        <v>0</v>
      </c>
      <c r="AO780">
        <v>0</v>
      </c>
      <c r="AP780">
        <v>0</v>
      </c>
      <c r="AQ780">
        <v>0</v>
      </c>
      <c r="AR780">
        <v>0</v>
      </c>
      <c r="AS780">
        <v>0</v>
      </c>
      <c r="AT780">
        <v>0</v>
      </c>
      <c r="AU780">
        <v>0</v>
      </c>
      <c r="AV780">
        <v>0</v>
      </c>
      <c r="AW780">
        <v>0</v>
      </c>
      <c r="AX780">
        <v>0</v>
      </c>
      <c r="AY780">
        <v>0</v>
      </c>
      <c r="AZ780">
        <v>0</v>
      </c>
      <c r="BA780">
        <v>0</v>
      </c>
      <c r="BB780">
        <v>0</v>
      </c>
      <c r="BC780">
        <v>0</v>
      </c>
      <c r="BD780">
        <v>0</v>
      </c>
      <c r="BE780">
        <v>0</v>
      </c>
      <c r="BF780">
        <v>0</v>
      </c>
      <c r="BG780">
        <v>0</v>
      </c>
      <c r="BH780">
        <v>1</v>
      </c>
      <c r="BI780">
        <v>1</v>
      </c>
      <c r="BJ780">
        <v>0.2</v>
      </c>
      <c r="BK780">
        <v>1</v>
      </c>
      <c r="BL780" s="4">
        <v>39.42</v>
      </c>
      <c r="BM780" s="4">
        <v>5.91</v>
      </c>
      <c r="BN780" s="4">
        <v>45.33</v>
      </c>
      <c r="BO780" s="4">
        <v>45.33</v>
      </c>
      <c r="BR780" t="s">
        <v>84</v>
      </c>
      <c r="BS780" s="3">
        <v>43808</v>
      </c>
      <c r="BT780" s="5">
        <v>0.33333333333333331</v>
      </c>
      <c r="BU780" t="s">
        <v>1295</v>
      </c>
      <c r="BV780" t="s">
        <v>86</v>
      </c>
      <c r="BY780">
        <v>1200</v>
      </c>
      <c r="CC780" t="s">
        <v>333</v>
      </c>
      <c r="CD780">
        <v>2021</v>
      </c>
      <c r="CE780" t="s">
        <v>88</v>
      </c>
      <c r="CF780" s="3">
        <v>43810</v>
      </c>
      <c r="CI780">
        <v>1</v>
      </c>
      <c r="CJ780">
        <v>1</v>
      </c>
      <c r="CK780">
        <v>22</v>
      </c>
      <c r="CL780" t="s">
        <v>89</v>
      </c>
    </row>
    <row r="781" spans="1:90">
      <c r="A781" t="s">
        <v>72</v>
      </c>
      <c r="B781" t="s">
        <v>73</v>
      </c>
      <c r="C781" t="s">
        <v>74</v>
      </c>
      <c r="E781" t="str">
        <f>"FES1162727151"</f>
        <v>FES1162727151</v>
      </c>
      <c r="F781" s="3">
        <v>43805</v>
      </c>
      <c r="G781">
        <v>202006</v>
      </c>
      <c r="H781" t="s">
        <v>75</v>
      </c>
      <c r="I781" t="s">
        <v>76</v>
      </c>
      <c r="J781" t="s">
        <v>77</v>
      </c>
      <c r="K781" t="s">
        <v>78</v>
      </c>
      <c r="L781" t="s">
        <v>79</v>
      </c>
      <c r="M781" t="s">
        <v>80</v>
      </c>
      <c r="N781" t="s">
        <v>97</v>
      </c>
      <c r="O781" t="s">
        <v>82</v>
      </c>
      <c r="P781" t="str">
        <f>"2170720617                    "</f>
        <v xml:space="preserve">2170720617                    </v>
      </c>
      <c r="Q781">
        <v>0</v>
      </c>
      <c r="R781">
        <v>0</v>
      </c>
      <c r="S781">
        <v>0</v>
      </c>
      <c r="T781">
        <v>0</v>
      </c>
      <c r="U781">
        <v>0</v>
      </c>
      <c r="V781">
        <v>0</v>
      </c>
      <c r="W781">
        <v>0</v>
      </c>
      <c r="X781">
        <v>0</v>
      </c>
      <c r="Y781">
        <v>0</v>
      </c>
      <c r="Z781">
        <v>0</v>
      </c>
      <c r="AA781">
        <v>0</v>
      </c>
      <c r="AB781">
        <v>0</v>
      </c>
      <c r="AC781">
        <v>0</v>
      </c>
      <c r="AD781">
        <v>0</v>
      </c>
      <c r="AE781">
        <v>0</v>
      </c>
      <c r="AF781">
        <v>0</v>
      </c>
      <c r="AG781">
        <v>0</v>
      </c>
      <c r="AH781">
        <v>0</v>
      </c>
      <c r="AI781">
        <v>0</v>
      </c>
      <c r="AJ781">
        <v>0</v>
      </c>
      <c r="AK781">
        <v>0</v>
      </c>
      <c r="AL781">
        <v>0</v>
      </c>
      <c r="AM781">
        <v>8.58</v>
      </c>
      <c r="AN781">
        <v>0</v>
      </c>
      <c r="AO781">
        <v>0</v>
      </c>
      <c r="AP781">
        <v>0</v>
      </c>
      <c r="AQ781">
        <v>0</v>
      </c>
      <c r="AR781">
        <v>0</v>
      </c>
      <c r="AS781">
        <v>0</v>
      </c>
      <c r="AT781">
        <v>0</v>
      </c>
      <c r="AU781">
        <v>0</v>
      </c>
      <c r="AV781">
        <v>0</v>
      </c>
      <c r="AW781">
        <v>0</v>
      </c>
      <c r="AX781">
        <v>0</v>
      </c>
      <c r="AY781">
        <v>0</v>
      </c>
      <c r="AZ781">
        <v>0</v>
      </c>
      <c r="BA781">
        <v>0</v>
      </c>
      <c r="BB781">
        <v>0</v>
      </c>
      <c r="BC781">
        <v>0</v>
      </c>
      <c r="BD781">
        <v>0</v>
      </c>
      <c r="BE781">
        <v>0</v>
      </c>
      <c r="BF781">
        <v>0</v>
      </c>
      <c r="BG781">
        <v>0</v>
      </c>
      <c r="BH781">
        <v>1</v>
      </c>
      <c r="BI781">
        <v>1</v>
      </c>
      <c r="BJ781">
        <v>0.2</v>
      </c>
      <c r="BK781">
        <v>1</v>
      </c>
      <c r="BL781" s="4">
        <v>50.45</v>
      </c>
      <c r="BM781" s="4">
        <v>7.57</v>
      </c>
      <c r="BN781" s="4">
        <v>58.02</v>
      </c>
      <c r="BO781" s="4">
        <v>58.02</v>
      </c>
      <c r="BQ781" t="s">
        <v>93</v>
      </c>
      <c r="BR781" t="s">
        <v>84</v>
      </c>
      <c r="BS781" s="3">
        <v>43808</v>
      </c>
      <c r="BT781" s="5">
        <v>0.34027777777777773</v>
      </c>
      <c r="BU781" t="s">
        <v>98</v>
      </c>
      <c r="BV781" t="s">
        <v>86</v>
      </c>
      <c r="BY781">
        <v>1200</v>
      </c>
      <c r="CA781" t="s">
        <v>99</v>
      </c>
      <c r="CC781" t="s">
        <v>80</v>
      </c>
      <c r="CD781">
        <v>6001</v>
      </c>
      <c r="CE781" t="s">
        <v>88</v>
      </c>
      <c r="CF781" s="3">
        <v>43809</v>
      </c>
      <c r="CI781">
        <v>1</v>
      </c>
      <c r="CJ781">
        <v>1</v>
      </c>
      <c r="CK781">
        <v>21</v>
      </c>
      <c r="CL781" t="s">
        <v>89</v>
      </c>
    </row>
    <row r="782" spans="1:90">
      <c r="A782" t="s">
        <v>72</v>
      </c>
      <c r="B782" t="s">
        <v>73</v>
      </c>
      <c r="C782" t="s">
        <v>74</v>
      </c>
      <c r="E782" t="str">
        <f>"FES1162727203"</f>
        <v>FES1162727203</v>
      </c>
      <c r="F782" s="3">
        <v>43805</v>
      </c>
      <c r="G782">
        <v>202006</v>
      </c>
      <c r="H782" t="s">
        <v>75</v>
      </c>
      <c r="I782" t="s">
        <v>76</v>
      </c>
      <c r="J782" t="s">
        <v>77</v>
      </c>
      <c r="K782" t="s">
        <v>78</v>
      </c>
      <c r="L782" t="s">
        <v>79</v>
      </c>
      <c r="M782" t="s">
        <v>80</v>
      </c>
      <c r="N782" t="s">
        <v>388</v>
      </c>
      <c r="O782" t="s">
        <v>82</v>
      </c>
      <c r="P782" t="str">
        <f>"2170720678                    "</f>
        <v xml:space="preserve">2170720678                    </v>
      </c>
      <c r="Q782">
        <v>0</v>
      </c>
      <c r="R782">
        <v>0</v>
      </c>
      <c r="S782">
        <v>0</v>
      </c>
      <c r="T782">
        <v>0</v>
      </c>
      <c r="U782">
        <v>0</v>
      </c>
      <c r="V782">
        <v>0</v>
      </c>
      <c r="W782">
        <v>0</v>
      </c>
      <c r="X782">
        <v>0</v>
      </c>
      <c r="Y782">
        <v>0</v>
      </c>
      <c r="Z782">
        <v>0</v>
      </c>
      <c r="AA782">
        <v>0</v>
      </c>
      <c r="AB782">
        <v>0</v>
      </c>
      <c r="AC782">
        <v>0</v>
      </c>
      <c r="AD782">
        <v>0</v>
      </c>
      <c r="AE782">
        <v>0</v>
      </c>
      <c r="AF782">
        <v>0</v>
      </c>
      <c r="AG782">
        <v>0</v>
      </c>
      <c r="AH782">
        <v>0</v>
      </c>
      <c r="AI782">
        <v>0</v>
      </c>
      <c r="AJ782">
        <v>0</v>
      </c>
      <c r="AK782">
        <v>0</v>
      </c>
      <c r="AL782">
        <v>0</v>
      </c>
      <c r="AM782">
        <v>8.58</v>
      </c>
      <c r="AN782">
        <v>0</v>
      </c>
      <c r="AO782">
        <v>0</v>
      </c>
      <c r="AP782">
        <v>0</v>
      </c>
      <c r="AQ782">
        <v>0</v>
      </c>
      <c r="AR782">
        <v>0</v>
      </c>
      <c r="AS782">
        <v>0</v>
      </c>
      <c r="AT782">
        <v>0</v>
      </c>
      <c r="AU782">
        <v>0</v>
      </c>
      <c r="AV782">
        <v>0</v>
      </c>
      <c r="AW782">
        <v>0</v>
      </c>
      <c r="AX782">
        <v>0</v>
      </c>
      <c r="AY782">
        <v>0</v>
      </c>
      <c r="AZ782">
        <v>0</v>
      </c>
      <c r="BA782">
        <v>0</v>
      </c>
      <c r="BB782">
        <v>0</v>
      </c>
      <c r="BC782">
        <v>0</v>
      </c>
      <c r="BD782">
        <v>0</v>
      </c>
      <c r="BE782">
        <v>0</v>
      </c>
      <c r="BF782">
        <v>0</v>
      </c>
      <c r="BG782">
        <v>0</v>
      </c>
      <c r="BH782">
        <v>1</v>
      </c>
      <c r="BI782">
        <v>1</v>
      </c>
      <c r="BJ782">
        <v>0.2</v>
      </c>
      <c r="BK782">
        <v>1</v>
      </c>
      <c r="BL782" s="4">
        <v>50.45</v>
      </c>
      <c r="BM782" s="4">
        <v>7.57</v>
      </c>
      <c r="BN782" s="4">
        <v>58.02</v>
      </c>
      <c r="BO782" s="4">
        <v>58.02</v>
      </c>
      <c r="BQ782" t="s">
        <v>147</v>
      </c>
      <c r="BR782" t="s">
        <v>84</v>
      </c>
      <c r="BS782" s="3">
        <v>43808</v>
      </c>
      <c r="BT782" s="5">
        <v>0.36041666666666666</v>
      </c>
      <c r="BU782" t="s">
        <v>1203</v>
      </c>
      <c r="BV782" t="s">
        <v>86</v>
      </c>
      <c r="BY782">
        <v>1200</v>
      </c>
      <c r="CA782" t="s">
        <v>1156</v>
      </c>
      <c r="CC782" t="s">
        <v>80</v>
      </c>
      <c r="CD782">
        <v>6001</v>
      </c>
      <c r="CE782" t="s">
        <v>88</v>
      </c>
      <c r="CF782" s="3">
        <v>43809</v>
      </c>
      <c r="CI782">
        <v>1</v>
      </c>
      <c r="CJ782">
        <v>1</v>
      </c>
      <c r="CK782">
        <v>21</v>
      </c>
      <c r="CL782" t="s">
        <v>89</v>
      </c>
    </row>
    <row r="783" spans="1:90">
      <c r="A783" t="s">
        <v>72</v>
      </c>
      <c r="B783" t="s">
        <v>73</v>
      </c>
      <c r="C783" t="s">
        <v>74</v>
      </c>
      <c r="E783" t="str">
        <f>"FES1162727146"</f>
        <v>FES1162727146</v>
      </c>
      <c r="F783" s="3">
        <v>43805</v>
      </c>
      <c r="G783">
        <v>202006</v>
      </c>
      <c r="H783" t="s">
        <v>75</v>
      </c>
      <c r="I783" t="s">
        <v>76</v>
      </c>
      <c r="J783" t="s">
        <v>77</v>
      </c>
      <c r="K783" t="s">
        <v>78</v>
      </c>
      <c r="L783" t="s">
        <v>169</v>
      </c>
      <c r="M783" t="s">
        <v>170</v>
      </c>
      <c r="N783" t="s">
        <v>570</v>
      </c>
      <c r="O783" t="s">
        <v>82</v>
      </c>
      <c r="P783" t="str">
        <f>"2170720029                    "</f>
        <v xml:space="preserve">2170720029                    </v>
      </c>
      <c r="Q783">
        <v>0</v>
      </c>
      <c r="R783">
        <v>0</v>
      </c>
      <c r="S783">
        <v>0</v>
      </c>
      <c r="T783">
        <v>0</v>
      </c>
      <c r="U783">
        <v>0</v>
      </c>
      <c r="V783">
        <v>0</v>
      </c>
      <c r="W783">
        <v>0</v>
      </c>
      <c r="X783">
        <v>0</v>
      </c>
      <c r="Y783">
        <v>0</v>
      </c>
      <c r="Z783">
        <v>0</v>
      </c>
      <c r="AA783">
        <v>0</v>
      </c>
      <c r="AB783">
        <v>0</v>
      </c>
      <c r="AC783">
        <v>0</v>
      </c>
      <c r="AD783">
        <v>0</v>
      </c>
      <c r="AE783">
        <v>0</v>
      </c>
      <c r="AF783">
        <v>0</v>
      </c>
      <c r="AG783">
        <v>0</v>
      </c>
      <c r="AH783">
        <v>0</v>
      </c>
      <c r="AI783">
        <v>0</v>
      </c>
      <c r="AJ783">
        <v>0</v>
      </c>
      <c r="AK783">
        <v>0</v>
      </c>
      <c r="AL783">
        <v>0</v>
      </c>
      <c r="AM783">
        <v>6.71</v>
      </c>
      <c r="AN783">
        <v>0</v>
      </c>
      <c r="AO783">
        <v>0</v>
      </c>
      <c r="AP783">
        <v>0</v>
      </c>
      <c r="AQ783">
        <v>0</v>
      </c>
      <c r="AR783">
        <v>0</v>
      </c>
      <c r="AS783">
        <v>0</v>
      </c>
      <c r="AT783">
        <v>0</v>
      </c>
      <c r="AU783">
        <v>0</v>
      </c>
      <c r="AV783">
        <v>0</v>
      </c>
      <c r="AW783">
        <v>0</v>
      </c>
      <c r="AX783">
        <v>0</v>
      </c>
      <c r="AY783">
        <v>0</v>
      </c>
      <c r="AZ783">
        <v>0</v>
      </c>
      <c r="BA783">
        <v>0</v>
      </c>
      <c r="BB783">
        <v>0</v>
      </c>
      <c r="BC783">
        <v>0</v>
      </c>
      <c r="BD783">
        <v>0</v>
      </c>
      <c r="BE783">
        <v>0</v>
      </c>
      <c r="BF783">
        <v>0</v>
      </c>
      <c r="BG783">
        <v>0</v>
      </c>
      <c r="BH783">
        <v>1</v>
      </c>
      <c r="BI783">
        <v>1</v>
      </c>
      <c r="BJ783">
        <v>0.2</v>
      </c>
      <c r="BK783">
        <v>1</v>
      </c>
      <c r="BL783" s="4">
        <v>39.42</v>
      </c>
      <c r="BM783" s="4">
        <v>5.91</v>
      </c>
      <c r="BN783" s="4">
        <v>45.33</v>
      </c>
      <c r="BO783" s="4">
        <v>45.33</v>
      </c>
      <c r="BR783" t="s">
        <v>84</v>
      </c>
      <c r="BS783" s="3">
        <v>43808</v>
      </c>
      <c r="BT783" s="5">
        <v>0.3298611111111111</v>
      </c>
      <c r="BU783" t="s">
        <v>1296</v>
      </c>
      <c r="BV783" t="s">
        <v>86</v>
      </c>
      <c r="BY783">
        <v>1200</v>
      </c>
      <c r="CA783" t="s">
        <v>174</v>
      </c>
      <c r="CC783" t="s">
        <v>170</v>
      </c>
      <c r="CD783">
        <v>1460</v>
      </c>
      <c r="CE783" t="s">
        <v>88</v>
      </c>
      <c r="CF783" s="3">
        <v>43809</v>
      </c>
      <c r="CI783">
        <v>1</v>
      </c>
      <c r="CJ783">
        <v>1</v>
      </c>
      <c r="CK783">
        <v>22</v>
      </c>
      <c r="CL783" t="s">
        <v>89</v>
      </c>
    </row>
    <row r="784" spans="1:90">
      <c r="A784" t="s">
        <v>72</v>
      </c>
      <c r="B784" t="s">
        <v>73</v>
      </c>
      <c r="C784" t="s">
        <v>74</v>
      </c>
      <c r="E784" t="str">
        <f>"FES1162727210"</f>
        <v>FES1162727210</v>
      </c>
      <c r="F784" s="3">
        <v>43805</v>
      </c>
      <c r="G784">
        <v>202006</v>
      </c>
      <c r="H784" t="s">
        <v>75</v>
      </c>
      <c r="I784" t="s">
        <v>76</v>
      </c>
      <c r="J784" t="s">
        <v>77</v>
      </c>
      <c r="K784" t="s">
        <v>78</v>
      </c>
      <c r="L784" t="s">
        <v>1297</v>
      </c>
      <c r="M784" t="s">
        <v>1298</v>
      </c>
      <c r="N784" t="s">
        <v>1299</v>
      </c>
      <c r="O784" t="s">
        <v>82</v>
      </c>
      <c r="P784" t="str">
        <f>"2170720688                    "</f>
        <v xml:space="preserve">2170720688                    </v>
      </c>
      <c r="Q784">
        <v>0</v>
      </c>
      <c r="R784">
        <v>0</v>
      </c>
      <c r="S784">
        <v>0</v>
      </c>
      <c r="T784">
        <v>0</v>
      </c>
      <c r="U784">
        <v>0</v>
      </c>
      <c r="V784">
        <v>0</v>
      </c>
      <c r="W784">
        <v>0</v>
      </c>
      <c r="X784">
        <v>0</v>
      </c>
      <c r="Y784">
        <v>0</v>
      </c>
      <c r="Z784">
        <v>0</v>
      </c>
      <c r="AA784">
        <v>0</v>
      </c>
      <c r="AB784">
        <v>0</v>
      </c>
      <c r="AC784">
        <v>0</v>
      </c>
      <c r="AD784">
        <v>0</v>
      </c>
      <c r="AE784">
        <v>0</v>
      </c>
      <c r="AF784">
        <v>0</v>
      </c>
      <c r="AG784">
        <v>0</v>
      </c>
      <c r="AH784">
        <v>0</v>
      </c>
      <c r="AI784">
        <v>0</v>
      </c>
      <c r="AJ784">
        <v>0</v>
      </c>
      <c r="AK784">
        <v>0</v>
      </c>
      <c r="AL784">
        <v>0</v>
      </c>
      <c r="AM784">
        <v>8.58</v>
      </c>
      <c r="AN784">
        <v>0</v>
      </c>
      <c r="AO784">
        <v>0</v>
      </c>
      <c r="AP784">
        <v>0</v>
      </c>
      <c r="AQ784">
        <v>0</v>
      </c>
      <c r="AR784">
        <v>0</v>
      </c>
      <c r="AS784">
        <v>0</v>
      </c>
      <c r="AT784">
        <v>0</v>
      </c>
      <c r="AU784">
        <v>0</v>
      </c>
      <c r="AV784">
        <v>0</v>
      </c>
      <c r="AW784">
        <v>0</v>
      </c>
      <c r="AX784">
        <v>0</v>
      </c>
      <c r="AY784">
        <v>0</v>
      </c>
      <c r="AZ784">
        <v>0</v>
      </c>
      <c r="BA784">
        <v>0</v>
      </c>
      <c r="BB784">
        <v>0</v>
      </c>
      <c r="BC784">
        <v>0</v>
      </c>
      <c r="BD784">
        <v>0</v>
      </c>
      <c r="BE784">
        <v>0</v>
      </c>
      <c r="BF784">
        <v>0</v>
      </c>
      <c r="BG784">
        <v>0</v>
      </c>
      <c r="BH784">
        <v>1</v>
      </c>
      <c r="BI784">
        <v>1</v>
      </c>
      <c r="BJ784">
        <v>0.2</v>
      </c>
      <c r="BK784">
        <v>1</v>
      </c>
      <c r="BL784" s="4">
        <v>50.45</v>
      </c>
      <c r="BM784" s="4">
        <v>7.57</v>
      </c>
      <c r="BN784" s="4">
        <v>58.02</v>
      </c>
      <c r="BO784" s="4">
        <v>58.02</v>
      </c>
      <c r="BQ784" t="s">
        <v>93</v>
      </c>
      <c r="BR784" t="s">
        <v>84</v>
      </c>
      <c r="BS784" s="3">
        <v>43808</v>
      </c>
      <c r="BT784" s="5">
        <v>0.4145833333333333</v>
      </c>
      <c r="BU784" t="s">
        <v>1300</v>
      </c>
      <c r="BV784" t="s">
        <v>86</v>
      </c>
      <c r="BY784">
        <v>1200</v>
      </c>
      <c r="CA784" t="s">
        <v>1301</v>
      </c>
      <c r="CC784" t="s">
        <v>1298</v>
      </c>
      <c r="CD784">
        <v>5257</v>
      </c>
      <c r="CE784" t="s">
        <v>88</v>
      </c>
      <c r="CF784" s="3">
        <v>43810</v>
      </c>
      <c r="CI784">
        <v>1</v>
      </c>
      <c r="CJ784">
        <v>1</v>
      </c>
      <c r="CK784">
        <v>21</v>
      </c>
      <c r="CL784" t="s">
        <v>89</v>
      </c>
    </row>
    <row r="785" spans="1:90">
      <c r="A785" t="s">
        <v>72</v>
      </c>
      <c r="B785" t="s">
        <v>73</v>
      </c>
      <c r="C785" t="s">
        <v>74</v>
      </c>
      <c r="E785" t="str">
        <f>"FES1162727261"</f>
        <v>FES1162727261</v>
      </c>
      <c r="F785" s="3">
        <v>43805</v>
      </c>
      <c r="G785">
        <v>202006</v>
      </c>
      <c r="H785" t="s">
        <v>75</v>
      </c>
      <c r="I785" t="s">
        <v>76</v>
      </c>
      <c r="J785" t="s">
        <v>77</v>
      </c>
      <c r="K785" t="s">
        <v>78</v>
      </c>
      <c r="L785" t="s">
        <v>1302</v>
      </c>
      <c r="M785" t="s">
        <v>1303</v>
      </c>
      <c r="N785" t="s">
        <v>1304</v>
      </c>
      <c r="O785" t="s">
        <v>82</v>
      </c>
      <c r="P785" t="str">
        <f>"2170720750                    "</f>
        <v xml:space="preserve">2170720750                    </v>
      </c>
      <c r="Q785">
        <v>0</v>
      </c>
      <c r="R785">
        <v>0</v>
      </c>
      <c r="S785">
        <v>0</v>
      </c>
      <c r="T785">
        <v>0</v>
      </c>
      <c r="U785">
        <v>0</v>
      </c>
      <c r="V785">
        <v>0</v>
      </c>
      <c r="W785">
        <v>0</v>
      </c>
      <c r="X785">
        <v>0</v>
      </c>
      <c r="Y785">
        <v>0</v>
      </c>
      <c r="Z785">
        <v>0</v>
      </c>
      <c r="AA785">
        <v>0</v>
      </c>
      <c r="AB785">
        <v>0</v>
      </c>
      <c r="AC785">
        <v>0</v>
      </c>
      <c r="AD785">
        <v>0</v>
      </c>
      <c r="AE785">
        <v>0</v>
      </c>
      <c r="AF785">
        <v>0</v>
      </c>
      <c r="AG785">
        <v>0</v>
      </c>
      <c r="AH785">
        <v>0</v>
      </c>
      <c r="AI785">
        <v>0</v>
      </c>
      <c r="AJ785">
        <v>0</v>
      </c>
      <c r="AK785">
        <v>0</v>
      </c>
      <c r="AL785">
        <v>0</v>
      </c>
      <c r="AM785">
        <v>16.63</v>
      </c>
      <c r="AN785">
        <v>0</v>
      </c>
      <c r="AO785">
        <v>0</v>
      </c>
      <c r="AP785">
        <v>0</v>
      </c>
      <c r="AQ785">
        <v>0</v>
      </c>
      <c r="AR785">
        <v>0</v>
      </c>
      <c r="AS785">
        <v>0</v>
      </c>
      <c r="AT785">
        <v>0</v>
      </c>
      <c r="AU785">
        <v>0</v>
      </c>
      <c r="AV785">
        <v>0</v>
      </c>
      <c r="AW785">
        <v>0</v>
      </c>
      <c r="AX785">
        <v>0</v>
      </c>
      <c r="AY785">
        <v>0</v>
      </c>
      <c r="AZ785">
        <v>0</v>
      </c>
      <c r="BA785">
        <v>0</v>
      </c>
      <c r="BB785">
        <v>0</v>
      </c>
      <c r="BC785">
        <v>0</v>
      </c>
      <c r="BD785">
        <v>0</v>
      </c>
      <c r="BE785">
        <v>0</v>
      </c>
      <c r="BF785">
        <v>0</v>
      </c>
      <c r="BG785">
        <v>0</v>
      </c>
      <c r="BH785">
        <v>1</v>
      </c>
      <c r="BI785">
        <v>1</v>
      </c>
      <c r="BJ785">
        <v>0.2</v>
      </c>
      <c r="BK785">
        <v>1</v>
      </c>
      <c r="BL785" s="4">
        <v>97.75</v>
      </c>
      <c r="BM785" s="4">
        <v>14.66</v>
      </c>
      <c r="BN785" s="4">
        <v>112.41</v>
      </c>
      <c r="BO785" s="4">
        <v>112.41</v>
      </c>
      <c r="BQ785" t="s">
        <v>277</v>
      </c>
      <c r="BR785" t="s">
        <v>84</v>
      </c>
      <c r="BS785" s="3">
        <v>43808</v>
      </c>
      <c r="BT785" s="5">
        <v>0.70833333333333337</v>
      </c>
      <c r="BU785" t="s">
        <v>1305</v>
      </c>
      <c r="BV785" t="s">
        <v>86</v>
      </c>
      <c r="BY785">
        <v>1200</v>
      </c>
      <c r="CC785" t="s">
        <v>1303</v>
      </c>
      <c r="CD785">
        <v>4960</v>
      </c>
      <c r="CE785" t="s">
        <v>88</v>
      </c>
      <c r="CF785" s="3">
        <v>43810</v>
      </c>
      <c r="CI785">
        <v>3</v>
      </c>
      <c r="CJ785">
        <v>1</v>
      </c>
      <c r="CK785">
        <v>23</v>
      </c>
      <c r="CL785" t="s">
        <v>89</v>
      </c>
    </row>
    <row r="786" spans="1:90">
      <c r="A786" t="s">
        <v>72</v>
      </c>
      <c r="B786" t="s">
        <v>73</v>
      </c>
      <c r="C786" t="s">
        <v>74</v>
      </c>
      <c r="E786" t="str">
        <f>"FES1162727239"</f>
        <v>FES1162727239</v>
      </c>
      <c r="F786" s="3">
        <v>43805</v>
      </c>
      <c r="G786">
        <v>202006</v>
      </c>
      <c r="H786" t="s">
        <v>75</v>
      </c>
      <c r="I786" t="s">
        <v>76</v>
      </c>
      <c r="J786" t="s">
        <v>77</v>
      </c>
      <c r="K786" t="s">
        <v>78</v>
      </c>
      <c r="L786" t="s">
        <v>308</v>
      </c>
      <c r="M786" t="s">
        <v>308</v>
      </c>
      <c r="N786" t="s">
        <v>540</v>
      </c>
      <c r="O786" t="s">
        <v>82</v>
      </c>
      <c r="P786" t="str">
        <f>"2170712072                    "</f>
        <v xml:space="preserve">2170712072                    </v>
      </c>
      <c r="Q786">
        <v>0</v>
      </c>
      <c r="R786">
        <v>0</v>
      </c>
      <c r="S786">
        <v>0</v>
      </c>
      <c r="T786">
        <v>0</v>
      </c>
      <c r="U786">
        <v>0</v>
      </c>
      <c r="V786">
        <v>0</v>
      </c>
      <c r="W786">
        <v>0</v>
      </c>
      <c r="X786">
        <v>0</v>
      </c>
      <c r="Y786">
        <v>0</v>
      </c>
      <c r="Z786">
        <v>0</v>
      </c>
      <c r="AA786">
        <v>0</v>
      </c>
      <c r="AB786">
        <v>0</v>
      </c>
      <c r="AC786">
        <v>0</v>
      </c>
      <c r="AD786">
        <v>0</v>
      </c>
      <c r="AE786">
        <v>0</v>
      </c>
      <c r="AF786">
        <v>0</v>
      </c>
      <c r="AG786">
        <v>0</v>
      </c>
      <c r="AH786">
        <v>0</v>
      </c>
      <c r="AI786">
        <v>0</v>
      </c>
      <c r="AJ786">
        <v>0</v>
      </c>
      <c r="AK786">
        <v>0</v>
      </c>
      <c r="AL786">
        <v>0</v>
      </c>
      <c r="AM786">
        <v>16.63</v>
      </c>
      <c r="AN786">
        <v>0</v>
      </c>
      <c r="AO786">
        <v>0</v>
      </c>
      <c r="AP786">
        <v>0</v>
      </c>
      <c r="AQ786">
        <v>0</v>
      </c>
      <c r="AR786">
        <v>0</v>
      </c>
      <c r="AS786">
        <v>0</v>
      </c>
      <c r="AT786">
        <v>0</v>
      </c>
      <c r="AU786">
        <v>0</v>
      </c>
      <c r="AV786">
        <v>0</v>
      </c>
      <c r="AW786">
        <v>0</v>
      </c>
      <c r="AX786">
        <v>0</v>
      </c>
      <c r="AY786">
        <v>0</v>
      </c>
      <c r="AZ786">
        <v>0</v>
      </c>
      <c r="BA786">
        <v>0</v>
      </c>
      <c r="BB786">
        <v>0</v>
      </c>
      <c r="BC786">
        <v>0</v>
      </c>
      <c r="BD786">
        <v>0</v>
      </c>
      <c r="BE786">
        <v>0</v>
      </c>
      <c r="BF786">
        <v>0</v>
      </c>
      <c r="BG786">
        <v>0</v>
      </c>
      <c r="BH786">
        <v>1</v>
      </c>
      <c r="BI786">
        <v>1</v>
      </c>
      <c r="BJ786">
        <v>0.2</v>
      </c>
      <c r="BK786">
        <v>1</v>
      </c>
      <c r="BL786" s="4">
        <v>97.75</v>
      </c>
      <c r="BM786" s="4">
        <v>14.66</v>
      </c>
      <c r="BN786" s="4">
        <v>112.41</v>
      </c>
      <c r="BO786" s="4">
        <v>112.41</v>
      </c>
      <c r="BQ786" t="s">
        <v>147</v>
      </c>
      <c r="BR786" t="s">
        <v>84</v>
      </c>
      <c r="BS786" s="3">
        <v>43808</v>
      </c>
      <c r="BT786" s="5">
        <v>0.4291666666666667</v>
      </c>
      <c r="BU786" t="s">
        <v>1306</v>
      </c>
      <c r="BV786" t="s">
        <v>86</v>
      </c>
      <c r="BY786">
        <v>1200</v>
      </c>
      <c r="CA786" t="s">
        <v>1277</v>
      </c>
      <c r="CC786" t="s">
        <v>308</v>
      </c>
      <c r="CD786">
        <v>7646</v>
      </c>
      <c r="CE786" t="s">
        <v>88</v>
      </c>
      <c r="CF786" s="3">
        <v>43809</v>
      </c>
      <c r="CI786">
        <v>1</v>
      </c>
      <c r="CJ786">
        <v>1</v>
      </c>
      <c r="CK786">
        <v>23</v>
      </c>
      <c r="CL786" t="s">
        <v>89</v>
      </c>
    </row>
    <row r="787" spans="1:90">
      <c r="A787" t="s">
        <v>72</v>
      </c>
      <c r="B787" t="s">
        <v>73</v>
      </c>
      <c r="C787" t="s">
        <v>74</v>
      </c>
      <c r="E787" t="str">
        <f>"FES1162727211"</f>
        <v>FES1162727211</v>
      </c>
      <c r="F787" s="3">
        <v>43805</v>
      </c>
      <c r="G787">
        <v>202006</v>
      </c>
      <c r="H787" t="s">
        <v>75</v>
      </c>
      <c r="I787" t="s">
        <v>76</v>
      </c>
      <c r="J787" t="s">
        <v>77</v>
      </c>
      <c r="K787" t="s">
        <v>78</v>
      </c>
      <c r="L787" t="s">
        <v>1297</v>
      </c>
      <c r="M787" t="s">
        <v>1298</v>
      </c>
      <c r="N787" t="s">
        <v>1299</v>
      </c>
      <c r="O787" t="s">
        <v>82</v>
      </c>
      <c r="P787" t="str">
        <f>"2170720689                    "</f>
        <v xml:space="preserve">2170720689                    </v>
      </c>
      <c r="Q787">
        <v>0</v>
      </c>
      <c r="R787">
        <v>0</v>
      </c>
      <c r="S787">
        <v>0</v>
      </c>
      <c r="T787">
        <v>0</v>
      </c>
      <c r="U787">
        <v>0</v>
      </c>
      <c r="V787">
        <v>0</v>
      </c>
      <c r="W787">
        <v>0</v>
      </c>
      <c r="X787">
        <v>0</v>
      </c>
      <c r="Y787">
        <v>0</v>
      </c>
      <c r="Z787">
        <v>0</v>
      </c>
      <c r="AA787">
        <v>0</v>
      </c>
      <c r="AB787">
        <v>0</v>
      </c>
      <c r="AC787">
        <v>0</v>
      </c>
      <c r="AD787">
        <v>0</v>
      </c>
      <c r="AE787">
        <v>0</v>
      </c>
      <c r="AF787">
        <v>0</v>
      </c>
      <c r="AG787">
        <v>0</v>
      </c>
      <c r="AH787">
        <v>0</v>
      </c>
      <c r="AI787">
        <v>0</v>
      </c>
      <c r="AJ787">
        <v>0</v>
      </c>
      <c r="AK787">
        <v>0</v>
      </c>
      <c r="AL787">
        <v>0</v>
      </c>
      <c r="AM787">
        <v>8.58</v>
      </c>
      <c r="AN787">
        <v>0</v>
      </c>
      <c r="AO787">
        <v>0</v>
      </c>
      <c r="AP787">
        <v>0</v>
      </c>
      <c r="AQ787">
        <v>0</v>
      </c>
      <c r="AR787">
        <v>0</v>
      </c>
      <c r="AS787">
        <v>0</v>
      </c>
      <c r="AT787">
        <v>0</v>
      </c>
      <c r="AU787">
        <v>0</v>
      </c>
      <c r="AV787">
        <v>0</v>
      </c>
      <c r="AW787">
        <v>0</v>
      </c>
      <c r="AX787">
        <v>0</v>
      </c>
      <c r="AY787">
        <v>0</v>
      </c>
      <c r="AZ787">
        <v>0</v>
      </c>
      <c r="BA787">
        <v>0</v>
      </c>
      <c r="BB787">
        <v>0</v>
      </c>
      <c r="BC787">
        <v>0</v>
      </c>
      <c r="BD787">
        <v>0</v>
      </c>
      <c r="BE787">
        <v>0</v>
      </c>
      <c r="BF787">
        <v>0</v>
      </c>
      <c r="BG787">
        <v>0</v>
      </c>
      <c r="BH787">
        <v>1</v>
      </c>
      <c r="BI787">
        <v>1</v>
      </c>
      <c r="BJ787">
        <v>0.2</v>
      </c>
      <c r="BK787">
        <v>1</v>
      </c>
      <c r="BL787" s="4">
        <v>50.45</v>
      </c>
      <c r="BM787" s="4">
        <v>7.57</v>
      </c>
      <c r="BN787" s="4">
        <v>58.02</v>
      </c>
      <c r="BO787" s="4">
        <v>58.02</v>
      </c>
      <c r="BQ787" t="s">
        <v>93</v>
      </c>
      <c r="BR787" t="s">
        <v>84</v>
      </c>
      <c r="BS787" s="3">
        <v>43808</v>
      </c>
      <c r="BT787" s="5">
        <v>0.4145833333333333</v>
      </c>
      <c r="BU787" t="s">
        <v>1300</v>
      </c>
      <c r="BV787" t="s">
        <v>86</v>
      </c>
      <c r="BY787">
        <v>1200</v>
      </c>
      <c r="CA787" t="s">
        <v>1301</v>
      </c>
      <c r="CC787" t="s">
        <v>1298</v>
      </c>
      <c r="CD787">
        <v>5257</v>
      </c>
      <c r="CE787" t="s">
        <v>88</v>
      </c>
      <c r="CF787" s="3">
        <v>43810</v>
      </c>
      <c r="CI787">
        <v>1</v>
      </c>
      <c r="CJ787">
        <v>1</v>
      </c>
      <c r="CK787">
        <v>21</v>
      </c>
      <c r="CL787" t="s">
        <v>89</v>
      </c>
    </row>
    <row r="788" spans="1:90">
      <c r="A788" t="s">
        <v>72</v>
      </c>
      <c r="B788" t="s">
        <v>73</v>
      </c>
      <c r="C788" t="s">
        <v>74</v>
      </c>
      <c r="E788" t="str">
        <f>"FES1162727245"</f>
        <v>FES1162727245</v>
      </c>
      <c r="F788" s="3">
        <v>43805</v>
      </c>
      <c r="G788">
        <v>202006</v>
      </c>
      <c r="H788" t="s">
        <v>75</v>
      </c>
      <c r="I788" t="s">
        <v>76</v>
      </c>
      <c r="J788" t="s">
        <v>77</v>
      </c>
      <c r="K788" t="s">
        <v>78</v>
      </c>
      <c r="L788" t="s">
        <v>79</v>
      </c>
      <c r="M788" t="s">
        <v>80</v>
      </c>
      <c r="N788" t="s">
        <v>97</v>
      </c>
      <c r="O788" t="s">
        <v>82</v>
      </c>
      <c r="P788" t="str">
        <f>"21707120736                   "</f>
        <v xml:space="preserve">21707120736                   </v>
      </c>
      <c r="Q788">
        <v>0</v>
      </c>
      <c r="R788">
        <v>0</v>
      </c>
      <c r="S788">
        <v>0</v>
      </c>
      <c r="T788">
        <v>0</v>
      </c>
      <c r="U788">
        <v>0</v>
      </c>
      <c r="V788">
        <v>0</v>
      </c>
      <c r="W788">
        <v>0</v>
      </c>
      <c r="X788">
        <v>0</v>
      </c>
      <c r="Y788">
        <v>0</v>
      </c>
      <c r="Z788">
        <v>0</v>
      </c>
      <c r="AA788">
        <v>0</v>
      </c>
      <c r="AB788">
        <v>0</v>
      </c>
      <c r="AC788">
        <v>0</v>
      </c>
      <c r="AD788">
        <v>0</v>
      </c>
      <c r="AE788">
        <v>0</v>
      </c>
      <c r="AF788">
        <v>0</v>
      </c>
      <c r="AG788">
        <v>0</v>
      </c>
      <c r="AH788">
        <v>0</v>
      </c>
      <c r="AI788">
        <v>0</v>
      </c>
      <c r="AJ788">
        <v>0</v>
      </c>
      <c r="AK788">
        <v>0</v>
      </c>
      <c r="AL788">
        <v>0</v>
      </c>
      <c r="AM788">
        <v>8.58</v>
      </c>
      <c r="AN788">
        <v>0</v>
      </c>
      <c r="AO788">
        <v>0</v>
      </c>
      <c r="AP788">
        <v>0</v>
      </c>
      <c r="AQ788">
        <v>0</v>
      </c>
      <c r="AR788">
        <v>0</v>
      </c>
      <c r="AS788">
        <v>0</v>
      </c>
      <c r="AT788">
        <v>0</v>
      </c>
      <c r="AU788">
        <v>0</v>
      </c>
      <c r="AV788">
        <v>0</v>
      </c>
      <c r="AW788">
        <v>0</v>
      </c>
      <c r="AX788">
        <v>0</v>
      </c>
      <c r="AY788">
        <v>0</v>
      </c>
      <c r="AZ788">
        <v>0</v>
      </c>
      <c r="BA788">
        <v>0</v>
      </c>
      <c r="BB788">
        <v>0</v>
      </c>
      <c r="BC788">
        <v>0</v>
      </c>
      <c r="BD788">
        <v>0</v>
      </c>
      <c r="BE788">
        <v>0</v>
      </c>
      <c r="BF788">
        <v>0</v>
      </c>
      <c r="BG788">
        <v>0</v>
      </c>
      <c r="BH788">
        <v>1</v>
      </c>
      <c r="BI788">
        <v>1</v>
      </c>
      <c r="BJ788">
        <v>0.2</v>
      </c>
      <c r="BK788">
        <v>1</v>
      </c>
      <c r="BL788" s="4">
        <v>50.45</v>
      </c>
      <c r="BM788" s="4">
        <v>7.57</v>
      </c>
      <c r="BN788" s="4">
        <v>58.02</v>
      </c>
      <c r="BO788" s="4">
        <v>58.02</v>
      </c>
      <c r="BQ788" t="s">
        <v>93</v>
      </c>
      <c r="BR788" t="s">
        <v>84</v>
      </c>
      <c r="BS788" s="3">
        <v>43808</v>
      </c>
      <c r="BT788" s="5">
        <v>0.34027777777777773</v>
      </c>
      <c r="BU788" t="s">
        <v>98</v>
      </c>
      <c r="BV788" t="s">
        <v>86</v>
      </c>
      <c r="BY788">
        <v>1200</v>
      </c>
      <c r="CA788" t="s">
        <v>99</v>
      </c>
      <c r="CC788" t="s">
        <v>80</v>
      </c>
      <c r="CD788">
        <v>6001</v>
      </c>
      <c r="CE788" t="s">
        <v>88</v>
      </c>
      <c r="CF788" s="3">
        <v>43809</v>
      </c>
      <c r="CI788">
        <v>1</v>
      </c>
      <c r="CJ788">
        <v>1</v>
      </c>
      <c r="CK788">
        <v>21</v>
      </c>
      <c r="CL788" t="s">
        <v>89</v>
      </c>
    </row>
    <row r="789" spans="1:90">
      <c r="A789" t="s">
        <v>72</v>
      </c>
      <c r="B789" t="s">
        <v>73</v>
      </c>
      <c r="C789" t="s">
        <v>74</v>
      </c>
      <c r="E789" t="str">
        <f>"FES1162727255"</f>
        <v>FES1162727255</v>
      </c>
      <c r="F789" s="3">
        <v>43805</v>
      </c>
      <c r="G789">
        <v>202006</v>
      </c>
      <c r="H789" t="s">
        <v>75</v>
      </c>
      <c r="I789" t="s">
        <v>76</v>
      </c>
      <c r="J789" t="s">
        <v>77</v>
      </c>
      <c r="K789" t="s">
        <v>78</v>
      </c>
      <c r="L789" t="s">
        <v>90</v>
      </c>
      <c r="M789" t="s">
        <v>91</v>
      </c>
      <c r="N789" t="s">
        <v>110</v>
      </c>
      <c r="O789" t="s">
        <v>82</v>
      </c>
      <c r="P789" t="str">
        <f>"2170720744                    "</f>
        <v xml:space="preserve">2170720744                    </v>
      </c>
      <c r="Q789">
        <v>0</v>
      </c>
      <c r="R789">
        <v>0</v>
      </c>
      <c r="S789">
        <v>0</v>
      </c>
      <c r="T789">
        <v>0</v>
      </c>
      <c r="U789">
        <v>0</v>
      </c>
      <c r="V789">
        <v>0</v>
      </c>
      <c r="W789">
        <v>0</v>
      </c>
      <c r="X789">
        <v>0</v>
      </c>
      <c r="Y789">
        <v>0</v>
      </c>
      <c r="Z789">
        <v>0</v>
      </c>
      <c r="AA789">
        <v>0</v>
      </c>
      <c r="AB789">
        <v>0</v>
      </c>
      <c r="AC789">
        <v>0</v>
      </c>
      <c r="AD789">
        <v>0</v>
      </c>
      <c r="AE789">
        <v>0</v>
      </c>
      <c r="AF789">
        <v>0</v>
      </c>
      <c r="AG789">
        <v>0</v>
      </c>
      <c r="AH789">
        <v>0</v>
      </c>
      <c r="AI789">
        <v>0</v>
      </c>
      <c r="AJ789">
        <v>0</v>
      </c>
      <c r="AK789">
        <v>0</v>
      </c>
      <c r="AL789">
        <v>0</v>
      </c>
      <c r="AM789">
        <v>8.58</v>
      </c>
      <c r="AN789">
        <v>0</v>
      </c>
      <c r="AO789">
        <v>0</v>
      </c>
      <c r="AP789">
        <v>0</v>
      </c>
      <c r="AQ789">
        <v>0</v>
      </c>
      <c r="AR789">
        <v>0</v>
      </c>
      <c r="AS789">
        <v>0</v>
      </c>
      <c r="AT789">
        <v>0</v>
      </c>
      <c r="AU789">
        <v>0</v>
      </c>
      <c r="AV789">
        <v>0</v>
      </c>
      <c r="AW789">
        <v>0</v>
      </c>
      <c r="AX789">
        <v>0</v>
      </c>
      <c r="AY789">
        <v>0</v>
      </c>
      <c r="AZ789">
        <v>0</v>
      </c>
      <c r="BA789">
        <v>0</v>
      </c>
      <c r="BB789">
        <v>0</v>
      </c>
      <c r="BC789">
        <v>0</v>
      </c>
      <c r="BD789">
        <v>0</v>
      </c>
      <c r="BE789">
        <v>0</v>
      </c>
      <c r="BF789">
        <v>0</v>
      </c>
      <c r="BG789">
        <v>0</v>
      </c>
      <c r="BH789">
        <v>1</v>
      </c>
      <c r="BI789">
        <v>1</v>
      </c>
      <c r="BJ789">
        <v>0.2</v>
      </c>
      <c r="BK789">
        <v>1</v>
      </c>
      <c r="BL789" s="4">
        <v>50.45</v>
      </c>
      <c r="BM789" s="4">
        <v>7.57</v>
      </c>
      <c r="BN789" s="4">
        <v>58.02</v>
      </c>
      <c r="BO789" s="4">
        <v>58.02</v>
      </c>
      <c r="BQ789" t="s">
        <v>147</v>
      </c>
      <c r="BR789" t="s">
        <v>84</v>
      </c>
      <c r="BS789" s="3">
        <v>43808</v>
      </c>
      <c r="BT789" s="5">
        <v>0.29791666666666666</v>
      </c>
      <c r="BU789" t="s">
        <v>1307</v>
      </c>
      <c r="BV789" t="s">
        <v>86</v>
      </c>
      <c r="BY789">
        <v>1200</v>
      </c>
      <c r="CA789" t="s">
        <v>112</v>
      </c>
      <c r="CC789" t="s">
        <v>91</v>
      </c>
      <c r="CD789">
        <v>7405</v>
      </c>
      <c r="CE789" t="s">
        <v>88</v>
      </c>
      <c r="CF789" s="3">
        <v>43809</v>
      </c>
      <c r="CI789">
        <v>1</v>
      </c>
      <c r="CJ789">
        <v>1</v>
      </c>
      <c r="CK789">
        <v>21</v>
      </c>
      <c r="CL789" t="s">
        <v>89</v>
      </c>
    </row>
    <row r="790" spans="1:90">
      <c r="A790" t="s">
        <v>72</v>
      </c>
      <c r="B790" t="s">
        <v>73</v>
      </c>
      <c r="C790" t="s">
        <v>74</v>
      </c>
      <c r="E790" t="str">
        <f>"FES1162727266"</f>
        <v>FES1162727266</v>
      </c>
      <c r="F790" s="3">
        <v>43805</v>
      </c>
      <c r="G790">
        <v>202006</v>
      </c>
      <c r="H790" t="s">
        <v>75</v>
      </c>
      <c r="I790" t="s">
        <v>76</v>
      </c>
      <c r="J790" t="s">
        <v>77</v>
      </c>
      <c r="K790" t="s">
        <v>78</v>
      </c>
      <c r="L790" t="s">
        <v>90</v>
      </c>
      <c r="M790" t="s">
        <v>91</v>
      </c>
      <c r="N790" t="s">
        <v>548</v>
      </c>
      <c r="O790" t="s">
        <v>82</v>
      </c>
      <c r="P790" t="str">
        <f>"21707120755                   "</f>
        <v xml:space="preserve">21707120755                   </v>
      </c>
      <c r="Q790">
        <v>0</v>
      </c>
      <c r="R790">
        <v>0</v>
      </c>
      <c r="S790">
        <v>0</v>
      </c>
      <c r="T790">
        <v>0</v>
      </c>
      <c r="U790">
        <v>0</v>
      </c>
      <c r="V790">
        <v>0</v>
      </c>
      <c r="W790">
        <v>0</v>
      </c>
      <c r="X790">
        <v>0</v>
      </c>
      <c r="Y790">
        <v>0</v>
      </c>
      <c r="Z790">
        <v>0</v>
      </c>
      <c r="AA790">
        <v>0</v>
      </c>
      <c r="AB790">
        <v>0</v>
      </c>
      <c r="AC790">
        <v>0</v>
      </c>
      <c r="AD790">
        <v>0</v>
      </c>
      <c r="AE790">
        <v>0</v>
      </c>
      <c r="AF790">
        <v>0</v>
      </c>
      <c r="AG790">
        <v>0</v>
      </c>
      <c r="AH790">
        <v>0</v>
      </c>
      <c r="AI790">
        <v>0</v>
      </c>
      <c r="AJ790">
        <v>0</v>
      </c>
      <c r="AK790">
        <v>0</v>
      </c>
      <c r="AL790">
        <v>0</v>
      </c>
      <c r="AM790">
        <v>8.58</v>
      </c>
      <c r="AN790">
        <v>0</v>
      </c>
      <c r="AO790">
        <v>0</v>
      </c>
      <c r="AP790">
        <v>0</v>
      </c>
      <c r="AQ790">
        <v>0</v>
      </c>
      <c r="AR790">
        <v>0</v>
      </c>
      <c r="AS790">
        <v>0</v>
      </c>
      <c r="AT790">
        <v>0</v>
      </c>
      <c r="AU790">
        <v>0</v>
      </c>
      <c r="AV790">
        <v>0</v>
      </c>
      <c r="AW790">
        <v>0</v>
      </c>
      <c r="AX790">
        <v>0</v>
      </c>
      <c r="AY790">
        <v>0</v>
      </c>
      <c r="AZ790">
        <v>0</v>
      </c>
      <c r="BA790">
        <v>0</v>
      </c>
      <c r="BB790">
        <v>0</v>
      </c>
      <c r="BC790">
        <v>0</v>
      </c>
      <c r="BD790">
        <v>0</v>
      </c>
      <c r="BE790">
        <v>0</v>
      </c>
      <c r="BF790">
        <v>0</v>
      </c>
      <c r="BG790">
        <v>0</v>
      </c>
      <c r="BH790">
        <v>1</v>
      </c>
      <c r="BI790">
        <v>1</v>
      </c>
      <c r="BJ790">
        <v>0.2</v>
      </c>
      <c r="BK790">
        <v>1</v>
      </c>
      <c r="BL790" s="4">
        <v>50.45</v>
      </c>
      <c r="BM790" s="4">
        <v>7.57</v>
      </c>
      <c r="BN790" s="4">
        <v>58.02</v>
      </c>
      <c r="BO790" s="4">
        <v>58.02</v>
      </c>
      <c r="BQ790" t="s">
        <v>147</v>
      </c>
      <c r="BR790" t="s">
        <v>84</v>
      </c>
      <c r="BS790" s="3">
        <v>43808</v>
      </c>
      <c r="BT790" s="5">
        <v>0.30555555555555552</v>
      </c>
      <c r="BU790" t="s">
        <v>817</v>
      </c>
      <c r="BV790" t="s">
        <v>86</v>
      </c>
      <c r="BY790">
        <v>1200</v>
      </c>
      <c r="CA790" t="s">
        <v>818</v>
      </c>
      <c r="CC790" t="s">
        <v>91</v>
      </c>
      <c r="CD790">
        <v>7530</v>
      </c>
      <c r="CE790" t="s">
        <v>88</v>
      </c>
      <c r="CF790" s="3">
        <v>43809</v>
      </c>
      <c r="CI790">
        <v>1</v>
      </c>
      <c r="CJ790">
        <v>1</v>
      </c>
      <c r="CK790">
        <v>21</v>
      </c>
      <c r="CL790" t="s">
        <v>89</v>
      </c>
    </row>
    <row r="791" spans="1:90">
      <c r="A791" t="s">
        <v>72</v>
      </c>
      <c r="B791" t="s">
        <v>73</v>
      </c>
      <c r="C791" t="s">
        <v>74</v>
      </c>
      <c r="E791" t="str">
        <f>"FES1162727181"</f>
        <v>FES1162727181</v>
      </c>
      <c r="F791" s="3">
        <v>43805</v>
      </c>
      <c r="G791">
        <v>202006</v>
      </c>
      <c r="H791" t="s">
        <v>75</v>
      </c>
      <c r="I791" t="s">
        <v>76</v>
      </c>
      <c r="J791" t="s">
        <v>77</v>
      </c>
      <c r="K791" t="s">
        <v>78</v>
      </c>
      <c r="L791" t="s">
        <v>221</v>
      </c>
      <c r="M791" t="s">
        <v>222</v>
      </c>
      <c r="N791" t="s">
        <v>223</v>
      </c>
      <c r="O791" t="s">
        <v>82</v>
      </c>
      <c r="P791" t="str">
        <f>"21707120589                   "</f>
        <v xml:space="preserve">21707120589                   </v>
      </c>
      <c r="Q791">
        <v>0</v>
      </c>
      <c r="R791">
        <v>0</v>
      </c>
      <c r="S791">
        <v>0</v>
      </c>
      <c r="T791">
        <v>0</v>
      </c>
      <c r="U791">
        <v>0</v>
      </c>
      <c r="V791">
        <v>0</v>
      </c>
      <c r="W791">
        <v>0</v>
      </c>
      <c r="X791">
        <v>0</v>
      </c>
      <c r="Y791">
        <v>0</v>
      </c>
      <c r="Z791">
        <v>0</v>
      </c>
      <c r="AA791">
        <v>0</v>
      </c>
      <c r="AB791">
        <v>0</v>
      </c>
      <c r="AC791">
        <v>0</v>
      </c>
      <c r="AD791">
        <v>0</v>
      </c>
      <c r="AE791">
        <v>0</v>
      </c>
      <c r="AF791">
        <v>0</v>
      </c>
      <c r="AG791">
        <v>0</v>
      </c>
      <c r="AH791">
        <v>0</v>
      </c>
      <c r="AI791">
        <v>0</v>
      </c>
      <c r="AJ791">
        <v>0</v>
      </c>
      <c r="AK791">
        <v>0</v>
      </c>
      <c r="AL791">
        <v>0</v>
      </c>
      <c r="AM791">
        <v>21.45</v>
      </c>
      <c r="AN791">
        <v>0</v>
      </c>
      <c r="AO791">
        <v>0</v>
      </c>
      <c r="AP791">
        <v>0</v>
      </c>
      <c r="AQ791">
        <v>0</v>
      </c>
      <c r="AR791">
        <v>0</v>
      </c>
      <c r="AS791">
        <v>0</v>
      </c>
      <c r="AT791">
        <v>0</v>
      </c>
      <c r="AU791">
        <v>0</v>
      </c>
      <c r="AV791">
        <v>0</v>
      </c>
      <c r="AW791">
        <v>0</v>
      </c>
      <c r="AX791">
        <v>0</v>
      </c>
      <c r="AY791">
        <v>0</v>
      </c>
      <c r="AZ791">
        <v>0</v>
      </c>
      <c r="BA791">
        <v>0</v>
      </c>
      <c r="BB791">
        <v>0</v>
      </c>
      <c r="BC791">
        <v>0</v>
      </c>
      <c r="BD791">
        <v>0</v>
      </c>
      <c r="BE791">
        <v>0</v>
      </c>
      <c r="BF791">
        <v>0</v>
      </c>
      <c r="BG791">
        <v>0</v>
      </c>
      <c r="BH791">
        <v>1</v>
      </c>
      <c r="BI791">
        <v>4.7</v>
      </c>
      <c r="BJ791">
        <v>3</v>
      </c>
      <c r="BK791">
        <v>5</v>
      </c>
      <c r="BL791" s="4">
        <v>126.08</v>
      </c>
      <c r="BM791" s="4">
        <v>18.91</v>
      </c>
      <c r="BN791" s="4">
        <v>144.99</v>
      </c>
      <c r="BO791" s="4">
        <v>144.99</v>
      </c>
      <c r="BQ791" t="s">
        <v>147</v>
      </c>
      <c r="BR791" t="s">
        <v>84</v>
      </c>
      <c r="BS791" s="3">
        <v>43808</v>
      </c>
      <c r="BT791" s="5">
        <v>0.38750000000000001</v>
      </c>
      <c r="BU791" t="s">
        <v>1308</v>
      </c>
      <c r="BV791" t="s">
        <v>86</v>
      </c>
      <c r="BY791">
        <v>14814.07</v>
      </c>
      <c r="CC791" t="s">
        <v>222</v>
      </c>
      <c r="CD791">
        <v>3212</v>
      </c>
      <c r="CE791" t="s">
        <v>96</v>
      </c>
      <c r="CF791" s="3">
        <v>43809</v>
      </c>
      <c r="CI791">
        <v>1</v>
      </c>
      <c r="CJ791">
        <v>1</v>
      </c>
      <c r="CK791">
        <v>21</v>
      </c>
      <c r="CL791" t="s">
        <v>89</v>
      </c>
    </row>
    <row r="792" spans="1:90">
      <c r="A792" t="s">
        <v>72</v>
      </c>
      <c r="B792" t="s">
        <v>73</v>
      </c>
      <c r="C792" t="s">
        <v>74</v>
      </c>
      <c r="E792" t="str">
        <f>"FES1162727179"</f>
        <v>FES1162727179</v>
      </c>
      <c r="F792" s="3">
        <v>43805</v>
      </c>
      <c r="G792">
        <v>202006</v>
      </c>
      <c r="H792" t="s">
        <v>75</v>
      </c>
      <c r="I792" t="s">
        <v>76</v>
      </c>
      <c r="J792" t="s">
        <v>77</v>
      </c>
      <c r="K792" t="s">
        <v>78</v>
      </c>
      <c r="L792" t="s">
        <v>198</v>
      </c>
      <c r="M792" t="s">
        <v>199</v>
      </c>
      <c r="N792" t="s">
        <v>557</v>
      </c>
      <c r="O792" t="s">
        <v>82</v>
      </c>
      <c r="P792" t="str">
        <f>"2170718096                    "</f>
        <v xml:space="preserve">2170718096                    </v>
      </c>
      <c r="Q792">
        <v>0</v>
      </c>
      <c r="R792">
        <v>0</v>
      </c>
      <c r="S792">
        <v>0</v>
      </c>
      <c r="T792">
        <v>0</v>
      </c>
      <c r="U792">
        <v>0</v>
      </c>
      <c r="V792">
        <v>0</v>
      </c>
      <c r="W792">
        <v>0</v>
      </c>
      <c r="X792">
        <v>0</v>
      </c>
      <c r="Y792">
        <v>0</v>
      </c>
      <c r="Z792">
        <v>0</v>
      </c>
      <c r="AA792">
        <v>0</v>
      </c>
      <c r="AB792">
        <v>0</v>
      </c>
      <c r="AC792">
        <v>0</v>
      </c>
      <c r="AD792">
        <v>0</v>
      </c>
      <c r="AE792">
        <v>0</v>
      </c>
      <c r="AF792">
        <v>0</v>
      </c>
      <c r="AG792">
        <v>0</v>
      </c>
      <c r="AH792">
        <v>0</v>
      </c>
      <c r="AI792">
        <v>0</v>
      </c>
      <c r="AJ792">
        <v>0</v>
      </c>
      <c r="AK792">
        <v>0</v>
      </c>
      <c r="AL792">
        <v>0</v>
      </c>
      <c r="AM792">
        <v>45.04</v>
      </c>
      <c r="AN792">
        <v>0</v>
      </c>
      <c r="AO792">
        <v>0</v>
      </c>
      <c r="AP792">
        <v>0</v>
      </c>
      <c r="AQ792">
        <v>0</v>
      </c>
      <c r="AR792">
        <v>0</v>
      </c>
      <c r="AS792">
        <v>0</v>
      </c>
      <c r="AT792">
        <v>0</v>
      </c>
      <c r="AU792">
        <v>0</v>
      </c>
      <c r="AV792">
        <v>0</v>
      </c>
      <c r="AW792">
        <v>0</v>
      </c>
      <c r="AX792">
        <v>0</v>
      </c>
      <c r="AY792">
        <v>0</v>
      </c>
      <c r="AZ792">
        <v>0</v>
      </c>
      <c r="BA792">
        <v>0</v>
      </c>
      <c r="BB792">
        <v>0</v>
      </c>
      <c r="BC792">
        <v>0</v>
      </c>
      <c r="BD792">
        <v>0</v>
      </c>
      <c r="BE792">
        <v>0</v>
      </c>
      <c r="BF792">
        <v>0</v>
      </c>
      <c r="BG792">
        <v>0</v>
      </c>
      <c r="BH792">
        <v>1</v>
      </c>
      <c r="BI792">
        <v>10.3</v>
      </c>
      <c r="BJ792">
        <v>3.2</v>
      </c>
      <c r="BK792">
        <v>10.5</v>
      </c>
      <c r="BL792" s="4">
        <v>264.73</v>
      </c>
      <c r="BM792" s="4">
        <v>39.71</v>
      </c>
      <c r="BN792" s="4">
        <v>304.44</v>
      </c>
      <c r="BO792" s="4">
        <v>304.44</v>
      </c>
      <c r="BQ792" t="s">
        <v>93</v>
      </c>
      <c r="BR792" t="s">
        <v>84</v>
      </c>
      <c r="BS792" s="3">
        <v>43808</v>
      </c>
      <c r="BT792" s="5">
        <v>0.3527777777777778</v>
      </c>
      <c r="BU792" t="s">
        <v>1279</v>
      </c>
      <c r="BV792" t="s">
        <v>86</v>
      </c>
      <c r="BY792">
        <v>15974.75</v>
      </c>
      <c r="CA792" t="s">
        <v>270</v>
      </c>
      <c r="CC792" t="s">
        <v>199</v>
      </c>
      <c r="CD792">
        <v>4052</v>
      </c>
      <c r="CE792" t="s">
        <v>96</v>
      </c>
      <c r="CF792" s="3">
        <v>43809</v>
      </c>
      <c r="CI792">
        <v>1</v>
      </c>
      <c r="CJ792">
        <v>1</v>
      </c>
      <c r="CK792">
        <v>21</v>
      </c>
      <c r="CL792" t="s">
        <v>89</v>
      </c>
    </row>
    <row r="793" spans="1:90">
      <c r="A793" t="s">
        <v>72</v>
      </c>
      <c r="B793" t="s">
        <v>73</v>
      </c>
      <c r="C793" t="s">
        <v>74</v>
      </c>
      <c r="E793" t="str">
        <f>"FES1162727258"</f>
        <v>FES1162727258</v>
      </c>
      <c r="F793" s="3">
        <v>43805</v>
      </c>
      <c r="G793">
        <v>202006</v>
      </c>
      <c r="H793" t="s">
        <v>75</v>
      </c>
      <c r="I793" t="s">
        <v>76</v>
      </c>
      <c r="J793" t="s">
        <v>77</v>
      </c>
      <c r="K793" t="s">
        <v>78</v>
      </c>
      <c r="L793" t="s">
        <v>258</v>
      </c>
      <c r="M793" t="s">
        <v>259</v>
      </c>
      <c r="N793" t="s">
        <v>1309</v>
      </c>
      <c r="O793" t="s">
        <v>82</v>
      </c>
      <c r="P793" t="str">
        <f>"2170720747                    "</f>
        <v xml:space="preserve">2170720747                    </v>
      </c>
      <c r="Q793">
        <v>0</v>
      </c>
      <c r="R793">
        <v>0</v>
      </c>
      <c r="S793">
        <v>0</v>
      </c>
      <c r="T793">
        <v>0</v>
      </c>
      <c r="U793">
        <v>0</v>
      </c>
      <c r="V793">
        <v>0</v>
      </c>
      <c r="W793">
        <v>0</v>
      </c>
      <c r="X793">
        <v>0</v>
      </c>
      <c r="Y793">
        <v>0</v>
      </c>
      <c r="Z793">
        <v>0</v>
      </c>
      <c r="AA793">
        <v>0</v>
      </c>
      <c r="AB793">
        <v>0</v>
      </c>
      <c r="AC793">
        <v>0</v>
      </c>
      <c r="AD793">
        <v>0</v>
      </c>
      <c r="AE793">
        <v>0</v>
      </c>
      <c r="AF793">
        <v>0</v>
      </c>
      <c r="AG793">
        <v>0</v>
      </c>
      <c r="AH793">
        <v>0</v>
      </c>
      <c r="AI793">
        <v>0</v>
      </c>
      <c r="AJ793">
        <v>0</v>
      </c>
      <c r="AK793">
        <v>0</v>
      </c>
      <c r="AL793">
        <v>0</v>
      </c>
      <c r="AM793">
        <v>8.58</v>
      </c>
      <c r="AN793">
        <v>0</v>
      </c>
      <c r="AO793">
        <v>0</v>
      </c>
      <c r="AP793">
        <v>0</v>
      </c>
      <c r="AQ793">
        <v>0</v>
      </c>
      <c r="AR793">
        <v>0</v>
      </c>
      <c r="AS793">
        <v>0</v>
      </c>
      <c r="AT793">
        <v>0</v>
      </c>
      <c r="AU793">
        <v>0</v>
      </c>
      <c r="AV793">
        <v>0</v>
      </c>
      <c r="AW793">
        <v>0</v>
      </c>
      <c r="AX793">
        <v>0</v>
      </c>
      <c r="AY793">
        <v>0</v>
      </c>
      <c r="AZ793">
        <v>0</v>
      </c>
      <c r="BA793">
        <v>0</v>
      </c>
      <c r="BB793">
        <v>0</v>
      </c>
      <c r="BC793">
        <v>0</v>
      </c>
      <c r="BD793">
        <v>0</v>
      </c>
      <c r="BE793">
        <v>0</v>
      </c>
      <c r="BF793">
        <v>0</v>
      </c>
      <c r="BG793">
        <v>0</v>
      </c>
      <c r="BH793">
        <v>1</v>
      </c>
      <c r="BI793">
        <v>1</v>
      </c>
      <c r="BJ793">
        <v>0.2</v>
      </c>
      <c r="BK793">
        <v>1</v>
      </c>
      <c r="BL793" s="4">
        <v>50.45</v>
      </c>
      <c r="BM793" s="4">
        <v>7.57</v>
      </c>
      <c r="BN793" s="4">
        <v>58.02</v>
      </c>
      <c r="BO793" s="4">
        <v>58.02</v>
      </c>
      <c r="BQ793" t="s">
        <v>1310</v>
      </c>
      <c r="BR793" t="s">
        <v>84</v>
      </c>
      <c r="BS793" s="3">
        <v>43808</v>
      </c>
      <c r="BT793" s="5">
        <v>0.49027777777777781</v>
      </c>
      <c r="BU793" t="s">
        <v>1311</v>
      </c>
      <c r="BV793" t="s">
        <v>86</v>
      </c>
      <c r="BY793">
        <v>1200</v>
      </c>
      <c r="CA793" t="s">
        <v>262</v>
      </c>
      <c r="CC793" t="s">
        <v>259</v>
      </c>
      <c r="CD793">
        <v>7600</v>
      </c>
      <c r="CE793" t="s">
        <v>88</v>
      </c>
      <c r="CF793" s="3">
        <v>43809</v>
      </c>
      <c r="CI793">
        <v>1</v>
      </c>
      <c r="CJ793">
        <v>1</v>
      </c>
      <c r="CK793">
        <v>21</v>
      </c>
      <c r="CL793" t="s">
        <v>89</v>
      </c>
    </row>
    <row r="794" spans="1:90">
      <c r="A794" t="s">
        <v>72</v>
      </c>
      <c r="B794" t="s">
        <v>73</v>
      </c>
      <c r="C794" t="s">
        <v>74</v>
      </c>
      <c r="E794" t="str">
        <f>"FES1162727257"</f>
        <v>FES1162727257</v>
      </c>
      <c r="F794" s="3">
        <v>43805</v>
      </c>
      <c r="G794">
        <v>202006</v>
      </c>
      <c r="H794" t="s">
        <v>75</v>
      </c>
      <c r="I794" t="s">
        <v>76</v>
      </c>
      <c r="J794" t="s">
        <v>77</v>
      </c>
      <c r="K794" t="s">
        <v>78</v>
      </c>
      <c r="L794" t="s">
        <v>308</v>
      </c>
      <c r="M794" t="s">
        <v>308</v>
      </c>
      <c r="N794" t="s">
        <v>1312</v>
      </c>
      <c r="O794" t="s">
        <v>82</v>
      </c>
      <c r="P794" t="str">
        <f>"2170720746                    "</f>
        <v xml:space="preserve">2170720746                    </v>
      </c>
      <c r="Q794">
        <v>0</v>
      </c>
      <c r="R794">
        <v>0</v>
      </c>
      <c r="S794">
        <v>0</v>
      </c>
      <c r="T794">
        <v>0</v>
      </c>
      <c r="U794">
        <v>0</v>
      </c>
      <c r="V794">
        <v>0</v>
      </c>
      <c r="W794">
        <v>0</v>
      </c>
      <c r="X794">
        <v>0</v>
      </c>
      <c r="Y794">
        <v>0</v>
      </c>
      <c r="Z794">
        <v>0</v>
      </c>
      <c r="AA794">
        <v>0</v>
      </c>
      <c r="AB794">
        <v>0</v>
      </c>
      <c r="AC794">
        <v>0</v>
      </c>
      <c r="AD794">
        <v>0</v>
      </c>
      <c r="AE794">
        <v>0</v>
      </c>
      <c r="AF794">
        <v>0</v>
      </c>
      <c r="AG794">
        <v>0</v>
      </c>
      <c r="AH794">
        <v>0</v>
      </c>
      <c r="AI794">
        <v>0</v>
      </c>
      <c r="AJ794">
        <v>0</v>
      </c>
      <c r="AK794">
        <v>0</v>
      </c>
      <c r="AL794">
        <v>0</v>
      </c>
      <c r="AM794">
        <v>16.63</v>
      </c>
      <c r="AN794">
        <v>0</v>
      </c>
      <c r="AO794">
        <v>0</v>
      </c>
      <c r="AP794">
        <v>0</v>
      </c>
      <c r="AQ794">
        <v>0</v>
      </c>
      <c r="AR794">
        <v>0</v>
      </c>
      <c r="AS794">
        <v>0</v>
      </c>
      <c r="AT794">
        <v>0</v>
      </c>
      <c r="AU794">
        <v>0</v>
      </c>
      <c r="AV794">
        <v>0</v>
      </c>
      <c r="AW794">
        <v>0</v>
      </c>
      <c r="AX794">
        <v>0</v>
      </c>
      <c r="AY794">
        <v>0</v>
      </c>
      <c r="AZ794">
        <v>0</v>
      </c>
      <c r="BA794">
        <v>0</v>
      </c>
      <c r="BB794">
        <v>0</v>
      </c>
      <c r="BC794">
        <v>0</v>
      </c>
      <c r="BD794">
        <v>0</v>
      </c>
      <c r="BE794">
        <v>0</v>
      </c>
      <c r="BF794">
        <v>0</v>
      </c>
      <c r="BG794">
        <v>0</v>
      </c>
      <c r="BH794">
        <v>1</v>
      </c>
      <c r="BI794">
        <v>1</v>
      </c>
      <c r="BJ794">
        <v>0.2</v>
      </c>
      <c r="BK794">
        <v>1</v>
      </c>
      <c r="BL794" s="4">
        <v>97.75</v>
      </c>
      <c r="BM794" s="4">
        <v>14.66</v>
      </c>
      <c r="BN794" s="4">
        <v>112.41</v>
      </c>
      <c r="BO794" s="4">
        <v>112.41</v>
      </c>
      <c r="BQ794" t="s">
        <v>147</v>
      </c>
      <c r="BR794" t="s">
        <v>84</v>
      </c>
      <c r="BS794" s="3">
        <v>43808</v>
      </c>
      <c r="BT794" s="5">
        <v>0.33194444444444443</v>
      </c>
      <c r="BU794" t="s">
        <v>1313</v>
      </c>
      <c r="BV794" t="s">
        <v>86</v>
      </c>
      <c r="BY794">
        <v>1200</v>
      </c>
      <c r="CA794" t="s">
        <v>1277</v>
      </c>
      <c r="CC794" t="s">
        <v>308</v>
      </c>
      <c r="CD794">
        <v>7646</v>
      </c>
      <c r="CE794" t="s">
        <v>88</v>
      </c>
      <c r="CF794" s="3">
        <v>43809</v>
      </c>
      <c r="CI794">
        <v>1</v>
      </c>
      <c r="CJ794">
        <v>1</v>
      </c>
      <c r="CK794">
        <v>23</v>
      </c>
      <c r="CL794" t="s">
        <v>89</v>
      </c>
    </row>
    <row r="795" spans="1:90">
      <c r="A795" t="s">
        <v>72</v>
      </c>
      <c r="B795" t="s">
        <v>73</v>
      </c>
      <c r="C795" t="s">
        <v>74</v>
      </c>
      <c r="E795" t="str">
        <f>"FES1162727222"</f>
        <v>FES1162727222</v>
      </c>
      <c r="F795" s="3">
        <v>43805</v>
      </c>
      <c r="G795">
        <v>202006</v>
      </c>
      <c r="H795" t="s">
        <v>75</v>
      </c>
      <c r="I795" t="s">
        <v>76</v>
      </c>
      <c r="J795" t="s">
        <v>77</v>
      </c>
      <c r="K795" t="s">
        <v>78</v>
      </c>
      <c r="L795" t="s">
        <v>1314</v>
      </c>
      <c r="M795" t="s">
        <v>1315</v>
      </c>
      <c r="N795" t="s">
        <v>1316</v>
      </c>
      <c r="O795" t="s">
        <v>82</v>
      </c>
      <c r="P795" t="str">
        <f>"2170710706                    "</f>
        <v xml:space="preserve">2170710706                    </v>
      </c>
      <c r="Q795">
        <v>0</v>
      </c>
      <c r="R795">
        <v>0</v>
      </c>
      <c r="S795">
        <v>0</v>
      </c>
      <c r="T795">
        <v>0</v>
      </c>
      <c r="U795">
        <v>0</v>
      </c>
      <c r="V795">
        <v>0</v>
      </c>
      <c r="W795">
        <v>0</v>
      </c>
      <c r="X795">
        <v>0</v>
      </c>
      <c r="Y795">
        <v>0</v>
      </c>
      <c r="Z795">
        <v>0</v>
      </c>
      <c r="AA795">
        <v>0</v>
      </c>
      <c r="AB795">
        <v>0</v>
      </c>
      <c r="AC795">
        <v>0</v>
      </c>
      <c r="AD795">
        <v>0</v>
      </c>
      <c r="AE795">
        <v>0</v>
      </c>
      <c r="AF795">
        <v>0</v>
      </c>
      <c r="AG795">
        <v>0</v>
      </c>
      <c r="AH795">
        <v>0</v>
      </c>
      <c r="AI795">
        <v>0</v>
      </c>
      <c r="AJ795">
        <v>0</v>
      </c>
      <c r="AK795">
        <v>0</v>
      </c>
      <c r="AL795">
        <v>0</v>
      </c>
      <c r="AM795">
        <v>16.63</v>
      </c>
      <c r="AN795">
        <v>0</v>
      </c>
      <c r="AO795">
        <v>0</v>
      </c>
      <c r="AP795">
        <v>0</v>
      </c>
      <c r="AQ795">
        <v>0</v>
      </c>
      <c r="AR795">
        <v>0</v>
      </c>
      <c r="AS795">
        <v>0</v>
      </c>
      <c r="AT795">
        <v>0</v>
      </c>
      <c r="AU795">
        <v>0</v>
      </c>
      <c r="AV795">
        <v>0</v>
      </c>
      <c r="AW795">
        <v>0</v>
      </c>
      <c r="AX795">
        <v>0</v>
      </c>
      <c r="AY795">
        <v>0</v>
      </c>
      <c r="AZ795">
        <v>0</v>
      </c>
      <c r="BA795">
        <v>0</v>
      </c>
      <c r="BB795">
        <v>0</v>
      </c>
      <c r="BC795">
        <v>0</v>
      </c>
      <c r="BD795">
        <v>0</v>
      </c>
      <c r="BE795">
        <v>0</v>
      </c>
      <c r="BF795">
        <v>0</v>
      </c>
      <c r="BG795">
        <v>0</v>
      </c>
      <c r="BH795">
        <v>1</v>
      </c>
      <c r="BI795">
        <v>1</v>
      </c>
      <c r="BJ795">
        <v>0.2</v>
      </c>
      <c r="BK795">
        <v>1</v>
      </c>
      <c r="BL795" s="4">
        <v>97.75</v>
      </c>
      <c r="BM795" s="4">
        <v>14.66</v>
      </c>
      <c r="BN795" s="4">
        <v>112.41</v>
      </c>
      <c r="BO795" s="4">
        <v>112.41</v>
      </c>
      <c r="BQ795" t="s">
        <v>93</v>
      </c>
      <c r="BR795" t="s">
        <v>84</v>
      </c>
      <c r="BS795" s="3">
        <v>43808</v>
      </c>
      <c r="BT795" s="5">
        <v>0.41666666666666669</v>
      </c>
      <c r="BU795" t="s">
        <v>1317</v>
      </c>
      <c r="BV795" t="s">
        <v>86</v>
      </c>
      <c r="BY795">
        <v>1200</v>
      </c>
      <c r="CC795" t="s">
        <v>1315</v>
      </c>
      <c r="CD795">
        <v>5605</v>
      </c>
      <c r="CE795" t="s">
        <v>88</v>
      </c>
      <c r="CF795" s="3">
        <v>43810</v>
      </c>
      <c r="CI795">
        <v>4</v>
      </c>
      <c r="CJ795">
        <v>1</v>
      </c>
      <c r="CK795">
        <v>23</v>
      </c>
      <c r="CL795" t="s">
        <v>89</v>
      </c>
    </row>
    <row r="796" spans="1:90">
      <c r="A796" t="s">
        <v>72</v>
      </c>
      <c r="B796" t="s">
        <v>73</v>
      </c>
      <c r="C796" t="s">
        <v>74</v>
      </c>
      <c r="E796" t="str">
        <f>"FES1162727110"</f>
        <v>FES1162727110</v>
      </c>
      <c r="F796" s="3">
        <v>43805</v>
      </c>
      <c r="G796">
        <v>202006</v>
      </c>
      <c r="H796" t="s">
        <v>75</v>
      </c>
      <c r="I796" t="s">
        <v>76</v>
      </c>
      <c r="J796" t="s">
        <v>77</v>
      </c>
      <c r="K796" t="s">
        <v>78</v>
      </c>
      <c r="L796" t="s">
        <v>75</v>
      </c>
      <c r="M796" t="s">
        <v>76</v>
      </c>
      <c r="N796" t="s">
        <v>1318</v>
      </c>
      <c r="O796" t="s">
        <v>82</v>
      </c>
      <c r="P796" t="str">
        <f>"2170720577                    "</f>
        <v xml:space="preserve">2170720577                    </v>
      </c>
      <c r="Q796">
        <v>0</v>
      </c>
      <c r="R796">
        <v>0</v>
      </c>
      <c r="S796">
        <v>0</v>
      </c>
      <c r="T796">
        <v>0</v>
      </c>
      <c r="U796">
        <v>0</v>
      </c>
      <c r="V796">
        <v>0</v>
      </c>
      <c r="W796">
        <v>0</v>
      </c>
      <c r="X796">
        <v>0</v>
      </c>
      <c r="Y796">
        <v>0</v>
      </c>
      <c r="Z796">
        <v>0</v>
      </c>
      <c r="AA796">
        <v>0</v>
      </c>
      <c r="AB796">
        <v>0</v>
      </c>
      <c r="AC796">
        <v>0</v>
      </c>
      <c r="AD796">
        <v>0</v>
      </c>
      <c r="AE796">
        <v>0</v>
      </c>
      <c r="AF796">
        <v>0</v>
      </c>
      <c r="AG796">
        <v>0</v>
      </c>
      <c r="AH796">
        <v>0</v>
      </c>
      <c r="AI796">
        <v>0</v>
      </c>
      <c r="AJ796">
        <v>0</v>
      </c>
      <c r="AK796">
        <v>0</v>
      </c>
      <c r="AL796">
        <v>0</v>
      </c>
      <c r="AM796">
        <v>6.71</v>
      </c>
      <c r="AN796">
        <v>0</v>
      </c>
      <c r="AO796">
        <v>0</v>
      </c>
      <c r="AP796">
        <v>0</v>
      </c>
      <c r="AQ796">
        <v>0</v>
      </c>
      <c r="AR796">
        <v>0</v>
      </c>
      <c r="AS796">
        <v>0</v>
      </c>
      <c r="AT796">
        <v>0</v>
      </c>
      <c r="AU796">
        <v>0</v>
      </c>
      <c r="AV796">
        <v>0</v>
      </c>
      <c r="AW796">
        <v>0</v>
      </c>
      <c r="AX796">
        <v>0</v>
      </c>
      <c r="AY796">
        <v>0</v>
      </c>
      <c r="AZ796">
        <v>0</v>
      </c>
      <c r="BA796">
        <v>0</v>
      </c>
      <c r="BB796">
        <v>0</v>
      </c>
      <c r="BC796">
        <v>0</v>
      </c>
      <c r="BD796">
        <v>0</v>
      </c>
      <c r="BE796">
        <v>0</v>
      </c>
      <c r="BF796">
        <v>0</v>
      </c>
      <c r="BG796">
        <v>0</v>
      </c>
      <c r="BH796">
        <v>1</v>
      </c>
      <c r="BI796">
        <v>1</v>
      </c>
      <c r="BJ796">
        <v>0.2</v>
      </c>
      <c r="BK796">
        <v>1</v>
      </c>
      <c r="BL796" s="4">
        <v>39.42</v>
      </c>
      <c r="BM796" s="4">
        <v>5.91</v>
      </c>
      <c r="BN796" s="4">
        <v>45.33</v>
      </c>
      <c r="BO796" s="4">
        <v>45.33</v>
      </c>
      <c r="BQ796" t="s">
        <v>147</v>
      </c>
      <c r="BR796" t="s">
        <v>84</v>
      </c>
      <c r="BS796" s="3">
        <v>43808</v>
      </c>
      <c r="BT796" s="5">
        <v>0.40972222222222227</v>
      </c>
      <c r="BU796" t="s">
        <v>1319</v>
      </c>
      <c r="BV796" t="s">
        <v>86</v>
      </c>
      <c r="BY796">
        <v>1200</v>
      </c>
      <c r="CC796" t="s">
        <v>76</v>
      </c>
      <c r="CD796">
        <v>1614</v>
      </c>
      <c r="CE796" t="s">
        <v>88</v>
      </c>
      <c r="CF796" s="3">
        <v>43810</v>
      </c>
      <c r="CI796">
        <v>1</v>
      </c>
      <c r="CJ796">
        <v>1</v>
      </c>
      <c r="CK796">
        <v>22</v>
      </c>
      <c r="CL796" t="s">
        <v>89</v>
      </c>
    </row>
    <row r="797" spans="1:90">
      <c r="A797" t="s">
        <v>72</v>
      </c>
      <c r="B797" t="s">
        <v>73</v>
      </c>
      <c r="C797" t="s">
        <v>74</v>
      </c>
      <c r="E797" t="str">
        <f>"FES1162727092"</f>
        <v>FES1162727092</v>
      </c>
      <c r="F797" s="3">
        <v>43805</v>
      </c>
      <c r="G797">
        <v>202006</v>
      </c>
      <c r="H797" t="s">
        <v>75</v>
      </c>
      <c r="I797" t="s">
        <v>76</v>
      </c>
      <c r="J797" t="s">
        <v>77</v>
      </c>
      <c r="K797" t="s">
        <v>78</v>
      </c>
      <c r="L797" t="s">
        <v>75</v>
      </c>
      <c r="M797" t="s">
        <v>76</v>
      </c>
      <c r="N797" t="s">
        <v>1320</v>
      </c>
      <c r="O797" t="s">
        <v>82</v>
      </c>
      <c r="P797" t="str">
        <f>"21707102458                   "</f>
        <v xml:space="preserve">21707102458                   </v>
      </c>
      <c r="Q797">
        <v>0</v>
      </c>
      <c r="R797">
        <v>0</v>
      </c>
      <c r="S797">
        <v>0</v>
      </c>
      <c r="T797">
        <v>0</v>
      </c>
      <c r="U797">
        <v>0</v>
      </c>
      <c r="V797">
        <v>0</v>
      </c>
      <c r="W797">
        <v>0</v>
      </c>
      <c r="X797">
        <v>0</v>
      </c>
      <c r="Y797">
        <v>0</v>
      </c>
      <c r="Z797">
        <v>0</v>
      </c>
      <c r="AA797">
        <v>0</v>
      </c>
      <c r="AB797">
        <v>0</v>
      </c>
      <c r="AC797">
        <v>0</v>
      </c>
      <c r="AD797">
        <v>0</v>
      </c>
      <c r="AE797">
        <v>0</v>
      </c>
      <c r="AF797">
        <v>0</v>
      </c>
      <c r="AG797">
        <v>0</v>
      </c>
      <c r="AH797">
        <v>0</v>
      </c>
      <c r="AI797">
        <v>0</v>
      </c>
      <c r="AJ797">
        <v>0</v>
      </c>
      <c r="AK797">
        <v>0</v>
      </c>
      <c r="AL797">
        <v>0</v>
      </c>
      <c r="AM797">
        <v>18.760000000000002</v>
      </c>
      <c r="AN797">
        <v>0</v>
      </c>
      <c r="AO797">
        <v>0</v>
      </c>
      <c r="AP797">
        <v>0</v>
      </c>
      <c r="AQ797">
        <v>0</v>
      </c>
      <c r="AR797">
        <v>0</v>
      </c>
      <c r="AS797">
        <v>0</v>
      </c>
      <c r="AT797">
        <v>0</v>
      </c>
      <c r="AU797">
        <v>0</v>
      </c>
      <c r="AV797">
        <v>0</v>
      </c>
      <c r="AW797">
        <v>0</v>
      </c>
      <c r="AX797">
        <v>0</v>
      </c>
      <c r="AY797">
        <v>0</v>
      </c>
      <c r="AZ797">
        <v>0</v>
      </c>
      <c r="BA797">
        <v>0</v>
      </c>
      <c r="BB797">
        <v>0</v>
      </c>
      <c r="BC797">
        <v>0</v>
      </c>
      <c r="BD797">
        <v>0</v>
      </c>
      <c r="BE797">
        <v>0</v>
      </c>
      <c r="BF797">
        <v>0</v>
      </c>
      <c r="BG797">
        <v>0</v>
      </c>
      <c r="BH797">
        <v>1</v>
      </c>
      <c r="BI797">
        <v>7</v>
      </c>
      <c r="BJ797">
        <v>9.1</v>
      </c>
      <c r="BK797">
        <v>9.5</v>
      </c>
      <c r="BL797" s="4">
        <v>110.27</v>
      </c>
      <c r="BM797" s="4">
        <v>16.54</v>
      </c>
      <c r="BN797" s="4">
        <v>126.81</v>
      </c>
      <c r="BO797" s="4">
        <v>126.81</v>
      </c>
      <c r="BQ797" t="s">
        <v>147</v>
      </c>
      <c r="BR797" t="s">
        <v>84</v>
      </c>
      <c r="BS797" s="3">
        <v>43808</v>
      </c>
      <c r="BT797" s="5">
        <v>0.36736111111111108</v>
      </c>
      <c r="BU797" t="s">
        <v>1321</v>
      </c>
      <c r="BV797" t="s">
        <v>86</v>
      </c>
      <c r="BY797">
        <v>45632</v>
      </c>
      <c r="CA797" t="s">
        <v>588</v>
      </c>
      <c r="CC797" t="s">
        <v>76</v>
      </c>
      <c r="CD797">
        <v>1600</v>
      </c>
      <c r="CE797" t="s">
        <v>96</v>
      </c>
      <c r="CF797" s="3">
        <v>43810</v>
      </c>
      <c r="CI797">
        <v>1</v>
      </c>
      <c r="CJ797">
        <v>1</v>
      </c>
      <c r="CK797">
        <v>22</v>
      </c>
      <c r="CL797" t="s">
        <v>89</v>
      </c>
    </row>
    <row r="798" spans="1:90">
      <c r="A798" t="s">
        <v>72</v>
      </c>
      <c r="B798" t="s">
        <v>73</v>
      </c>
      <c r="C798" t="s">
        <v>74</v>
      </c>
      <c r="E798" t="str">
        <f>"FES1162727128"</f>
        <v>FES1162727128</v>
      </c>
      <c r="F798" s="3">
        <v>43805</v>
      </c>
      <c r="G798">
        <v>202006</v>
      </c>
      <c r="H798" t="s">
        <v>75</v>
      </c>
      <c r="I798" t="s">
        <v>76</v>
      </c>
      <c r="J798" t="s">
        <v>77</v>
      </c>
      <c r="K798" t="s">
        <v>78</v>
      </c>
      <c r="L798" t="s">
        <v>79</v>
      </c>
      <c r="M798" t="s">
        <v>80</v>
      </c>
      <c r="N798" t="s">
        <v>97</v>
      </c>
      <c r="O798" t="s">
        <v>82</v>
      </c>
      <c r="P798" t="str">
        <f>"2170715710                    "</f>
        <v xml:space="preserve">2170715710                    </v>
      </c>
      <c r="Q798">
        <v>0</v>
      </c>
      <c r="R798">
        <v>0</v>
      </c>
      <c r="S798">
        <v>0</v>
      </c>
      <c r="T798">
        <v>0</v>
      </c>
      <c r="U798">
        <v>0</v>
      </c>
      <c r="V798">
        <v>0</v>
      </c>
      <c r="W798">
        <v>0</v>
      </c>
      <c r="X798">
        <v>0</v>
      </c>
      <c r="Y798">
        <v>0</v>
      </c>
      <c r="Z798">
        <v>0</v>
      </c>
      <c r="AA798">
        <v>0</v>
      </c>
      <c r="AB798">
        <v>0</v>
      </c>
      <c r="AC798">
        <v>0</v>
      </c>
      <c r="AD798">
        <v>0</v>
      </c>
      <c r="AE798">
        <v>0</v>
      </c>
      <c r="AF798">
        <v>0</v>
      </c>
      <c r="AG798">
        <v>0</v>
      </c>
      <c r="AH798">
        <v>0</v>
      </c>
      <c r="AI798">
        <v>0</v>
      </c>
      <c r="AJ798">
        <v>0</v>
      </c>
      <c r="AK798">
        <v>0</v>
      </c>
      <c r="AL798">
        <v>0</v>
      </c>
      <c r="AM798">
        <v>12.87</v>
      </c>
      <c r="AN798">
        <v>0</v>
      </c>
      <c r="AO798">
        <v>0</v>
      </c>
      <c r="AP798">
        <v>0</v>
      </c>
      <c r="AQ798">
        <v>0</v>
      </c>
      <c r="AR798">
        <v>0</v>
      </c>
      <c r="AS798">
        <v>0</v>
      </c>
      <c r="AT798">
        <v>0</v>
      </c>
      <c r="AU798">
        <v>0</v>
      </c>
      <c r="AV798">
        <v>0</v>
      </c>
      <c r="AW798">
        <v>0</v>
      </c>
      <c r="AX798">
        <v>0</v>
      </c>
      <c r="AY798">
        <v>0</v>
      </c>
      <c r="AZ798">
        <v>0</v>
      </c>
      <c r="BA798">
        <v>0</v>
      </c>
      <c r="BB798">
        <v>0</v>
      </c>
      <c r="BC798">
        <v>0</v>
      </c>
      <c r="BD798">
        <v>0</v>
      </c>
      <c r="BE798">
        <v>0</v>
      </c>
      <c r="BF798">
        <v>0</v>
      </c>
      <c r="BG798">
        <v>0</v>
      </c>
      <c r="BH798">
        <v>1</v>
      </c>
      <c r="BI798">
        <v>1.6</v>
      </c>
      <c r="BJ798">
        <v>2.7</v>
      </c>
      <c r="BK798">
        <v>3</v>
      </c>
      <c r="BL798" s="4">
        <v>75.66</v>
      </c>
      <c r="BM798" s="4">
        <v>11.35</v>
      </c>
      <c r="BN798" s="4">
        <v>87.01</v>
      </c>
      <c r="BO798" s="4">
        <v>87.01</v>
      </c>
      <c r="BQ798" t="s">
        <v>93</v>
      </c>
      <c r="BR798" t="s">
        <v>84</v>
      </c>
      <c r="BS798" s="3">
        <v>43808</v>
      </c>
      <c r="BT798" s="5">
        <v>0.34027777777777773</v>
      </c>
      <c r="BU798" t="s">
        <v>98</v>
      </c>
      <c r="BV798" t="s">
        <v>86</v>
      </c>
      <c r="BY798">
        <v>13423.5</v>
      </c>
      <c r="CA798" t="s">
        <v>99</v>
      </c>
      <c r="CC798" t="s">
        <v>80</v>
      </c>
      <c r="CD798">
        <v>6001</v>
      </c>
      <c r="CE798" t="s">
        <v>116</v>
      </c>
      <c r="CF798" s="3">
        <v>43809</v>
      </c>
      <c r="CI798">
        <v>1</v>
      </c>
      <c r="CJ798">
        <v>1</v>
      </c>
      <c r="CK798">
        <v>21</v>
      </c>
      <c r="CL798" t="s">
        <v>89</v>
      </c>
    </row>
    <row r="799" spans="1:90">
      <c r="A799" t="s">
        <v>72</v>
      </c>
      <c r="B799" t="s">
        <v>73</v>
      </c>
      <c r="C799" t="s">
        <v>74</v>
      </c>
      <c r="E799" t="str">
        <f>"009935712111"</f>
        <v>009935712111</v>
      </c>
      <c r="F799" s="3">
        <v>43805</v>
      </c>
      <c r="G799">
        <v>202006</v>
      </c>
      <c r="H799" t="s">
        <v>75</v>
      </c>
      <c r="I799" t="s">
        <v>76</v>
      </c>
      <c r="J799" t="s">
        <v>100</v>
      </c>
      <c r="K799" t="s">
        <v>78</v>
      </c>
      <c r="L799" t="s">
        <v>491</v>
      </c>
      <c r="M799" t="s">
        <v>492</v>
      </c>
      <c r="N799" t="s">
        <v>1322</v>
      </c>
      <c r="O799" t="s">
        <v>793</v>
      </c>
      <c r="P799" t="str">
        <f>"JNX037961                     "</f>
        <v xml:space="preserve">JNX037961                     </v>
      </c>
      <c r="Q799">
        <v>0</v>
      </c>
      <c r="R799">
        <v>0</v>
      </c>
      <c r="S799">
        <v>0</v>
      </c>
      <c r="T799">
        <v>0</v>
      </c>
      <c r="U799">
        <v>0</v>
      </c>
      <c r="V799">
        <v>0</v>
      </c>
      <c r="W799">
        <v>0</v>
      </c>
      <c r="X799">
        <v>0</v>
      </c>
      <c r="Y799">
        <v>0</v>
      </c>
      <c r="Z799">
        <v>0</v>
      </c>
      <c r="AA799">
        <v>0</v>
      </c>
      <c r="AB799">
        <v>0</v>
      </c>
      <c r="AC799">
        <v>0</v>
      </c>
      <c r="AD799">
        <v>0</v>
      </c>
      <c r="AE799">
        <v>437.5</v>
      </c>
      <c r="AF799">
        <v>0</v>
      </c>
      <c r="AG799">
        <v>0</v>
      </c>
      <c r="AH799">
        <v>0</v>
      </c>
      <c r="AI799">
        <v>0</v>
      </c>
      <c r="AJ799">
        <v>0</v>
      </c>
      <c r="AK799">
        <v>0</v>
      </c>
      <c r="AL799">
        <v>0</v>
      </c>
      <c r="AM799">
        <v>110.86</v>
      </c>
      <c r="AN799">
        <v>0</v>
      </c>
      <c r="AO799">
        <v>0</v>
      </c>
      <c r="AP799">
        <v>0</v>
      </c>
      <c r="AQ799">
        <v>0</v>
      </c>
      <c r="AR799">
        <v>0</v>
      </c>
      <c r="AS799">
        <v>0</v>
      </c>
      <c r="AT799">
        <v>0</v>
      </c>
      <c r="AU799">
        <v>0</v>
      </c>
      <c r="AV799">
        <v>0</v>
      </c>
      <c r="AW799">
        <v>0</v>
      </c>
      <c r="AX799">
        <v>0</v>
      </c>
      <c r="AY799">
        <v>0</v>
      </c>
      <c r="AZ799">
        <v>0</v>
      </c>
      <c r="BA799">
        <v>0</v>
      </c>
      <c r="BB799">
        <v>0</v>
      </c>
      <c r="BC799">
        <v>0</v>
      </c>
      <c r="BD799">
        <v>0</v>
      </c>
      <c r="BE799">
        <v>0</v>
      </c>
      <c r="BF799">
        <v>0</v>
      </c>
      <c r="BG799">
        <v>0</v>
      </c>
      <c r="BH799">
        <v>1</v>
      </c>
      <c r="BI799">
        <v>11</v>
      </c>
      <c r="BJ799">
        <v>9.1</v>
      </c>
      <c r="BK799">
        <v>11</v>
      </c>
      <c r="BL799" s="4">
        <v>651.63</v>
      </c>
      <c r="BM799" s="4">
        <v>97.74</v>
      </c>
      <c r="BN799" s="4">
        <v>749.37</v>
      </c>
      <c r="BO799" s="4">
        <v>749.37</v>
      </c>
      <c r="BP799" t="s">
        <v>1323</v>
      </c>
      <c r="BQ799" t="s">
        <v>1324</v>
      </c>
      <c r="BR799" t="s">
        <v>159</v>
      </c>
      <c r="BS799" s="3">
        <v>43805</v>
      </c>
      <c r="BT799" s="5">
        <v>0.52569444444444446</v>
      </c>
      <c r="BU799" t="s">
        <v>494</v>
      </c>
      <c r="BV799" t="s">
        <v>86</v>
      </c>
      <c r="BY799">
        <v>45375</v>
      </c>
      <c r="BZ799" t="s">
        <v>1325</v>
      </c>
      <c r="CC799" t="s">
        <v>492</v>
      </c>
      <c r="CD799">
        <v>1724</v>
      </c>
      <c r="CE799" t="s">
        <v>96</v>
      </c>
      <c r="CI799">
        <v>0</v>
      </c>
      <c r="CJ799">
        <v>0</v>
      </c>
      <c r="CK799">
        <v>22</v>
      </c>
      <c r="CL799" t="s">
        <v>89</v>
      </c>
    </row>
    <row r="800" spans="1:90">
      <c r="A800" t="s">
        <v>72</v>
      </c>
      <c r="B800" t="s">
        <v>73</v>
      </c>
      <c r="C800" t="s">
        <v>74</v>
      </c>
      <c r="E800" t="str">
        <f>"FES1162727497"</f>
        <v>FES1162727497</v>
      </c>
      <c r="F800" s="3">
        <v>43809</v>
      </c>
      <c r="G800">
        <v>202006</v>
      </c>
      <c r="H800" t="s">
        <v>75</v>
      </c>
      <c r="I800" t="s">
        <v>76</v>
      </c>
      <c r="J800" t="s">
        <v>77</v>
      </c>
      <c r="K800" t="s">
        <v>78</v>
      </c>
      <c r="L800" t="s">
        <v>198</v>
      </c>
      <c r="M800" t="s">
        <v>199</v>
      </c>
      <c r="N800" t="s">
        <v>292</v>
      </c>
      <c r="O800" t="s">
        <v>82</v>
      </c>
      <c r="P800" t="str">
        <f>"2170710983                    "</f>
        <v xml:space="preserve">2170710983                    </v>
      </c>
      <c r="Q800">
        <v>0</v>
      </c>
      <c r="R800">
        <v>0</v>
      </c>
      <c r="S800">
        <v>0</v>
      </c>
      <c r="T800">
        <v>0</v>
      </c>
      <c r="U800">
        <v>0</v>
      </c>
      <c r="V800">
        <v>0</v>
      </c>
      <c r="W800">
        <v>0</v>
      </c>
      <c r="X800">
        <v>0</v>
      </c>
      <c r="Y800">
        <v>0</v>
      </c>
      <c r="Z800">
        <v>0</v>
      </c>
      <c r="AA800">
        <v>0</v>
      </c>
      <c r="AB800">
        <v>0</v>
      </c>
      <c r="AC800">
        <v>0</v>
      </c>
      <c r="AD800">
        <v>0</v>
      </c>
      <c r="AE800">
        <v>0</v>
      </c>
      <c r="AF800">
        <v>0</v>
      </c>
      <c r="AG800">
        <v>0</v>
      </c>
      <c r="AH800">
        <v>0</v>
      </c>
      <c r="AI800">
        <v>0</v>
      </c>
      <c r="AJ800">
        <v>0</v>
      </c>
      <c r="AK800">
        <v>0</v>
      </c>
      <c r="AL800">
        <v>0</v>
      </c>
      <c r="AM800">
        <v>10.73</v>
      </c>
      <c r="AN800">
        <v>0</v>
      </c>
      <c r="AO800">
        <v>0</v>
      </c>
      <c r="AP800">
        <v>0</v>
      </c>
      <c r="AQ800">
        <v>0</v>
      </c>
      <c r="AR800">
        <v>0</v>
      </c>
      <c r="AS800">
        <v>0</v>
      </c>
      <c r="AT800">
        <v>0</v>
      </c>
      <c r="AU800">
        <v>0</v>
      </c>
      <c r="AV800">
        <v>0</v>
      </c>
      <c r="AW800">
        <v>0</v>
      </c>
      <c r="AX800">
        <v>0</v>
      </c>
      <c r="AY800">
        <v>0</v>
      </c>
      <c r="AZ800">
        <v>0</v>
      </c>
      <c r="BA800">
        <v>0</v>
      </c>
      <c r="BB800">
        <v>0</v>
      </c>
      <c r="BC800">
        <v>0</v>
      </c>
      <c r="BD800">
        <v>0</v>
      </c>
      <c r="BE800">
        <v>0</v>
      </c>
      <c r="BF800">
        <v>0</v>
      </c>
      <c r="BG800">
        <v>0</v>
      </c>
      <c r="BH800">
        <v>1</v>
      </c>
      <c r="BI800">
        <v>2.1</v>
      </c>
      <c r="BJ800">
        <v>0.9</v>
      </c>
      <c r="BK800">
        <v>2.5</v>
      </c>
      <c r="BL800" s="4">
        <v>63.06</v>
      </c>
      <c r="BM800" s="4">
        <v>9.4600000000000009</v>
      </c>
      <c r="BN800" s="4">
        <v>72.52</v>
      </c>
      <c r="BO800" s="4">
        <v>72.52</v>
      </c>
      <c r="BR800" t="s">
        <v>84</v>
      </c>
      <c r="BS800" s="3">
        <v>43810</v>
      </c>
      <c r="BT800" s="5">
        <v>0.3659722222222222</v>
      </c>
      <c r="BU800" t="s">
        <v>1326</v>
      </c>
      <c r="BV800" t="s">
        <v>86</v>
      </c>
      <c r="BY800">
        <v>4480.53</v>
      </c>
      <c r="CA800" t="s">
        <v>294</v>
      </c>
      <c r="CC800" t="s">
        <v>199</v>
      </c>
      <c r="CD800">
        <v>4094</v>
      </c>
      <c r="CE800" t="s">
        <v>96</v>
      </c>
      <c r="CF800" s="3">
        <v>43811</v>
      </c>
      <c r="CI800">
        <v>1</v>
      </c>
      <c r="CJ800">
        <v>1</v>
      </c>
      <c r="CK800">
        <v>21</v>
      </c>
      <c r="CL800" t="s">
        <v>89</v>
      </c>
    </row>
    <row r="801" spans="1:90">
      <c r="A801" t="s">
        <v>72</v>
      </c>
      <c r="B801" t="s">
        <v>73</v>
      </c>
      <c r="C801" t="s">
        <v>74</v>
      </c>
      <c r="E801" t="str">
        <f>"FES1162727450"</f>
        <v>FES1162727450</v>
      </c>
      <c r="F801" s="3">
        <v>43809</v>
      </c>
      <c r="G801">
        <v>202006</v>
      </c>
      <c r="H801" t="s">
        <v>75</v>
      </c>
      <c r="I801" t="s">
        <v>76</v>
      </c>
      <c r="J801" t="s">
        <v>77</v>
      </c>
      <c r="K801" t="s">
        <v>78</v>
      </c>
      <c r="L801" t="s">
        <v>332</v>
      </c>
      <c r="M801" t="s">
        <v>333</v>
      </c>
      <c r="N801" t="s">
        <v>701</v>
      </c>
      <c r="O801" t="s">
        <v>82</v>
      </c>
      <c r="P801" t="str">
        <f>"21707120675                   "</f>
        <v xml:space="preserve">21707120675                   </v>
      </c>
      <c r="Q801">
        <v>0</v>
      </c>
      <c r="R801">
        <v>0</v>
      </c>
      <c r="S801">
        <v>0</v>
      </c>
      <c r="T801">
        <v>0</v>
      </c>
      <c r="U801">
        <v>0</v>
      </c>
      <c r="V801">
        <v>0</v>
      </c>
      <c r="W801">
        <v>0</v>
      </c>
      <c r="X801">
        <v>0</v>
      </c>
      <c r="Y801">
        <v>0</v>
      </c>
      <c r="Z801">
        <v>0</v>
      </c>
      <c r="AA801">
        <v>0</v>
      </c>
      <c r="AB801">
        <v>0</v>
      </c>
      <c r="AC801">
        <v>0</v>
      </c>
      <c r="AD801">
        <v>0</v>
      </c>
      <c r="AE801">
        <v>0</v>
      </c>
      <c r="AF801">
        <v>0</v>
      </c>
      <c r="AG801">
        <v>0</v>
      </c>
      <c r="AH801">
        <v>0</v>
      </c>
      <c r="AI801">
        <v>0</v>
      </c>
      <c r="AJ801">
        <v>0</v>
      </c>
      <c r="AK801">
        <v>0</v>
      </c>
      <c r="AL801">
        <v>0</v>
      </c>
      <c r="AM801">
        <v>6.71</v>
      </c>
      <c r="AN801">
        <v>0</v>
      </c>
      <c r="AO801">
        <v>0</v>
      </c>
      <c r="AP801">
        <v>0</v>
      </c>
      <c r="AQ801">
        <v>0</v>
      </c>
      <c r="AR801">
        <v>0</v>
      </c>
      <c r="AS801">
        <v>0</v>
      </c>
      <c r="AT801">
        <v>0</v>
      </c>
      <c r="AU801">
        <v>0</v>
      </c>
      <c r="AV801">
        <v>0</v>
      </c>
      <c r="AW801">
        <v>0</v>
      </c>
      <c r="AX801">
        <v>0</v>
      </c>
      <c r="AY801">
        <v>0</v>
      </c>
      <c r="AZ801">
        <v>0</v>
      </c>
      <c r="BA801">
        <v>0</v>
      </c>
      <c r="BB801">
        <v>0</v>
      </c>
      <c r="BC801">
        <v>0</v>
      </c>
      <c r="BD801">
        <v>0</v>
      </c>
      <c r="BE801">
        <v>0</v>
      </c>
      <c r="BF801">
        <v>0</v>
      </c>
      <c r="BG801">
        <v>0</v>
      </c>
      <c r="BH801">
        <v>1</v>
      </c>
      <c r="BI801">
        <v>1.8</v>
      </c>
      <c r="BJ801">
        <v>1.1000000000000001</v>
      </c>
      <c r="BK801">
        <v>2</v>
      </c>
      <c r="BL801" s="4">
        <v>39.42</v>
      </c>
      <c r="BM801" s="4">
        <v>5.91</v>
      </c>
      <c r="BN801" s="4">
        <v>45.33</v>
      </c>
      <c r="BO801" s="4">
        <v>45.33</v>
      </c>
      <c r="BQ801" t="s">
        <v>93</v>
      </c>
      <c r="BR801" t="s">
        <v>84</v>
      </c>
      <c r="BS801" s="3">
        <v>43810</v>
      </c>
      <c r="BT801" s="5">
        <v>0.40069444444444446</v>
      </c>
      <c r="BU801" t="s">
        <v>1327</v>
      </c>
      <c r="BV801" t="s">
        <v>86</v>
      </c>
      <c r="BY801">
        <v>5535.75</v>
      </c>
      <c r="CC801" t="s">
        <v>333</v>
      </c>
      <c r="CD801">
        <v>2094</v>
      </c>
      <c r="CE801" t="s">
        <v>116</v>
      </c>
      <c r="CF801" s="3">
        <v>43811</v>
      </c>
      <c r="CI801">
        <v>1</v>
      </c>
      <c r="CJ801">
        <v>1</v>
      </c>
      <c r="CK801">
        <v>22</v>
      </c>
      <c r="CL801" t="s">
        <v>89</v>
      </c>
    </row>
    <row r="802" spans="1:90">
      <c r="A802" t="s">
        <v>72</v>
      </c>
      <c r="B802" t="s">
        <v>73</v>
      </c>
      <c r="C802" t="s">
        <v>74</v>
      </c>
      <c r="E802" t="str">
        <f>"FES1162727481"</f>
        <v>FES1162727481</v>
      </c>
      <c r="F802" s="3">
        <v>43809</v>
      </c>
      <c r="G802">
        <v>202006</v>
      </c>
      <c r="H802" t="s">
        <v>75</v>
      </c>
      <c r="I802" t="s">
        <v>76</v>
      </c>
      <c r="J802" t="s">
        <v>77</v>
      </c>
      <c r="K802" t="s">
        <v>78</v>
      </c>
      <c r="L802" t="s">
        <v>860</v>
      </c>
      <c r="M802" t="s">
        <v>861</v>
      </c>
      <c r="N802" t="s">
        <v>1328</v>
      </c>
      <c r="O802" t="s">
        <v>82</v>
      </c>
      <c r="P802" t="str">
        <f>"21707120960                   "</f>
        <v xml:space="preserve">21707120960                   </v>
      </c>
      <c r="Q802">
        <v>0</v>
      </c>
      <c r="R802">
        <v>0</v>
      </c>
      <c r="S802">
        <v>0</v>
      </c>
      <c r="T802">
        <v>0</v>
      </c>
      <c r="U802">
        <v>0</v>
      </c>
      <c r="V802">
        <v>0</v>
      </c>
      <c r="W802">
        <v>0</v>
      </c>
      <c r="X802">
        <v>0</v>
      </c>
      <c r="Y802">
        <v>0</v>
      </c>
      <c r="Z802">
        <v>0</v>
      </c>
      <c r="AA802">
        <v>0</v>
      </c>
      <c r="AB802">
        <v>0</v>
      </c>
      <c r="AC802">
        <v>0</v>
      </c>
      <c r="AD802">
        <v>0</v>
      </c>
      <c r="AE802">
        <v>0</v>
      </c>
      <c r="AF802">
        <v>0</v>
      </c>
      <c r="AG802">
        <v>0</v>
      </c>
      <c r="AH802">
        <v>0</v>
      </c>
      <c r="AI802">
        <v>0</v>
      </c>
      <c r="AJ802">
        <v>0</v>
      </c>
      <c r="AK802">
        <v>0</v>
      </c>
      <c r="AL802">
        <v>0</v>
      </c>
      <c r="AM802">
        <v>13.13</v>
      </c>
      <c r="AN802">
        <v>0</v>
      </c>
      <c r="AO802">
        <v>0</v>
      </c>
      <c r="AP802">
        <v>0</v>
      </c>
      <c r="AQ802">
        <v>0</v>
      </c>
      <c r="AR802">
        <v>0</v>
      </c>
      <c r="AS802">
        <v>0</v>
      </c>
      <c r="AT802">
        <v>0</v>
      </c>
      <c r="AU802">
        <v>0</v>
      </c>
      <c r="AV802">
        <v>0</v>
      </c>
      <c r="AW802">
        <v>0</v>
      </c>
      <c r="AX802">
        <v>0</v>
      </c>
      <c r="AY802">
        <v>0</v>
      </c>
      <c r="AZ802">
        <v>0</v>
      </c>
      <c r="BA802">
        <v>0</v>
      </c>
      <c r="BB802">
        <v>0</v>
      </c>
      <c r="BC802">
        <v>0</v>
      </c>
      <c r="BD802">
        <v>0</v>
      </c>
      <c r="BE802">
        <v>0</v>
      </c>
      <c r="BF802">
        <v>0</v>
      </c>
      <c r="BG802">
        <v>0</v>
      </c>
      <c r="BH802">
        <v>1</v>
      </c>
      <c r="BI802">
        <v>5.7</v>
      </c>
      <c r="BJ802">
        <v>3.4</v>
      </c>
      <c r="BK802">
        <v>6</v>
      </c>
      <c r="BL802" s="4">
        <v>77.2</v>
      </c>
      <c r="BM802" s="4">
        <v>11.58</v>
      </c>
      <c r="BN802" s="4">
        <v>88.78</v>
      </c>
      <c r="BO802" s="4">
        <v>88.78</v>
      </c>
      <c r="BQ802" t="s">
        <v>147</v>
      </c>
      <c r="BR802" t="s">
        <v>84</v>
      </c>
      <c r="BS802" s="3">
        <v>43810</v>
      </c>
      <c r="BT802" s="5">
        <v>0.33333333333333331</v>
      </c>
      <c r="BU802" t="s">
        <v>1329</v>
      </c>
      <c r="BV802" t="s">
        <v>86</v>
      </c>
      <c r="BY802">
        <v>16750.490000000002</v>
      </c>
      <c r="CC802" t="s">
        <v>861</v>
      </c>
      <c r="CD802">
        <v>2170</v>
      </c>
      <c r="CE802" t="s">
        <v>96</v>
      </c>
      <c r="CF802" s="3">
        <v>43811</v>
      </c>
      <c r="CI802">
        <v>1</v>
      </c>
      <c r="CJ802">
        <v>1</v>
      </c>
      <c r="CK802">
        <v>22</v>
      </c>
      <c r="CL802" t="s">
        <v>89</v>
      </c>
    </row>
    <row r="803" spans="1:90">
      <c r="A803" t="s">
        <v>72</v>
      </c>
      <c r="B803" t="s">
        <v>73</v>
      </c>
      <c r="C803" t="s">
        <v>74</v>
      </c>
      <c r="E803" t="str">
        <f>"FES1162727569"</f>
        <v>FES1162727569</v>
      </c>
      <c r="F803" s="3">
        <v>43809</v>
      </c>
      <c r="G803">
        <v>202006</v>
      </c>
      <c r="H803" t="s">
        <v>75</v>
      </c>
      <c r="I803" t="s">
        <v>76</v>
      </c>
      <c r="J803" t="s">
        <v>77</v>
      </c>
      <c r="K803" t="s">
        <v>78</v>
      </c>
      <c r="L803" t="s">
        <v>75</v>
      </c>
      <c r="M803" t="s">
        <v>76</v>
      </c>
      <c r="N803" t="s">
        <v>289</v>
      </c>
      <c r="O803" t="s">
        <v>82</v>
      </c>
      <c r="P803" t="str">
        <f>"217071051                     "</f>
        <v xml:space="preserve">217071051                     </v>
      </c>
      <c r="Q803">
        <v>0</v>
      </c>
      <c r="R803">
        <v>0</v>
      </c>
      <c r="S803">
        <v>0</v>
      </c>
      <c r="T803">
        <v>0</v>
      </c>
      <c r="U803">
        <v>0</v>
      </c>
      <c r="V803">
        <v>0</v>
      </c>
      <c r="W803">
        <v>0</v>
      </c>
      <c r="X803">
        <v>0</v>
      </c>
      <c r="Y803">
        <v>0</v>
      </c>
      <c r="Z803">
        <v>0</v>
      </c>
      <c r="AA803">
        <v>0</v>
      </c>
      <c r="AB803">
        <v>0</v>
      </c>
      <c r="AC803">
        <v>0</v>
      </c>
      <c r="AD803">
        <v>0</v>
      </c>
      <c r="AE803">
        <v>0</v>
      </c>
      <c r="AF803">
        <v>0</v>
      </c>
      <c r="AG803">
        <v>0</v>
      </c>
      <c r="AH803">
        <v>0</v>
      </c>
      <c r="AI803">
        <v>0</v>
      </c>
      <c r="AJ803">
        <v>0</v>
      </c>
      <c r="AK803">
        <v>0</v>
      </c>
      <c r="AL803">
        <v>0</v>
      </c>
      <c r="AM803">
        <v>10.72</v>
      </c>
      <c r="AN803">
        <v>0</v>
      </c>
      <c r="AO803">
        <v>0</v>
      </c>
      <c r="AP803">
        <v>0</v>
      </c>
      <c r="AQ803">
        <v>0</v>
      </c>
      <c r="AR803">
        <v>0</v>
      </c>
      <c r="AS803">
        <v>0</v>
      </c>
      <c r="AT803">
        <v>0</v>
      </c>
      <c r="AU803">
        <v>0</v>
      </c>
      <c r="AV803">
        <v>0</v>
      </c>
      <c r="AW803">
        <v>0</v>
      </c>
      <c r="AX803">
        <v>0</v>
      </c>
      <c r="AY803">
        <v>0</v>
      </c>
      <c r="AZ803">
        <v>0</v>
      </c>
      <c r="BA803">
        <v>0</v>
      </c>
      <c r="BB803">
        <v>0</v>
      </c>
      <c r="BC803">
        <v>0</v>
      </c>
      <c r="BD803">
        <v>0</v>
      </c>
      <c r="BE803">
        <v>0</v>
      </c>
      <c r="BF803">
        <v>0</v>
      </c>
      <c r="BG803">
        <v>0</v>
      </c>
      <c r="BH803">
        <v>1</v>
      </c>
      <c r="BI803">
        <v>4.0999999999999996</v>
      </c>
      <c r="BJ803">
        <v>3.2</v>
      </c>
      <c r="BK803">
        <v>4.5</v>
      </c>
      <c r="BL803" s="4">
        <v>63.03</v>
      </c>
      <c r="BM803" s="4">
        <v>9.4499999999999993</v>
      </c>
      <c r="BN803" s="4">
        <v>72.48</v>
      </c>
      <c r="BO803" s="4">
        <v>72.48</v>
      </c>
      <c r="BQ803" t="s">
        <v>290</v>
      </c>
      <c r="BR803" t="s">
        <v>84</v>
      </c>
      <c r="BS803" s="3">
        <v>43810</v>
      </c>
      <c r="BT803" s="5">
        <v>0.29722222222222222</v>
      </c>
      <c r="BU803" t="s">
        <v>291</v>
      </c>
      <c r="BV803" t="s">
        <v>86</v>
      </c>
      <c r="BY803">
        <v>16086.06</v>
      </c>
      <c r="CA803" t="s">
        <v>155</v>
      </c>
      <c r="CC803" t="s">
        <v>76</v>
      </c>
      <c r="CD803">
        <v>1601</v>
      </c>
      <c r="CE803" t="s">
        <v>96</v>
      </c>
      <c r="CF803" s="3">
        <v>43811</v>
      </c>
      <c r="CI803">
        <v>1</v>
      </c>
      <c r="CJ803">
        <v>1</v>
      </c>
      <c r="CK803">
        <v>22</v>
      </c>
      <c r="CL803" t="s">
        <v>89</v>
      </c>
    </row>
    <row r="804" spans="1:90">
      <c r="A804" t="s">
        <v>72</v>
      </c>
      <c r="B804" t="s">
        <v>73</v>
      </c>
      <c r="C804" t="s">
        <v>74</v>
      </c>
      <c r="E804" t="str">
        <f>"FES1162727506"</f>
        <v>FES1162727506</v>
      </c>
      <c r="F804" s="3">
        <v>43809</v>
      </c>
      <c r="G804">
        <v>202006</v>
      </c>
      <c r="H804" t="s">
        <v>75</v>
      </c>
      <c r="I804" t="s">
        <v>76</v>
      </c>
      <c r="J804" t="s">
        <v>77</v>
      </c>
      <c r="K804" t="s">
        <v>78</v>
      </c>
      <c r="L804" t="s">
        <v>714</v>
      </c>
      <c r="M804" t="s">
        <v>715</v>
      </c>
      <c r="N804" t="s">
        <v>886</v>
      </c>
      <c r="O804" t="s">
        <v>82</v>
      </c>
      <c r="P804" t="str">
        <f>"217071742                     "</f>
        <v xml:space="preserve">217071742                     </v>
      </c>
      <c r="Q804">
        <v>0</v>
      </c>
      <c r="R804">
        <v>0</v>
      </c>
      <c r="S804">
        <v>0</v>
      </c>
      <c r="T804">
        <v>0</v>
      </c>
      <c r="U804">
        <v>0</v>
      </c>
      <c r="V804">
        <v>0</v>
      </c>
      <c r="W804">
        <v>0</v>
      </c>
      <c r="X804">
        <v>0</v>
      </c>
      <c r="Y804">
        <v>0</v>
      </c>
      <c r="Z804">
        <v>0</v>
      </c>
      <c r="AA804">
        <v>0</v>
      </c>
      <c r="AB804">
        <v>0</v>
      </c>
      <c r="AC804">
        <v>0</v>
      </c>
      <c r="AD804">
        <v>0</v>
      </c>
      <c r="AE804">
        <v>0</v>
      </c>
      <c r="AF804">
        <v>0</v>
      </c>
      <c r="AG804">
        <v>0</v>
      </c>
      <c r="AH804">
        <v>0</v>
      </c>
      <c r="AI804">
        <v>0</v>
      </c>
      <c r="AJ804">
        <v>0</v>
      </c>
      <c r="AK804">
        <v>0</v>
      </c>
      <c r="AL804">
        <v>0</v>
      </c>
      <c r="AM804">
        <v>21.97</v>
      </c>
      <c r="AN804">
        <v>0</v>
      </c>
      <c r="AO804">
        <v>0</v>
      </c>
      <c r="AP804">
        <v>0</v>
      </c>
      <c r="AQ804">
        <v>0</v>
      </c>
      <c r="AR804">
        <v>0</v>
      </c>
      <c r="AS804">
        <v>0</v>
      </c>
      <c r="AT804">
        <v>0</v>
      </c>
      <c r="AU804">
        <v>0</v>
      </c>
      <c r="AV804">
        <v>0</v>
      </c>
      <c r="AW804">
        <v>0</v>
      </c>
      <c r="AX804">
        <v>0</v>
      </c>
      <c r="AY804">
        <v>0</v>
      </c>
      <c r="AZ804">
        <v>0</v>
      </c>
      <c r="BA804">
        <v>0</v>
      </c>
      <c r="BB804">
        <v>0</v>
      </c>
      <c r="BC804">
        <v>0</v>
      </c>
      <c r="BD804">
        <v>0</v>
      </c>
      <c r="BE804">
        <v>0</v>
      </c>
      <c r="BF804">
        <v>0</v>
      </c>
      <c r="BG804">
        <v>0</v>
      </c>
      <c r="BH804">
        <v>1</v>
      </c>
      <c r="BI804">
        <v>8.8000000000000007</v>
      </c>
      <c r="BJ804">
        <v>11.3</v>
      </c>
      <c r="BK804">
        <v>11.5</v>
      </c>
      <c r="BL804" s="4">
        <v>129.16</v>
      </c>
      <c r="BM804" s="4">
        <v>19.37</v>
      </c>
      <c r="BN804" s="4">
        <v>148.53</v>
      </c>
      <c r="BO804" s="4">
        <v>148.53</v>
      </c>
      <c r="BR804" t="s">
        <v>84</v>
      </c>
      <c r="BS804" s="3">
        <v>43810</v>
      </c>
      <c r="BT804" s="5">
        <v>0.4375</v>
      </c>
      <c r="BU804" t="s">
        <v>1330</v>
      </c>
      <c r="BV804" t="s">
        <v>86</v>
      </c>
      <c r="BY804">
        <v>56486.86</v>
      </c>
      <c r="CC804" t="s">
        <v>715</v>
      </c>
      <c r="CD804">
        <v>1559</v>
      </c>
      <c r="CE804" t="s">
        <v>116</v>
      </c>
      <c r="CF804" s="3">
        <v>43811</v>
      </c>
      <c r="CI804">
        <v>1</v>
      </c>
      <c r="CJ804">
        <v>1</v>
      </c>
      <c r="CK804">
        <v>22</v>
      </c>
      <c r="CL804" t="s">
        <v>89</v>
      </c>
    </row>
    <row r="805" spans="1:90">
      <c r="A805" t="s">
        <v>72</v>
      </c>
      <c r="B805" t="s">
        <v>73</v>
      </c>
      <c r="C805" t="s">
        <v>74</v>
      </c>
      <c r="E805" t="str">
        <f>"FES1162727477"</f>
        <v>FES1162727477</v>
      </c>
      <c r="F805" s="3">
        <v>43809</v>
      </c>
      <c r="G805">
        <v>202006</v>
      </c>
      <c r="H805" t="s">
        <v>75</v>
      </c>
      <c r="I805" t="s">
        <v>76</v>
      </c>
      <c r="J805" t="s">
        <v>77</v>
      </c>
      <c r="K805" t="s">
        <v>78</v>
      </c>
      <c r="L805" t="s">
        <v>1331</v>
      </c>
      <c r="M805" t="s">
        <v>1332</v>
      </c>
      <c r="N805" t="s">
        <v>1333</v>
      </c>
      <c r="O805" t="s">
        <v>82</v>
      </c>
      <c r="P805" t="str">
        <f>"217071690                     "</f>
        <v xml:space="preserve">217071690                     </v>
      </c>
      <c r="Q805">
        <v>0</v>
      </c>
      <c r="R805">
        <v>0</v>
      </c>
      <c r="S805">
        <v>0</v>
      </c>
      <c r="T805">
        <v>0</v>
      </c>
      <c r="U805">
        <v>0</v>
      </c>
      <c r="V805">
        <v>0</v>
      </c>
      <c r="W805">
        <v>0</v>
      </c>
      <c r="X805">
        <v>0</v>
      </c>
      <c r="Y805">
        <v>0</v>
      </c>
      <c r="Z805">
        <v>0</v>
      </c>
      <c r="AA805">
        <v>0</v>
      </c>
      <c r="AB805">
        <v>0</v>
      </c>
      <c r="AC805">
        <v>0</v>
      </c>
      <c r="AD805">
        <v>0</v>
      </c>
      <c r="AE805">
        <v>0</v>
      </c>
      <c r="AF805">
        <v>0</v>
      </c>
      <c r="AG805">
        <v>0</v>
      </c>
      <c r="AH805">
        <v>0</v>
      </c>
      <c r="AI805">
        <v>0</v>
      </c>
      <c r="AJ805">
        <v>0</v>
      </c>
      <c r="AK805">
        <v>0</v>
      </c>
      <c r="AL805">
        <v>0</v>
      </c>
      <c r="AM805">
        <v>16.63</v>
      </c>
      <c r="AN805">
        <v>0</v>
      </c>
      <c r="AO805">
        <v>0</v>
      </c>
      <c r="AP805">
        <v>0</v>
      </c>
      <c r="AQ805">
        <v>0</v>
      </c>
      <c r="AR805">
        <v>0</v>
      </c>
      <c r="AS805">
        <v>0</v>
      </c>
      <c r="AT805">
        <v>0</v>
      </c>
      <c r="AU805">
        <v>0</v>
      </c>
      <c r="AV805">
        <v>0</v>
      </c>
      <c r="AW805">
        <v>0</v>
      </c>
      <c r="AX805">
        <v>0</v>
      </c>
      <c r="AY805">
        <v>0</v>
      </c>
      <c r="AZ805">
        <v>0</v>
      </c>
      <c r="BA805">
        <v>0</v>
      </c>
      <c r="BB805">
        <v>0</v>
      </c>
      <c r="BC805">
        <v>0</v>
      </c>
      <c r="BD805">
        <v>0</v>
      </c>
      <c r="BE805">
        <v>0</v>
      </c>
      <c r="BF805">
        <v>0</v>
      </c>
      <c r="BG805">
        <v>0</v>
      </c>
      <c r="BH805">
        <v>1</v>
      </c>
      <c r="BI805">
        <v>0.9</v>
      </c>
      <c r="BJ805">
        <v>1</v>
      </c>
      <c r="BK805">
        <v>1</v>
      </c>
      <c r="BL805" s="4">
        <v>97.75</v>
      </c>
      <c r="BM805" s="4">
        <v>14.66</v>
      </c>
      <c r="BN805" s="4">
        <v>112.41</v>
      </c>
      <c r="BO805" s="4">
        <v>112.41</v>
      </c>
      <c r="BR805" t="s">
        <v>84</v>
      </c>
      <c r="BS805" s="3">
        <v>43810</v>
      </c>
      <c r="BT805" s="5">
        <v>0.62222222222222223</v>
      </c>
      <c r="BU805" t="s">
        <v>1334</v>
      </c>
      <c r="BV805" t="s">
        <v>86</v>
      </c>
      <c r="BY805">
        <v>4838.54</v>
      </c>
      <c r="CA805" t="s">
        <v>279</v>
      </c>
      <c r="CC805" t="s">
        <v>1332</v>
      </c>
      <c r="CD805">
        <v>4490</v>
      </c>
      <c r="CE805" t="s">
        <v>96</v>
      </c>
      <c r="CF805" s="3">
        <v>43811</v>
      </c>
      <c r="CI805">
        <v>1</v>
      </c>
      <c r="CJ805">
        <v>1</v>
      </c>
      <c r="CK805">
        <v>23</v>
      </c>
      <c r="CL805" t="s">
        <v>89</v>
      </c>
    </row>
    <row r="806" spans="1:90">
      <c r="A806" t="s">
        <v>72</v>
      </c>
      <c r="B806" t="s">
        <v>73</v>
      </c>
      <c r="C806" t="s">
        <v>74</v>
      </c>
      <c r="E806" t="str">
        <f>"FES1162725944"</f>
        <v>FES1162725944</v>
      </c>
      <c r="F806" s="3">
        <v>43809</v>
      </c>
      <c r="G806">
        <v>202006</v>
      </c>
      <c r="H806" t="s">
        <v>75</v>
      </c>
      <c r="I806" t="s">
        <v>76</v>
      </c>
      <c r="J806" t="s">
        <v>77</v>
      </c>
      <c r="K806" t="s">
        <v>78</v>
      </c>
      <c r="L806" t="s">
        <v>198</v>
      </c>
      <c r="M806" t="s">
        <v>199</v>
      </c>
      <c r="N806" t="s">
        <v>297</v>
      </c>
      <c r="O806" t="s">
        <v>82</v>
      </c>
      <c r="P806" t="str">
        <f>"2170711254                    "</f>
        <v xml:space="preserve">2170711254                    </v>
      </c>
      <c r="Q806">
        <v>0</v>
      </c>
      <c r="R806">
        <v>0</v>
      </c>
      <c r="S806">
        <v>0</v>
      </c>
      <c r="T806">
        <v>0</v>
      </c>
      <c r="U806">
        <v>0</v>
      </c>
      <c r="V806">
        <v>0</v>
      </c>
      <c r="W806">
        <v>0</v>
      </c>
      <c r="X806">
        <v>0</v>
      </c>
      <c r="Y806">
        <v>0</v>
      </c>
      <c r="Z806">
        <v>0</v>
      </c>
      <c r="AA806">
        <v>0</v>
      </c>
      <c r="AB806">
        <v>0</v>
      </c>
      <c r="AC806">
        <v>0</v>
      </c>
      <c r="AD806">
        <v>0</v>
      </c>
      <c r="AE806">
        <v>0</v>
      </c>
      <c r="AF806">
        <v>0</v>
      </c>
      <c r="AG806">
        <v>0</v>
      </c>
      <c r="AH806">
        <v>0</v>
      </c>
      <c r="AI806">
        <v>0</v>
      </c>
      <c r="AJ806">
        <v>0</v>
      </c>
      <c r="AK806">
        <v>0</v>
      </c>
      <c r="AL806">
        <v>0</v>
      </c>
      <c r="AM806">
        <v>15.02</v>
      </c>
      <c r="AN806">
        <v>0</v>
      </c>
      <c r="AO806">
        <v>0</v>
      </c>
      <c r="AP806">
        <v>0</v>
      </c>
      <c r="AQ806">
        <v>0</v>
      </c>
      <c r="AR806">
        <v>0</v>
      </c>
      <c r="AS806">
        <v>0</v>
      </c>
      <c r="AT806">
        <v>0</v>
      </c>
      <c r="AU806">
        <v>0</v>
      </c>
      <c r="AV806">
        <v>0</v>
      </c>
      <c r="AW806">
        <v>0</v>
      </c>
      <c r="AX806">
        <v>0</v>
      </c>
      <c r="AY806">
        <v>0</v>
      </c>
      <c r="AZ806">
        <v>0</v>
      </c>
      <c r="BA806">
        <v>0</v>
      </c>
      <c r="BB806">
        <v>0</v>
      </c>
      <c r="BC806">
        <v>0</v>
      </c>
      <c r="BD806">
        <v>0</v>
      </c>
      <c r="BE806">
        <v>0</v>
      </c>
      <c r="BF806">
        <v>0</v>
      </c>
      <c r="BG806">
        <v>0</v>
      </c>
      <c r="BH806">
        <v>1</v>
      </c>
      <c r="BI806">
        <v>1.8</v>
      </c>
      <c r="BJ806">
        <v>3.3</v>
      </c>
      <c r="BK806">
        <v>3.5</v>
      </c>
      <c r="BL806" s="4">
        <v>88.27</v>
      </c>
      <c r="BM806" s="4">
        <v>13.24</v>
      </c>
      <c r="BN806" s="4">
        <v>101.51</v>
      </c>
      <c r="BO806" s="4">
        <v>101.51</v>
      </c>
      <c r="BQ806" t="s">
        <v>172</v>
      </c>
      <c r="BR806" t="s">
        <v>84</v>
      </c>
      <c r="BS806" s="3">
        <v>43810</v>
      </c>
      <c r="BT806" s="5">
        <v>0.36944444444444446</v>
      </c>
      <c r="BU806" t="s">
        <v>542</v>
      </c>
      <c r="BV806" t="s">
        <v>86</v>
      </c>
      <c r="BY806">
        <v>16408.38</v>
      </c>
      <c r="CA806" t="s">
        <v>299</v>
      </c>
      <c r="CC806" t="s">
        <v>199</v>
      </c>
      <c r="CD806">
        <v>4000</v>
      </c>
      <c r="CE806" t="s">
        <v>96</v>
      </c>
      <c r="CF806" s="3">
        <v>43811</v>
      </c>
      <c r="CI806">
        <v>1</v>
      </c>
      <c r="CJ806">
        <v>1</v>
      </c>
      <c r="CK806">
        <v>21</v>
      </c>
      <c r="CL806" t="s">
        <v>89</v>
      </c>
    </row>
    <row r="807" spans="1:90">
      <c r="A807" t="s">
        <v>72</v>
      </c>
      <c r="B807" t="s">
        <v>73</v>
      </c>
      <c r="C807" t="s">
        <v>74</v>
      </c>
      <c r="E807" t="str">
        <f>"FES1162729130"</f>
        <v>FES1162729130</v>
      </c>
      <c r="F807" s="3">
        <v>43818</v>
      </c>
      <c r="G807">
        <v>202006</v>
      </c>
      <c r="H807" t="s">
        <v>75</v>
      </c>
      <c r="I807" t="s">
        <v>76</v>
      </c>
      <c r="J807" t="s">
        <v>77</v>
      </c>
      <c r="K807" t="s">
        <v>78</v>
      </c>
      <c r="L807" t="s">
        <v>361</v>
      </c>
      <c r="M807" t="s">
        <v>362</v>
      </c>
      <c r="N807" t="s">
        <v>363</v>
      </c>
      <c r="O807" t="s">
        <v>82</v>
      </c>
      <c r="P807" t="str">
        <f>"2170720767                    "</f>
        <v xml:space="preserve">2170720767                    </v>
      </c>
      <c r="Q807">
        <v>0</v>
      </c>
      <c r="R807">
        <v>0</v>
      </c>
      <c r="S807">
        <v>0</v>
      </c>
      <c r="T807">
        <v>0</v>
      </c>
      <c r="U807">
        <v>0</v>
      </c>
      <c r="V807">
        <v>0</v>
      </c>
      <c r="W807">
        <v>0</v>
      </c>
      <c r="X807">
        <v>0</v>
      </c>
      <c r="Y807">
        <v>0</v>
      </c>
      <c r="Z807">
        <v>0</v>
      </c>
      <c r="AA807">
        <v>0</v>
      </c>
      <c r="AB807">
        <v>0</v>
      </c>
      <c r="AC807">
        <v>0</v>
      </c>
      <c r="AD807">
        <v>0</v>
      </c>
      <c r="AE807">
        <v>0</v>
      </c>
      <c r="AF807">
        <v>0</v>
      </c>
      <c r="AG807">
        <v>0</v>
      </c>
      <c r="AH807">
        <v>0</v>
      </c>
      <c r="AI807">
        <v>0</v>
      </c>
      <c r="AJ807">
        <v>0</v>
      </c>
      <c r="AK807">
        <v>0</v>
      </c>
      <c r="AL807">
        <v>0</v>
      </c>
      <c r="AM807">
        <v>8.58</v>
      </c>
      <c r="AN807">
        <v>0</v>
      </c>
      <c r="AO807">
        <v>0</v>
      </c>
      <c r="AP807">
        <v>0</v>
      </c>
      <c r="AQ807">
        <v>0</v>
      </c>
      <c r="AR807">
        <v>0</v>
      </c>
      <c r="AS807">
        <v>0</v>
      </c>
      <c r="AT807">
        <v>0</v>
      </c>
      <c r="AU807">
        <v>0</v>
      </c>
      <c r="AV807">
        <v>0</v>
      </c>
      <c r="AW807">
        <v>0</v>
      </c>
      <c r="AX807">
        <v>0</v>
      </c>
      <c r="AY807">
        <v>0</v>
      </c>
      <c r="AZ807">
        <v>0</v>
      </c>
      <c r="BA807">
        <v>0</v>
      </c>
      <c r="BB807">
        <v>0</v>
      </c>
      <c r="BC807">
        <v>0</v>
      </c>
      <c r="BD807">
        <v>0</v>
      </c>
      <c r="BE807">
        <v>0</v>
      </c>
      <c r="BF807">
        <v>0</v>
      </c>
      <c r="BG807">
        <v>0</v>
      </c>
      <c r="BH807">
        <v>1</v>
      </c>
      <c r="BI807">
        <v>1</v>
      </c>
      <c r="BJ807">
        <v>0.2</v>
      </c>
      <c r="BK807">
        <v>1</v>
      </c>
      <c r="BL807" s="4">
        <v>50.45</v>
      </c>
      <c r="BM807" s="4">
        <v>7.57</v>
      </c>
      <c r="BN807" s="4">
        <v>58.02</v>
      </c>
      <c r="BO807" s="4">
        <v>58.02</v>
      </c>
      <c r="BQ807" t="s">
        <v>93</v>
      </c>
      <c r="BR807" t="s">
        <v>84</v>
      </c>
      <c r="BS807" s="3">
        <v>43836</v>
      </c>
      <c r="BT807" s="5">
        <v>0.3743055555555555</v>
      </c>
      <c r="BU807" t="s">
        <v>1088</v>
      </c>
      <c r="BV807" t="s">
        <v>89</v>
      </c>
      <c r="BW807" t="s">
        <v>1335</v>
      </c>
      <c r="BX807" t="s">
        <v>619</v>
      </c>
      <c r="BY807">
        <v>1200</v>
      </c>
      <c r="CA807" t="s">
        <v>185</v>
      </c>
      <c r="CC807" t="s">
        <v>362</v>
      </c>
      <c r="CD807">
        <v>6220</v>
      </c>
      <c r="CE807" t="s">
        <v>88</v>
      </c>
      <c r="CI807">
        <v>1</v>
      </c>
      <c r="CJ807">
        <v>12</v>
      </c>
      <c r="CK807">
        <v>21</v>
      </c>
      <c r="CL807" t="s">
        <v>89</v>
      </c>
    </row>
    <row r="808" spans="1:90">
      <c r="A808" t="s">
        <v>72</v>
      </c>
      <c r="B808" t="s">
        <v>73</v>
      </c>
      <c r="C808" t="s">
        <v>74</v>
      </c>
      <c r="E808" t="str">
        <f>"FES1162729031"</f>
        <v>FES1162729031</v>
      </c>
      <c r="F808" s="3">
        <v>43818</v>
      </c>
      <c r="G808">
        <v>202006</v>
      </c>
      <c r="H808" t="s">
        <v>75</v>
      </c>
      <c r="I808" t="s">
        <v>76</v>
      </c>
      <c r="J808" t="s">
        <v>77</v>
      </c>
      <c r="K808" t="s">
        <v>78</v>
      </c>
      <c r="L808" t="s">
        <v>213</v>
      </c>
      <c r="M808" t="s">
        <v>214</v>
      </c>
      <c r="N808" t="s">
        <v>303</v>
      </c>
      <c r="O808" t="s">
        <v>82</v>
      </c>
      <c r="P808" t="str">
        <f>"2170718102                    "</f>
        <v xml:space="preserve">2170718102                    </v>
      </c>
      <c r="Q808">
        <v>0</v>
      </c>
      <c r="R808">
        <v>0</v>
      </c>
      <c r="S808">
        <v>0</v>
      </c>
      <c r="T808">
        <v>0</v>
      </c>
      <c r="U808">
        <v>0</v>
      </c>
      <c r="V808">
        <v>0</v>
      </c>
      <c r="W808">
        <v>0</v>
      </c>
      <c r="X808">
        <v>0</v>
      </c>
      <c r="Y808">
        <v>0</v>
      </c>
      <c r="Z808">
        <v>0</v>
      </c>
      <c r="AA808">
        <v>0</v>
      </c>
      <c r="AB808">
        <v>0</v>
      </c>
      <c r="AC808">
        <v>0</v>
      </c>
      <c r="AD808">
        <v>0</v>
      </c>
      <c r="AE808">
        <v>0</v>
      </c>
      <c r="AF808">
        <v>0</v>
      </c>
      <c r="AG808">
        <v>0</v>
      </c>
      <c r="AH808">
        <v>0</v>
      </c>
      <c r="AI808">
        <v>0</v>
      </c>
      <c r="AJ808">
        <v>0</v>
      </c>
      <c r="AK808">
        <v>0</v>
      </c>
      <c r="AL808">
        <v>0</v>
      </c>
      <c r="AM808">
        <v>8.58</v>
      </c>
      <c r="AN808">
        <v>0</v>
      </c>
      <c r="AO808">
        <v>0</v>
      </c>
      <c r="AP808">
        <v>0</v>
      </c>
      <c r="AQ808">
        <v>0</v>
      </c>
      <c r="AR808">
        <v>0</v>
      </c>
      <c r="AS808">
        <v>0</v>
      </c>
      <c r="AT808">
        <v>0</v>
      </c>
      <c r="AU808">
        <v>0</v>
      </c>
      <c r="AV808">
        <v>0</v>
      </c>
      <c r="AW808">
        <v>0</v>
      </c>
      <c r="AX808">
        <v>0</v>
      </c>
      <c r="AY808">
        <v>0</v>
      </c>
      <c r="AZ808">
        <v>0</v>
      </c>
      <c r="BA808">
        <v>0</v>
      </c>
      <c r="BB808">
        <v>0</v>
      </c>
      <c r="BC808">
        <v>0</v>
      </c>
      <c r="BD808">
        <v>0</v>
      </c>
      <c r="BE808">
        <v>0</v>
      </c>
      <c r="BF808">
        <v>0</v>
      </c>
      <c r="BG808">
        <v>0</v>
      </c>
      <c r="BH808">
        <v>1</v>
      </c>
      <c r="BI808">
        <v>1</v>
      </c>
      <c r="BJ808">
        <v>0.2</v>
      </c>
      <c r="BK808">
        <v>1</v>
      </c>
      <c r="BL808" s="4">
        <v>50.45</v>
      </c>
      <c r="BM808" s="4">
        <v>7.57</v>
      </c>
      <c r="BN808" s="4">
        <v>58.02</v>
      </c>
      <c r="BO808" s="4">
        <v>58.02</v>
      </c>
      <c r="BQ808" t="s">
        <v>147</v>
      </c>
      <c r="BR808" t="s">
        <v>84</v>
      </c>
      <c r="BS808" s="3">
        <v>43819</v>
      </c>
      <c r="BT808" s="5">
        <v>0.34027777777777773</v>
      </c>
      <c r="BU808" t="s">
        <v>1336</v>
      </c>
      <c r="BV808" t="s">
        <v>86</v>
      </c>
      <c r="BY808">
        <v>1200</v>
      </c>
      <c r="CA808" t="s">
        <v>99</v>
      </c>
      <c r="CC808" t="s">
        <v>214</v>
      </c>
      <c r="CD808">
        <v>6230</v>
      </c>
      <c r="CE808" t="s">
        <v>88</v>
      </c>
      <c r="CF808" s="3">
        <v>43822</v>
      </c>
      <c r="CI808">
        <v>1</v>
      </c>
      <c r="CJ808">
        <v>1</v>
      </c>
      <c r="CK808">
        <v>21</v>
      </c>
      <c r="CL808" t="s">
        <v>89</v>
      </c>
    </row>
    <row r="809" spans="1:90">
      <c r="A809" t="s">
        <v>72</v>
      </c>
      <c r="B809" t="s">
        <v>73</v>
      </c>
      <c r="C809" t="s">
        <v>74</v>
      </c>
      <c r="E809" t="str">
        <f>"FES1162726665"</f>
        <v>FES1162726665</v>
      </c>
      <c r="F809" s="3">
        <v>43805</v>
      </c>
      <c r="G809">
        <v>202006</v>
      </c>
      <c r="H809" t="s">
        <v>75</v>
      </c>
      <c r="I809" t="s">
        <v>76</v>
      </c>
      <c r="J809" t="s">
        <v>77</v>
      </c>
      <c r="K809" t="s">
        <v>78</v>
      </c>
      <c r="L809" t="s">
        <v>101</v>
      </c>
      <c r="M809" t="s">
        <v>102</v>
      </c>
      <c r="N809" t="s">
        <v>1221</v>
      </c>
      <c r="O809" t="s">
        <v>104</v>
      </c>
      <c r="P809" t="str">
        <f>"2170717496                    "</f>
        <v xml:space="preserve">2170717496                    </v>
      </c>
      <c r="Q809">
        <v>0</v>
      </c>
      <c r="R809">
        <v>0</v>
      </c>
      <c r="S809">
        <v>0</v>
      </c>
      <c r="T809">
        <v>0</v>
      </c>
      <c r="U809">
        <v>0</v>
      </c>
      <c r="V809">
        <v>0</v>
      </c>
      <c r="W809">
        <v>0</v>
      </c>
      <c r="X809">
        <v>0</v>
      </c>
      <c r="Y809">
        <v>0</v>
      </c>
      <c r="Z809">
        <v>0</v>
      </c>
      <c r="AA809">
        <v>0</v>
      </c>
      <c r="AB809">
        <v>0</v>
      </c>
      <c r="AC809">
        <v>0</v>
      </c>
      <c r="AD809">
        <v>0</v>
      </c>
      <c r="AE809">
        <v>0</v>
      </c>
      <c r="AF809">
        <v>0</v>
      </c>
      <c r="AG809">
        <v>0</v>
      </c>
      <c r="AH809">
        <v>0</v>
      </c>
      <c r="AI809">
        <v>0</v>
      </c>
      <c r="AJ809">
        <v>0</v>
      </c>
      <c r="AK809">
        <v>0</v>
      </c>
      <c r="AL809">
        <v>0</v>
      </c>
      <c r="AM809">
        <v>17.04</v>
      </c>
      <c r="AN809">
        <v>0</v>
      </c>
      <c r="AO809">
        <v>0</v>
      </c>
      <c r="AP809">
        <v>0</v>
      </c>
      <c r="AQ809">
        <v>0</v>
      </c>
      <c r="AR809">
        <v>0</v>
      </c>
      <c r="AS809">
        <v>0</v>
      </c>
      <c r="AT809">
        <v>0</v>
      </c>
      <c r="AU809">
        <v>0</v>
      </c>
      <c r="AV809">
        <v>0</v>
      </c>
      <c r="AW809">
        <v>0</v>
      </c>
      <c r="AX809">
        <v>0</v>
      </c>
      <c r="AY809">
        <v>0</v>
      </c>
      <c r="AZ809">
        <v>0</v>
      </c>
      <c r="BA809">
        <v>0</v>
      </c>
      <c r="BB809">
        <v>0</v>
      </c>
      <c r="BC809">
        <v>0</v>
      </c>
      <c r="BD809">
        <v>0</v>
      </c>
      <c r="BE809">
        <v>0</v>
      </c>
      <c r="BF809">
        <v>0</v>
      </c>
      <c r="BG809">
        <v>0</v>
      </c>
      <c r="BH809">
        <v>1</v>
      </c>
      <c r="BI809">
        <v>20</v>
      </c>
      <c r="BJ809">
        <v>7.4</v>
      </c>
      <c r="BK809">
        <v>20</v>
      </c>
      <c r="BL809" s="4">
        <v>105.15</v>
      </c>
      <c r="BM809" s="4">
        <v>15.77</v>
      </c>
      <c r="BN809" s="4">
        <v>120.92</v>
      </c>
      <c r="BO809" s="4">
        <v>120.92</v>
      </c>
      <c r="BQ809" t="s">
        <v>135</v>
      </c>
      <c r="BR809" t="s">
        <v>84</v>
      </c>
      <c r="BS809" s="3">
        <v>43808</v>
      </c>
      <c r="BT809" s="5">
        <v>0.39583333333333331</v>
      </c>
      <c r="BU809" t="s">
        <v>1222</v>
      </c>
      <c r="BV809" t="s">
        <v>86</v>
      </c>
      <c r="BY809">
        <v>36782.9</v>
      </c>
      <c r="CA809" t="s">
        <v>1223</v>
      </c>
      <c r="CC809" t="s">
        <v>102</v>
      </c>
      <c r="CD809">
        <v>186</v>
      </c>
      <c r="CE809" t="s">
        <v>116</v>
      </c>
      <c r="CF809" s="3">
        <v>43810</v>
      </c>
      <c r="CI809">
        <v>0</v>
      </c>
      <c r="CJ809">
        <v>0</v>
      </c>
      <c r="CK809" t="s">
        <v>108</v>
      </c>
      <c r="CL809" t="s">
        <v>89</v>
      </c>
    </row>
    <row r="810" spans="1:90">
      <c r="A810" t="s">
        <v>72</v>
      </c>
      <c r="B810" t="s">
        <v>73</v>
      </c>
      <c r="C810" t="s">
        <v>74</v>
      </c>
      <c r="E810" t="str">
        <f>"FES1162727058"</f>
        <v>FES1162727058</v>
      </c>
      <c r="F810" s="3">
        <v>43805</v>
      </c>
      <c r="G810">
        <v>202006</v>
      </c>
      <c r="H810" t="s">
        <v>75</v>
      </c>
      <c r="I810" t="s">
        <v>76</v>
      </c>
      <c r="J810" t="s">
        <v>77</v>
      </c>
      <c r="K810" t="s">
        <v>78</v>
      </c>
      <c r="L810" t="s">
        <v>75</v>
      </c>
      <c r="M810" t="s">
        <v>76</v>
      </c>
      <c r="N810" t="s">
        <v>1337</v>
      </c>
      <c r="O810" t="s">
        <v>104</v>
      </c>
      <c r="P810" t="str">
        <f>"21707102532                   "</f>
        <v xml:space="preserve">21707102532                   </v>
      </c>
      <c r="Q810">
        <v>0</v>
      </c>
      <c r="R810">
        <v>0</v>
      </c>
      <c r="S810">
        <v>0</v>
      </c>
      <c r="T810">
        <v>0</v>
      </c>
      <c r="U810">
        <v>0</v>
      </c>
      <c r="V810">
        <v>0</v>
      </c>
      <c r="W810">
        <v>0</v>
      </c>
      <c r="X810">
        <v>0</v>
      </c>
      <c r="Y810">
        <v>0</v>
      </c>
      <c r="Z810">
        <v>0</v>
      </c>
      <c r="AA810">
        <v>0</v>
      </c>
      <c r="AB810">
        <v>0</v>
      </c>
      <c r="AC810">
        <v>0</v>
      </c>
      <c r="AD810">
        <v>0</v>
      </c>
      <c r="AE810">
        <v>0</v>
      </c>
      <c r="AF810">
        <v>0</v>
      </c>
      <c r="AG810">
        <v>0</v>
      </c>
      <c r="AH810">
        <v>0</v>
      </c>
      <c r="AI810">
        <v>0</v>
      </c>
      <c r="AJ810">
        <v>0</v>
      </c>
      <c r="AK810">
        <v>0</v>
      </c>
      <c r="AL810">
        <v>0</v>
      </c>
      <c r="AM810">
        <v>15.3</v>
      </c>
      <c r="AN810">
        <v>0</v>
      </c>
      <c r="AO810">
        <v>0</v>
      </c>
      <c r="AP810">
        <v>0</v>
      </c>
      <c r="AQ810">
        <v>0</v>
      </c>
      <c r="AR810">
        <v>0</v>
      </c>
      <c r="AS810">
        <v>0</v>
      </c>
      <c r="AT810">
        <v>0</v>
      </c>
      <c r="AU810">
        <v>0</v>
      </c>
      <c r="AV810">
        <v>0</v>
      </c>
      <c r="AW810">
        <v>0</v>
      </c>
      <c r="AX810">
        <v>0</v>
      </c>
      <c r="AY810">
        <v>0</v>
      </c>
      <c r="AZ810">
        <v>0</v>
      </c>
      <c r="BA810">
        <v>0</v>
      </c>
      <c r="BB810">
        <v>0</v>
      </c>
      <c r="BC810">
        <v>0</v>
      </c>
      <c r="BD810">
        <v>0</v>
      </c>
      <c r="BE810">
        <v>0</v>
      </c>
      <c r="BF810">
        <v>0</v>
      </c>
      <c r="BG810">
        <v>0</v>
      </c>
      <c r="BH810">
        <v>2</v>
      </c>
      <c r="BI810">
        <v>22.8</v>
      </c>
      <c r="BJ810">
        <v>7</v>
      </c>
      <c r="BK810">
        <v>23</v>
      </c>
      <c r="BL810" s="4">
        <v>94.94</v>
      </c>
      <c r="BM810" s="4">
        <v>14.24</v>
      </c>
      <c r="BN810" s="4">
        <v>109.18</v>
      </c>
      <c r="BO810" s="4">
        <v>109.18</v>
      </c>
      <c r="BQ810" t="s">
        <v>1338</v>
      </c>
      <c r="BR810" t="s">
        <v>84</v>
      </c>
      <c r="BS810" s="3">
        <v>43808</v>
      </c>
      <c r="BT810" s="5">
        <v>0.41875000000000001</v>
      </c>
      <c r="BU810" t="s">
        <v>1339</v>
      </c>
      <c r="BV810" t="s">
        <v>86</v>
      </c>
      <c r="BY810">
        <v>34865.46</v>
      </c>
      <c r="CA810" t="s">
        <v>155</v>
      </c>
      <c r="CC810" t="s">
        <v>76</v>
      </c>
      <c r="CD810">
        <v>1601</v>
      </c>
      <c r="CE810" t="s">
        <v>413</v>
      </c>
      <c r="CF810" s="3">
        <v>43809</v>
      </c>
      <c r="CI810">
        <v>1</v>
      </c>
      <c r="CJ810">
        <v>1</v>
      </c>
      <c r="CK810" t="s">
        <v>123</v>
      </c>
      <c r="CL810" t="s">
        <v>89</v>
      </c>
    </row>
    <row r="811" spans="1:90">
      <c r="A811" t="s">
        <v>72</v>
      </c>
      <c r="B811" t="s">
        <v>73</v>
      </c>
      <c r="C811" t="s">
        <v>74</v>
      </c>
      <c r="E811" t="str">
        <f>"FES1162727519"</f>
        <v>FES1162727519</v>
      </c>
      <c r="F811" s="3">
        <v>43809</v>
      </c>
      <c r="G811">
        <v>202006</v>
      </c>
      <c r="H811" t="s">
        <v>75</v>
      </c>
      <c r="I811" t="s">
        <v>76</v>
      </c>
      <c r="J811" t="s">
        <v>77</v>
      </c>
      <c r="K811" t="s">
        <v>78</v>
      </c>
      <c r="L811" t="s">
        <v>201</v>
      </c>
      <c r="M811" t="s">
        <v>202</v>
      </c>
      <c r="N811" t="s">
        <v>286</v>
      </c>
      <c r="O811" t="s">
        <v>82</v>
      </c>
      <c r="P811" t="str">
        <f>"2170720870                    "</f>
        <v xml:space="preserve">2170720870                    </v>
      </c>
      <c r="Q811">
        <v>0</v>
      </c>
      <c r="R811">
        <v>0</v>
      </c>
      <c r="S811">
        <v>0</v>
      </c>
      <c r="T811">
        <v>0</v>
      </c>
      <c r="U811">
        <v>0</v>
      </c>
      <c r="V811">
        <v>0</v>
      </c>
      <c r="W811">
        <v>0</v>
      </c>
      <c r="X811">
        <v>0</v>
      </c>
      <c r="Y811">
        <v>0</v>
      </c>
      <c r="Z811">
        <v>0</v>
      </c>
      <c r="AA811">
        <v>0</v>
      </c>
      <c r="AB811">
        <v>0</v>
      </c>
      <c r="AC811">
        <v>0</v>
      </c>
      <c r="AD811">
        <v>0</v>
      </c>
      <c r="AE811">
        <v>0</v>
      </c>
      <c r="AF811">
        <v>0</v>
      </c>
      <c r="AG811">
        <v>0</v>
      </c>
      <c r="AH811">
        <v>0</v>
      </c>
      <c r="AI811">
        <v>0</v>
      </c>
      <c r="AJ811">
        <v>0</v>
      </c>
      <c r="AK811">
        <v>0</v>
      </c>
      <c r="AL811">
        <v>0</v>
      </c>
      <c r="AM811">
        <v>8.58</v>
      </c>
      <c r="AN811">
        <v>0</v>
      </c>
      <c r="AO811">
        <v>0</v>
      </c>
      <c r="AP811">
        <v>0</v>
      </c>
      <c r="AQ811">
        <v>0</v>
      </c>
      <c r="AR811">
        <v>0</v>
      </c>
      <c r="AS811">
        <v>0</v>
      </c>
      <c r="AT811">
        <v>0</v>
      </c>
      <c r="AU811">
        <v>0</v>
      </c>
      <c r="AV811">
        <v>0</v>
      </c>
      <c r="AW811">
        <v>0</v>
      </c>
      <c r="AX811">
        <v>0</v>
      </c>
      <c r="AY811">
        <v>0</v>
      </c>
      <c r="AZ811">
        <v>0</v>
      </c>
      <c r="BA811">
        <v>0</v>
      </c>
      <c r="BB811">
        <v>0</v>
      </c>
      <c r="BC811">
        <v>0</v>
      </c>
      <c r="BD811">
        <v>0</v>
      </c>
      <c r="BE811">
        <v>0</v>
      </c>
      <c r="BF811">
        <v>0</v>
      </c>
      <c r="BG811">
        <v>0</v>
      </c>
      <c r="BH811">
        <v>1</v>
      </c>
      <c r="BI811">
        <v>1.9</v>
      </c>
      <c r="BJ811">
        <v>1.5</v>
      </c>
      <c r="BK811">
        <v>2</v>
      </c>
      <c r="BL811" s="4">
        <v>50.45</v>
      </c>
      <c r="BM811" s="4">
        <v>7.57</v>
      </c>
      <c r="BN811" s="4">
        <v>58.02</v>
      </c>
      <c r="BO811" s="4">
        <v>58.02</v>
      </c>
      <c r="BQ811" t="s">
        <v>93</v>
      </c>
      <c r="BR811" t="s">
        <v>84</v>
      </c>
      <c r="BS811" s="3">
        <v>43810</v>
      </c>
      <c r="BT811" s="5">
        <v>0.42152777777777778</v>
      </c>
      <c r="BU811" t="s">
        <v>287</v>
      </c>
      <c r="BV811" t="s">
        <v>86</v>
      </c>
      <c r="BY811">
        <v>7433.01</v>
      </c>
      <c r="CA811" t="s">
        <v>288</v>
      </c>
      <c r="CC811" t="s">
        <v>202</v>
      </c>
      <c r="CD811">
        <v>3610</v>
      </c>
      <c r="CE811" t="s">
        <v>96</v>
      </c>
      <c r="CF811" s="3">
        <v>43811</v>
      </c>
      <c r="CI811">
        <v>1</v>
      </c>
      <c r="CJ811">
        <v>1</v>
      </c>
      <c r="CK811">
        <v>21</v>
      </c>
      <c r="CL811" t="s">
        <v>89</v>
      </c>
    </row>
    <row r="812" spans="1:90">
      <c r="A812" t="s">
        <v>72</v>
      </c>
      <c r="B812" t="s">
        <v>73</v>
      </c>
      <c r="C812" t="s">
        <v>74</v>
      </c>
      <c r="E812" t="str">
        <f>"019911311459"</f>
        <v>019911311459</v>
      </c>
      <c r="F812" s="3">
        <v>43805</v>
      </c>
      <c r="G812">
        <v>202006</v>
      </c>
      <c r="H812" t="s">
        <v>90</v>
      </c>
      <c r="I812" t="s">
        <v>91</v>
      </c>
      <c r="J812" t="s">
        <v>100</v>
      </c>
      <c r="K812" t="s">
        <v>78</v>
      </c>
      <c r="L812" t="s">
        <v>75</v>
      </c>
      <c r="M812" t="s">
        <v>76</v>
      </c>
      <c r="N812" t="s">
        <v>125</v>
      </c>
      <c r="O812" t="s">
        <v>1340</v>
      </c>
      <c r="P812" t="str">
        <f>"1703                          "</f>
        <v xml:space="preserve">1703                          </v>
      </c>
      <c r="Q812">
        <v>0</v>
      </c>
      <c r="R812">
        <v>0</v>
      </c>
      <c r="S812">
        <v>0</v>
      </c>
      <c r="T812">
        <v>0</v>
      </c>
      <c r="U812">
        <v>0</v>
      </c>
      <c r="V812">
        <v>0</v>
      </c>
      <c r="W812">
        <v>0</v>
      </c>
      <c r="X812">
        <v>0</v>
      </c>
      <c r="Y812">
        <v>0</v>
      </c>
      <c r="Z812">
        <v>0</v>
      </c>
      <c r="AA812">
        <v>0</v>
      </c>
      <c r="AB812">
        <v>0</v>
      </c>
      <c r="AC812">
        <v>0</v>
      </c>
      <c r="AD812">
        <v>0</v>
      </c>
      <c r="AE812">
        <v>0</v>
      </c>
      <c r="AF812">
        <v>0</v>
      </c>
      <c r="AG812">
        <v>0</v>
      </c>
      <c r="AH812">
        <v>0</v>
      </c>
      <c r="AI812">
        <v>0</v>
      </c>
      <c r="AJ812">
        <v>0</v>
      </c>
      <c r="AK812">
        <v>0</v>
      </c>
      <c r="AL812">
        <v>0</v>
      </c>
      <c r="AM812">
        <v>16.09</v>
      </c>
      <c r="AN812">
        <v>0</v>
      </c>
      <c r="AO812">
        <v>0</v>
      </c>
      <c r="AP812">
        <v>0</v>
      </c>
      <c r="AQ812">
        <v>0</v>
      </c>
      <c r="AR812">
        <v>0</v>
      </c>
      <c r="AS812">
        <v>0</v>
      </c>
      <c r="AT812">
        <v>0</v>
      </c>
      <c r="AU812">
        <v>0</v>
      </c>
      <c r="AV812">
        <v>0</v>
      </c>
      <c r="AW812">
        <v>0</v>
      </c>
      <c r="AX812">
        <v>0</v>
      </c>
      <c r="AY812">
        <v>0</v>
      </c>
      <c r="AZ812">
        <v>0</v>
      </c>
      <c r="BA812">
        <v>0</v>
      </c>
      <c r="BB812">
        <v>0</v>
      </c>
      <c r="BC812">
        <v>0</v>
      </c>
      <c r="BD812">
        <v>0</v>
      </c>
      <c r="BE812">
        <v>0</v>
      </c>
      <c r="BF812">
        <v>0</v>
      </c>
      <c r="BG812">
        <v>0</v>
      </c>
      <c r="BH812">
        <v>1</v>
      </c>
      <c r="BI812">
        <v>1</v>
      </c>
      <c r="BJ812">
        <v>0.2</v>
      </c>
      <c r="BK812">
        <v>1</v>
      </c>
      <c r="BL812" s="4">
        <v>94.59</v>
      </c>
      <c r="BM812" s="4">
        <v>14.19</v>
      </c>
      <c r="BN812" s="4">
        <v>108.78</v>
      </c>
      <c r="BO812" s="4">
        <v>108.78</v>
      </c>
      <c r="BQ812" t="s">
        <v>126</v>
      </c>
      <c r="BR812" t="s">
        <v>127</v>
      </c>
      <c r="BS812" s="3">
        <v>43808</v>
      </c>
      <c r="BT812" s="5">
        <v>0.37152777777777773</v>
      </c>
      <c r="BU812" t="s">
        <v>154</v>
      </c>
      <c r="BV812" t="s">
        <v>86</v>
      </c>
      <c r="BY812">
        <v>1200</v>
      </c>
      <c r="BZ812" t="s">
        <v>27</v>
      </c>
      <c r="CA812" t="s">
        <v>155</v>
      </c>
      <c r="CC812" t="s">
        <v>76</v>
      </c>
      <c r="CD812">
        <v>1619</v>
      </c>
      <c r="CE812" t="s">
        <v>96</v>
      </c>
      <c r="CF812" s="3">
        <v>43809</v>
      </c>
      <c r="CI812">
        <v>1</v>
      </c>
      <c r="CJ812">
        <v>1</v>
      </c>
      <c r="CK812">
        <v>31</v>
      </c>
      <c r="CL812" t="s">
        <v>89</v>
      </c>
    </row>
    <row r="813" spans="1:90">
      <c r="A813" t="s">
        <v>331</v>
      </c>
      <c r="B813" t="s">
        <v>73</v>
      </c>
      <c r="C813" t="s">
        <v>74</v>
      </c>
      <c r="E813" t="str">
        <f>"009939384040"</f>
        <v>009939384040</v>
      </c>
      <c r="F813" s="3">
        <v>43805</v>
      </c>
      <c r="G813">
        <v>202006</v>
      </c>
      <c r="H813" t="s">
        <v>198</v>
      </c>
      <c r="I813" t="s">
        <v>199</v>
      </c>
      <c r="J813" t="s">
        <v>1341</v>
      </c>
      <c r="K813" t="s">
        <v>78</v>
      </c>
      <c r="L813" t="s">
        <v>75</v>
      </c>
      <c r="M813" t="s">
        <v>76</v>
      </c>
      <c r="N813" t="s">
        <v>100</v>
      </c>
      <c r="O813" t="s">
        <v>82</v>
      </c>
      <c r="P813" t="str">
        <f>"                              "</f>
        <v xml:space="preserve">                              </v>
      </c>
      <c r="Q813">
        <v>0</v>
      </c>
      <c r="R813">
        <v>0</v>
      </c>
      <c r="S813">
        <v>0</v>
      </c>
      <c r="T813">
        <v>0</v>
      </c>
      <c r="U813">
        <v>0</v>
      </c>
      <c r="V813">
        <v>0</v>
      </c>
      <c r="W813">
        <v>0</v>
      </c>
      <c r="X813">
        <v>0</v>
      </c>
      <c r="Y813">
        <v>0</v>
      </c>
      <c r="Z813">
        <v>0</v>
      </c>
      <c r="AA813">
        <v>0</v>
      </c>
      <c r="AB813">
        <v>0</v>
      </c>
      <c r="AC813">
        <v>0</v>
      </c>
      <c r="AD813">
        <v>0</v>
      </c>
      <c r="AE813">
        <v>0</v>
      </c>
      <c r="AF813">
        <v>0</v>
      </c>
      <c r="AG813">
        <v>0</v>
      </c>
      <c r="AH813">
        <v>0</v>
      </c>
      <c r="AI813">
        <v>0</v>
      </c>
      <c r="AJ813">
        <v>0</v>
      </c>
      <c r="AK813">
        <v>0</v>
      </c>
      <c r="AL813">
        <v>0</v>
      </c>
      <c r="AM813">
        <v>51.47</v>
      </c>
      <c r="AN813">
        <v>0</v>
      </c>
      <c r="AO813">
        <v>0</v>
      </c>
      <c r="AP813">
        <v>0</v>
      </c>
      <c r="AQ813">
        <v>0</v>
      </c>
      <c r="AR813">
        <v>0</v>
      </c>
      <c r="AS813">
        <v>0</v>
      </c>
      <c r="AT813">
        <v>0</v>
      </c>
      <c r="AU813">
        <v>0</v>
      </c>
      <c r="AV813">
        <v>0</v>
      </c>
      <c r="AW813">
        <v>0</v>
      </c>
      <c r="AX813">
        <v>0</v>
      </c>
      <c r="AY813">
        <v>0</v>
      </c>
      <c r="AZ813">
        <v>0</v>
      </c>
      <c r="BA813">
        <v>0</v>
      </c>
      <c r="BB813">
        <v>0</v>
      </c>
      <c r="BC813">
        <v>0</v>
      </c>
      <c r="BD813">
        <v>0</v>
      </c>
      <c r="BE813">
        <v>0</v>
      </c>
      <c r="BF813">
        <v>0</v>
      </c>
      <c r="BG813">
        <v>0</v>
      </c>
      <c r="BH813">
        <v>1</v>
      </c>
      <c r="BI813">
        <v>3.1</v>
      </c>
      <c r="BJ813">
        <v>11.7</v>
      </c>
      <c r="BK813">
        <v>12</v>
      </c>
      <c r="BL813" s="4">
        <v>302.54000000000002</v>
      </c>
      <c r="BM813" s="4">
        <v>45.38</v>
      </c>
      <c r="BN813" s="4">
        <v>347.92</v>
      </c>
      <c r="BO813" s="4">
        <v>347.92</v>
      </c>
      <c r="BR813" t="s">
        <v>1342</v>
      </c>
      <c r="BS813" s="3">
        <v>43808</v>
      </c>
      <c r="BT813" s="5">
        <v>0.375</v>
      </c>
      <c r="BU813" t="s">
        <v>154</v>
      </c>
      <c r="BV813" t="s">
        <v>86</v>
      </c>
      <c r="BY813">
        <v>58466</v>
      </c>
      <c r="BZ813" t="s">
        <v>27</v>
      </c>
      <c r="CA813" t="s">
        <v>155</v>
      </c>
      <c r="CC813" t="s">
        <v>76</v>
      </c>
      <c r="CD813">
        <v>1600</v>
      </c>
      <c r="CE813" t="s">
        <v>96</v>
      </c>
      <c r="CF813" s="3">
        <v>43809</v>
      </c>
      <c r="CI813">
        <v>1</v>
      </c>
      <c r="CJ813">
        <v>1</v>
      </c>
      <c r="CK813">
        <v>21</v>
      </c>
      <c r="CL813" t="s">
        <v>89</v>
      </c>
    </row>
    <row r="814" spans="1:90">
      <c r="A814" t="s">
        <v>72</v>
      </c>
      <c r="B814" t="s">
        <v>73</v>
      </c>
      <c r="C814" t="s">
        <v>74</v>
      </c>
      <c r="E814" t="str">
        <f>"019911311460"</f>
        <v>019911311460</v>
      </c>
      <c r="F814" s="3">
        <v>43805</v>
      </c>
      <c r="G814">
        <v>202006</v>
      </c>
      <c r="H814" t="s">
        <v>90</v>
      </c>
      <c r="I814" t="s">
        <v>91</v>
      </c>
      <c r="J814" t="s">
        <v>100</v>
      </c>
      <c r="K814" t="s">
        <v>78</v>
      </c>
      <c r="L814" t="s">
        <v>75</v>
      </c>
      <c r="M814" t="s">
        <v>76</v>
      </c>
      <c r="N814" t="s">
        <v>125</v>
      </c>
      <c r="O814" t="s">
        <v>104</v>
      </c>
      <c r="P814" t="str">
        <f>"1703                          "</f>
        <v xml:space="preserve">1703                          </v>
      </c>
      <c r="Q814">
        <v>0</v>
      </c>
      <c r="R814">
        <v>0</v>
      </c>
      <c r="S814">
        <v>0</v>
      </c>
      <c r="T814">
        <v>0</v>
      </c>
      <c r="U814">
        <v>0</v>
      </c>
      <c r="V814">
        <v>0</v>
      </c>
      <c r="W814">
        <v>0</v>
      </c>
      <c r="X814">
        <v>0</v>
      </c>
      <c r="Y814">
        <v>0</v>
      </c>
      <c r="Z814">
        <v>0</v>
      </c>
      <c r="AA814">
        <v>0</v>
      </c>
      <c r="AB814">
        <v>0</v>
      </c>
      <c r="AC814">
        <v>0</v>
      </c>
      <c r="AD814">
        <v>0</v>
      </c>
      <c r="AE814">
        <v>0</v>
      </c>
      <c r="AF814">
        <v>0</v>
      </c>
      <c r="AG814">
        <v>0</v>
      </c>
      <c r="AH814">
        <v>0</v>
      </c>
      <c r="AI814">
        <v>0</v>
      </c>
      <c r="AJ814">
        <v>0</v>
      </c>
      <c r="AK814">
        <v>0</v>
      </c>
      <c r="AL814">
        <v>0</v>
      </c>
      <c r="AM814">
        <v>58.2</v>
      </c>
      <c r="AN814">
        <v>0</v>
      </c>
      <c r="AO814">
        <v>0</v>
      </c>
      <c r="AP814">
        <v>0</v>
      </c>
      <c r="AQ814">
        <v>0</v>
      </c>
      <c r="AR814">
        <v>0</v>
      </c>
      <c r="AS814">
        <v>0</v>
      </c>
      <c r="AT814">
        <v>0</v>
      </c>
      <c r="AU814">
        <v>0</v>
      </c>
      <c r="AV814">
        <v>0</v>
      </c>
      <c r="AW814">
        <v>0</v>
      </c>
      <c r="AX814">
        <v>0</v>
      </c>
      <c r="AY814">
        <v>0</v>
      </c>
      <c r="AZ814">
        <v>0</v>
      </c>
      <c r="BA814">
        <v>0</v>
      </c>
      <c r="BB814">
        <v>0</v>
      </c>
      <c r="BC814">
        <v>0</v>
      </c>
      <c r="BD814">
        <v>0</v>
      </c>
      <c r="BE814">
        <v>0</v>
      </c>
      <c r="BF814">
        <v>0</v>
      </c>
      <c r="BG814">
        <v>0</v>
      </c>
      <c r="BH814">
        <v>2</v>
      </c>
      <c r="BI814">
        <v>68.8</v>
      </c>
      <c r="BJ814">
        <v>49.3</v>
      </c>
      <c r="BK814">
        <v>69</v>
      </c>
      <c r="BL814" s="4">
        <v>347.09</v>
      </c>
      <c r="BM814" s="4">
        <v>52.06</v>
      </c>
      <c r="BN814" s="4">
        <v>399.15</v>
      </c>
      <c r="BO814" s="4">
        <v>399.15</v>
      </c>
      <c r="BQ814" t="s">
        <v>126</v>
      </c>
      <c r="BR814" t="s">
        <v>127</v>
      </c>
      <c r="BS814" s="3">
        <v>43808</v>
      </c>
      <c r="BT814" s="5">
        <v>0.37152777777777773</v>
      </c>
      <c r="BU814" t="s">
        <v>154</v>
      </c>
      <c r="BV814" t="s">
        <v>86</v>
      </c>
      <c r="BY814">
        <v>246636.26</v>
      </c>
      <c r="CA814" t="s">
        <v>155</v>
      </c>
      <c r="CC814" t="s">
        <v>76</v>
      </c>
      <c r="CD814">
        <v>1620</v>
      </c>
      <c r="CE814" t="s">
        <v>1343</v>
      </c>
      <c r="CF814" s="3">
        <v>43809</v>
      </c>
      <c r="CI814">
        <v>2</v>
      </c>
      <c r="CJ814">
        <v>1</v>
      </c>
      <c r="CK814" t="s">
        <v>113</v>
      </c>
      <c r="CL814" t="s">
        <v>89</v>
      </c>
    </row>
    <row r="815" spans="1:90">
      <c r="A815" t="s">
        <v>72</v>
      </c>
      <c r="B815" t="s">
        <v>73</v>
      </c>
      <c r="C815" t="s">
        <v>74</v>
      </c>
      <c r="E815" t="str">
        <f>"009939397993"</f>
        <v>009939397993</v>
      </c>
      <c r="F815" s="3">
        <v>43805</v>
      </c>
      <c r="G815">
        <v>202006</v>
      </c>
      <c r="H815" t="s">
        <v>308</v>
      </c>
      <c r="I815" t="s">
        <v>308</v>
      </c>
      <c r="J815" t="s">
        <v>1344</v>
      </c>
      <c r="K815" t="s">
        <v>78</v>
      </c>
      <c r="L815" t="s">
        <v>75</v>
      </c>
      <c r="M815" t="s">
        <v>76</v>
      </c>
      <c r="N815" t="s">
        <v>100</v>
      </c>
      <c r="O815" t="s">
        <v>104</v>
      </c>
      <c r="P815" t="str">
        <f>"1703                          "</f>
        <v xml:space="preserve">1703                          </v>
      </c>
      <c r="Q815">
        <v>0</v>
      </c>
      <c r="R815">
        <v>0</v>
      </c>
      <c r="S815">
        <v>0</v>
      </c>
      <c r="T815">
        <v>0</v>
      </c>
      <c r="U815">
        <v>0</v>
      </c>
      <c r="V815">
        <v>0</v>
      </c>
      <c r="W815">
        <v>0</v>
      </c>
      <c r="X815">
        <v>0</v>
      </c>
      <c r="Y815">
        <v>0</v>
      </c>
      <c r="Z815">
        <v>0</v>
      </c>
      <c r="AA815">
        <v>0</v>
      </c>
      <c r="AB815">
        <v>0</v>
      </c>
      <c r="AC815">
        <v>0</v>
      </c>
      <c r="AD815">
        <v>0</v>
      </c>
      <c r="AE815">
        <v>0</v>
      </c>
      <c r="AF815">
        <v>0</v>
      </c>
      <c r="AG815">
        <v>0</v>
      </c>
      <c r="AH815">
        <v>0</v>
      </c>
      <c r="AI815">
        <v>0</v>
      </c>
      <c r="AJ815">
        <v>0</v>
      </c>
      <c r="AK815">
        <v>0</v>
      </c>
      <c r="AL815">
        <v>0</v>
      </c>
      <c r="AM815">
        <v>17.57</v>
      </c>
      <c r="AN815">
        <v>0</v>
      </c>
      <c r="AO815">
        <v>0</v>
      </c>
      <c r="AP815">
        <v>0</v>
      </c>
      <c r="AQ815">
        <v>0</v>
      </c>
      <c r="AR815">
        <v>0</v>
      </c>
      <c r="AS815">
        <v>0</v>
      </c>
      <c r="AT815">
        <v>0</v>
      </c>
      <c r="AU815">
        <v>0</v>
      </c>
      <c r="AV815">
        <v>0</v>
      </c>
      <c r="AW815">
        <v>0</v>
      </c>
      <c r="AX815">
        <v>0</v>
      </c>
      <c r="AY815">
        <v>0</v>
      </c>
      <c r="AZ815">
        <v>0</v>
      </c>
      <c r="BA815">
        <v>0</v>
      </c>
      <c r="BB815">
        <v>0</v>
      </c>
      <c r="BC815">
        <v>0</v>
      </c>
      <c r="BD815">
        <v>0</v>
      </c>
      <c r="BE815">
        <v>0</v>
      </c>
      <c r="BF815">
        <v>0</v>
      </c>
      <c r="BG815">
        <v>0</v>
      </c>
      <c r="BH815">
        <v>1</v>
      </c>
      <c r="BI815">
        <v>2.8</v>
      </c>
      <c r="BJ815">
        <v>3.7</v>
      </c>
      <c r="BK815">
        <v>4</v>
      </c>
      <c r="BL815" s="4">
        <v>108.28</v>
      </c>
      <c r="BM815" s="4">
        <v>16.239999999999998</v>
      </c>
      <c r="BN815" s="4">
        <v>124.52</v>
      </c>
      <c r="BO815" s="4">
        <v>124.52</v>
      </c>
      <c r="BQ815" t="s">
        <v>127</v>
      </c>
      <c r="BR815" t="s">
        <v>1345</v>
      </c>
      <c r="BS815" s="3">
        <v>43808</v>
      </c>
      <c r="BT815" s="5">
        <v>0.37361111111111112</v>
      </c>
      <c r="BU815" t="s">
        <v>154</v>
      </c>
      <c r="BV815" t="s">
        <v>86</v>
      </c>
      <c r="BY815">
        <v>18447.3</v>
      </c>
      <c r="CA815" t="s">
        <v>155</v>
      </c>
      <c r="CC815" t="s">
        <v>76</v>
      </c>
      <c r="CD815">
        <v>1600</v>
      </c>
      <c r="CE815" t="s">
        <v>96</v>
      </c>
      <c r="CF815" s="3">
        <v>43809</v>
      </c>
      <c r="CI815">
        <v>2</v>
      </c>
      <c r="CJ815">
        <v>1</v>
      </c>
      <c r="CK815" t="s">
        <v>113</v>
      </c>
      <c r="CL815" t="s">
        <v>89</v>
      </c>
    </row>
    <row r="816" spans="1:90">
      <c r="A816" t="s">
        <v>72</v>
      </c>
      <c r="B816" t="s">
        <v>73</v>
      </c>
      <c r="C816" t="s">
        <v>74</v>
      </c>
      <c r="E816" t="str">
        <f>"FES1162727522"</f>
        <v>FES1162727522</v>
      </c>
      <c r="F816" s="3">
        <v>43809</v>
      </c>
      <c r="G816">
        <v>202006</v>
      </c>
      <c r="H816" t="s">
        <v>75</v>
      </c>
      <c r="I816" t="s">
        <v>76</v>
      </c>
      <c r="J816" t="s">
        <v>77</v>
      </c>
      <c r="K816" t="s">
        <v>78</v>
      </c>
      <c r="L816" t="s">
        <v>198</v>
      </c>
      <c r="M816" t="s">
        <v>199</v>
      </c>
      <c r="N816" t="s">
        <v>485</v>
      </c>
      <c r="O816" t="s">
        <v>82</v>
      </c>
      <c r="P816" t="str">
        <f>"21707120989                   "</f>
        <v xml:space="preserve">21707120989                   </v>
      </c>
      <c r="Q816">
        <v>0</v>
      </c>
      <c r="R816">
        <v>0</v>
      </c>
      <c r="S816">
        <v>0</v>
      </c>
      <c r="T816">
        <v>0</v>
      </c>
      <c r="U816">
        <v>0</v>
      </c>
      <c r="V816">
        <v>0</v>
      </c>
      <c r="W816">
        <v>0</v>
      </c>
      <c r="X816">
        <v>0</v>
      </c>
      <c r="Y816">
        <v>0</v>
      </c>
      <c r="Z816">
        <v>0</v>
      </c>
      <c r="AA816">
        <v>0</v>
      </c>
      <c r="AB816">
        <v>0</v>
      </c>
      <c r="AC816">
        <v>0</v>
      </c>
      <c r="AD816">
        <v>0</v>
      </c>
      <c r="AE816">
        <v>0</v>
      </c>
      <c r="AF816">
        <v>0</v>
      </c>
      <c r="AG816">
        <v>0</v>
      </c>
      <c r="AH816">
        <v>0</v>
      </c>
      <c r="AI816">
        <v>0</v>
      </c>
      <c r="AJ816">
        <v>0</v>
      </c>
      <c r="AK816">
        <v>0</v>
      </c>
      <c r="AL816">
        <v>0</v>
      </c>
      <c r="AM816">
        <v>8.58</v>
      </c>
      <c r="AN816">
        <v>0</v>
      </c>
      <c r="AO816">
        <v>0</v>
      </c>
      <c r="AP816">
        <v>0</v>
      </c>
      <c r="AQ816">
        <v>0</v>
      </c>
      <c r="AR816">
        <v>0</v>
      </c>
      <c r="AS816">
        <v>0</v>
      </c>
      <c r="AT816">
        <v>0</v>
      </c>
      <c r="AU816">
        <v>0</v>
      </c>
      <c r="AV816">
        <v>0</v>
      </c>
      <c r="AW816">
        <v>0</v>
      </c>
      <c r="AX816">
        <v>0</v>
      </c>
      <c r="AY816">
        <v>0</v>
      </c>
      <c r="AZ816">
        <v>0</v>
      </c>
      <c r="BA816">
        <v>0</v>
      </c>
      <c r="BB816">
        <v>0</v>
      </c>
      <c r="BC816">
        <v>0</v>
      </c>
      <c r="BD816">
        <v>0</v>
      </c>
      <c r="BE816">
        <v>0</v>
      </c>
      <c r="BF816">
        <v>0</v>
      </c>
      <c r="BG816">
        <v>0</v>
      </c>
      <c r="BH816">
        <v>1</v>
      </c>
      <c r="BI816">
        <v>1</v>
      </c>
      <c r="BJ816">
        <v>0.2</v>
      </c>
      <c r="BK816">
        <v>1</v>
      </c>
      <c r="BL816" s="4">
        <v>50.45</v>
      </c>
      <c r="BM816" s="4">
        <v>7.57</v>
      </c>
      <c r="BN816" s="4">
        <v>58.02</v>
      </c>
      <c r="BO816" s="4">
        <v>58.02</v>
      </c>
      <c r="BQ816" t="s">
        <v>486</v>
      </c>
      <c r="BR816" t="s">
        <v>84</v>
      </c>
      <c r="BS816" s="3">
        <v>43810</v>
      </c>
      <c r="BT816" s="5">
        <v>0.32430555555555557</v>
      </c>
      <c r="BU816" t="s">
        <v>742</v>
      </c>
      <c r="BV816" t="s">
        <v>86</v>
      </c>
      <c r="BY816">
        <v>1200</v>
      </c>
      <c r="CA816" t="s">
        <v>488</v>
      </c>
      <c r="CC816" t="s">
        <v>199</v>
      </c>
      <c r="CD816">
        <v>4001</v>
      </c>
      <c r="CE816" t="s">
        <v>88</v>
      </c>
      <c r="CF816" s="3">
        <v>43811</v>
      </c>
      <c r="CI816">
        <v>1</v>
      </c>
      <c r="CJ816">
        <v>1</v>
      </c>
      <c r="CK816">
        <v>21</v>
      </c>
      <c r="CL816" t="s">
        <v>89</v>
      </c>
    </row>
    <row r="817" spans="1:90">
      <c r="A817" t="s">
        <v>72</v>
      </c>
      <c r="B817" t="s">
        <v>73</v>
      </c>
      <c r="C817" t="s">
        <v>74</v>
      </c>
      <c r="E817" t="str">
        <f>"FES1162727500"</f>
        <v>FES1162727500</v>
      </c>
      <c r="F817" s="3">
        <v>43809</v>
      </c>
      <c r="G817">
        <v>202006</v>
      </c>
      <c r="H817" t="s">
        <v>75</v>
      </c>
      <c r="I817" t="s">
        <v>76</v>
      </c>
      <c r="J817" t="s">
        <v>77</v>
      </c>
      <c r="K817" t="s">
        <v>78</v>
      </c>
      <c r="L817" t="s">
        <v>79</v>
      </c>
      <c r="M817" t="s">
        <v>80</v>
      </c>
      <c r="N817" t="s">
        <v>300</v>
      </c>
      <c r="O817" t="s">
        <v>82</v>
      </c>
      <c r="P817" t="str">
        <f>"2170719817                    "</f>
        <v xml:space="preserve">2170719817                    </v>
      </c>
      <c r="Q817">
        <v>0</v>
      </c>
      <c r="R817">
        <v>0</v>
      </c>
      <c r="S817">
        <v>0</v>
      </c>
      <c r="T817">
        <v>0</v>
      </c>
      <c r="U817">
        <v>0</v>
      </c>
      <c r="V817">
        <v>0</v>
      </c>
      <c r="W817">
        <v>0</v>
      </c>
      <c r="X817">
        <v>0</v>
      </c>
      <c r="Y817">
        <v>0</v>
      </c>
      <c r="Z817">
        <v>0</v>
      </c>
      <c r="AA817">
        <v>0</v>
      </c>
      <c r="AB817">
        <v>0</v>
      </c>
      <c r="AC817">
        <v>0</v>
      </c>
      <c r="AD817">
        <v>0</v>
      </c>
      <c r="AE817">
        <v>0</v>
      </c>
      <c r="AF817">
        <v>0</v>
      </c>
      <c r="AG817">
        <v>0</v>
      </c>
      <c r="AH817">
        <v>0</v>
      </c>
      <c r="AI817">
        <v>0</v>
      </c>
      <c r="AJ817">
        <v>0</v>
      </c>
      <c r="AK817">
        <v>0</v>
      </c>
      <c r="AL817">
        <v>0</v>
      </c>
      <c r="AM817">
        <v>8.58</v>
      </c>
      <c r="AN817">
        <v>0</v>
      </c>
      <c r="AO817">
        <v>0</v>
      </c>
      <c r="AP817">
        <v>0</v>
      </c>
      <c r="AQ817">
        <v>0</v>
      </c>
      <c r="AR817">
        <v>0</v>
      </c>
      <c r="AS817">
        <v>0</v>
      </c>
      <c r="AT817">
        <v>0</v>
      </c>
      <c r="AU817">
        <v>0</v>
      </c>
      <c r="AV817">
        <v>0</v>
      </c>
      <c r="AW817">
        <v>0</v>
      </c>
      <c r="AX817">
        <v>0</v>
      </c>
      <c r="AY817">
        <v>0</v>
      </c>
      <c r="AZ817">
        <v>0</v>
      </c>
      <c r="BA817">
        <v>0</v>
      </c>
      <c r="BB817">
        <v>0</v>
      </c>
      <c r="BC817">
        <v>0</v>
      </c>
      <c r="BD817">
        <v>0</v>
      </c>
      <c r="BE817">
        <v>0</v>
      </c>
      <c r="BF817">
        <v>0</v>
      </c>
      <c r="BG817">
        <v>0</v>
      </c>
      <c r="BH817">
        <v>1</v>
      </c>
      <c r="BI817">
        <v>1</v>
      </c>
      <c r="BJ817">
        <v>0.2</v>
      </c>
      <c r="BK817">
        <v>1</v>
      </c>
      <c r="BL817" s="4">
        <v>50.45</v>
      </c>
      <c r="BM817" s="4">
        <v>7.57</v>
      </c>
      <c r="BN817" s="4">
        <v>58.02</v>
      </c>
      <c r="BO817" s="4">
        <v>58.02</v>
      </c>
      <c r="BQ817" t="s">
        <v>147</v>
      </c>
      <c r="BR817" t="s">
        <v>84</v>
      </c>
      <c r="BS817" s="3">
        <v>43810</v>
      </c>
      <c r="BT817" s="5">
        <v>0.39583333333333331</v>
      </c>
      <c r="BU817" t="s">
        <v>403</v>
      </c>
      <c r="BV817" t="s">
        <v>86</v>
      </c>
      <c r="BY817">
        <v>1200</v>
      </c>
      <c r="CA817" t="s">
        <v>99</v>
      </c>
      <c r="CC817" t="s">
        <v>80</v>
      </c>
      <c r="CD817">
        <v>6001</v>
      </c>
      <c r="CE817" t="s">
        <v>88</v>
      </c>
      <c r="CF817" s="3">
        <v>43811</v>
      </c>
      <c r="CI817">
        <v>1</v>
      </c>
      <c r="CJ817">
        <v>1</v>
      </c>
      <c r="CK817">
        <v>21</v>
      </c>
      <c r="CL817" t="s">
        <v>89</v>
      </c>
    </row>
    <row r="818" spans="1:90">
      <c r="A818" t="s">
        <v>72</v>
      </c>
      <c r="B818" t="s">
        <v>73</v>
      </c>
      <c r="C818" t="s">
        <v>74</v>
      </c>
      <c r="E818" t="str">
        <f>"FES1162727528"</f>
        <v>FES1162727528</v>
      </c>
      <c r="F818" s="3">
        <v>43809</v>
      </c>
      <c r="G818">
        <v>202006</v>
      </c>
      <c r="H818" t="s">
        <v>75</v>
      </c>
      <c r="I818" t="s">
        <v>76</v>
      </c>
      <c r="J818" t="s">
        <v>77</v>
      </c>
      <c r="K818" t="s">
        <v>78</v>
      </c>
      <c r="L818" t="s">
        <v>1183</v>
      </c>
      <c r="M818" t="s">
        <v>1184</v>
      </c>
      <c r="N818" t="s">
        <v>1185</v>
      </c>
      <c r="O818" t="s">
        <v>82</v>
      </c>
      <c r="P818" t="str">
        <f>"21707120100                   "</f>
        <v xml:space="preserve">21707120100                   </v>
      </c>
      <c r="Q818">
        <v>0</v>
      </c>
      <c r="R818">
        <v>0</v>
      </c>
      <c r="S818">
        <v>0</v>
      </c>
      <c r="T818">
        <v>0</v>
      </c>
      <c r="U818">
        <v>0</v>
      </c>
      <c r="V818">
        <v>0</v>
      </c>
      <c r="W818">
        <v>0</v>
      </c>
      <c r="X818">
        <v>0</v>
      </c>
      <c r="Y818">
        <v>0</v>
      </c>
      <c r="Z818">
        <v>0</v>
      </c>
      <c r="AA818">
        <v>0</v>
      </c>
      <c r="AB818">
        <v>0</v>
      </c>
      <c r="AC818">
        <v>0</v>
      </c>
      <c r="AD818">
        <v>0</v>
      </c>
      <c r="AE818">
        <v>0</v>
      </c>
      <c r="AF818">
        <v>0</v>
      </c>
      <c r="AG818">
        <v>0</v>
      </c>
      <c r="AH818">
        <v>0</v>
      </c>
      <c r="AI818">
        <v>0</v>
      </c>
      <c r="AJ818">
        <v>0</v>
      </c>
      <c r="AK818">
        <v>0</v>
      </c>
      <c r="AL818">
        <v>0</v>
      </c>
      <c r="AM818">
        <v>16.63</v>
      </c>
      <c r="AN818">
        <v>0</v>
      </c>
      <c r="AO818">
        <v>0</v>
      </c>
      <c r="AP818">
        <v>0</v>
      </c>
      <c r="AQ818">
        <v>0</v>
      </c>
      <c r="AR818">
        <v>0</v>
      </c>
      <c r="AS818">
        <v>0</v>
      </c>
      <c r="AT818">
        <v>0</v>
      </c>
      <c r="AU818">
        <v>0</v>
      </c>
      <c r="AV818">
        <v>0</v>
      </c>
      <c r="AW818">
        <v>0</v>
      </c>
      <c r="AX818">
        <v>0</v>
      </c>
      <c r="AY818">
        <v>0</v>
      </c>
      <c r="AZ818">
        <v>0</v>
      </c>
      <c r="BA818">
        <v>0</v>
      </c>
      <c r="BB818">
        <v>0</v>
      </c>
      <c r="BC818">
        <v>0</v>
      </c>
      <c r="BD818">
        <v>0</v>
      </c>
      <c r="BE818">
        <v>0</v>
      </c>
      <c r="BF818">
        <v>0</v>
      </c>
      <c r="BG818">
        <v>0</v>
      </c>
      <c r="BH818">
        <v>1</v>
      </c>
      <c r="BI818">
        <v>1.9</v>
      </c>
      <c r="BJ818">
        <v>0.9</v>
      </c>
      <c r="BK818">
        <v>2</v>
      </c>
      <c r="BL818" s="4">
        <v>97.75</v>
      </c>
      <c r="BM818" s="4">
        <v>14.66</v>
      </c>
      <c r="BN818" s="4">
        <v>112.41</v>
      </c>
      <c r="BO818" s="4">
        <v>112.41</v>
      </c>
      <c r="BQ818" t="s">
        <v>93</v>
      </c>
      <c r="BR818" t="s">
        <v>84</v>
      </c>
      <c r="BS818" s="3">
        <v>43810</v>
      </c>
      <c r="BT818" s="5">
        <v>0.45833333333333331</v>
      </c>
      <c r="BU818" t="s">
        <v>1186</v>
      </c>
      <c r="BV818" t="s">
        <v>86</v>
      </c>
      <c r="BY818">
        <v>4379.55</v>
      </c>
      <c r="CA818" t="s">
        <v>1187</v>
      </c>
      <c r="CC818" t="s">
        <v>1184</v>
      </c>
      <c r="CD818">
        <v>3370</v>
      </c>
      <c r="CE818" t="s">
        <v>96</v>
      </c>
      <c r="CF818" s="3">
        <v>43816</v>
      </c>
      <c r="CI818">
        <v>3</v>
      </c>
      <c r="CJ818">
        <v>1</v>
      </c>
      <c r="CK818">
        <v>23</v>
      </c>
      <c r="CL818" t="s">
        <v>89</v>
      </c>
    </row>
    <row r="819" spans="1:90">
      <c r="A819" t="s">
        <v>72</v>
      </c>
      <c r="B819" t="s">
        <v>73</v>
      </c>
      <c r="C819" t="s">
        <v>74</v>
      </c>
      <c r="E819" t="str">
        <f>"FES1162727488"</f>
        <v>FES1162727488</v>
      </c>
      <c r="F819" s="3">
        <v>43809</v>
      </c>
      <c r="G819">
        <v>202006</v>
      </c>
      <c r="H819" t="s">
        <v>75</v>
      </c>
      <c r="I819" t="s">
        <v>76</v>
      </c>
      <c r="J819" t="s">
        <v>77</v>
      </c>
      <c r="K819" t="s">
        <v>78</v>
      </c>
      <c r="L819" t="s">
        <v>198</v>
      </c>
      <c r="M819" t="s">
        <v>199</v>
      </c>
      <c r="N819" t="s">
        <v>837</v>
      </c>
      <c r="O819" t="s">
        <v>82</v>
      </c>
      <c r="P819" t="str">
        <f>"2170720752                    "</f>
        <v xml:space="preserve">2170720752                    </v>
      </c>
      <c r="Q819">
        <v>0</v>
      </c>
      <c r="R819">
        <v>0</v>
      </c>
      <c r="S819">
        <v>0</v>
      </c>
      <c r="T819">
        <v>0</v>
      </c>
      <c r="U819">
        <v>0</v>
      </c>
      <c r="V819">
        <v>0</v>
      </c>
      <c r="W819">
        <v>0</v>
      </c>
      <c r="X819">
        <v>0</v>
      </c>
      <c r="Y819">
        <v>0</v>
      </c>
      <c r="Z819">
        <v>0</v>
      </c>
      <c r="AA819">
        <v>0</v>
      </c>
      <c r="AB819">
        <v>0</v>
      </c>
      <c r="AC819">
        <v>0</v>
      </c>
      <c r="AD819">
        <v>0</v>
      </c>
      <c r="AE819">
        <v>0</v>
      </c>
      <c r="AF819">
        <v>0</v>
      </c>
      <c r="AG819">
        <v>0</v>
      </c>
      <c r="AH819">
        <v>0</v>
      </c>
      <c r="AI819">
        <v>0</v>
      </c>
      <c r="AJ819">
        <v>0</v>
      </c>
      <c r="AK819">
        <v>0</v>
      </c>
      <c r="AL819">
        <v>0</v>
      </c>
      <c r="AM819">
        <v>15.02</v>
      </c>
      <c r="AN819">
        <v>0</v>
      </c>
      <c r="AO819">
        <v>0</v>
      </c>
      <c r="AP819">
        <v>0</v>
      </c>
      <c r="AQ819">
        <v>0</v>
      </c>
      <c r="AR819">
        <v>0</v>
      </c>
      <c r="AS819">
        <v>0</v>
      </c>
      <c r="AT819">
        <v>0</v>
      </c>
      <c r="AU819">
        <v>0</v>
      </c>
      <c r="AV819">
        <v>0</v>
      </c>
      <c r="AW819">
        <v>0</v>
      </c>
      <c r="AX819">
        <v>0</v>
      </c>
      <c r="AY819">
        <v>0</v>
      </c>
      <c r="AZ819">
        <v>0</v>
      </c>
      <c r="BA819">
        <v>0</v>
      </c>
      <c r="BB819">
        <v>0</v>
      </c>
      <c r="BC819">
        <v>0</v>
      </c>
      <c r="BD819">
        <v>0</v>
      </c>
      <c r="BE819">
        <v>0</v>
      </c>
      <c r="BF819">
        <v>0</v>
      </c>
      <c r="BG819">
        <v>0</v>
      </c>
      <c r="BH819">
        <v>1</v>
      </c>
      <c r="BI819">
        <v>3.1</v>
      </c>
      <c r="BJ819">
        <v>1.5</v>
      </c>
      <c r="BK819">
        <v>3.5</v>
      </c>
      <c r="BL819" s="4">
        <v>88.27</v>
      </c>
      <c r="BM819" s="4">
        <v>13.24</v>
      </c>
      <c r="BN819" s="4">
        <v>101.51</v>
      </c>
      <c r="BO819" s="4">
        <v>101.51</v>
      </c>
      <c r="BQ819" t="s">
        <v>135</v>
      </c>
      <c r="BR819" t="s">
        <v>84</v>
      </c>
      <c r="BS819" s="3">
        <v>43810</v>
      </c>
      <c r="BT819" s="5">
        <v>0.32708333333333334</v>
      </c>
      <c r="BU819" t="s">
        <v>838</v>
      </c>
      <c r="BV819" t="s">
        <v>86</v>
      </c>
      <c r="BY819">
        <v>7420.49</v>
      </c>
      <c r="CA819" t="s">
        <v>839</v>
      </c>
      <c r="CC819" t="s">
        <v>199</v>
      </c>
      <c r="CD819">
        <v>4064</v>
      </c>
      <c r="CE819" t="s">
        <v>96</v>
      </c>
      <c r="CF819" s="3">
        <v>43811</v>
      </c>
      <c r="CI819">
        <v>1</v>
      </c>
      <c r="CJ819">
        <v>1</v>
      </c>
      <c r="CK819">
        <v>21</v>
      </c>
      <c r="CL819" t="s">
        <v>89</v>
      </c>
    </row>
    <row r="820" spans="1:90">
      <c r="A820" t="s">
        <v>72</v>
      </c>
      <c r="B820" t="s">
        <v>73</v>
      </c>
      <c r="C820" t="s">
        <v>74</v>
      </c>
      <c r="E820" t="str">
        <f>"FES1162727551"</f>
        <v>FES1162727551</v>
      </c>
      <c r="F820" s="3">
        <v>43809</v>
      </c>
      <c r="G820">
        <v>202006</v>
      </c>
      <c r="H820" t="s">
        <v>75</v>
      </c>
      <c r="I820" t="s">
        <v>76</v>
      </c>
      <c r="J820" t="s">
        <v>77</v>
      </c>
      <c r="K820" t="s">
        <v>78</v>
      </c>
      <c r="L820" t="s">
        <v>714</v>
      </c>
      <c r="M820" t="s">
        <v>715</v>
      </c>
      <c r="N820" t="s">
        <v>1346</v>
      </c>
      <c r="O820" t="s">
        <v>82</v>
      </c>
      <c r="P820" t="str">
        <f>"2170712026                    "</f>
        <v xml:space="preserve">2170712026                    </v>
      </c>
      <c r="Q820">
        <v>0</v>
      </c>
      <c r="R820">
        <v>0</v>
      </c>
      <c r="S820">
        <v>0</v>
      </c>
      <c r="T820">
        <v>0</v>
      </c>
      <c r="U820">
        <v>0</v>
      </c>
      <c r="V820">
        <v>0</v>
      </c>
      <c r="W820">
        <v>0</v>
      </c>
      <c r="X820">
        <v>0</v>
      </c>
      <c r="Y820">
        <v>0</v>
      </c>
      <c r="Z820">
        <v>0</v>
      </c>
      <c r="AA820">
        <v>0</v>
      </c>
      <c r="AB820">
        <v>0</v>
      </c>
      <c r="AC820">
        <v>0</v>
      </c>
      <c r="AD820">
        <v>0</v>
      </c>
      <c r="AE820">
        <v>0</v>
      </c>
      <c r="AF820">
        <v>0</v>
      </c>
      <c r="AG820">
        <v>0</v>
      </c>
      <c r="AH820">
        <v>0</v>
      </c>
      <c r="AI820">
        <v>0</v>
      </c>
      <c r="AJ820">
        <v>0</v>
      </c>
      <c r="AK820">
        <v>0</v>
      </c>
      <c r="AL820">
        <v>0</v>
      </c>
      <c r="AM820">
        <v>6.71</v>
      </c>
      <c r="AN820">
        <v>0</v>
      </c>
      <c r="AO820">
        <v>0</v>
      </c>
      <c r="AP820">
        <v>0</v>
      </c>
      <c r="AQ820">
        <v>0</v>
      </c>
      <c r="AR820">
        <v>0</v>
      </c>
      <c r="AS820">
        <v>0</v>
      </c>
      <c r="AT820">
        <v>0</v>
      </c>
      <c r="AU820">
        <v>0</v>
      </c>
      <c r="AV820">
        <v>0</v>
      </c>
      <c r="AW820">
        <v>0</v>
      </c>
      <c r="AX820">
        <v>0</v>
      </c>
      <c r="AY820">
        <v>0</v>
      </c>
      <c r="AZ820">
        <v>0</v>
      </c>
      <c r="BA820">
        <v>0</v>
      </c>
      <c r="BB820">
        <v>0</v>
      </c>
      <c r="BC820">
        <v>0</v>
      </c>
      <c r="BD820">
        <v>0</v>
      </c>
      <c r="BE820">
        <v>0</v>
      </c>
      <c r="BF820">
        <v>0</v>
      </c>
      <c r="BG820">
        <v>0</v>
      </c>
      <c r="BH820">
        <v>1</v>
      </c>
      <c r="BI820">
        <v>1</v>
      </c>
      <c r="BJ820">
        <v>0.2</v>
      </c>
      <c r="BK820">
        <v>1</v>
      </c>
      <c r="BL820" s="4">
        <v>39.42</v>
      </c>
      <c r="BM820" s="4">
        <v>5.91</v>
      </c>
      <c r="BN820" s="4">
        <v>45.33</v>
      </c>
      <c r="BO820" s="4">
        <v>45.33</v>
      </c>
      <c r="BQ820" t="s">
        <v>1347</v>
      </c>
      <c r="BR820" t="s">
        <v>84</v>
      </c>
      <c r="BS820" s="3">
        <v>43810</v>
      </c>
      <c r="BT820" s="5">
        <v>0.33333333333333331</v>
      </c>
      <c r="BU820" t="s">
        <v>1348</v>
      </c>
      <c r="BV820" t="s">
        <v>86</v>
      </c>
      <c r="BY820">
        <v>1200</v>
      </c>
      <c r="CA820" t="s">
        <v>729</v>
      </c>
      <c r="CC820" t="s">
        <v>715</v>
      </c>
      <c r="CD820">
        <v>1559</v>
      </c>
      <c r="CE820" t="s">
        <v>88</v>
      </c>
      <c r="CF820" s="3">
        <v>43811</v>
      </c>
      <c r="CI820">
        <v>1</v>
      </c>
      <c r="CJ820">
        <v>1</v>
      </c>
      <c r="CK820">
        <v>22</v>
      </c>
      <c r="CL820" t="s">
        <v>89</v>
      </c>
    </row>
    <row r="821" spans="1:90">
      <c r="A821" t="s">
        <v>72</v>
      </c>
      <c r="B821" t="s">
        <v>73</v>
      </c>
      <c r="C821" t="s">
        <v>74</v>
      </c>
      <c r="E821" t="str">
        <f>"FES1162727553"</f>
        <v>FES1162727553</v>
      </c>
      <c r="F821" s="3">
        <v>43809</v>
      </c>
      <c r="G821">
        <v>202006</v>
      </c>
      <c r="H821" t="s">
        <v>75</v>
      </c>
      <c r="I821" t="s">
        <v>76</v>
      </c>
      <c r="J821" t="s">
        <v>77</v>
      </c>
      <c r="K821" t="s">
        <v>78</v>
      </c>
      <c r="L821" t="s">
        <v>714</v>
      </c>
      <c r="M821" t="s">
        <v>715</v>
      </c>
      <c r="N821" t="s">
        <v>1015</v>
      </c>
      <c r="O821" t="s">
        <v>82</v>
      </c>
      <c r="P821" t="str">
        <f>"1162721028                    "</f>
        <v xml:space="preserve">1162721028                    </v>
      </c>
      <c r="Q821">
        <v>0</v>
      </c>
      <c r="R821">
        <v>0</v>
      </c>
      <c r="S821">
        <v>0</v>
      </c>
      <c r="T821">
        <v>0</v>
      </c>
      <c r="U821">
        <v>0</v>
      </c>
      <c r="V821">
        <v>0</v>
      </c>
      <c r="W821">
        <v>0</v>
      </c>
      <c r="X821">
        <v>0</v>
      </c>
      <c r="Y821">
        <v>0</v>
      </c>
      <c r="Z821">
        <v>0</v>
      </c>
      <c r="AA821">
        <v>0</v>
      </c>
      <c r="AB821">
        <v>0</v>
      </c>
      <c r="AC821">
        <v>0</v>
      </c>
      <c r="AD821">
        <v>0</v>
      </c>
      <c r="AE821">
        <v>0</v>
      </c>
      <c r="AF821">
        <v>0</v>
      </c>
      <c r="AG821">
        <v>0</v>
      </c>
      <c r="AH821">
        <v>0</v>
      </c>
      <c r="AI821">
        <v>0</v>
      </c>
      <c r="AJ821">
        <v>0</v>
      </c>
      <c r="AK821">
        <v>0</v>
      </c>
      <c r="AL821">
        <v>0</v>
      </c>
      <c r="AM821">
        <v>6.71</v>
      </c>
      <c r="AN821">
        <v>0</v>
      </c>
      <c r="AO821">
        <v>0</v>
      </c>
      <c r="AP821">
        <v>0</v>
      </c>
      <c r="AQ821">
        <v>0</v>
      </c>
      <c r="AR821">
        <v>0</v>
      </c>
      <c r="AS821">
        <v>0</v>
      </c>
      <c r="AT821">
        <v>0</v>
      </c>
      <c r="AU821">
        <v>0</v>
      </c>
      <c r="AV821">
        <v>0</v>
      </c>
      <c r="AW821">
        <v>0</v>
      </c>
      <c r="AX821">
        <v>0</v>
      </c>
      <c r="AY821">
        <v>0</v>
      </c>
      <c r="AZ821">
        <v>0</v>
      </c>
      <c r="BA821">
        <v>0</v>
      </c>
      <c r="BB821">
        <v>0</v>
      </c>
      <c r="BC821">
        <v>0</v>
      </c>
      <c r="BD821">
        <v>0</v>
      </c>
      <c r="BE821">
        <v>0</v>
      </c>
      <c r="BF821">
        <v>0</v>
      </c>
      <c r="BG821">
        <v>0</v>
      </c>
      <c r="BH821">
        <v>1</v>
      </c>
      <c r="BI821">
        <v>1</v>
      </c>
      <c r="BJ821">
        <v>0.2</v>
      </c>
      <c r="BK821">
        <v>1</v>
      </c>
      <c r="BL821" s="4">
        <v>39.42</v>
      </c>
      <c r="BM821" s="4">
        <v>5.91</v>
      </c>
      <c r="BN821" s="4">
        <v>45.33</v>
      </c>
      <c r="BO821" s="4">
        <v>45.33</v>
      </c>
      <c r="BQ821" t="s">
        <v>1016</v>
      </c>
      <c r="BR821" t="s">
        <v>84</v>
      </c>
      <c r="BS821" s="3">
        <v>43810</v>
      </c>
      <c r="BT821" s="5">
        <v>0.40277777777777773</v>
      </c>
      <c r="BU821" t="s">
        <v>1349</v>
      </c>
      <c r="BV821" t="s">
        <v>86</v>
      </c>
      <c r="BY821">
        <v>1200</v>
      </c>
      <c r="CA821" t="s">
        <v>1350</v>
      </c>
      <c r="CC821" t="s">
        <v>715</v>
      </c>
      <c r="CD821">
        <v>1559</v>
      </c>
      <c r="CE821" t="s">
        <v>88</v>
      </c>
      <c r="CF821" s="3">
        <v>43811</v>
      </c>
      <c r="CI821">
        <v>1</v>
      </c>
      <c r="CJ821">
        <v>1</v>
      </c>
      <c r="CK821">
        <v>22</v>
      </c>
      <c r="CL821" t="s">
        <v>89</v>
      </c>
    </row>
    <row r="822" spans="1:90">
      <c r="A822" t="s">
        <v>72</v>
      </c>
      <c r="B822" t="s">
        <v>73</v>
      </c>
      <c r="C822" t="s">
        <v>74</v>
      </c>
      <c r="E822" t="str">
        <f>"FES1162727512"</f>
        <v>FES1162727512</v>
      </c>
      <c r="F822" s="3">
        <v>43809</v>
      </c>
      <c r="G822">
        <v>202006</v>
      </c>
      <c r="H822" t="s">
        <v>75</v>
      </c>
      <c r="I822" t="s">
        <v>76</v>
      </c>
      <c r="J822" t="s">
        <v>77</v>
      </c>
      <c r="K822" t="s">
        <v>78</v>
      </c>
      <c r="L822" t="s">
        <v>117</v>
      </c>
      <c r="M822" t="s">
        <v>118</v>
      </c>
      <c r="N822" t="s">
        <v>1351</v>
      </c>
      <c r="O822" t="s">
        <v>82</v>
      </c>
      <c r="P822" t="str">
        <f>"21707120307                   "</f>
        <v xml:space="preserve">21707120307                   </v>
      </c>
      <c r="Q822">
        <v>0</v>
      </c>
      <c r="R822">
        <v>0</v>
      </c>
      <c r="S822">
        <v>0</v>
      </c>
      <c r="T822">
        <v>0</v>
      </c>
      <c r="U822">
        <v>0</v>
      </c>
      <c r="V822">
        <v>0</v>
      </c>
      <c r="W822">
        <v>0</v>
      </c>
      <c r="X822">
        <v>0</v>
      </c>
      <c r="Y822">
        <v>0</v>
      </c>
      <c r="Z822">
        <v>0</v>
      </c>
      <c r="AA822">
        <v>0</v>
      </c>
      <c r="AB822">
        <v>0</v>
      </c>
      <c r="AC822">
        <v>0</v>
      </c>
      <c r="AD822">
        <v>0</v>
      </c>
      <c r="AE822">
        <v>0</v>
      </c>
      <c r="AF822">
        <v>0</v>
      </c>
      <c r="AG822">
        <v>0</v>
      </c>
      <c r="AH822">
        <v>0</v>
      </c>
      <c r="AI822">
        <v>0</v>
      </c>
      <c r="AJ822">
        <v>0</v>
      </c>
      <c r="AK822">
        <v>0</v>
      </c>
      <c r="AL822">
        <v>0</v>
      </c>
      <c r="AM822">
        <v>6.71</v>
      </c>
      <c r="AN822">
        <v>0</v>
      </c>
      <c r="AO822">
        <v>0</v>
      </c>
      <c r="AP822">
        <v>0</v>
      </c>
      <c r="AQ822">
        <v>0</v>
      </c>
      <c r="AR822">
        <v>0</v>
      </c>
      <c r="AS822">
        <v>0</v>
      </c>
      <c r="AT822">
        <v>0</v>
      </c>
      <c r="AU822">
        <v>0</v>
      </c>
      <c r="AV822">
        <v>0</v>
      </c>
      <c r="AW822">
        <v>0</v>
      </c>
      <c r="AX822">
        <v>0</v>
      </c>
      <c r="AY822">
        <v>0</v>
      </c>
      <c r="AZ822">
        <v>0</v>
      </c>
      <c r="BA822">
        <v>0</v>
      </c>
      <c r="BB822">
        <v>0</v>
      </c>
      <c r="BC822">
        <v>0</v>
      </c>
      <c r="BD822">
        <v>0</v>
      </c>
      <c r="BE822">
        <v>0</v>
      </c>
      <c r="BF822">
        <v>0</v>
      </c>
      <c r="BG822">
        <v>0</v>
      </c>
      <c r="BH822">
        <v>1</v>
      </c>
      <c r="BI822">
        <v>1</v>
      </c>
      <c r="BJ822">
        <v>0.2</v>
      </c>
      <c r="BK822">
        <v>1</v>
      </c>
      <c r="BL822" s="4">
        <v>39.42</v>
      </c>
      <c r="BM822" s="4">
        <v>5.91</v>
      </c>
      <c r="BN822" s="4">
        <v>45.33</v>
      </c>
      <c r="BO822" s="4">
        <v>45.33</v>
      </c>
      <c r="BR822" t="s">
        <v>84</v>
      </c>
      <c r="BS822" s="3">
        <v>43810</v>
      </c>
      <c r="BT822" s="5">
        <v>0.41319444444444442</v>
      </c>
      <c r="BU822" t="s">
        <v>1352</v>
      </c>
      <c r="BV822" t="s">
        <v>86</v>
      </c>
      <c r="BY822">
        <v>1200</v>
      </c>
      <c r="CA822" t="s">
        <v>905</v>
      </c>
      <c r="CC822" t="s">
        <v>118</v>
      </c>
      <c r="CD822">
        <v>1540</v>
      </c>
      <c r="CE822" t="s">
        <v>88</v>
      </c>
      <c r="CF822" s="3">
        <v>43811</v>
      </c>
      <c r="CI822">
        <v>1</v>
      </c>
      <c r="CJ822">
        <v>1</v>
      </c>
      <c r="CK822">
        <v>22</v>
      </c>
      <c r="CL822" t="s">
        <v>89</v>
      </c>
    </row>
    <row r="823" spans="1:90">
      <c r="A823" t="s">
        <v>72</v>
      </c>
      <c r="B823" t="s">
        <v>73</v>
      </c>
      <c r="C823" t="s">
        <v>74</v>
      </c>
      <c r="E823" t="str">
        <f>"FES1162727449"</f>
        <v>FES1162727449</v>
      </c>
      <c r="F823" s="3">
        <v>43809</v>
      </c>
      <c r="G823">
        <v>202006</v>
      </c>
      <c r="H823" t="s">
        <v>75</v>
      </c>
      <c r="I823" t="s">
        <v>76</v>
      </c>
      <c r="J823" t="s">
        <v>77</v>
      </c>
      <c r="K823" t="s">
        <v>78</v>
      </c>
      <c r="L823" t="s">
        <v>564</v>
      </c>
      <c r="M823" t="s">
        <v>565</v>
      </c>
      <c r="N823" t="s">
        <v>566</v>
      </c>
      <c r="O823" t="s">
        <v>82</v>
      </c>
      <c r="P823" t="str">
        <f>"2170710414                    "</f>
        <v xml:space="preserve">2170710414                    </v>
      </c>
      <c r="Q823">
        <v>0</v>
      </c>
      <c r="R823">
        <v>0</v>
      </c>
      <c r="S823">
        <v>0</v>
      </c>
      <c r="T823">
        <v>0</v>
      </c>
      <c r="U823">
        <v>0</v>
      </c>
      <c r="V823">
        <v>0</v>
      </c>
      <c r="W823">
        <v>0</v>
      </c>
      <c r="X823">
        <v>0</v>
      </c>
      <c r="Y823">
        <v>0</v>
      </c>
      <c r="Z823">
        <v>0</v>
      </c>
      <c r="AA823">
        <v>0</v>
      </c>
      <c r="AB823">
        <v>0</v>
      </c>
      <c r="AC823">
        <v>0</v>
      </c>
      <c r="AD823">
        <v>0</v>
      </c>
      <c r="AE823">
        <v>0</v>
      </c>
      <c r="AF823">
        <v>0</v>
      </c>
      <c r="AG823">
        <v>0</v>
      </c>
      <c r="AH823">
        <v>0</v>
      </c>
      <c r="AI823">
        <v>0</v>
      </c>
      <c r="AJ823">
        <v>0</v>
      </c>
      <c r="AK823">
        <v>0</v>
      </c>
      <c r="AL823">
        <v>0</v>
      </c>
      <c r="AM823">
        <v>24.14</v>
      </c>
      <c r="AN823">
        <v>0</v>
      </c>
      <c r="AO823">
        <v>0</v>
      </c>
      <c r="AP823">
        <v>0</v>
      </c>
      <c r="AQ823">
        <v>0</v>
      </c>
      <c r="AR823">
        <v>0</v>
      </c>
      <c r="AS823">
        <v>0</v>
      </c>
      <c r="AT823">
        <v>0</v>
      </c>
      <c r="AU823">
        <v>0</v>
      </c>
      <c r="AV823">
        <v>0</v>
      </c>
      <c r="AW823">
        <v>0</v>
      </c>
      <c r="AX823">
        <v>0</v>
      </c>
      <c r="AY823">
        <v>0</v>
      </c>
      <c r="AZ823">
        <v>0</v>
      </c>
      <c r="BA823">
        <v>0</v>
      </c>
      <c r="BB823">
        <v>0</v>
      </c>
      <c r="BC823">
        <v>0</v>
      </c>
      <c r="BD823">
        <v>0</v>
      </c>
      <c r="BE823">
        <v>0</v>
      </c>
      <c r="BF823">
        <v>0</v>
      </c>
      <c r="BG823">
        <v>0</v>
      </c>
      <c r="BH823">
        <v>1</v>
      </c>
      <c r="BI823">
        <v>2.8</v>
      </c>
      <c r="BJ823">
        <v>1</v>
      </c>
      <c r="BK823">
        <v>3</v>
      </c>
      <c r="BL823" s="4">
        <v>141.9</v>
      </c>
      <c r="BM823" s="4">
        <v>21.29</v>
      </c>
      <c r="BN823" s="4">
        <v>163.19</v>
      </c>
      <c r="BO823" s="4">
        <v>163.19</v>
      </c>
      <c r="BQ823" t="s">
        <v>135</v>
      </c>
      <c r="BR823" t="s">
        <v>84</v>
      </c>
      <c r="BS823" s="3">
        <v>43810</v>
      </c>
      <c r="BT823" s="5">
        <v>0.75138888888888899</v>
      </c>
      <c r="BU823" t="s">
        <v>1353</v>
      </c>
      <c r="BV823" t="s">
        <v>89</v>
      </c>
      <c r="BW823" t="s">
        <v>149</v>
      </c>
      <c r="BX823" t="s">
        <v>1354</v>
      </c>
      <c r="BY823">
        <v>4768.18</v>
      </c>
      <c r="CA823" t="s">
        <v>569</v>
      </c>
      <c r="CC823" t="s">
        <v>565</v>
      </c>
      <c r="CD823">
        <v>4276</v>
      </c>
      <c r="CE823" t="s">
        <v>116</v>
      </c>
      <c r="CF823" s="3">
        <v>43812</v>
      </c>
      <c r="CI823">
        <v>1</v>
      </c>
      <c r="CJ823">
        <v>1</v>
      </c>
      <c r="CK823">
        <v>23</v>
      </c>
      <c r="CL823" t="s">
        <v>89</v>
      </c>
    </row>
    <row r="824" spans="1:90">
      <c r="A824" t="s">
        <v>72</v>
      </c>
      <c r="B824" t="s">
        <v>73</v>
      </c>
      <c r="C824" t="s">
        <v>74</v>
      </c>
      <c r="E824" t="str">
        <f>"FES1162727435"</f>
        <v>FES1162727435</v>
      </c>
      <c r="F824" s="3">
        <v>43809</v>
      </c>
      <c r="G824">
        <v>202006</v>
      </c>
      <c r="H824" t="s">
        <v>75</v>
      </c>
      <c r="I824" t="s">
        <v>76</v>
      </c>
      <c r="J824" t="s">
        <v>77</v>
      </c>
      <c r="K824" t="s">
        <v>78</v>
      </c>
      <c r="L824" t="s">
        <v>860</v>
      </c>
      <c r="M824" t="s">
        <v>861</v>
      </c>
      <c r="N824" t="s">
        <v>862</v>
      </c>
      <c r="O824" t="s">
        <v>82</v>
      </c>
      <c r="P824" t="str">
        <f>"21707120925                   "</f>
        <v xml:space="preserve">21707120925                   </v>
      </c>
      <c r="Q824">
        <v>0</v>
      </c>
      <c r="R824">
        <v>0</v>
      </c>
      <c r="S824">
        <v>0</v>
      </c>
      <c r="T824">
        <v>0</v>
      </c>
      <c r="U824">
        <v>0</v>
      </c>
      <c r="V824">
        <v>0</v>
      </c>
      <c r="W824">
        <v>0</v>
      </c>
      <c r="X824">
        <v>0</v>
      </c>
      <c r="Y824">
        <v>0</v>
      </c>
      <c r="Z824">
        <v>0</v>
      </c>
      <c r="AA824">
        <v>0</v>
      </c>
      <c r="AB824">
        <v>0</v>
      </c>
      <c r="AC824">
        <v>0</v>
      </c>
      <c r="AD824">
        <v>0</v>
      </c>
      <c r="AE824">
        <v>0</v>
      </c>
      <c r="AF824">
        <v>0</v>
      </c>
      <c r="AG824">
        <v>0</v>
      </c>
      <c r="AH824">
        <v>0</v>
      </c>
      <c r="AI824">
        <v>0</v>
      </c>
      <c r="AJ824">
        <v>0</v>
      </c>
      <c r="AK824">
        <v>0</v>
      </c>
      <c r="AL824">
        <v>0</v>
      </c>
      <c r="AM824">
        <v>6.71</v>
      </c>
      <c r="AN824">
        <v>0</v>
      </c>
      <c r="AO824">
        <v>0</v>
      </c>
      <c r="AP824">
        <v>0</v>
      </c>
      <c r="AQ824">
        <v>0</v>
      </c>
      <c r="AR824">
        <v>0</v>
      </c>
      <c r="AS824">
        <v>0</v>
      </c>
      <c r="AT824">
        <v>0</v>
      </c>
      <c r="AU824">
        <v>0</v>
      </c>
      <c r="AV824">
        <v>0</v>
      </c>
      <c r="AW824">
        <v>0</v>
      </c>
      <c r="AX824">
        <v>0</v>
      </c>
      <c r="AY824">
        <v>0</v>
      </c>
      <c r="AZ824">
        <v>0</v>
      </c>
      <c r="BA824">
        <v>0</v>
      </c>
      <c r="BB824">
        <v>0</v>
      </c>
      <c r="BC824">
        <v>0</v>
      </c>
      <c r="BD824">
        <v>0</v>
      </c>
      <c r="BE824">
        <v>0</v>
      </c>
      <c r="BF824">
        <v>0</v>
      </c>
      <c r="BG824">
        <v>0</v>
      </c>
      <c r="BH824">
        <v>1</v>
      </c>
      <c r="BI824">
        <v>1</v>
      </c>
      <c r="BJ824">
        <v>0.2</v>
      </c>
      <c r="BK824">
        <v>1</v>
      </c>
      <c r="BL824" s="4">
        <v>39.42</v>
      </c>
      <c r="BM824" s="4">
        <v>5.91</v>
      </c>
      <c r="BN824" s="4">
        <v>45.33</v>
      </c>
      <c r="BO824" s="4">
        <v>45.33</v>
      </c>
      <c r="BQ824" t="s">
        <v>93</v>
      </c>
      <c r="BR824" t="s">
        <v>84</v>
      </c>
      <c r="BS824" s="3">
        <v>43810</v>
      </c>
      <c r="BT824" s="5">
        <v>0.33333333333333331</v>
      </c>
      <c r="BU824" t="s">
        <v>313</v>
      </c>
      <c r="BV824" t="s">
        <v>86</v>
      </c>
      <c r="BY824">
        <v>1200</v>
      </c>
      <c r="CC824" t="s">
        <v>861</v>
      </c>
      <c r="CD824">
        <v>2162</v>
      </c>
      <c r="CE824" t="s">
        <v>88</v>
      </c>
      <c r="CF824" s="3">
        <v>43811</v>
      </c>
      <c r="CI824">
        <v>1</v>
      </c>
      <c r="CJ824">
        <v>1</v>
      </c>
      <c r="CK824">
        <v>22</v>
      </c>
      <c r="CL824" t="s">
        <v>89</v>
      </c>
    </row>
    <row r="825" spans="1:90">
      <c r="A825" t="s">
        <v>72</v>
      </c>
      <c r="B825" t="s">
        <v>73</v>
      </c>
      <c r="C825" t="s">
        <v>74</v>
      </c>
      <c r="E825" t="str">
        <f>"FES1162727554"</f>
        <v>FES1162727554</v>
      </c>
      <c r="F825" s="3">
        <v>43809</v>
      </c>
      <c r="G825">
        <v>202006</v>
      </c>
      <c r="H825" t="s">
        <v>75</v>
      </c>
      <c r="I825" t="s">
        <v>76</v>
      </c>
      <c r="J825" t="s">
        <v>77</v>
      </c>
      <c r="K825" t="s">
        <v>78</v>
      </c>
      <c r="L825" t="s">
        <v>151</v>
      </c>
      <c r="M825" t="s">
        <v>102</v>
      </c>
      <c r="N825" t="s">
        <v>1355</v>
      </c>
      <c r="O825" t="s">
        <v>82</v>
      </c>
      <c r="P825" t="str">
        <f>"2170712030                    "</f>
        <v xml:space="preserve">2170712030                    </v>
      </c>
      <c r="Q825">
        <v>0</v>
      </c>
      <c r="R825">
        <v>0</v>
      </c>
      <c r="S825">
        <v>0</v>
      </c>
      <c r="T825">
        <v>0</v>
      </c>
      <c r="U825">
        <v>0</v>
      </c>
      <c r="V825">
        <v>0</v>
      </c>
      <c r="W825">
        <v>0</v>
      </c>
      <c r="X825">
        <v>0</v>
      </c>
      <c r="Y825">
        <v>0</v>
      </c>
      <c r="Z825">
        <v>0</v>
      </c>
      <c r="AA825">
        <v>0</v>
      </c>
      <c r="AB825">
        <v>0</v>
      </c>
      <c r="AC825">
        <v>0</v>
      </c>
      <c r="AD825">
        <v>0</v>
      </c>
      <c r="AE825">
        <v>0</v>
      </c>
      <c r="AF825">
        <v>0</v>
      </c>
      <c r="AG825">
        <v>0</v>
      </c>
      <c r="AH825">
        <v>0</v>
      </c>
      <c r="AI825">
        <v>0</v>
      </c>
      <c r="AJ825">
        <v>0</v>
      </c>
      <c r="AK825">
        <v>0</v>
      </c>
      <c r="AL825">
        <v>0</v>
      </c>
      <c r="AM825">
        <v>8.58</v>
      </c>
      <c r="AN825">
        <v>0</v>
      </c>
      <c r="AO825">
        <v>0</v>
      </c>
      <c r="AP825">
        <v>0</v>
      </c>
      <c r="AQ825">
        <v>0</v>
      </c>
      <c r="AR825">
        <v>0</v>
      </c>
      <c r="AS825">
        <v>0</v>
      </c>
      <c r="AT825">
        <v>0</v>
      </c>
      <c r="AU825">
        <v>0</v>
      </c>
      <c r="AV825">
        <v>0</v>
      </c>
      <c r="AW825">
        <v>0</v>
      </c>
      <c r="AX825">
        <v>0</v>
      </c>
      <c r="AY825">
        <v>0</v>
      </c>
      <c r="AZ825">
        <v>0</v>
      </c>
      <c r="BA825">
        <v>0</v>
      </c>
      <c r="BB825">
        <v>0</v>
      </c>
      <c r="BC825">
        <v>0</v>
      </c>
      <c r="BD825">
        <v>0</v>
      </c>
      <c r="BE825">
        <v>0</v>
      </c>
      <c r="BF825">
        <v>0</v>
      </c>
      <c r="BG825">
        <v>0</v>
      </c>
      <c r="BH825">
        <v>1</v>
      </c>
      <c r="BI825">
        <v>1</v>
      </c>
      <c r="BJ825">
        <v>0.2</v>
      </c>
      <c r="BK825">
        <v>1</v>
      </c>
      <c r="BL825" s="4">
        <v>50.45</v>
      </c>
      <c r="BM825" s="4">
        <v>7.57</v>
      </c>
      <c r="BN825" s="4">
        <v>58.02</v>
      </c>
      <c r="BO825" s="4">
        <v>58.02</v>
      </c>
      <c r="BR825" t="s">
        <v>84</v>
      </c>
      <c r="BS825" s="3">
        <v>43810</v>
      </c>
      <c r="BT825" s="5">
        <v>0.4236111111111111</v>
      </c>
      <c r="BU825" t="s">
        <v>1356</v>
      </c>
      <c r="BV825" t="s">
        <v>86</v>
      </c>
      <c r="BY825">
        <v>1200</v>
      </c>
      <c r="CA825" t="s">
        <v>1357</v>
      </c>
      <c r="CC825" t="s">
        <v>102</v>
      </c>
      <c r="CD825">
        <v>200</v>
      </c>
      <c r="CE825" t="s">
        <v>88</v>
      </c>
      <c r="CF825" s="3">
        <v>43811</v>
      </c>
      <c r="CI825">
        <v>1</v>
      </c>
      <c r="CJ825">
        <v>1</v>
      </c>
      <c r="CK825">
        <v>21</v>
      </c>
      <c r="CL825" t="s">
        <v>89</v>
      </c>
    </row>
    <row r="826" spans="1:90">
      <c r="A826" t="s">
        <v>72</v>
      </c>
      <c r="B826" t="s">
        <v>73</v>
      </c>
      <c r="C826" t="s">
        <v>74</v>
      </c>
      <c r="E826" t="str">
        <f>"FES1162727504"</f>
        <v>FES1162727504</v>
      </c>
      <c r="F826" s="3">
        <v>43809</v>
      </c>
      <c r="G826">
        <v>202006</v>
      </c>
      <c r="H826" t="s">
        <v>75</v>
      </c>
      <c r="I826" t="s">
        <v>76</v>
      </c>
      <c r="J826" t="s">
        <v>77</v>
      </c>
      <c r="K826" t="s">
        <v>78</v>
      </c>
      <c r="L826" t="s">
        <v>332</v>
      </c>
      <c r="M826" t="s">
        <v>333</v>
      </c>
      <c r="N826" t="s">
        <v>701</v>
      </c>
      <c r="O826" t="s">
        <v>82</v>
      </c>
      <c r="P826" t="str">
        <f>"2170718365                    "</f>
        <v xml:space="preserve">2170718365                    </v>
      </c>
      <c r="Q826">
        <v>0</v>
      </c>
      <c r="R826">
        <v>0</v>
      </c>
      <c r="S826">
        <v>0</v>
      </c>
      <c r="T826">
        <v>0</v>
      </c>
      <c r="U826">
        <v>0</v>
      </c>
      <c r="V826">
        <v>0</v>
      </c>
      <c r="W826">
        <v>0</v>
      </c>
      <c r="X826">
        <v>0</v>
      </c>
      <c r="Y826">
        <v>0</v>
      </c>
      <c r="Z826">
        <v>0</v>
      </c>
      <c r="AA826">
        <v>0</v>
      </c>
      <c r="AB826">
        <v>0</v>
      </c>
      <c r="AC826">
        <v>0</v>
      </c>
      <c r="AD826">
        <v>0</v>
      </c>
      <c r="AE826">
        <v>0</v>
      </c>
      <c r="AF826">
        <v>0</v>
      </c>
      <c r="AG826">
        <v>0</v>
      </c>
      <c r="AH826">
        <v>0</v>
      </c>
      <c r="AI826">
        <v>0</v>
      </c>
      <c r="AJ826">
        <v>0</v>
      </c>
      <c r="AK826">
        <v>0</v>
      </c>
      <c r="AL826">
        <v>0</v>
      </c>
      <c r="AM826">
        <v>6.71</v>
      </c>
      <c r="AN826">
        <v>0</v>
      </c>
      <c r="AO826">
        <v>0</v>
      </c>
      <c r="AP826">
        <v>0</v>
      </c>
      <c r="AQ826">
        <v>0</v>
      </c>
      <c r="AR826">
        <v>0</v>
      </c>
      <c r="AS826">
        <v>0</v>
      </c>
      <c r="AT826">
        <v>0</v>
      </c>
      <c r="AU826">
        <v>0</v>
      </c>
      <c r="AV826">
        <v>0</v>
      </c>
      <c r="AW826">
        <v>0</v>
      </c>
      <c r="AX826">
        <v>0</v>
      </c>
      <c r="AY826">
        <v>0</v>
      </c>
      <c r="AZ826">
        <v>0</v>
      </c>
      <c r="BA826">
        <v>0</v>
      </c>
      <c r="BB826">
        <v>0</v>
      </c>
      <c r="BC826">
        <v>0</v>
      </c>
      <c r="BD826">
        <v>0</v>
      </c>
      <c r="BE826">
        <v>0</v>
      </c>
      <c r="BF826">
        <v>0</v>
      </c>
      <c r="BG826">
        <v>0</v>
      </c>
      <c r="BH826">
        <v>1</v>
      </c>
      <c r="BI826">
        <v>0.8</v>
      </c>
      <c r="BJ826">
        <v>1.7</v>
      </c>
      <c r="BK826">
        <v>2</v>
      </c>
      <c r="BL826" s="4">
        <v>39.42</v>
      </c>
      <c r="BM826" s="4">
        <v>5.91</v>
      </c>
      <c r="BN826" s="4">
        <v>45.33</v>
      </c>
      <c r="BO826" s="4">
        <v>45.33</v>
      </c>
      <c r="BQ826" t="s">
        <v>93</v>
      </c>
      <c r="BR826" t="s">
        <v>84</v>
      </c>
      <c r="BS826" s="3">
        <v>43810</v>
      </c>
      <c r="BT826" s="5">
        <v>0.40069444444444446</v>
      </c>
      <c r="BU826" t="s">
        <v>1358</v>
      </c>
      <c r="BV826" t="s">
        <v>86</v>
      </c>
      <c r="BY826">
        <v>8433.18</v>
      </c>
      <c r="CC826" t="s">
        <v>333</v>
      </c>
      <c r="CD826">
        <v>2094</v>
      </c>
      <c r="CE826" t="s">
        <v>96</v>
      </c>
      <c r="CF826" s="3">
        <v>43811</v>
      </c>
      <c r="CI826">
        <v>1</v>
      </c>
      <c r="CJ826">
        <v>1</v>
      </c>
      <c r="CK826">
        <v>22</v>
      </c>
      <c r="CL826" t="s">
        <v>89</v>
      </c>
    </row>
    <row r="827" spans="1:90">
      <c r="A827" t="s">
        <v>72</v>
      </c>
      <c r="B827" t="s">
        <v>73</v>
      </c>
      <c r="C827" t="s">
        <v>74</v>
      </c>
      <c r="E827" t="str">
        <f>"FES1162727420"</f>
        <v>FES1162727420</v>
      </c>
      <c r="F827" s="3">
        <v>43808</v>
      </c>
      <c r="G827">
        <v>202006</v>
      </c>
      <c r="H827" t="s">
        <v>75</v>
      </c>
      <c r="I827" t="s">
        <v>76</v>
      </c>
      <c r="J827" t="s">
        <v>77</v>
      </c>
      <c r="K827" t="s">
        <v>78</v>
      </c>
      <c r="L827" t="s">
        <v>198</v>
      </c>
      <c r="M827" t="s">
        <v>199</v>
      </c>
      <c r="N827" t="s">
        <v>424</v>
      </c>
      <c r="O827" t="s">
        <v>82</v>
      </c>
      <c r="P827" t="str">
        <f>"21707120911                   "</f>
        <v xml:space="preserve">21707120911                   </v>
      </c>
      <c r="Q827">
        <v>0</v>
      </c>
      <c r="R827">
        <v>0</v>
      </c>
      <c r="S827">
        <v>0</v>
      </c>
      <c r="T827">
        <v>0</v>
      </c>
      <c r="U827">
        <v>0</v>
      </c>
      <c r="V827">
        <v>0</v>
      </c>
      <c r="W827">
        <v>0</v>
      </c>
      <c r="X827">
        <v>0</v>
      </c>
      <c r="Y827">
        <v>0</v>
      </c>
      <c r="Z827">
        <v>0</v>
      </c>
      <c r="AA827">
        <v>0</v>
      </c>
      <c r="AB827">
        <v>0</v>
      </c>
      <c r="AC827">
        <v>0</v>
      </c>
      <c r="AD827">
        <v>0</v>
      </c>
      <c r="AE827">
        <v>0</v>
      </c>
      <c r="AF827">
        <v>0</v>
      </c>
      <c r="AG827">
        <v>0</v>
      </c>
      <c r="AH827">
        <v>0</v>
      </c>
      <c r="AI827">
        <v>0</v>
      </c>
      <c r="AJ827">
        <v>0</v>
      </c>
      <c r="AK827">
        <v>0</v>
      </c>
      <c r="AL827">
        <v>0</v>
      </c>
      <c r="AM827">
        <v>12.87</v>
      </c>
      <c r="AN827">
        <v>0</v>
      </c>
      <c r="AO827">
        <v>0</v>
      </c>
      <c r="AP827">
        <v>0</v>
      </c>
      <c r="AQ827">
        <v>0</v>
      </c>
      <c r="AR827">
        <v>0</v>
      </c>
      <c r="AS827">
        <v>0</v>
      </c>
      <c r="AT827">
        <v>0</v>
      </c>
      <c r="AU827">
        <v>0</v>
      </c>
      <c r="AV827">
        <v>0</v>
      </c>
      <c r="AW827">
        <v>0</v>
      </c>
      <c r="AX827">
        <v>0</v>
      </c>
      <c r="AY827">
        <v>0</v>
      </c>
      <c r="AZ827">
        <v>0</v>
      </c>
      <c r="BA827">
        <v>0</v>
      </c>
      <c r="BB827">
        <v>0</v>
      </c>
      <c r="BC827">
        <v>0</v>
      </c>
      <c r="BD827">
        <v>0</v>
      </c>
      <c r="BE827">
        <v>0</v>
      </c>
      <c r="BF827">
        <v>0</v>
      </c>
      <c r="BG827">
        <v>0</v>
      </c>
      <c r="BH827">
        <v>1</v>
      </c>
      <c r="BI827">
        <v>3</v>
      </c>
      <c r="BJ827">
        <v>1.1000000000000001</v>
      </c>
      <c r="BK827">
        <v>3</v>
      </c>
      <c r="BL827" s="4">
        <v>75.66</v>
      </c>
      <c r="BM827" s="4">
        <v>11.35</v>
      </c>
      <c r="BN827" s="4">
        <v>87.01</v>
      </c>
      <c r="BO827" s="4">
        <v>87.01</v>
      </c>
      <c r="BQ827" t="s">
        <v>147</v>
      </c>
      <c r="BR827" t="s">
        <v>84</v>
      </c>
      <c r="BS827" s="3">
        <v>43809</v>
      </c>
      <c r="BT827" s="5">
        <v>0.43194444444444446</v>
      </c>
      <c r="BU827" t="s">
        <v>1141</v>
      </c>
      <c r="BV827" t="s">
        <v>86</v>
      </c>
      <c r="BY827">
        <v>5320</v>
      </c>
      <c r="CA827" t="s">
        <v>270</v>
      </c>
      <c r="CC827" t="s">
        <v>199</v>
      </c>
      <c r="CD827">
        <v>4001</v>
      </c>
      <c r="CE827" t="s">
        <v>96</v>
      </c>
      <c r="CF827" s="3">
        <v>43810</v>
      </c>
      <c r="CI827">
        <v>1</v>
      </c>
      <c r="CJ827">
        <v>1</v>
      </c>
      <c r="CK827">
        <v>21</v>
      </c>
      <c r="CL827" t="s">
        <v>89</v>
      </c>
    </row>
    <row r="828" spans="1:90">
      <c r="A828" t="s">
        <v>72</v>
      </c>
      <c r="B828" t="s">
        <v>73</v>
      </c>
      <c r="C828" t="s">
        <v>74</v>
      </c>
      <c r="E828" t="str">
        <f>"FES1162727419"</f>
        <v>FES1162727419</v>
      </c>
      <c r="F828" s="3">
        <v>43808</v>
      </c>
      <c r="G828">
        <v>202006</v>
      </c>
      <c r="H828" t="s">
        <v>75</v>
      </c>
      <c r="I828" t="s">
        <v>76</v>
      </c>
      <c r="J828" t="s">
        <v>77</v>
      </c>
      <c r="K828" t="s">
        <v>78</v>
      </c>
      <c r="L828" t="s">
        <v>361</v>
      </c>
      <c r="M828" t="s">
        <v>362</v>
      </c>
      <c r="N828" t="s">
        <v>363</v>
      </c>
      <c r="O828" t="s">
        <v>82</v>
      </c>
      <c r="P828" t="str">
        <f>"2170720910                    "</f>
        <v xml:space="preserve">2170720910                    </v>
      </c>
      <c r="Q828">
        <v>0</v>
      </c>
      <c r="R828">
        <v>0</v>
      </c>
      <c r="S828">
        <v>0</v>
      </c>
      <c r="T828">
        <v>0</v>
      </c>
      <c r="U828">
        <v>0</v>
      </c>
      <c r="V828">
        <v>0</v>
      </c>
      <c r="W828">
        <v>0</v>
      </c>
      <c r="X828">
        <v>0</v>
      </c>
      <c r="Y828">
        <v>0</v>
      </c>
      <c r="Z828">
        <v>0</v>
      </c>
      <c r="AA828">
        <v>0</v>
      </c>
      <c r="AB828">
        <v>0</v>
      </c>
      <c r="AC828">
        <v>0</v>
      </c>
      <c r="AD828">
        <v>0</v>
      </c>
      <c r="AE828">
        <v>0</v>
      </c>
      <c r="AF828">
        <v>0</v>
      </c>
      <c r="AG828">
        <v>0</v>
      </c>
      <c r="AH828">
        <v>0</v>
      </c>
      <c r="AI828">
        <v>0</v>
      </c>
      <c r="AJ828">
        <v>0</v>
      </c>
      <c r="AK828">
        <v>0</v>
      </c>
      <c r="AL828">
        <v>0</v>
      </c>
      <c r="AM828">
        <v>8.58</v>
      </c>
      <c r="AN828">
        <v>0</v>
      </c>
      <c r="AO828">
        <v>0</v>
      </c>
      <c r="AP828">
        <v>0</v>
      </c>
      <c r="AQ828">
        <v>0</v>
      </c>
      <c r="AR828">
        <v>0</v>
      </c>
      <c r="AS828">
        <v>0</v>
      </c>
      <c r="AT828">
        <v>0</v>
      </c>
      <c r="AU828">
        <v>0</v>
      </c>
      <c r="AV828">
        <v>0</v>
      </c>
      <c r="AW828">
        <v>0</v>
      </c>
      <c r="AX828">
        <v>0</v>
      </c>
      <c r="AY828">
        <v>0</v>
      </c>
      <c r="AZ828">
        <v>0</v>
      </c>
      <c r="BA828">
        <v>0</v>
      </c>
      <c r="BB828">
        <v>0</v>
      </c>
      <c r="BC828">
        <v>0</v>
      </c>
      <c r="BD828">
        <v>0</v>
      </c>
      <c r="BE828">
        <v>0</v>
      </c>
      <c r="BF828">
        <v>0</v>
      </c>
      <c r="BG828">
        <v>0</v>
      </c>
      <c r="BH828">
        <v>1</v>
      </c>
      <c r="BI828">
        <v>1</v>
      </c>
      <c r="BJ828">
        <v>0.2</v>
      </c>
      <c r="BK828">
        <v>1</v>
      </c>
      <c r="BL828" s="4">
        <v>50.45</v>
      </c>
      <c r="BM828" s="4">
        <v>7.57</v>
      </c>
      <c r="BN828" s="4">
        <v>58.02</v>
      </c>
      <c r="BO828" s="4">
        <v>58.02</v>
      </c>
      <c r="BQ828" t="s">
        <v>93</v>
      </c>
      <c r="BR828" t="s">
        <v>84</v>
      </c>
      <c r="BS828" s="3">
        <v>43809</v>
      </c>
      <c r="BT828" s="5">
        <v>0.4291666666666667</v>
      </c>
      <c r="BU828" t="s">
        <v>364</v>
      </c>
      <c r="BV828" t="s">
        <v>86</v>
      </c>
      <c r="BY828">
        <v>1200</v>
      </c>
      <c r="CA828" t="s">
        <v>185</v>
      </c>
      <c r="CC828" t="s">
        <v>362</v>
      </c>
      <c r="CD828">
        <v>6220</v>
      </c>
      <c r="CE828" t="s">
        <v>88</v>
      </c>
      <c r="CF828" s="3">
        <v>43810</v>
      </c>
      <c r="CI828">
        <v>1</v>
      </c>
      <c r="CJ828">
        <v>1</v>
      </c>
      <c r="CK828">
        <v>21</v>
      </c>
      <c r="CL828" t="s">
        <v>89</v>
      </c>
    </row>
    <row r="829" spans="1:90">
      <c r="A829" t="s">
        <v>72</v>
      </c>
      <c r="B829" t="s">
        <v>73</v>
      </c>
      <c r="C829" t="s">
        <v>74</v>
      </c>
      <c r="E829" t="str">
        <f>"FES1162727467"</f>
        <v>FES1162727467</v>
      </c>
      <c r="F829" s="3">
        <v>43808</v>
      </c>
      <c r="G829">
        <v>202006</v>
      </c>
      <c r="H829" t="s">
        <v>75</v>
      </c>
      <c r="I829" t="s">
        <v>76</v>
      </c>
      <c r="J829" t="s">
        <v>77</v>
      </c>
      <c r="K829" t="s">
        <v>78</v>
      </c>
      <c r="L829" t="s">
        <v>90</v>
      </c>
      <c r="M829" t="s">
        <v>91</v>
      </c>
      <c r="N829" t="s">
        <v>1359</v>
      </c>
      <c r="O829" t="s">
        <v>82</v>
      </c>
      <c r="P829" t="str">
        <f>"2170720951                    "</f>
        <v xml:space="preserve">2170720951                    </v>
      </c>
      <c r="Q829">
        <v>0</v>
      </c>
      <c r="R829">
        <v>0</v>
      </c>
      <c r="S829">
        <v>0</v>
      </c>
      <c r="T829">
        <v>0</v>
      </c>
      <c r="U829">
        <v>0</v>
      </c>
      <c r="V829">
        <v>0</v>
      </c>
      <c r="W829">
        <v>0</v>
      </c>
      <c r="X829">
        <v>0</v>
      </c>
      <c r="Y829">
        <v>0</v>
      </c>
      <c r="Z829">
        <v>0</v>
      </c>
      <c r="AA829">
        <v>0</v>
      </c>
      <c r="AB829">
        <v>0</v>
      </c>
      <c r="AC829">
        <v>0</v>
      </c>
      <c r="AD829">
        <v>0</v>
      </c>
      <c r="AE829">
        <v>0</v>
      </c>
      <c r="AF829">
        <v>0</v>
      </c>
      <c r="AG829">
        <v>0</v>
      </c>
      <c r="AH829">
        <v>0</v>
      </c>
      <c r="AI829">
        <v>0</v>
      </c>
      <c r="AJ829">
        <v>0</v>
      </c>
      <c r="AK829">
        <v>0</v>
      </c>
      <c r="AL829">
        <v>0</v>
      </c>
      <c r="AM829">
        <v>8.58</v>
      </c>
      <c r="AN829">
        <v>0</v>
      </c>
      <c r="AO829">
        <v>0</v>
      </c>
      <c r="AP829">
        <v>0</v>
      </c>
      <c r="AQ829">
        <v>0</v>
      </c>
      <c r="AR829">
        <v>0</v>
      </c>
      <c r="AS829">
        <v>0</v>
      </c>
      <c r="AT829">
        <v>0</v>
      </c>
      <c r="AU829">
        <v>0</v>
      </c>
      <c r="AV829">
        <v>0</v>
      </c>
      <c r="AW829">
        <v>0</v>
      </c>
      <c r="AX829">
        <v>0</v>
      </c>
      <c r="AY829">
        <v>0</v>
      </c>
      <c r="AZ829">
        <v>0</v>
      </c>
      <c r="BA829">
        <v>0</v>
      </c>
      <c r="BB829">
        <v>0</v>
      </c>
      <c r="BC829">
        <v>0</v>
      </c>
      <c r="BD829">
        <v>0</v>
      </c>
      <c r="BE829">
        <v>0</v>
      </c>
      <c r="BF829">
        <v>0</v>
      </c>
      <c r="BG829">
        <v>0</v>
      </c>
      <c r="BH829">
        <v>1</v>
      </c>
      <c r="BI829">
        <v>1</v>
      </c>
      <c r="BJ829">
        <v>0.2</v>
      </c>
      <c r="BK829">
        <v>1</v>
      </c>
      <c r="BL829" s="4">
        <v>50.45</v>
      </c>
      <c r="BM829" s="4">
        <v>7.57</v>
      </c>
      <c r="BN829" s="4">
        <v>58.02</v>
      </c>
      <c r="BO829" s="4">
        <v>58.02</v>
      </c>
      <c r="BQ829" t="s">
        <v>93</v>
      </c>
      <c r="BR829" t="s">
        <v>84</v>
      </c>
      <c r="BS829" s="3">
        <v>43809</v>
      </c>
      <c r="BT829" s="5">
        <v>0.3576388888888889</v>
      </c>
      <c r="BU829" t="s">
        <v>1360</v>
      </c>
      <c r="BV829" t="s">
        <v>86</v>
      </c>
      <c r="BY829">
        <v>1200</v>
      </c>
      <c r="CA829" t="s">
        <v>539</v>
      </c>
      <c r="CC829" t="s">
        <v>91</v>
      </c>
      <c r="CD829">
        <v>7530</v>
      </c>
      <c r="CE829" t="s">
        <v>88</v>
      </c>
      <c r="CF829" s="3">
        <v>43810</v>
      </c>
      <c r="CI829">
        <v>1</v>
      </c>
      <c r="CJ829">
        <v>1</v>
      </c>
      <c r="CK829">
        <v>21</v>
      </c>
      <c r="CL829" t="s">
        <v>89</v>
      </c>
    </row>
    <row r="830" spans="1:90">
      <c r="A830" t="s">
        <v>72</v>
      </c>
      <c r="B830" t="s">
        <v>73</v>
      </c>
      <c r="C830" t="s">
        <v>74</v>
      </c>
      <c r="E830" t="str">
        <f>"FES1162727529"</f>
        <v>FES1162727529</v>
      </c>
      <c r="F830" s="3">
        <v>43809</v>
      </c>
      <c r="G830">
        <v>202006</v>
      </c>
      <c r="H830" t="s">
        <v>75</v>
      </c>
      <c r="I830" t="s">
        <v>76</v>
      </c>
      <c r="J830" t="s">
        <v>77</v>
      </c>
      <c r="K830" t="s">
        <v>78</v>
      </c>
      <c r="L830" t="s">
        <v>164</v>
      </c>
      <c r="M830" t="s">
        <v>165</v>
      </c>
      <c r="N830" t="s">
        <v>369</v>
      </c>
      <c r="O830" t="s">
        <v>82</v>
      </c>
      <c r="P830" t="str">
        <f>"2170712001                    "</f>
        <v xml:space="preserve">2170712001                    </v>
      </c>
      <c r="Q830">
        <v>0</v>
      </c>
      <c r="R830">
        <v>0</v>
      </c>
      <c r="S830">
        <v>0</v>
      </c>
      <c r="T830">
        <v>0</v>
      </c>
      <c r="U830">
        <v>0</v>
      </c>
      <c r="V830">
        <v>0</v>
      </c>
      <c r="W830">
        <v>0</v>
      </c>
      <c r="X830">
        <v>0</v>
      </c>
      <c r="Y830">
        <v>0</v>
      </c>
      <c r="Z830">
        <v>0</v>
      </c>
      <c r="AA830">
        <v>0</v>
      </c>
      <c r="AB830">
        <v>0</v>
      </c>
      <c r="AC830">
        <v>0</v>
      </c>
      <c r="AD830">
        <v>0</v>
      </c>
      <c r="AE830">
        <v>0</v>
      </c>
      <c r="AF830">
        <v>0</v>
      </c>
      <c r="AG830">
        <v>0</v>
      </c>
      <c r="AH830">
        <v>0</v>
      </c>
      <c r="AI830">
        <v>0</v>
      </c>
      <c r="AJ830">
        <v>0</v>
      </c>
      <c r="AK830">
        <v>0</v>
      </c>
      <c r="AL830">
        <v>0</v>
      </c>
      <c r="AM830">
        <v>32.17</v>
      </c>
      <c r="AN830">
        <v>0</v>
      </c>
      <c r="AO830">
        <v>0</v>
      </c>
      <c r="AP830">
        <v>0</v>
      </c>
      <c r="AQ830">
        <v>0</v>
      </c>
      <c r="AR830">
        <v>0</v>
      </c>
      <c r="AS830">
        <v>0</v>
      </c>
      <c r="AT830">
        <v>0</v>
      </c>
      <c r="AU830">
        <v>0</v>
      </c>
      <c r="AV830">
        <v>0</v>
      </c>
      <c r="AW830">
        <v>0</v>
      </c>
      <c r="AX830">
        <v>0</v>
      </c>
      <c r="AY830">
        <v>0</v>
      </c>
      <c r="AZ830">
        <v>0</v>
      </c>
      <c r="BA830">
        <v>0</v>
      </c>
      <c r="BB830">
        <v>0</v>
      </c>
      <c r="BC830">
        <v>0</v>
      </c>
      <c r="BD830">
        <v>0</v>
      </c>
      <c r="BE830">
        <v>0</v>
      </c>
      <c r="BF830">
        <v>0</v>
      </c>
      <c r="BG830">
        <v>0</v>
      </c>
      <c r="BH830">
        <v>1</v>
      </c>
      <c r="BI830">
        <v>7.4</v>
      </c>
      <c r="BJ830">
        <v>7.2</v>
      </c>
      <c r="BK830">
        <v>7.5</v>
      </c>
      <c r="BL830" s="4">
        <v>189.1</v>
      </c>
      <c r="BM830" s="4">
        <v>28.37</v>
      </c>
      <c r="BN830" s="4">
        <v>217.47</v>
      </c>
      <c r="BO830" s="4">
        <v>217.47</v>
      </c>
      <c r="BQ830" t="s">
        <v>93</v>
      </c>
      <c r="BR830" t="s">
        <v>84</v>
      </c>
      <c r="BS830" s="3">
        <v>43810</v>
      </c>
      <c r="BT830" s="5">
        <v>0.35625000000000001</v>
      </c>
      <c r="BU830" t="s">
        <v>1013</v>
      </c>
      <c r="BV830" t="s">
        <v>86</v>
      </c>
      <c r="BY830">
        <v>35796</v>
      </c>
      <c r="CA830" t="s">
        <v>1361</v>
      </c>
      <c r="CC830" t="s">
        <v>165</v>
      </c>
      <c r="CD830">
        <v>5201</v>
      </c>
      <c r="CE830" t="s">
        <v>556</v>
      </c>
      <c r="CF830" s="3">
        <v>43811</v>
      </c>
      <c r="CI830">
        <v>1</v>
      </c>
      <c r="CJ830">
        <v>1</v>
      </c>
      <c r="CK830">
        <v>21</v>
      </c>
      <c r="CL830" t="s">
        <v>89</v>
      </c>
    </row>
    <row r="831" spans="1:90">
      <c r="A831" t="s">
        <v>72</v>
      </c>
      <c r="B831" t="s">
        <v>73</v>
      </c>
      <c r="C831" t="s">
        <v>74</v>
      </c>
      <c r="E831" t="str">
        <f>"FES1162727550"</f>
        <v>FES1162727550</v>
      </c>
      <c r="F831" s="3">
        <v>43809</v>
      </c>
      <c r="G831">
        <v>202006</v>
      </c>
      <c r="H831" t="s">
        <v>75</v>
      </c>
      <c r="I831" t="s">
        <v>76</v>
      </c>
      <c r="J831" t="s">
        <v>77</v>
      </c>
      <c r="K831" t="s">
        <v>78</v>
      </c>
      <c r="L831" t="s">
        <v>151</v>
      </c>
      <c r="M831" t="s">
        <v>102</v>
      </c>
      <c r="N831" t="s">
        <v>665</v>
      </c>
      <c r="O831" t="s">
        <v>82</v>
      </c>
      <c r="P831" t="str">
        <f>"2170710986                    "</f>
        <v xml:space="preserve">2170710986                    </v>
      </c>
      <c r="Q831">
        <v>0</v>
      </c>
      <c r="R831">
        <v>0</v>
      </c>
      <c r="S831">
        <v>0</v>
      </c>
      <c r="T831">
        <v>0</v>
      </c>
      <c r="U831">
        <v>0</v>
      </c>
      <c r="V831">
        <v>0</v>
      </c>
      <c r="W831">
        <v>0</v>
      </c>
      <c r="X831">
        <v>0</v>
      </c>
      <c r="Y831">
        <v>0</v>
      </c>
      <c r="Z831">
        <v>0</v>
      </c>
      <c r="AA831">
        <v>0</v>
      </c>
      <c r="AB831">
        <v>0</v>
      </c>
      <c r="AC831">
        <v>0</v>
      </c>
      <c r="AD831">
        <v>0</v>
      </c>
      <c r="AE831">
        <v>0</v>
      </c>
      <c r="AF831">
        <v>0</v>
      </c>
      <c r="AG831">
        <v>0</v>
      </c>
      <c r="AH831">
        <v>0</v>
      </c>
      <c r="AI831">
        <v>0</v>
      </c>
      <c r="AJ831">
        <v>0</v>
      </c>
      <c r="AK831">
        <v>0</v>
      </c>
      <c r="AL831">
        <v>0</v>
      </c>
      <c r="AM831">
        <v>8.58</v>
      </c>
      <c r="AN831">
        <v>0</v>
      </c>
      <c r="AO831">
        <v>0</v>
      </c>
      <c r="AP831">
        <v>0</v>
      </c>
      <c r="AQ831">
        <v>0</v>
      </c>
      <c r="AR831">
        <v>0</v>
      </c>
      <c r="AS831">
        <v>0</v>
      </c>
      <c r="AT831">
        <v>0</v>
      </c>
      <c r="AU831">
        <v>0</v>
      </c>
      <c r="AV831">
        <v>0</v>
      </c>
      <c r="AW831">
        <v>0</v>
      </c>
      <c r="AX831">
        <v>0</v>
      </c>
      <c r="AY831">
        <v>0</v>
      </c>
      <c r="AZ831">
        <v>0</v>
      </c>
      <c r="BA831">
        <v>0</v>
      </c>
      <c r="BB831">
        <v>0</v>
      </c>
      <c r="BC831">
        <v>0</v>
      </c>
      <c r="BD831">
        <v>0</v>
      </c>
      <c r="BE831">
        <v>0</v>
      </c>
      <c r="BF831">
        <v>0</v>
      </c>
      <c r="BG831">
        <v>0</v>
      </c>
      <c r="BH831">
        <v>1</v>
      </c>
      <c r="BI831">
        <v>1</v>
      </c>
      <c r="BJ831">
        <v>0.2</v>
      </c>
      <c r="BK831">
        <v>1</v>
      </c>
      <c r="BL831" s="4">
        <v>50.45</v>
      </c>
      <c r="BM831" s="4">
        <v>7.57</v>
      </c>
      <c r="BN831" s="4">
        <v>58.02</v>
      </c>
      <c r="BO831" s="4">
        <v>58.02</v>
      </c>
      <c r="BQ831" t="s">
        <v>666</v>
      </c>
      <c r="BR831" t="s">
        <v>84</v>
      </c>
      <c r="BS831" s="3">
        <v>43810</v>
      </c>
      <c r="BT831" s="5">
        <v>0.40972222222222227</v>
      </c>
      <c r="BU831" t="s">
        <v>1362</v>
      </c>
      <c r="BV831" t="s">
        <v>86</v>
      </c>
      <c r="BY831">
        <v>1200</v>
      </c>
      <c r="CA831" t="s">
        <v>1363</v>
      </c>
      <c r="CC831" t="s">
        <v>102</v>
      </c>
      <c r="CD831">
        <v>183</v>
      </c>
      <c r="CE831" t="s">
        <v>88</v>
      </c>
      <c r="CF831" s="3">
        <v>43811</v>
      </c>
      <c r="CI831">
        <v>1</v>
      </c>
      <c r="CJ831">
        <v>1</v>
      </c>
      <c r="CK831">
        <v>21</v>
      </c>
      <c r="CL831" t="s">
        <v>89</v>
      </c>
    </row>
    <row r="832" spans="1:90">
      <c r="A832" t="s">
        <v>72</v>
      </c>
      <c r="B832" t="s">
        <v>73</v>
      </c>
      <c r="C832" t="s">
        <v>74</v>
      </c>
      <c r="E832" t="str">
        <f>"FES1162727558"</f>
        <v>FES1162727558</v>
      </c>
      <c r="F832" s="3">
        <v>43809</v>
      </c>
      <c r="G832">
        <v>202006</v>
      </c>
      <c r="H832" t="s">
        <v>75</v>
      </c>
      <c r="I832" t="s">
        <v>76</v>
      </c>
      <c r="J832" t="s">
        <v>77</v>
      </c>
      <c r="K832" t="s">
        <v>78</v>
      </c>
      <c r="L832" t="s">
        <v>75</v>
      </c>
      <c r="M832" t="s">
        <v>76</v>
      </c>
      <c r="N832" t="s">
        <v>312</v>
      </c>
      <c r="O832" t="s">
        <v>82</v>
      </c>
      <c r="P832" t="str">
        <f>"2170712038                    "</f>
        <v xml:space="preserve">2170712038                    </v>
      </c>
      <c r="Q832">
        <v>0</v>
      </c>
      <c r="R832">
        <v>0</v>
      </c>
      <c r="S832">
        <v>0</v>
      </c>
      <c r="T832">
        <v>0</v>
      </c>
      <c r="U832">
        <v>0</v>
      </c>
      <c r="V832">
        <v>0</v>
      </c>
      <c r="W832">
        <v>0</v>
      </c>
      <c r="X832">
        <v>0</v>
      </c>
      <c r="Y832">
        <v>0</v>
      </c>
      <c r="Z832">
        <v>0</v>
      </c>
      <c r="AA832">
        <v>0</v>
      </c>
      <c r="AB832">
        <v>0</v>
      </c>
      <c r="AC832">
        <v>0</v>
      </c>
      <c r="AD832">
        <v>0</v>
      </c>
      <c r="AE832">
        <v>0</v>
      </c>
      <c r="AF832">
        <v>0</v>
      </c>
      <c r="AG832">
        <v>0</v>
      </c>
      <c r="AH832">
        <v>0</v>
      </c>
      <c r="AI832">
        <v>0</v>
      </c>
      <c r="AJ832">
        <v>0</v>
      </c>
      <c r="AK832">
        <v>0</v>
      </c>
      <c r="AL832">
        <v>0</v>
      </c>
      <c r="AM832">
        <v>6.71</v>
      </c>
      <c r="AN832">
        <v>0</v>
      </c>
      <c r="AO832">
        <v>0</v>
      </c>
      <c r="AP832">
        <v>0</v>
      </c>
      <c r="AQ832">
        <v>0</v>
      </c>
      <c r="AR832">
        <v>0</v>
      </c>
      <c r="AS832">
        <v>0</v>
      </c>
      <c r="AT832">
        <v>0</v>
      </c>
      <c r="AU832">
        <v>0</v>
      </c>
      <c r="AV832">
        <v>0</v>
      </c>
      <c r="AW832">
        <v>0</v>
      </c>
      <c r="AX832">
        <v>0</v>
      </c>
      <c r="AY832">
        <v>0</v>
      </c>
      <c r="AZ832">
        <v>0</v>
      </c>
      <c r="BA832">
        <v>0</v>
      </c>
      <c r="BB832">
        <v>0</v>
      </c>
      <c r="BC832">
        <v>0</v>
      </c>
      <c r="BD832">
        <v>0</v>
      </c>
      <c r="BE832">
        <v>0</v>
      </c>
      <c r="BF832">
        <v>0</v>
      </c>
      <c r="BG832">
        <v>0</v>
      </c>
      <c r="BH832">
        <v>1</v>
      </c>
      <c r="BI832">
        <v>1</v>
      </c>
      <c r="BJ832">
        <v>0.2</v>
      </c>
      <c r="BK832">
        <v>1</v>
      </c>
      <c r="BL832" s="4">
        <v>39.42</v>
      </c>
      <c r="BM832" s="4">
        <v>5.91</v>
      </c>
      <c r="BN832" s="4">
        <v>45.33</v>
      </c>
      <c r="BO832" s="4">
        <v>45.33</v>
      </c>
      <c r="BQ832" t="s">
        <v>147</v>
      </c>
      <c r="BR832" t="s">
        <v>84</v>
      </c>
      <c r="BS832" s="3">
        <v>43810</v>
      </c>
      <c r="BT832" s="5">
        <v>0.4375</v>
      </c>
      <c r="BU832" t="s">
        <v>1154</v>
      </c>
      <c r="BV832" t="s">
        <v>86</v>
      </c>
      <c r="BY832">
        <v>1200</v>
      </c>
      <c r="CC832" t="s">
        <v>76</v>
      </c>
      <c r="CD832">
        <v>1609</v>
      </c>
      <c r="CE832" t="s">
        <v>88</v>
      </c>
      <c r="CF832" s="3">
        <v>43811</v>
      </c>
      <c r="CI832">
        <v>1</v>
      </c>
      <c r="CJ832">
        <v>1</v>
      </c>
      <c r="CK832">
        <v>22</v>
      </c>
      <c r="CL832" t="s">
        <v>89</v>
      </c>
    </row>
    <row r="833" spans="1:90">
      <c r="A833" t="s">
        <v>72</v>
      </c>
      <c r="B833" t="s">
        <v>73</v>
      </c>
      <c r="C833" t="s">
        <v>74</v>
      </c>
      <c r="E833" t="str">
        <f>"FES1162727520"</f>
        <v>FES1162727520</v>
      </c>
      <c r="F833" s="3">
        <v>43809</v>
      </c>
      <c r="G833">
        <v>202006</v>
      </c>
      <c r="H833" t="s">
        <v>75</v>
      </c>
      <c r="I833" t="s">
        <v>76</v>
      </c>
      <c r="J833" t="s">
        <v>77</v>
      </c>
      <c r="K833" t="s">
        <v>78</v>
      </c>
      <c r="L833" t="s">
        <v>221</v>
      </c>
      <c r="M833" t="s">
        <v>222</v>
      </c>
      <c r="N833" t="s">
        <v>473</v>
      </c>
      <c r="O833" t="s">
        <v>82</v>
      </c>
      <c r="P833" t="str">
        <f>"21707209+22                   "</f>
        <v xml:space="preserve">21707209+22                   </v>
      </c>
      <c r="Q833">
        <v>0</v>
      </c>
      <c r="R833">
        <v>0</v>
      </c>
      <c r="S833">
        <v>0</v>
      </c>
      <c r="T833">
        <v>0</v>
      </c>
      <c r="U833">
        <v>0</v>
      </c>
      <c r="V833">
        <v>0</v>
      </c>
      <c r="W833">
        <v>0</v>
      </c>
      <c r="X833">
        <v>0</v>
      </c>
      <c r="Y833">
        <v>0</v>
      </c>
      <c r="Z833">
        <v>0</v>
      </c>
      <c r="AA833">
        <v>0</v>
      </c>
      <c r="AB833">
        <v>0</v>
      </c>
      <c r="AC833">
        <v>0</v>
      </c>
      <c r="AD833">
        <v>0</v>
      </c>
      <c r="AE833">
        <v>0</v>
      </c>
      <c r="AF833">
        <v>0</v>
      </c>
      <c r="AG833">
        <v>0</v>
      </c>
      <c r="AH833">
        <v>0</v>
      </c>
      <c r="AI833">
        <v>0</v>
      </c>
      <c r="AJ833">
        <v>0</v>
      </c>
      <c r="AK833">
        <v>0</v>
      </c>
      <c r="AL833">
        <v>0</v>
      </c>
      <c r="AM833">
        <v>8.58</v>
      </c>
      <c r="AN833">
        <v>0</v>
      </c>
      <c r="AO833">
        <v>0</v>
      </c>
      <c r="AP833">
        <v>0</v>
      </c>
      <c r="AQ833">
        <v>0</v>
      </c>
      <c r="AR833">
        <v>0</v>
      </c>
      <c r="AS833">
        <v>0</v>
      </c>
      <c r="AT833">
        <v>0</v>
      </c>
      <c r="AU833">
        <v>0</v>
      </c>
      <c r="AV833">
        <v>0</v>
      </c>
      <c r="AW833">
        <v>0</v>
      </c>
      <c r="AX833">
        <v>0</v>
      </c>
      <c r="AY833">
        <v>0</v>
      </c>
      <c r="AZ833">
        <v>0</v>
      </c>
      <c r="BA833">
        <v>0</v>
      </c>
      <c r="BB833">
        <v>0</v>
      </c>
      <c r="BC833">
        <v>0</v>
      </c>
      <c r="BD833">
        <v>0</v>
      </c>
      <c r="BE833">
        <v>0</v>
      </c>
      <c r="BF833">
        <v>0</v>
      </c>
      <c r="BG833">
        <v>0</v>
      </c>
      <c r="BH833">
        <v>1</v>
      </c>
      <c r="BI833">
        <v>1</v>
      </c>
      <c r="BJ833">
        <v>0.2</v>
      </c>
      <c r="BK833">
        <v>1</v>
      </c>
      <c r="BL833" s="4">
        <v>50.45</v>
      </c>
      <c r="BM833" s="4">
        <v>7.57</v>
      </c>
      <c r="BN833" s="4">
        <v>58.02</v>
      </c>
      <c r="BO833" s="4">
        <v>58.02</v>
      </c>
      <c r="BQ833" t="s">
        <v>147</v>
      </c>
      <c r="BR833" t="s">
        <v>84</v>
      </c>
      <c r="BS833" s="3">
        <v>43810</v>
      </c>
      <c r="BT833" s="5">
        <v>0.43055555555555558</v>
      </c>
      <c r="BU833" t="s">
        <v>1364</v>
      </c>
      <c r="BV833" t="s">
        <v>86</v>
      </c>
      <c r="BY833">
        <v>1200</v>
      </c>
      <c r="CA833" t="s">
        <v>1365</v>
      </c>
      <c r="CC833" t="s">
        <v>222</v>
      </c>
      <c r="CD833">
        <v>3201</v>
      </c>
      <c r="CE833" t="s">
        <v>88</v>
      </c>
      <c r="CF833" s="3">
        <v>43811</v>
      </c>
      <c r="CI833">
        <v>1</v>
      </c>
      <c r="CJ833">
        <v>1</v>
      </c>
      <c r="CK833">
        <v>21</v>
      </c>
      <c r="CL833" t="s">
        <v>89</v>
      </c>
    </row>
    <row r="834" spans="1:90">
      <c r="A834" t="s">
        <v>72</v>
      </c>
      <c r="B834" t="s">
        <v>73</v>
      </c>
      <c r="C834" t="s">
        <v>74</v>
      </c>
      <c r="E834" t="str">
        <f>"FES1162727499"</f>
        <v>FES1162727499</v>
      </c>
      <c r="F834" s="3">
        <v>43809</v>
      </c>
      <c r="G834">
        <v>202006</v>
      </c>
      <c r="H834" t="s">
        <v>75</v>
      </c>
      <c r="I834" t="s">
        <v>76</v>
      </c>
      <c r="J834" t="s">
        <v>77</v>
      </c>
      <c r="K834" t="s">
        <v>78</v>
      </c>
      <c r="L834" t="s">
        <v>79</v>
      </c>
      <c r="M834" t="s">
        <v>80</v>
      </c>
      <c r="N834" t="s">
        <v>300</v>
      </c>
      <c r="O834" t="s">
        <v>82</v>
      </c>
      <c r="P834" t="str">
        <f>"2170719809                    "</f>
        <v xml:space="preserve">2170719809                    </v>
      </c>
      <c r="Q834">
        <v>0</v>
      </c>
      <c r="R834">
        <v>0</v>
      </c>
      <c r="S834">
        <v>0</v>
      </c>
      <c r="T834">
        <v>0</v>
      </c>
      <c r="U834">
        <v>0</v>
      </c>
      <c r="V834">
        <v>0</v>
      </c>
      <c r="W834">
        <v>0</v>
      </c>
      <c r="X834">
        <v>0</v>
      </c>
      <c r="Y834">
        <v>0</v>
      </c>
      <c r="Z834">
        <v>0</v>
      </c>
      <c r="AA834">
        <v>0</v>
      </c>
      <c r="AB834">
        <v>0</v>
      </c>
      <c r="AC834">
        <v>0</v>
      </c>
      <c r="AD834">
        <v>0</v>
      </c>
      <c r="AE834">
        <v>0</v>
      </c>
      <c r="AF834">
        <v>0</v>
      </c>
      <c r="AG834">
        <v>0</v>
      </c>
      <c r="AH834">
        <v>0</v>
      </c>
      <c r="AI834">
        <v>0</v>
      </c>
      <c r="AJ834">
        <v>0</v>
      </c>
      <c r="AK834">
        <v>0</v>
      </c>
      <c r="AL834">
        <v>0</v>
      </c>
      <c r="AM834">
        <v>8.58</v>
      </c>
      <c r="AN834">
        <v>0</v>
      </c>
      <c r="AO834">
        <v>0</v>
      </c>
      <c r="AP834">
        <v>0</v>
      </c>
      <c r="AQ834">
        <v>0</v>
      </c>
      <c r="AR834">
        <v>0</v>
      </c>
      <c r="AS834">
        <v>0</v>
      </c>
      <c r="AT834">
        <v>0</v>
      </c>
      <c r="AU834">
        <v>0</v>
      </c>
      <c r="AV834">
        <v>0</v>
      </c>
      <c r="AW834">
        <v>0</v>
      </c>
      <c r="AX834">
        <v>0</v>
      </c>
      <c r="AY834">
        <v>0</v>
      </c>
      <c r="AZ834">
        <v>0</v>
      </c>
      <c r="BA834">
        <v>0</v>
      </c>
      <c r="BB834">
        <v>0</v>
      </c>
      <c r="BC834">
        <v>0</v>
      </c>
      <c r="BD834">
        <v>0</v>
      </c>
      <c r="BE834">
        <v>0</v>
      </c>
      <c r="BF834">
        <v>0</v>
      </c>
      <c r="BG834">
        <v>0</v>
      </c>
      <c r="BH834">
        <v>1</v>
      </c>
      <c r="BI834">
        <v>1</v>
      </c>
      <c r="BJ834">
        <v>0.2</v>
      </c>
      <c r="BK834">
        <v>1</v>
      </c>
      <c r="BL834" s="4">
        <v>50.45</v>
      </c>
      <c r="BM834" s="4">
        <v>7.57</v>
      </c>
      <c r="BN834" s="4">
        <v>58.02</v>
      </c>
      <c r="BO834" s="4">
        <v>58.02</v>
      </c>
      <c r="BQ834" t="s">
        <v>147</v>
      </c>
      <c r="BR834" t="s">
        <v>84</v>
      </c>
      <c r="BS834" s="3">
        <v>43810</v>
      </c>
      <c r="BT834" s="5">
        <v>0.39583333333333331</v>
      </c>
      <c r="BU834" t="s">
        <v>403</v>
      </c>
      <c r="BV834" t="s">
        <v>86</v>
      </c>
      <c r="BY834">
        <v>1200</v>
      </c>
      <c r="CA834" t="s">
        <v>99</v>
      </c>
      <c r="CC834" t="s">
        <v>80</v>
      </c>
      <c r="CD834">
        <v>6001</v>
      </c>
      <c r="CE834" t="s">
        <v>88</v>
      </c>
      <c r="CF834" s="3">
        <v>43811</v>
      </c>
      <c r="CI834">
        <v>1</v>
      </c>
      <c r="CJ834">
        <v>1</v>
      </c>
      <c r="CK834">
        <v>21</v>
      </c>
      <c r="CL834" t="s">
        <v>89</v>
      </c>
    </row>
    <row r="835" spans="1:90">
      <c r="A835" t="s">
        <v>72</v>
      </c>
      <c r="B835" t="s">
        <v>73</v>
      </c>
      <c r="C835" t="s">
        <v>74</v>
      </c>
      <c r="E835" t="str">
        <f>"FES1162724891"</f>
        <v>FES1162724891</v>
      </c>
      <c r="F835" s="3">
        <v>43809</v>
      </c>
      <c r="G835">
        <v>202006</v>
      </c>
      <c r="H835" t="s">
        <v>75</v>
      </c>
      <c r="I835" t="s">
        <v>76</v>
      </c>
      <c r="J835" t="s">
        <v>77</v>
      </c>
      <c r="K835" t="s">
        <v>78</v>
      </c>
      <c r="L835" t="s">
        <v>350</v>
      </c>
      <c r="M835" t="s">
        <v>351</v>
      </c>
      <c r="N835" t="s">
        <v>727</v>
      </c>
      <c r="O835" t="s">
        <v>82</v>
      </c>
      <c r="P835" t="str">
        <f>"2177108263                    "</f>
        <v xml:space="preserve">2177108263                    </v>
      </c>
      <c r="Q835">
        <v>0</v>
      </c>
      <c r="R835">
        <v>0</v>
      </c>
      <c r="S835">
        <v>0</v>
      </c>
      <c r="T835">
        <v>0</v>
      </c>
      <c r="U835">
        <v>0</v>
      </c>
      <c r="V835">
        <v>0</v>
      </c>
      <c r="W835">
        <v>0</v>
      </c>
      <c r="X835">
        <v>0</v>
      </c>
      <c r="Y835">
        <v>0</v>
      </c>
      <c r="Z835">
        <v>0</v>
      </c>
      <c r="AA835">
        <v>0</v>
      </c>
      <c r="AB835">
        <v>0</v>
      </c>
      <c r="AC835">
        <v>0</v>
      </c>
      <c r="AD835">
        <v>0</v>
      </c>
      <c r="AE835">
        <v>0</v>
      </c>
      <c r="AF835">
        <v>0</v>
      </c>
      <c r="AG835">
        <v>0</v>
      </c>
      <c r="AH835">
        <v>0</v>
      </c>
      <c r="AI835">
        <v>0</v>
      </c>
      <c r="AJ835">
        <v>0</v>
      </c>
      <c r="AK835">
        <v>0</v>
      </c>
      <c r="AL835">
        <v>0</v>
      </c>
      <c r="AM835">
        <v>6.71</v>
      </c>
      <c r="AN835">
        <v>0</v>
      </c>
      <c r="AO835">
        <v>0</v>
      </c>
      <c r="AP835">
        <v>0</v>
      </c>
      <c r="AQ835">
        <v>0</v>
      </c>
      <c r="AR835">
        <v>0</v>
      </c>
      <c r="AS835">
        <v>0</v>
      </c>
      <c r="AT835">
        <v>0</v>
      </c>
      <c r="AU835">
        <v>0</v>
      </c>
      <c r="AV835">
        <v>0</v>
      </c>
      <c r="AW835">
        <v>0</v>
      </c>
      <c r="AX835">
        <v>0</v>
      </c>
      <c r="AY835">
        <v>0</v>
      </c>
      <c r="AZ835">
        <v>0</v>
      </c>
      <c r="BA835">
        <v>0</v>
      </c>
      <c r="BB835">
        <v>0</v>
      </c>
      <c r="BC835">
        <v>0</v>
      </c>
      <c r="BD835">
        <v>0</v>
      </c>
      <c r="BE835">
        <v>0</v>
      </c>
      <c r="BF835">
        <v>0</v>
      </c>
      <c r="BG835">
        <v>0</v>
      </c>
      <c r="BH835">
        <v>1</v>
      </c>
      <c r="BI835">
        <v>1</v>
      </c>
      <c r="BJ835">
        <v>0.2</v>
      </c>
      <c r="BK835">
        <v>1</v>
      </c>
      <c r="BL835" s="4">
        <v>39.42</v>
      </c>
      <c r="BM835" s="4">
        <v>5.91</v>
      </c>
      <c r="BN835" s="4">
        <v>45.33</v>
      </c>
      <c r="BO835" s="4">
        <v>45.33</v>
      </c>
      <c r="BQ835" t="s">
        <v>147</v>
      </c>
      <c r="BR835" t="s">
        <v>84</v>
      </c>
      <c r="BS835" s="3">
        <v>43810</v>
      </c>
      <c r="BT835" s="5">
        <v>0.29166666666666669</v>
      </c>
      <c r="BU835" t="s">
        <v>1366</v>
      </c>
      <c r="BV835" t="s">
        <v>86</v>
      </c>
      <c r="BY835">
        <v>1200</v>
      </c>
      <c r="CA835" t="s">
        <v>729</v>
      </c>
      <c r="CC835" t="s">
        <v>351</v>
      </c>
      <c r="CD835">
        <v>1501</v>
      </c>
      <c r="CE835" t="s">
        <v>88</v>
      </c>
      <c r="CF835" s="3">
        <v>43811</v>
      </c>
      <c r="CI835">
        <v>1</v>
      </c>
      <c r="CJ835">
        <v>1</v>
      </c>
      <c r="CK835">
        <v>22</v>
      </c>
      <c r="CL835" t="s">
        <v>89</v>
      </c>
    </row>
    <row r="836" spans="1:90">
      <c r="A836" t="s">
        <v>72</v>
      </c>
      <c r="B836" t="s">
        <v>73</v>
      </c>
      <c r="C836" t="s">
        <v>74</v>
      </c>
      <c r="E836" t="str">
        <f>"FES1162726675"</f>
        <v>FES1162726675</v>
      </c>
      <c r="F836" s="3">
        <v>43809</v>
      </c>
      <c r="G836">
        <v>202006</v>
      </c>
      <c r="H836" t="s">
        <v>75</v>
      </c>
      <c r="I836" t="s">
        <v>76</v>
      </c>
      <c r="J836" t="s">
        <v>77</v>
      </c>
      <c r="K836" t="s">
        <v>78</v>
      </c>
      <c r="L836" t="s">
        <v>350</v>
      </c>
      <c r="M836" t="s">
        <v>351</v>
      </c>
      <c r="N836" t="s">
        <v>727</v>
      </c>
      <c r="O836" t="s">
        <v>82</v>
      </c>
      <c r="P836" t="str">
        <f>"2170710832                    "</f>
        <v xml:space="preserve">2170710832                    </v>
      </c>
      <c r="Q836">
        <v>0</v>
      </c>
      <c r="R836">
        <v>0</v>
      </c>
      <c r="S836">
        <v>0</v>
      </c>
      <c r="T836">
        <v>0</v>
      </c>
      <c r="U836">
        <v>0</v>
      </c>
      <c r="V836">
        <v>0</v>
      </c>
      <c r="W836">
        <v>0</v>
      </c>
      <c r="X836">
        <v>0</v>
      </c>
      <c r="Y836">
        <v>0</v>
      </c>
      <c r="Z836">
        <v>0</v>
      </c>
      <c r="AA836">
        <v>0</v>
      </c>
      <c r="AB836">
        <v>0</v>
      </c>
      <c r="AC836">
        <v>0</v>
      </c>
      <c r="AD836">
        <v>0</v>
      </c>
      <c r="AE836">
        <v>0</v>
      </c>
      <c r="AF836">
        <v>0</v>
      </c>
      <c r="AG836">
        <v>0</v>
      </c>
      <c r="AH836">
        <v>0</v>
      </c>
      <c r="AI836">
        <v>0</v>
      </c>
      <c r="AJ836">
        <v>0</v>
      </c>
      <c r="AK836">
        <v>0</v>
      </c>
      <c r="AL836">
        <v>0</v>
      </c>
      <c r="AM836">
        <v>6.71</v>
      </c>
      <c r="AN836">
        <v>0</v>
      </c>
      <c r="AO836">
        <v>0</v>
      </c>
      <c r="AP836">
        <v>0</v>
      </c>
      <c r="AQ836">
        <v>0</v>
      </c>
      <c r="AR836">
        <v>0</v>
      </c>
      <c r="AS836">
        <v>0</v>
      </c>
      <c r="AT836">
        <v>0</v>
      </c>
      <c r="AU836">
        <v>0</v>
      </c>
      <c r="AV836">
        <v>0</v>
      </c>
      <c r="AW836">
        <v>0</v>
      </c>
      <c r="AX836">
        <v>0</v>
      </c>
      <c r="AY836">
        <v>0</v>
      </c>
      <c r="AZ836">
        <v>0</v>
      </c>
      <c r="BA836">
        <v>0</v>
      </c>
      <c r="BB836">
        <v>0</v>
      </c>
      <c r="BC836">
        <v>0</v>
      </c>
      <c r="BD836">
        <v>0</v>
      </c>
      <c r="BE836">
        <v>0</v>
      </c>
      <c r="BF836">
        <v>0</v>
      </c>
      <c r="BG836">
        <v>0</v>
      </c>
      <c r="BH836">
        <v>1</v>
      </c>
      <c r="BI836">
        <v>1</v>
      </c>
      <c r="BJ836">
        <v>0.2</v>
      </c>
      <c r="BK836">
        <v>1</v>
      </c>
      <c r="BL836" s="4">
        <v>39.42</v>
      </c>
      <c r="BM836" s="4">
        <v>5.91</v>
      </c>
      <c r="BN836" s="4">
        <v>45.33</v>
      </c>
      <c r="BO836" s="4">
        <v>45.33</v>
      </c>
      <c r="BQ836" t="s">
        <v>147</v>
      </c>
      <c r="BR836" t="s">
        <v>84</v>
      </c>
      <c r="BS836" s="3">
        <v>43810</v>
      </c>
      <c r="BT836" s="5">
        <v>0.29166666666666669</v>
      </c>
      <c r="BU836" t="s">
        <v>1366</v>
      </c>
      <c r="BV836" t="s">
        <v>86</v>
      </c>
      <c r="BY836">
        <v>1200</v>
      </c>
      <c r="CA836" t="s">
        <v>729</v>
      </c>
      <c r="CC836" t="s">
        <v>351</v>
      </c>
      <c r="CD836">
        <v>1501</v>
      </c>
      <c r="CE836" t="s">
        <v>88</v>
      </c>
      <c r="CF836" s="3">
        <v>43811</v>
      </c>
      <c r="CI836">
        <v>1</v>
      </c>
      <c r="CJ836">
        <v>1</v>
      </c>
      <c r="CK836">
        <v>22</v>
      </c>
      <c r="CL836" t="s">
        <v>89</v>
      </c>
    </row>
    <row r="837" spans="1:90">
      <c r="A837" t="s">
        <v>72</v>
      </c>
      <c r="B837" t="s">
        <v>73</v>
      </c>
      <c r="C837" t="s">
        <v>74</v>
      </c>
      <c r="E837" t="str">
        <f>"FES1162727456"</f>
        <v>FES1162727456</v>
      </c>
      <c r="F837" s="3">
        <v>43809</v>
      </c>
      <c r="G837">
        <v>202006</v>
      </c>
      <c r="H837" t="s">
        <v>75</v>
      </c>
      <c r="I837" t="s">
        <v>76</v>
      </c>
      <c r="J837" t="s">
        <v>77</v>
      </c>
      <c r="K837" t="s">
        <v>78</v>
      </c>
      <c r="L837" t="s">
        <v>221</v>
      </c>
      <c r="M837" t="s">
        <v>222</v>
      </c>
      <c r="N837" t="s">
        <v>236</v>
      </c>
      <c r="O837" t="s">
        <v>82</v>
      </c>
      <c r="P837" t="str">
        <f>"2170710941                    "</f>
        <v xml:space="preserve">2170710941                    </v>
      </c>
      <c r="Q837">
        <v>0</v>
      </c>
      <c r="R837">
        <v>0</v>
      </c>
      <c r="S837">
        <v>0</v>
      </c>
      <c r="T837">
        <v>0</v>
      </c>
      <c r="U837">
        <v>0</v>
      </c>
      <c r="V837">
        <v>0</v>
      </c>
      <c r="W837">
        <v>0</v>
      </c>
      <c r="X837">
        <v>0</v>
      </c>
      <c r="Y837">
        <v>0</v>
      </c>
      <c r="Z837">
        <v>0</v>
      </c>
      <c r="AA837">
        <v>0</v>
      </c>
      <c r="AB837">
        <v>0</v>
      </c>
      <c r="AC837">
        <v>0</v>
      </c>
      <c r="AD837">
        <v>0</v>
      </c>
      <c r="AE837">
        <v>0</v>
      </c>
      <c r="AF837">
        <v>0</v>
      </c>
      <c r="AG837">
        <v>0</v>
      </c>
      <c r="AH837">
        <v>0</v>
      </c>
      <c r="AI837">
        <v>0</v>
      </c>
      <c r="AJ837">
        <v>0</v>
      </c>
      <c r="AK837">
        <v>0</v>
      </c>
      <c r="AL837">
        <v>0</v>
      </c>
      <c r="AM837">
        <v>42.89</v>
      </c>
      <c r="AN837">
        <v>0</v>
      </c>
      <c r="AO837">
        <v>0</v>
      </c>
      <c r="AP837">
        <v>0</v>
      </c>
      <c r="AQ837">
        <v>0</v>
      </c>
      <c r="AR837">
        <v>0</v>
      </c>
      <c r="AS837">
        <v>0</v>
      </c>
      <c r="AT837">
        <v>0</v>
      </c>
      <c r="AU837">
        <v>0</v>
      </c>
      <c r="AV837">
        <v>0</v>
      </c>
      <c r="AW837">
        <v>0</v>
      </c>
      <c r="AX837">
        <v>0</v>
      </c>
      <c r="AY837">
        <v>0</v>
      </c>
      <c r="AZ837">
        <v>0</v>
      </c>
      <c r="BA837">
        <v>0</v>
      </c>
      <c r="BB837">
        <v>0</v>
      </c>
      <c r="BC837">
        <v>0</v>
      </c>
      <c r="BD837">
        <v>0</v>
      </c>
      <c r="BE837">
        <v>0</v>
      </c>
      <c r="BF837">
        <v>0</v>
      </c>
      <c r="BG837">
        <v>0</v>
      </c>
      <c r="BH837">
        <v>1</v>
      </c>
      <c r="BI837">
        <v>9.6</v>
      </c>
      <c r="BJ837">
        <v>6.2</v>
      </c>
      <c r="BK837">
        <v>10</v>
      </c>
      <c r="BL837" s="4">
        <v>252.12</v>
      </c>
      <c r="BM837" s="4">
        <v>37.82</v>
      </c>
      <c r="BN837" s="4">
        <v>289.94</v>
      </c>
      <c r="BO837" s="4">
        <v>289.94</v>
      </c>
      <c r="BQ837" t="s">
        <v>93</v>
      </c>
      <c r="BR837" t="s">
        <v>84</v>
      </c>
      <c r="BS837" s="3">
        <v>43810</v>
      </c>
      <c r="BT837" s="5">
        <v>0.40138888888888885</v>
      </c>
      <c r="BU837" t="s">
        <v>237</v>
      </c>
      <c r="BV837" t="s">
        <v>86</v>
      </c>
      <c r="BY837">
        <v>30790.03</v>
      </c>
      <c r="CA837" t="s">
        <v>225</v>
      </c>
      <c r="CC837" t="s">
        <v>222</v>
      </c>
      <c r="CD837">
        <v>3212</v>
      </c>
      <c r="CE837" t="s">
        <v>116</v>
      </c>
      <c r="CF837" s="3">
        <v>43811</v>
      </c>
      <c r="CI837">
        <v>1</v>
      </c>
      <c r="CJ837">
        <v>1</v>
      </c>
      <c r="CK837">
        <v>21</v>
      </c>
      <c r="CL837" t="s">
        <v>89</v>
      </c>
    </row>
    <row r="838" spans="1:90">
      <c r="A838" t="s">
        <v>72</v>
      </c>
      <c r="B838" t="s">
        <v>73</v>
      </c>
      <c r="C838" t="s">
        <v>74</v>
      </c>
      <c r="E838" t="str">
        <f>"FES1162729107"</f>
        <v>FES1162729107</v>
      </c>
      <c r="F838" s="3">
        <v>43818</v>
      </c>
      <c r="G838">
        <v>202006</v>
      </c>
      <c r="H838" t="s">
        <v>75</v>
      </c>
      <c r="I838" t="s">
        <v>76</v>
      </c>
      <c r="J838" t="s">
        <v>77</v>
      </c>
      <c r="K838" t="s">
        <v>78</v>
      </c>
      <c r="L838" t="s">
        <v>79</v>
      </c>
      <c r="M838" t="s">
        <v>80</v>
      </c>
      <c r="N838" t="s">
        <v>1101</v>
      </c>
      <c r="O838" t="s">
        <v>82</v>
      </c>
      <c r="P838" t="str">
        <f>"2170720603                    "</f>
        <v xml:space="preserve">2170720603                    </v>
      </c>
      <c r="Q838">
        <v>0</v>
      </c>
      <c r="R838">
        <v>0</v>
      </c>
      <c r="S838">
        <v>0</v>
      </c>
      <c r="T838">
        <v>0</v>
      </c>
      <c r="U838">
        <v>0</v>
      </c>
      <c r="V838">
        <v>0</v>
      </c>
      <c r="W838">
        <v>0</v>
      </c>
      <c r="X838">
        <v>0</v>
      </c>
      <c r="Y838">
        <v>0</v>
      </c>
      <c r="Z838">
        <v>0</v>
      </c>
      <c r="AA838">
        <v>0</v>
      </c>
      <c r="AB838">
        <v>0</v>
      </c>
      <c r="AC838">
        <v>0</v>
      </c>
      <c r="AD838">
        <v>0</v>
      </c>
      <c r="AE838">
        <v>0</v>
      </c>
      <c r="AF838">
        <v>0</v>
      </c>
      <c r="AG838">
        <v>0</v>
      </c>
      <c r="AH838">
        <v>0</v>
      </c>
      <c r="AI838">
        <v>0</v>
      </c>
      <c r="AJ838">
        <v>0</v>
      </c>
      <c r="AK838">
        <v>0</v>
      </c>
      <c r="AL838">
        <v>0</v>
      </c>
      <c r="AM838">
        <v>8.58</v>
      </c>
      <c r="AN838">
        <v>0</v>
      </c>
      <c r="AO838">
        <v>0</v>
      </c>
      <c r="AP838">
        <v>0</v>
      </c>
      <c r="AQ838">
        <v>0</v>
      </c>
      <c r="AR838">
        <v>0</v>
      </c>
      <c r="AS838">
        <v>0</v>
      </c>
      <c r="AT838">
        <v>0</v>
      </c>
      <c r="AU838">
        <v>0</v>
      </c>
      <c r="AV838">
        <v>0</v>
      </c>
      <c r="AW838">
        <v>0</v>
      </c>
      <c r="AX838">
        <v>0</v>
      </c>
      <c r="AY838">
        <v>0</v>
      </c>
      <c r="AZ838">
        <v>0</v>
      </c>
      <c r="BA838">
        <v>0</v>
      </c>
      <c r="BB838">
        <v>0</v>
      </c>
      <c r="BC838">
        <v>0</v>
      </c>
      <c r="BD838">
        <v>0</v>
      </c>
      <c r="BE838">
        <v>0</v>
      </c>
      <c r="BF838">
        <v>0</v>
      </c>
      <c r="BG838">
        <v>0</v>
      </c>
      <c r="BH838">
        <v>1</v>
      </c>
      <c r="BI838">
        <v>1</v>
      </c>
      <c r="BJ838">
        <v>0.2</v>
      </c>
      <c r="BK838">
        <v>1</v>
      </c>
      <c r="BL838" s="4">
        <v>50.45</v>
      </c>
      <c r="BM838" s="4">
        <v>7.57</v>
      </c>
      <c r="BN838" s="4">
        <v>58.02</v>
      </c>
      <c r="BO838" s="4">
        <v>58.02</v>
      </c>
      <c r="BQ838" t="s">
        <v>147</v>
      </c>
      <c r="BR838" t="s">
        <v>84</v>
      </c>
      <c r="BS838" s="3">
        <v>43819</v>
      </c>
      <c r="BT838" s="5">
        <v>0.39305555555555555</v>
      </c>
      <c r="BU838" t="s">
        <v>1367</v>
      </c>
      <c r="BV838" t="s">
        <v>86</v>
      </c>
      <c r="BY838">
        <v>1200</v>
      </c>
      <c r="CA838" t="s">
        <v>1225</v>
      </c>
      <c r="CC838" t="s">
        <v>80</v>
      </c>
      <c r="CD838">
        <v>6001</v>
      </c>
      <c r="CE838" t="s">
        <v>88</v>
      </c>
      <c r="CF838" s="3">
        <v>43822</v>
      </c>
      <c r="CI838">
        <v>1</v>
      </c>
      <c r="CJ838">
        <v>1</v>
      </c>
      <c r="CK838">
        <v>21</v>
      </c>
      <c r="CL838" t="s">
        <v>89</v>
      </c>
    </row>
    <row r="839" spans="1:90">
      <c r="A839" t="s">
        <v>72</v>
      </c>
      <c r="B839" t="s">
        <v>73</v>
      </c>
      <c r="C839" t="s">
        <v>74</v>
      </c>
      <c r="E839" t="str">
        <f>"FES1162727544"</f>
        <v>FES1162727544</v>
      </c>
      <c r="F839" s="3">
        <v>43809</v>
      </c>
      <c r="G839">
        <v>202006</v>
      </c>
      <c r="H839" t="s">
        <v>75</v>
      </c>
      <c r="I839" t="s">
        <v>76</v>
      </c>
      <c r="J839" t="s">
        <v>77</v>
      </c>
      <c r="K839" t="s">
        <v>78</v>
      </c>
      <c r="L839" t="s">
        <v>198</v>
      </c>
      <c r="M839" t="s">
        <v>199</v>
      </c>
      <c r="N839" t="s">
        <v>280</v>
      </c>
      <c r="O839" t="s">
        <v>82</v>
      </c>
      <c r="P839" t="str">
        <f>"2177124015                    "</f>
        <v xml:space="preserve">2177124015                    </v>
      </c>
      <c r="Q839">
        <v>0</v>
      </c>
      <c r="R839">
        <v>0</v>
      </c>
      <c r="S839">
        <v>0</v>
      </c>
      <c r="T839">
        <v>0</v>
      </c>
      <c r="U839">
        <v>0</v>
      </c>
      <c r="V839">
        <v>0</v>
      </c>
      <c r="W839">
        <v>0</v>
      </c>
      <c r="X839">
        <v>0</v>
      </c>
      <c r="Y839">
        <v>0</v>
      </c>
      <c r="Z839">
        <v>0</v>
      </c>
      <c r="AA839">
        <v>0</v>
      </c>
      <c r="AB839">
        <v>0</v>
      </c>
      <c r="AC839">
        <v>0</v>
      </c>
      <c r="AD839">
        <v>0</v>
      </c>
      <c r="AE839">
        <v>0</v>
      </c>
      <c r="AF839">
        <v>0</v>
      </c>
      <c r="AG839">
        <v>0</v>
      </c>
      <c r="AH839">
        <v>0</v>
      </c>
      <c r="AI839">
        <v>0</v>
      </c>
      <c r="AJ839">
        <v>0</v>
      </c>
      <c r="AK839">
        <v>0</v>
      </c>
      <c r="AL839">
        <v>0</v>
      </c>
      <c r="AM839">
        <v>8.58</v>
      </c>
      <c r="AN839">
        <v>0</v>
      </c>
      <c r="AO839">
        <v>0</v>
      </c>
      <c r="AP839">
        <v>0</v>
      </c>
      <c r="AQ839">
        <v>0</v>
      </c>
      <c r="AR839">
        <v>0</v>
      </c>
      <c r="AS839">
        <v>0</v>
      </c>
      <c r="AT839">
        <v>0</v>
      </c>
      <c r="AU839">
        <v>0</v>
      </c>
      <c r="AV839">
        <v>0</v>
      </c>
      <c r="AW839">
        <v>0</v>
      </c>
      <c r="AX839">
        <v>0</v>
      </c>
      <c r="AY839">
        <v>0</v>
      </c>
      <c r="AZ839">
        <v>0</v>
      </c>
      <c r="BA839">
        <v>0</v>
      </c>
      <c r="BB839">
        <v>0</v>
      </c>
      <c r="BC839">
        <v>0</v>
      </c>
      <c r="BD839">
        <v>0</v>
      </c>
      <c r="BE839">
        <v>0</v>
      </c>
      <c r="BF839">
        <v>0</v>
      </c>
      <c r="BG839">
        <v>0</v>
      </c>
      <c r="BH839">
        <v>1</v>
      </c>
      <c r="BI839">
        <v>0.5</v>
      </c>
      <c r="BJ839">
        <v>0.9</v>
      </c>
      <c r="BK839">
        <v>1</v>
      </c>
      <c r="BL839" s="4">
        <v>50.45</v>
      </c>
      <c r="BM839" s="4">
        <v>7.57</v>
      </c>
      <c r="BN839" s="4">
        <v>58.02</v>
      </c>
      <c r="BO839" s="4">
        <v>58.02</v>
      </c>
      <c r="BQ839" t="s">
        <v>147</v>
      </c>
      <c r="BR839" t="s">
        <v>84</v>
      </c>
      <c r="BS839" s="3">
        <v>43810</v>
      </c>
      <c r="BT839" s="5">
        <v>0.33680555555555558</v>
      </c>
      <c r="BU839" t="s">
        <v>1049</v>
      </c>
      <c r="BV839" t="s">
        <v>86</v>
      </c>
      <c r="BY839">
        <v>4612.03</v>
      </c>
      <c r="CA839" t="s">
        <v>281</v>
      </c>
      <c r="CC839" t="s">
        <v>199</v>
      </c>
      <c r="CD839">
        <v>4001</v>
      </c>
      <c r="CE839" t="s">
        <v>96</v>
      </c>
      <c r="CF839" s="3">
        <v>43811</v>
      </c>
      <c r="CI839">
        <v>1</v>
      </c>
      <c r="CJ839">
        <v>1</v>
      </c>
      <c r="CK839">
        <v>21</v>
      </c>
      <c r="CL839" t="s">
        <v>89</v>
      </c>
    </row>
    <row r="840" spans="1:90">
      <c r="A840" t="s">
        <v>72</v>
      </c>
      <c r="B840" t="s">
        <v>73</v>
      </c>
      <c r="C840" t="s">
        <v>74</v>
      </c>
      <c r="E840" t="str">
        <f>"FES1162726852"</f>
        <v>FES1162726852</v>
      </c>
      <c r="F840" s="3">
        <v>43803</v>
      </c>
      <c r="G840">
        <v>202006</v>
      </c>
      <c r="H840" t="s">
        <v>75</v>
      </c>
      <c r="I840" t="s">
        <v>76</v>
      </c>
      <c r="J840" t="s">
        <v>77</v>
      </c>
      <c r="K840" t="s">
        <v>78</v>
      </c>
      <c r="L840" t="s">
        <v>646</v>
      </c>
      <c r="M840" t="s">
        <v>647</v>
      </c>
      <c r="N840" t="s">
        <v>1368</v>
      </c>
      <c r="O840" t="s">
        <v>104</v>
      </c>
      <c r="P840" t="str">
        <f>"2170716075                    "</f>
        <v xml:space="preserve">2170716075                    </v>
      </c>
      <c r="Q840">
        <v>0</v>
      </c>
      <c r="R840">
        <v>0</v>
      </c>
      <c r="S840">
        <v>0</v>
      </c>
      <c r="T840">
        <v>0</v>
      </c>
      <c r="U840">
        <v>0</v>
      </c>
      <c r="V840">
        <v>0</v>
      </c>
      <c r="W840">
        <v>0</v>
      </c>
      <c r="X840">
        <v>0</v>
      </c>
      <c r="Y840">
        <v>0</v>
      </c>
      <c r="Z840">
        <v>0</v>
      </c>
      <c r="AA840">
        <v>0</v>
      </c>
      <c r="AB840">
        <v>0</v>
      </c>
      <c r="AC840">
        <v>0</v>
      </c>
      <c r="AD840">
        <v>0</v>
      </c>
      <c r="AE840">
        <v>0</v>
      </c>
      <c r="AF840">
        <v>0</v>
      </c>
      <c r="AG840">
        <v>0</v>
      </c>
      <c r="AH840">
        <v>0</v>
      </c>
      <c r="AI840">
        <v>0</v>
      </c>
      <c r="AJ840">
        <v>0</v>
      </c>
      <c r="AK840">
        <v>0</v>
      </c>
      <c r="AL840">
        <v>0</v>
      </c>
      <c r="AM840">
        <v>19.62</v>
      </c>
      <c r="AN840">
        <v>0</v>
      </c>
      <c r="AO840">
        <v>0</v>
      </c>
      <c r="AP840">
        <v>0</v>
      </c>
      <c r="AQ840">
        <v>0</v>
      </c>
      <c r="AR840">
        <v>0</v>
      </c>
      <c r="AS840">
        <v>0</v>
      </c>
      <c r="AT840">
        <v>0</v>
      </c>
      <c r="AU840">
        <v>0</v>
      </c>
      <c r="AV840">
        <v>0</v>
      </c>
      <c r="AW840">
        <v>0</v>
      </c>
      <c r="AX840">
        <v>0</v>
      </c>
      <c r="AY840">
        <v>0</v>
      </c>
      <c r="AZ840">
        <v>0</v>
      </c>
      <c r="BA840">
        <v>0</v>
      </c>
      <c r="BB840">
        <v>0</v>
      </c>
      <c r="BC840">
        <v>0</v>
      </c>
      <c r="BD840">
        <v>0</v>
      </c>
      <c r="BE840">
        <v>0</v>
      </c>
      <c r="BF840">
        <v>0</v>
      </c>
      <c r="BG840">
        <v>0</v>
      </c>
      <c r="BH840">
        <v>1</v>
      </c>
      <c r="BI840">
        <v>21</v>
      </c>
      <c r="BJ840">
        <v>8.9</v>
      </c>
      <c r="BK840">
        <v>21</v>
      </c>
      <c r="BL840" s="4">
        <v>120.34</v>
      </c>
      <c r="BM840" s="4">
        <v>18.05</v>
      </c>
      <c r="BN840" s="4">
        <v>138.38999999999999</v>
      </c>
      <c r="BO840" s="4">
        <v>138.38999999999999</v>
      </c>
      <c r="BQ840" t="s">
        <v>1369</v>
      </c>
      <c r="BR840" t="s">
        <v>84</v>
      </c>
      <c r="BS840" s="3">
        <v>43804</v>
      </c>
      <c r="BT840" s="5">
        <v>0.56597222222222221</v>
      </c>
      <c r="BU840" t="s">
        <v>1370</v>
      </c>
      <c r="BV840" t="s">
        <v>86</v>
      </c>
      <c r="BY840">
        <v>44318.91</v>
      </c>
      <c r="CA840" t="s">
        <v>434</v>
      </c>
      <c r="CC840" t="s">
        <v>647</v>
      </c>
      <c r="CD840">
        <v>299</v>
      </c>
      <c r="CE840" t="s">
        <v>116</v>
      </c>
      <c r="CF840" s="3">
        <v>43808</v>
      </c>
      <c r="CI840">
        <v>1</v>
      </c>
      <c r="CJ840">
        <v>1</v>
      </c>
      <c r="CK840" t="s">
        <v>740</v>
      </c>
      <c r="CL840" t="s">
        <v>89</v>
      </c>
    </row>
    <row r="841" spans="1:90">
      <c r="A841" t="s">
        <v>72</v>
      </c>
      <c r="B841" t="s">
        <v>73</v>
      </c>
      <c r="C841" t="s">
        <v>74</v>
      </c>
      <c r="E841" t="str">
        <f>"FES1162727548"</f>
        <v>FES1162727548</v>
      </c>
      <c r="F841" s="3">
        <v>43809</v>
      </c>
      <c r="G841">
        <v>202006</v>
      </c>
      <c r="H841" t="s">
        <v>75</v>
      </c>
      <c r="I841" t="s">
        <v>76</v>
      </c>
      <c r="J841" t="s">
        <v>77</v>
      </c>
      <c r="K841" t="s">
        <v>78</v>
      </c>
      <c r="L841" t="s">
        <v>90</v>
      </c>
      <c r="M841" t="s">
        <v>91</v>
      </c>
      <c r="N841" t="s">
        <v>998</v>
      </c>
      <c r="O841" t="s">
        <v>82</v>
      </c>
      <c r="P841" t="str">
        <f>"217071204                     "</f>
        <v xml:space="preserve">217071204                     </v>
      </c>
      <c r="Q841">
        <v>0</v>
      </c>
      <c r="R841">
        <v>0</v>
      </c>
      <c r="S841">
        <v>0</v>
      </c>
      <c r="T841">
        <v>0</v>
      </c>
      <c r="U841">
        <v>0</v>
      </c>
      <c r="V841">
        <v>0</v>
      </c>
      <c r="W841">
        <v>0</v>
      </c>
      <c r="X841">
        <v>0</v>
      </c>
      <c r="Y841">
        <v>0</v>
      </c>
      <c r="Z841">
        <v>0</v>
      </c>
      <c r="AA841">
        <v>0</v>
      </c>
      <c r="AB841">
        <v>0</v>
      </c>
      <c r="AC841">
        <v>0</v>
      </c>
      <c r="AD841">
        <v>0</v>
      </c>
      <c r="AE841">
        <v>0</v>
      </c>
      <c r="AF841">
        <v>0</v>
      </c>
      <c r="AG841">
        <v>0</v>
      </c>
      <c r="AH841">
        <v>0</v>
      </c>
      <c r="AI841">
        <v>0</v>
      </c>
      <c r="AJ841">
        <v>0</v>
      </c>
      <c r="AK841">
        <v>0</v>
      </c>
      <c r="AL841">
        <v>0</v>
      </c>
      <c r="AM841">
        <v>8.58</v>
      </c>
      <c r="AN841">
        <v>0</v>
      </c>
      <c r="AO841">
        <v>0</v>
      </c>
      <c r="AP841">
        <v>0</v>
      </c>
      <c r="AQ841">
        <v>0</v>
      </c>
      <c r="AR841">
        <v>0</v>
      </c>
      <c r="AS841">
        <v>0</v>
      </c>
      <c r="AT841">
        <v>0</v>
      </c>
      <c r="AU841">
        <v>0</v>
      </c>
      <c r="AV841">
        <v>0</v>
      </c>
      <c r="AW841">
        <v>0</v>
      </c>
      <c r="AX841">
        <v>0</v>
      </c>
      <c r="AY841">
        <v>0</v>
      </c>
      <c r="AZ841">
        <v>0</v>
      </c>
      <c r="BA841">
        <v>0</v>
      </c>
      <c r="BB841">
        <v>0</v>
      </c>
      <c r="BC841">
        <v>0</v>
      </c>
      <c r="BD841">
        <v>0</v>
      </c>
      <c r="BE841">
        <v>0</v>
      </c>
      <c r="BF841">
        <v>0</v>
      </c>
      <c r="BG841">
        <v>0</v>
      </c>
      <c r="BH841">
        <v>1</v>
      </c>
      <c r="BI841">
        <v>1.4</v>
      </c>
      <c r="BJ841">
        <v>1.7</v>
      </c>
      <c r="BK841">
        <v>2</v>
      </c>
      <c r="BL841" s="4">
        <v>50.45</v>
      </c>
      <c r="BM841" s="4">
        <v>7.57</v>
      </c>
      <c r="BN841" s="4">
        <v>58.02</v>
      </c>
      <c r="BO841" s="4">
        <v>58.02</v>
      </c>
      <c r="BQ841" t="s">
        <v>93</v>
      </c>
      <c r="BR841" t="s">
        <v>84</v>
      </c>
      <c r="BS841" s="3">
        <v>43810</v>
      </c>
      <c r="BT841" s="5">
        <v>0.34583333333333338</v>
      </c>
      <c r="BU841" t="s">
        <v>999</v>
      </c>
      <c r="BV841" t="s">
        <v>86</v>
      </c>
      <c r="BY841">
        <v>8627.4699999999993</v>
      </c>
      <c r="CA841" t="s">
        <v>563</v>
      </c>
      <c r="CC841" t="s">
        <v>91</v>
      </c>
      <c r="CD841">
        <v>7460</v>
      </c>
      <c r="CE841" t="s">
        <v>88</v>
      </c>
      <c r="CF841" s="3">
        <v>43811</v>
      </c>
      <c r="CI841">
        <v>1</v>
      </c>
      <c r="CJ841">
        <v>1</v>
      </c>
      <c r="CK841">
        <v>21</v>
      </c>
      <c r="CL841" t="s">
        <v>89</v>
      </c>
    </row>
    <row r="842" spans="1:90">
      <c r="A842" t="s">
        <v>72</v>
      </c>
      <c r="B842" t="s">
        <v>73</v>
      </c>
      <c r="C842" t="s">
        <v>74</v>
      </c>
      <c r="E842" t="str">
        <f>"FES1162727362"</f>
        <v>FES1162727362</v>
      </c>
      <c r="F842" s="3">
        <v>43808</v>
      </c>
      <c r="G842">
        <v>202006</v>
      </c>
      <c r="H842" t="s">
        <v>75</v>
      </c>
      <c r="I842" t="s">
        <v>76</v>
      </c>
      <c r="J842" t="s">
        <v>77</v>
      </c>
      <c r="K842" t="s">
        <v>78</v>
      </c>
      <c r="L842" t="s">
        <v>169</v>
      </c>
      <c r="M842" t="s">
        <v>170</v>
      </c>
      <c r="N842" t="s">
        <v>570</v>
      </c>
      <c r="O842" t="s">
        <v>104</v>
      </c>
      <c r="P842" t="str">
        <f>"2170720843                    "</f>
        <v xml:space="preserve">2170720843                    </v>
      </c>
      <c r="Q842">
        <v>0</v>
      </c>
      <c r="R842">
        <v>0</v>
      </c>
      <c r="S842">
        <v>0</v>
      </c>
      <c r="T842">
        <v>0</v>
      </c>
      <c r="U842">
        <v>0</v>
      </c>
      <c r="V842">
        <v>0</v>
      </c>
      <c r="W842">
        <v>0</v>
      </c>
      <c r="X842">
        <v>0</v>
      </c>
      <c r="Y842">
        <v>0</v>
      </c>
      <c r="Z842">
        <v>0</v>
      </c>
      <c r="AA842">
        <v>0</v>
      </c>
      <c r="AB842">
        <v>0</v>
      </c>
      <c r="AC842">
        <v>0</v>
      </c>
      <c r="AD842">
        <v>0</v>
      </c>
      <c r="AE842">
        <v>0</v>
      </c>
      <c r="AF842">
        <v>0</v>
      </c>
      <c r="AG842">
        <v>0</v>
      </c>
      <c r="AH842">
        <v>0</v>
      </c>
      <c r="AI842">
        <v>0</v>
      </c>
      <c r="AJ842">
        <v>0</v>
      </c>
      <c r="AK842">
        <v>0</v>
      </c>
      <c r="AL842">
        <v>0</v>
      </c>
      <c r="AM842">
        <v>14.49</v>
      </c>
      <c r="AN842">
        <v>0</v>
      </c>
      <c r="AO842">
        <v>0</v>
      </c>
      <c r="AP842">
        <v>0</v>
      </c>
      <c r="AQ842">
        <v>0</v>
      </c>
      <c r="AR842">
        <v>0</v>
      </c>
      <c r="AS842">
        <v>0</v>
      </c>
      <c r="AT842">
        <v>0</v>
      </c>
      <c r="AU842">
        <v>0</v>
      </c>
      <c r="AV842">
        <v>0</v>
      </c>
      <c r="AW842">
        <v>0</v>
      </c>
      <c r="AX842">
        <v>0</v>
      </c>
      <c r="AY842">
        <v>0</v>
      </c>
      <c r="AZ842">
        <v>0</v>
      </c>
      <c r="BA842">
        <v>0</v>
      </c>
      <c r="BB842">
        <v>0</v>
      </c>
      <c r="BC842">
        <v>0</v>
      </c>
      <c r="BD842">
        <v>0</v>
      </c>
      <c r="BE842">
        <v>0</v>
      </c>
      <c r="BF842">
        <v>0</v>
      </c>
      <c r="BG842">
        <v>0</v>
      </c>
      <c r="BH842">
        <v>2</v>
      </c>
      <c r="BI842">
        <v>20.3</v>
      </c>
      <c r="BJ842">
        <v>12.8</v>
      </c>
      <c r="BK842">
        <v>21</v>
      </c>
      <c r="BL842" s="4">
        <v>90.19</v>
      </c>
      <c r="BM842" s="4">
        <v>13.53</v>
      </c>
      <c r="BN842" s="4">
        <v>103.72</v>
      </c>
      <c r="BO842" s="4">
        <v>103.72</v>
      </c>
      <c r="BR842" t="s">
        <v>84</v>
      </c>
      <c r="BS842" s="3">
        <v>43809</v>
      </c>
      <c r="BT842" s="5">
        <v>0.29375000000000001</v>
      </c>
      <c r="BU842" t="s">
        <v>571</v>
      </c>
      <c r="BV842" t="s">
        <v>86</v>
      </c>
      <c r="BY842">
        <v>64010.080000000002</v>
      </c>
      <c r="CA842" t="s">
        <v>174</v>
      </c>
      <c r="CC842" t="s">
        <v>170</v>
      </c>
      <c r="CD842">
        <v>1460</v>
      </c>
      <c r="CE842" t="s">
        <v>1073</v>
      </c>
      <c r="CF842" s="3">
        <v>43810</v>
      </c>
      <c r="CI842">
        <v>1</v>
      </c>
      <c r="CJ842">
        <v>1</v>
      </c>
      <c r="CK842" t="s">
        <v>123</v>
      </c>
      <c r="CL842" t="s">
        <v>89</v>
      </c>
    </row>
    <row r="843" spans="1:90">
      <c r="A843" t="s">
        <v>72</v>
      </c>
      <c r="B843" t="s">
        <v>73</v>
      </c>
      <c r="C843" t="s">
        <v>74</v>
      </c>
      <c r="E843" t="str">
        <f>"FES1162727421"</f>
        <v>FES1162727421</v>
      </c>
      <c r="F843" s="3">
        <v>43808</v>
      </c>
      <c r="G843">
        <v>202006</v>
      </c>
      <c r="H843" t="s">
        <v>75</v>
      </c>
      <c r="I843" t="s">
        <v>76</v>
      </c>
      <c r="J843" t="s">
        <v>77</v>
      </c>
      <c r="K843" t="s">
        <v>78</v>
      </c>
      <c r="L843" t="s">
        <v>132</v>
      </c>
      <c r="M843" t="s">
        <v>133</v>
      </c>
      <c r="N843" t="s">
        <v>1371</v>
      </c>
      <c r="O843" t="s">
        <v>104</v>
      </c>
      <c r="P843" t="str">
        <f>"2170720225                    "</f>
        <v xml:space="preserve">2170720225                    </v>
      </c>
      <c r="Q843">
        <v>0</v>
      </c>
      <c r="R843">
        <v>0</v>
      </c>
      <c r="S843">
        <v>0</v>
      </c>
      <c r="T843">
        <v>0</v>
      </c>
      <c r="U843">
        <v>0</v>
      </c>
      <c r="V843">
        <v>0</v>
      </c>
      <c r="W843">
        <v>0</v>
      </c>
      <c r="X843">
        <v>0</v>
      </c>
      <c r="Y843">
        <v>0</v>
      </c>
      <c r="Z843">
        <v>0</v>
      </c>
      <c r="AA843">
        <v>0</v>
      </c>
      <c r="AB843">
        <v>0</v>
      </c>
      <c r="AC843">
        <v>0</v>
      </c>
      <c r="AD843">
        <v>0</v>
      </c>
      <c r="AE843">
        <v>0</v>
      </c>
      <c r="AF843">
        <v>0</v>
      </c>
      <c r="AG843">
        <v>0</v>
      </c>
      <c r="AH843">
        <v>0</v>
      </c>
      <c r="AI843">
        <v>0</v>
      </c>
      <c r="AJ843">
        <v>0</v>
      </c>
      <c r="AK843">
        <v>0</v>
      </c>
      <c r="AL843">
        <v>0</v>
      </c>
      <c r="AM843">
        <v>23.44</v>
      </c>
      <c r="AN843">
        <v>0</v>
      </c>
      <c r="AO843">
        <v>0</v>
      </c>
      <c r="AP843">
        <v>0</v>
      </c>
      <c r="AQ843">
        <v>0</v>
      </c>
      <c r="AR843">
        <v>0</v>
      </c>
      <c r="AS843">
        <v>0</v>
      </c>
      <c r="AT843">
        <v>0</v>
      </c>
      <c r="AU843">
        <v>0</v>
      </c>
      <c r="AV843">
        <v>0</v>
      </c>
      <c r="AW843">
        <v>0</v>
      </c>
      <c r="AX843">
        <v>0</v>
      </c>
      <c r="AY843">
        <v>0</v>
      </c>
      <c r="AZ843">
        <v>0</v>
      </c>
      <c r="BA843">
        <v>0</v>
      </c>
      <c r="BB843">
        <v>0</v>
      </c>
      <c r="BC843">
        <v>0</v>
      </c>
      <c r="BD843">
        <v>0</v>
      </c>
      <c r="BE843">
        <v>0</v>
      </c>
      <c r="BF843">
        <v>0</v>
      </c>
      <c r="BG843">
        <v>0</v>
      </c>
      <c r="BH843">
        <v>1</v>
      </c>
      <c r="BI843">
        <v>24.8</v>
      </c>
      <c r="BJ843">
        <v>33.799999999999997</v>
      </c>
      <c r="BK843">
        <v>34</v>
      </c>
      <c r="BL843" s="4">
        <v>142.77000000000001</v>
      </c>
      <c r="BM843" s="4">
        <v>21.42</v>
      </c>
      <c r="BN843" s="4">
        <v>164.19</v>
      </c>
      <c r="BO843" s="4">
        <v>164.19</v>
      </c>
      <c r="BQ843" t="s">
        <v>93</v>
      </c>
      <c r="BR843" t="s">
        <v>84</v>
      </c>
      <c r="BS843" s="3">
        <v>43809</v>
      </c>
      <c r="BT843" s="5">
        <v>0.50694444444444442</v>
      </c>
      <c r="BU843" t="s">
        <v>142</v>
      </c>
      <c r="BV843" t="s">
        <v>86</v>
      </c>
      <c r="BY843">
        <v>168848.44</v>
      </c>
      <c r="CC843" t="s">
        <v>133</v>
      </c>
      <c r="CD843">
        <v>46</v>
      </c>
      <c r="CE843" t="s">
        <v>96</v>
      </c>
      <c r="CI843">
        <v>0</v>
      </c>
      <c r="CJ843">
        <v>0</v>
      </c>
      <c r="CK843" t="s">
        <v>108</v>
      </c>
      <c r="CL843" t="s">
        <v>89</v>
      </c>
    </row>
    <row r="844" spans="1:90">
      <c r="A844" t="s">
        <v>72</v>
      </c>
      <c r="B844" t="s">
        <v>73</v>
      </c>
      <c r="C844" t="s">
        <v>74</v>
      </c>
      <c r="E844" t="str">
        <f>"FES1162723584"</f>
        <v>FES1162723584</v>
      </c>
      <c r="F844" s="3">
        <v>43787</v>
      </c>
      <c r="G844">
        <v>202006</v>
      </c>
      <c r="H844" t="s">
        <v>75</v>
      </c>
      <c r="I844" t="s">
        <v>76</v>
      </c>
      <c r="J844" t="s">
        <v>100</v>
      </c>
      <c r="K844" t="s">
        <v>78</v>
      </c>
      <c r="L844" t="s">
        <v>1372</v>
      </c>
      <c r="M844" t="s">
        <v>1373</v>
      </c>
      <c r="N844" t="s">
        <v>1374</v>
      </c>
      <c r="O844" t="s">
        <v>104</v>
      </c>
      <c r="P844" t="str">
        <f>"2170717537                    "</f>
        <v xml:space="preserve">2170717537                    </v>
      </c>
      <c r="Q844">
        <v>0</v>
      </c>
      <c r="R844">
        <v>0</v>
      </c>
      <c r="S844">
        <v>0</v>
      </c>
      <c r="T844">
        <v>0</v>
      </c>
      <c r="U844">
        <v>0</v>
      </c>
      <c r="V844">
        <v>0</v>
      </c>
      <c r="W844">
        <v>0</v>
      </c>
      <c r="X844">
        <v>0</v>
      </c>
      <c r="Y844">
        <v>0</v>
      </c>
      <c r="Z844">
        <v>0</v>
      </c>
      <c r="AA844">
        <v>0</v>
      </c>
      <c r="AB844">
        <v>0</v>
      </c>
      <c r="AC844">
        <v>0</v>
      </c>
      <c r="AD844">
        <v>0</v>
      </c>
      <c r="AE844">
        <v>0</v>
      </c>
      <c r="AF844">
        <v>0</v>
      </c>
      <c r="AG844">
        <v>0</v>
      </c>
      <c r="AH844">
        <v>0</v>
      </c>
      <c r="AI844">
        <v>0</v>
      </c>
      <c r="AJ844">
        <v>0</v>
      </c>
      <c r="AK844">
        <v>0</v>
      </c>
      <c r="AL844">
        <v>0</v>
      </c>
      <c r="AM844">
        <v>16.68</v>
      </c>
      <c r="AN844">
        <v>0</v>
      </c>
      <c r="AO844">
        <v>0</v>
      </c>
      <c r="AP844">
        <v>0</v>
      </c>
      <c r="AQ844">
        <v>0</v>
      </c>
      <c r="AR844">
        <v>0</v>
      </c>
      <c r="AS844">
        <v>0</v>
      </c>
      <c r="AT844">
        <v>0</v>
      </c>
      <c r="AU844">
        <v>0</v>
      </c>
      <c r="AV844">
        <v>0</v>
      </c>
      <c r="AW844">
        <v>0</v>
      </c>
      <c r="AX844">
        <v>0</v>
      </c>
      <c r="AY844">
        <v>0</v>
      </c>
      <c r="AZ844">
        <v>0</v>
      </c>
      <c r="BA844">
        <v>0</v>
      </c>
      <c r="BB844">
        <v>0</v>
      </c>
      <c r="BC844">
        <v>0</v>
      </c>
      <c r="BD844">
        <v>0</v>
      </c>
      <c r="BE844">
        <v>0</v>
      </c>
      <c r="BF844">
        <v>0</v>
      </c>
      <c r="BG844">
        <v>0</v>
      </c>
      <c r="BH844">
        <v>1</v>
      </c>
      <c r="BI844">
        <v>6.4</v>
      </c>
      <c r="BJ844">
        <v>16.100000000000001</v>
      </c>
      <c r="BK844">
        <v>16</v>
      </c>
      <c r="BL844" s="4">
        <v>103.05</v>
      </c>
      <c r="BM844" s="4">
        <v>15.46</v>
      </c>
      <c r="BN844" s="4">
        <v>118.51</v>
      </c>
      <c r="BO844" s="4">
        <v>118.51</v>
      </c>
      <c r="BQ844" t="s">
        <v>93</v>
      </c>
      <c r="BR844" t="s">
        <v>105</v>
      </c>
      <c r="BS844" s="3">
        <v>43805</v>
      </c>
      <c r="BT844" s="5">
        <v>0.34930555555555554</v>
      </c>
      <c r="BU844" t="s">
        <v>1375</v>
      </c>
      <c r="BV844" t="s">
        <v>89</v>
      </c>
      <c r="BW844" t="s">
        <v>506</v>
      </c>
      <c r="BX844" t="s">
        <v>1376</v>
      </c>
      <c r="BY844">
        <v>80441.86</v>
      </c>
      <c r="CA844" t="s">
        <v>344</v>
      </c>
      <c r="CC844" t="s">
        <v>1373</v>
      </c>
      <c r="CD844">
        <v>1034</v>
      </c>
      <c r="CE844" t="s">
        <v>96</v>
      </c>
      <c r="CF844" s="3">
        <v>43808</v>
      </c>
      <c r="CI844">
        <v>1</v>
      </c>
      <c r="CJ844">
        <v>14</v>
      </c>
      <c r="CK844" t="s">
        <v>740</v>
      </c>
      <c r="CL844" t="s">
        <v>89</v>
      </c>
    </row>
    <row r="845" spans="1:90">
      <c r="A845" t="s">
        <v>72</v>
      </c>
      <c r="B845" t="s">
        <v>73</v>
      </c>
      <c r="C845" t="s">
        <v>74</v>
      </c>
      <c r="E845" t="str">
        <f>"FES1162727525"</f>
        <v>FES1162727525</v>
      </c>
      <c r="F845" s="3">
        <v>43809</v>
      </c>
      <c r="G845">
        <v>202006</v>
      </c>
      <c r="H845" t="s">
        <v>75</v>
      </c>
      <c r="I845" t="s">
        <v>76</v>
      </c>
      <c r="J845" t="s">
        <v>77</v>
      </c>
      <c r="K845" t="s">
        <v>78</v>
      </c>
      <c r="L845" t="s">
        <v>198</v>
      </c>
      <c r="M845" t="s">
        <v>199</v>
      </c>
      <c r="N845" t="s">
        <v>485</v>
      </c>
      <c r="O845" t="s">
        <v>82</v>
      </c>
      <c r="P845" t="str">
        <f>"21707120993                   "</f>
        <v xml:space="preserve">21707120993                   </v>
      </c>
      <c r="Q845">
        <v>0</v>
      </c>
      <c r="R845">
        <v>0</v>
      </c>
      <c r="S845">
        <v>0</v>
      </c>
      <c r="T845">
        <v>0</v>
      </c>
      <c r="U845">
        <v>0</v>
      </c>
      <c r="V845">
        <v>0</v>
      </c>
      <c r="W845">
        <v>0</v>
      </c>
      <c r="X845">
        <v>0</v>
      </c>
      <c r="Y845">
        <v>0</v>
      </c>
      <c r="Z845">
        <v>0</v>
      </c>
      <c r="AA845">
        <v>0</v>
      </c>
      <c r="AB845">
        <v>0</v>
      </c>
      <c r="AC845">
        <v>0</v>
      </c>
      <c r="AD845">
        <v>0</v>
      </c>
      <c r="AE845">
        <v>0</v>
      </c>
      <c r="AF845">
        <v>0</v>
      </c>
      <c r="AG845">
        <v>0</v>
      </c>
      <c r="AH845">
        <v>0</v>
      </c>
      <c r="AI845">
        <v>0</v>
      </c>
      <c r="AJ845">
        <v>0</v>
      </c>
      <c r="AK845">
        <v>0</v>
      </c>
      <c r="AL845">
        <v>0</v>
      </c>
      <c r="AM845">
        <v>8.58</v>
      </c>
      <c r="AN845">
        <v>0</v>
      </c>
      <c r="AO845">
        <v>0</v>
      </c>
      <c r="AP845">
        <v>0</v>
      </c>
      <c r="AQ845">
        <v>0</v>
      </c>
      <c r="AR845">
        <v>0</v>
      </c>
      <c r="AS845">
        <v>0</v>
      </c>
      <c r="AT845">
        <v>0</v>
      </c>
      <c r="AU845">
        <v>0</v>
      </c>
      <c r="AV845">
        <v>0</v>
      </c>
      <c r="AW845">
        <v>0</v>
      </c>
      <c r="AX845">
        <v>0</v>
      </c>
      <c r="AY845">
        <v>0</v>
      </c>
      <c r="AZ845">
        <v>0</v>
      </c>
      <c r="BA845">
        <v>0</v>
      </c>
      <c r="BB845">
        <v>0</v>
      </c>
      <c r="BC845">
        <v>0</v>
      </c>
      <c r="BD845">
        <v>0</v>
      </c>
      <c r="BE845">
        <v>0</v>
      </c>
      <c r="BF845">
        <v>0</v>
      </c>
      <c r="BG845">
        <v>0</v>
      </c>
      <c r="BH845">
        <v>1</v>
      </c>
      <c r="BI845">
        <v>1</v>
      </c>
      <c r="BJ845">
        <v>0.2</v>
      </c>
      <c r="BK845">
        <v>1</v>
      </c>
      <c r="BL845" s="4">
        <v>50.45</v>
      </c>
      <c r="BM845" s="4">
        <v>7.57</v>
      </c>
      <c r="BN845" s="4">
        <v>58.02</v>
      </c>
      <c r="BO845" s="4">
        <v>58.02</v>
      </c>
      <c r="BQ845" t="s">
        <v>486</v>
      </c>
      <c r="BR845" t="s">
        <v>84</v>
      </c>
      <c r="BS845" s="3">
        <v>43810</v>
      </c>
      <c r="BT845" s="5">
        <v>0.32430555555555557</v>
      </c>
      <c r="BU845" t="s">
        <v>742</v>
      </c>
      <c r="BV845" t="s">
        <v>86</v>
      </c>
      <c r="BY845">
        <v>1200</v>
      </c>
      <c r="CA845" t="s">
        <v>488</v>
      </c>
      <c r="CC845" t="s">
        <v>199</v>
      </c>
      <c r="CD845">
        <v>4001</v>
      </c>
      <c r="CE845" t="s">
        <v>88</v>
      </c>
      <c r="CF845" s="3">
        <v>43811</v>
      </c>
      <c r="CI845">
        <v>1</v>
      </c>
      <c r="CJ845">
        <v>1</v>
      </c>
      <c r="CK845">
        <v>21</v>
      </c>
      <c r="CL845" t="s">
        <v>89</v>
      </c>
    </row>
    <row r="846" spans="1:90">
      <c r="A846" t="s">
        <v>72</v>
      </c>
      <c r="B846" t="s">
        <v>73</v>
      </c>
      <c r="C846" t="s">
        <v>74</v>
      </c>
      <c r="E846" t="str">
        <f>"FES1162727138"</f>
        <v>FES1162727138</v>
      </c>
      <c r="F846" s="3">
        <v>43808</v>
      </c>
      <c r="G846">
        <v>202006</v>
      </c>
      <c r="H846" t="s">
        <v>75</v>
      </c>
      <c r="I846" t="s">
        <v>76</v>
      </c>
      <c r="J846" t="s">
        <v>77</v>
      </c>
      <c r="K846" t="s">
        <v>78</v>
      </c>
      <c r="L846" t="s">
        <v>75</v>
      </c>
      <c r="M846" t="s">
        <v>76</v>
      </c>
      <c r="N846" t="s">
        <v>1377</v>
      </c>
      <c r="O846" t="s">
        <v>82</v>
      </c>
      <c r="P846" t="str">
        <f>"2170720607                    "</f>
        <v xml:space="preserve">2170720607                    </v>
      </c>
      <c r="Q846">
        <v>0</v>
      </c>
      <c r="R846">
        <v>0</v>
      </c>
      <c r="S846">
        <v>0</v>
      </c>
      <c r="T846">
        <v>0</v>
      </c>
      <c r="U846">
        <v>0</v>
      </c>
      <c r="V846">
        <v>0</v>
      </c>
      <c r="W846">
        <v>0</v>
      </c>
      <c r="X846">
        <v>0</v>
      </c>
      <c r="Y846">
        <v>0</v>
      </c>
      <c r="Z846">
        <v>0</v>
      </c>
      <c r="AA846">
        <v>0</v>
      </c>
      <c r="AB846">
        <v>0</v>
      </c>
      <c r="AC846">
        <v>0</v>
      </c>
      <c r="AD846">
        <v>0</v>
      </c>
      <c r="AE846">
        <v>0</v>
      </c>
      <c r="AF846">
        <v>0</v>
      </c>
      <c r="AG846">
        <v>0</v>
      </c>
      <c r="AH846">
        <v>0</v>
      </c>
      <c r="AI846">
        <v>0</v>
      </c>
      <c r="AJ846">
        <v>0</v>
      </c>
      <c r="AK846">
        <v>0</v>
      </c>
      <c r="AL846">
        <v>0</v>
      </c>
      <c r="AM846">
        <v>6.71</v>
      </c>
      <c r="AN846">
        <v>0</v>
      </c>
      <c r="AO846">
        <v>0</v>
      </c>
      <c r="AP846">
        <v>0</v>
      </c>
      <c r="AQ846">
        <v>0</v>
      </c>
      <c r="AR846">
        <v>0</v>
      </c>
      <c r="AS846">
        <v>0</v>
      </c>
      <c r="AT846">
        <v>0</v>
      </c>
      <c r="AU846">
        <v>0</v>
      </c>
      <c r="AV846">
        <v>0</v>
      </c>
      <c r="AW846">
        <v>0</v>
      </c>
      <c r="AX846">
        <v>0</v>
      </c>
      <c r="AY846">
        <v>0</v>
      </c>
      <c r="AZ846">
        <v>0</v>
      </c>
      <c r="BA846">
        <v>0</v>
      </c>
      <c r="BB846">
        <v>0</v>
      </c>
      <c r="BC846">
        <v>0</v>
      </c>
      <c r="BD846">
        <v>0</v>
      </c>
      <c r="BE846">
        <v>0</v>
      </c>
      <c r="BF846">
        <v>0</v>
      </c>
      <c r="BG846">
        <v>0</v>
      </c>
      <c r="BH846">
        <v>1</v>
      </c>
      <c r="BI846">
        <v>1</v>
      </c>
      <c r="BJ846">
        <v>0.2</v>
      </c>
      <c r="BK846">
        <v>1</v>
      </c>
      <c r="BL846" s="4">
        <v>39.42</v>
      </c>
      <c r="BM846" s="4">
        <v>5.91</v>
      </c>
      <c r="BN846" s="4">
        <v>45.33</v>
      </c>
      <c r="BO846" s="4">
        <v>45.33</v>
      </c>
      <c r="BR846" t="s">
        <v>84</v>
      </c>
      <c r="BS846" s="3">
        <v>43809</v>
      </c>
      <c r="BT846" s="5">
        <v>0.30208333333333331</v>
      </c>
      <c r="BU846" t="s">
        <v>1378</v>
      </c>
      <c r="BV846" t="s">
        <v>86</v>
      </c>
      <c r="BY846">
        <v>1200</v>
      </c>
      <c r="CA846" t="s">
        <v>155</v>
      </c>
      <c r="CC846" t="s">
        <v>76</v>
      </c>
      <c r="CD846">
        <v>1600</v>
      </c>
      <c r="CE846" t="s">
        <v>88</v>
      </c>
      <c r="CF846" s="3">
        <v>43810</v>
      </c>
      <c r="CI846">
        <v>1</v>
      </c>
      <c r="CJ846">
        <v>1</v>
      </c>
      <c r="CK846">
        <v>22</v>
      </c>
      <c r="CL846" t="s">
        <v>89</v>
      </c>
    </row>
    <row r="847" spans="1:90">
      <c r="A847" t="s">
        <v>72</v>
      </c>
      <c r="B847" t="s">
        <v>73</v>
      </c>
      <c r="C847" t="s">
        <v>74</v>
      </c>
      <c r="E847" t="str">
        <f>"FES1162727230"</f>
        <v>FES1162727230</v>
      </c>
      <c r="F847" s="3">
        <v>43808</v>
      </c>
      <c r="G847">
        <v>202006</v>
      </c>
      <c r="H847" t="s">
        <v>75</v>
      </c>
      <c r="I847" t="s">
        <v>76</v>
      </c>
      <c r="J847" t="s">
        <v>77</v>
      </c>
      <c r="K847" t="s">
        <v>78</v>
      </c>
      <c r="L847" t="s">
        <v>75</v>
      </c>
      <c r="M847" t="s">
        <v>76</v>
      </c>
      <c r="N847" t="s">
        <v>305</v>
      </c>
      <c r="O847" t="s">
        <v>82</v>
      </c>
      <c r="P847" t="str">
        <f>"2170720718                    "</f>
        <v xml:space="preserve">2170720718                    </v>
      </c>
      <c r="Q847">
        <v>0</v>
      </c>
      <c r="R847">
        <v>0</v>
      </c>
      <c r="S847">
        <v>0</v>
      </c>
      <c r="T847">
        <v>0</v>
      </c>
      <c r="U847">
        <v>0</v>
      </c>
      <c r="V847">
        <v>0</v>
      </c>
      <c r="W847">
        <v>0</v>
      </c>
      <c r="X847">
        <v>0</v>
      </c>
      <c r="Y847">
        <v>0</v>
      </c>
      <c r="Z847">
        <v>0</v>
      </c>
      <c r="AA847">
        <v>0</v>
      </c>
      <c r="AB847">
        <v>0</v>
      </c>
      <c r="AC847">
        <v>0</v>
      </c>
      <c r="AD847">
        <v>0</v>
      </c>
      <c r="AE847">
        <v>0</v>
      </c>
      <c r="AF847">
        <v>0</v>
      </c>
      <c r="AG847">
        <v>0</v>
      </c>
      <c r="AH847">
        <v>0</v>
      </c>
      <c r="AI847">
        <v>0</v>
      </c>
      <c r="AJ847">
        <v>0</v>
      </c>
      <c r="AK847">
        <v>0</v>
      </c>
      <c r="AL847">
        <v>0</v>
      </c>
      <c r="AM847">
        <v>6.71</v>
      </c>
      <c r="AN847">
        <v>0</v>
      </c>
      <c r="AO847">
        <v>0</v>
      </c>
      <c r="AP847">
        <v>0</v>
      </c>
      <c r="AQ847">
        <v>0</v>
      </c>
      <c r="AR847">
        <v>0</v>
      </c>
      <c r="AS847">
        <v>0</v>
      </c>
      <c r="AT847">
        <v>0</v>
      </c>
      <c r="AU847">
        <v>0</v>
      </c>
      <c r="AV847">
        <v>0</v>
      </c>
      <c r="AW847">
        <v>0</v>
      </c>
      <c r="AX847">
        <v>0</v>
      </c>
      <c r="AY847">
        <v>0</v>
      </c>
      <c r="AZ847">
        <v>0</v>
      </c>
      <c r="BA847">
        <v>0</v>
      </c>
      <c r="BB847">
        <v>0</v>
      </c>
      <c r="BC847">
        <v>0</v>
      </c>
      <c r="BD847">
        <v>0</v>
      </c>
      <c r="BE847">
        <v>0</v>
      </c>
      <c r="BF847">
        <v>0</v>
      </c>
      <c r="BG847">
        <v>0</v>
      </c>
      <c r="BH847">
        <v>1</v>
      </c>
      <c r="BI847">
        <v>1</v>
      </c>
      <c r="BJ847">
        <v>0.2</v>
      </c>
      <c r="BK847">
        <v>1</v>
      </c>
      <c r="BL847" s="4">
        <v>39.42</v>
      </c>
      <c r="BM847" s="4">
        <v>5.91</v>
      </c>
      <c r="BN847" s="4">
        <v>45.33</v>
      </c>
      <c r="BO847" s="4">
        <v>45.33</v>
      </c>
      <c r="BQ847" t="s">
        <v>147</v>
      </c>
      <c r="BR847" t="s">
        <v>84</v>
      </c>
      <c r="BS847" s="3">
        <v>43809</v>
      </c>
      <c r="BT847" s="5">
        <v>0.32083333333333336</v>
      </c>
      <c r="BU847" t="s">
        <v>1379</v>
      </c>
      <c r="BV847" t="s">
        <v>86</v>
      </c>
      <c r="BY847">
        <v>1200</v>
      </c>
      <c r="CA847" t="s">
        <v>307</v>
      </c>
      <c r="CC847" t="s">
        <v>76</v>
      </c>
      <c r="CD847">
        <v>1645</v>
      </c>
      <c r="CE847" t="s">
        <v>88</v>
      </c>
      <c r="CF847" s="3">
        <v>43810</v>
      </c>
      <c r="CI847">
        <v>1</v>
      </c>
      <c r="CJ847">
        <v>1</v>
      </c>
      <c r="CK847">
        <v>22</v>
      </c>
      <c r="CL847" t="s">
        <v>89</v>
      </c>
    </row>
    <row r="848" spans="1:90">
      <c r="A848" t="s">
        <v>72</v>
      </c>
      <c r="B848" t="s">
        <v>73</v>
      </c>
      <c r="C848" t="s">
        <v>74</v>
      </c>
      <c r="E848" t="str">
        <f>"FES1162727249"</f>
        <v>FES1162727249</v>
      </c>
      <c r="F848" s="3">
        <v>43808</v>
      </c>
      <c r="G848">
        <v>202006</v>
      </c>
      <c r="H848" t="s">
        <v>75</v>
      </c>
      <c r="I848" t="s">
        <v>76</v>
      </c>
      <c r="J848" t="s">
        <v>77</v>
      </c>
      <c r="K848" t="s">
        <v>78</v>
      </c>
      <c r="L848" t="s">
        <v>169</v>
      </c>
      <c r="M848" t="s">
        <v>170</v>
      </c>
      <c r="N848" t="s">
        <v>890</v>
      </c>
      <c r="O848" t="s">
        <v>82</v>
      </c>
      <c r="P848" t="str">
        <f>"2170719958                    "</f>
        <v xml:space="preserve">2170719958                    </v>
      </c>
      <c r="Q848">
        <v>0</v>
      </c>
      <c r="R848">
        <v>0</v>
      </c>
      <c r="S848">
        <v>0</v>
      </c>
      <c r="T848">
        <v>0</v>
      </c>
      <c r="U848">
        <v>0</v>
      </c>
      <c r="V848">
        <v>0</v>
      </c>
      <c r="W848">
        <v>0</v>
      </c>
      <c r="X848">
        <v>0</v>
      </c>
      <c r="Y848">
        <v>0</v>
      </c>
      <c r="Z848">
        <v>0</v>
      </c>
      <c r="AA848">
        <v>0</v>
      </c>
      <c r="AB848">
        <v>0</v>
      </c>
      <c r="AC848">
        <v>0</v>
      </c>
      <c r="AD848">
        <v>0</v>
      </c>
      <c r="AE848">
        <v>0</v>
      </c>
      <c r="AF848">
        <v>0</v>
      </c>
      <c r="AG848">
        <v>0</v>
      </c>
      <c r="AH848">
        <v>0</v>
      </c>
      <c r="AI848">
        <v>0</v>
      </c>
      <c r="AJ848">
        <v>0</v>
      </c>
      <c r="AK848">
        <v>0</v>
      </c>
      <c r="AL848">
        <v>0</v>
      </c>
      <c r="AM848">
        <v>6.71</v>
      </c>
      <c r="AN848">
        <v>0</v>
      </c>
      <c r="AO848">
        <v>0</v>
      </c>
      <c r="AP848">
        <v>0</v>
      </c>
      <c r="AQ848">
        <v>0</v>
      </c>
      <c r="AR848">
        <v>0</v>
      </c>
      <c r="AS848">
        <v>0</v>
      </c>
      <c r="AT848">
        <v>0</v>
      </c>
      <c r="AU848">
        <v>0</v>
      </c>
      <c r="AV848">
        <v>0</v>
      </c>
      <c r="AW848">
        <v>0</v>
      </c>
      <c r="AX848">
        <v>0</v>
      </c>
      <c r="AY848">
        <v>0</v>
      </c>
      <c r="AZ848">
        <v>0</v>
      </c>
      <c r="BA848">
        <v>0</v>
      </c>
      <c r="BB848">
        <v>0</v>
      </c>
      <c r="BC848">
        <v>0</v>
      </c>
      <c r="BD848">
        <v>0</v>
      </c>
      <c r="BE848">
        <v>0</v>
      </c>
      <c r="BF848">
        <v>0</v>
      </c>
      <c r="BG848">
        <v>0</v>
      </c>
      <c r="BH848">
        <v>1</v>
      </c>
      <c r="BI848">
        <v>1</v>
      </c>
      <c r="BJ848">
        <v>0.2</v>
      </c>
      <c r="BK848">
        <v>1</v>
      </c>
      <c r="BL848" s="4">
        <v>39.42</v>
      </c>
      <c r="BM848" s="4">
        <v>5.91</v>
      </c>
      <c r="BN848" s="4">
        <v>45.33</v>
      </c>
      <c r="BO848" s="4">
        <v>45.33</v>
      </c>
      <c r="BQ848" t="s">
        <v>891</v>
      </c>
      <c r="BR848" t="s">
        <v>84</v>
      </c>
      <c r="BS848" s="3">
        <v>43809</v>
      </c>
      <c r="BT848" s="5">
        <v>0.43055555555555558</v>
      </c>
      <c r="BU848" t="s">
        <v>1380</v>
      </c>
      <c r="BV848" t="s">
        <v>86</v>
      </c>
      <c r="BY848">
        <v>1200</v>
      </c>
      <c r="CC848" t="s">
        <v>170</v>
      </c>
      <c r="CD848">
        <v>1459</v>
      </c>
      <c r="CE848" t="s">
        <v>88</v>
      </c>
      <c r="CF848" s="3">
        <v>43810</v>
      </c>
      <c r="CI848">
        <v>1</v>
      </c>
      <c r="CJ848">
        <v>1</v>
      </c>
      <c r="CK848">
        <v>22</v>
      </c>
      <c r="CL848" t="s">
        <v>89</v>
      </c>
    </row>
    <row r="849" spans="1:90">
      <c r="A849" t="s">
        <v>72</v>
      </c>
      <c r="B849" t="s">
        <v>73</v>
      </c>
      <c r="C849" t="s">
        <v>74</v>
      </c>
      <c r="E849" t="str">
        <f>"FES1162727300"</f>
        <v>FES1162727300</v>
      </c>
      <c r="F849" s="3">
        <v>43808</v>
      </c>
      <c r="G849">
        <v>202006</v>
      </c>
      <c r="H849" t="s">
        <v>75</v>
      </c>
      <c r="I849" t="s">
        <v>76</v>
      </c>
      <c r="J849" t="s">
        <v>77</v>
      </c>
      <c r="K849" t="s">
        <v>78</v>
      </c>
      <c r="L849" t="s">
        <v>455</v>
      </c>
      <c r="M849" t="s">
        <v>456</v>
      </c>
      <c r="N849" t="s">
        <v>457</v>
      </c>
      <c r="O849" t="s">
        <v>82</v>
      </c>
      <c r="P849" t="str">
        <f>"2170720269                    "</f>
        <v xml:space="preserve">2170720269                    </v>
      </c>
      <c r="Q849">
        <v>0</v>
      </c>
      <c r="R849">
        <v>0</v>
      </c>
      <c r="S849">
        <v>0</v>
      </c>
      <c r="T849">
        <v>0</v>
      </c>
      <c r="U849">
        <v>0</v>
      </c>
      <c r="V849">
        <v>0</v>
      </c>
      <c r="W849">
        <v>0</v>
      </c>
      <c r="X849">
        <v>0</v>
      </c>
      <c r="Y849">
        <v>0</v>
      </c>
      <c r="Z849">
        <v>0</v>
      </c>
      <c r="AA849">
        <v>0</v>
      </c>
      <c r="AB849">
        <v>0</v>
      </c>
      <c r="AC849">
        <v>0</v>
      </c>
      <c r="AD849">
        <v>0</v>
      </c>
      <c r="AE849">
        <v>0</v>
      </c>
      <c r="AF849">
        <v>0</v>
      </c>
      <c r="AG849">
        <v>0</v>
      </c>
      <c r="AH849">
        <v>0</v>
      </c>
      <c r="AI849">
        <v>0</v>
      </c>
      <c r="AJ849">
        <v>0</v>
      </c>
      <c r="AK849">
        <v>0</v>
      </c>
      <c r="AL849">
        <v>0</v>
      </c>
      <c r="AM849">
        <v>8.58</v>
      </c>
      <c r="AN849">
        <v>0</v>
      </c>
      <c r="AO849">
        <v>0</v>
      </c>
      <c r="AP849">
        <v>0</v>
      </c>
      <c r="AQ849">
        <v>0</v>
      </c>
      <c r="AR849">
        <v>0</v>
      </c>
      <c r="AS849">
        <v>0</v>
      </c>
      <c r="AT849">
        <v>0</v>
      </c>
      <c r="AU849">
        <v>0</v>
      </c>
      <c r="AV849">
        <v>0</v>
      </c>
      <c r="AW849">
        <v>0</v>
      </c>
      <c r="AX849">
        <v>0</v>
      </c>
      <c r="AY849">
        <v>0</v>
      </c>
      <c r="AZ849">
        <v>0</v>
      </c>
      <c r="BA849">
        <v>0</v>
      </c>
      <c r="BB849">
        <v>0</v>
      </c>
      <c r="BC849">
        <v>0</v>
      </c>
      <c r="BD849">
        <v>0</v>
      </c>
      <c r="BE849">
        <v>0</v>
      </c>
      <c r="BF849">
        <v>0</v>
      </c>
      <c r="BG849">
        <v>0</v>
      </c>
      <c r="BH849">
        <v>1</v>
      </c>
      <c r="BI849">
        <v>1</v>
      </c>
      <c r="BJ849">
        <v>0.2</v>
      </c>
      <c r="BK849">
        <v>1</v>
      </c>
      <c r="BL849" s="4">
        <v>50.45</v>
      </c>
      <c r="BM849" s="4">
        <v>7.57</v>
      </c>
      <c r="BN849" s="4">
        <v>58.02</v>
      </c>
      <c r="BO849" s="4">
        <v>58.02</v>
      </c>
      <c r="BR849" t="s">
        <v>84</v>
      </c>
      <c r="BS849" s="3">
        <v>43809</v>
      </c>
      <c r="BT849" s="5">
        <v>0.5</v>
      </c>
      <c r="BU849" t="s">
        <v>1381</v>
      </c>
      <c r="BV849" t="s">
        <v>86</v>
      </c>
      <c r="BY849">
        <v>1200</v>
      </c>
      <c r="CA849" t="s">
        <v>225</v>
      </c>
      <c r="CC849" t="s">
        <v>456</v>
      </c>
      <c r="CD849">
        <v>3699</v>
      </c>
      <c r="CE849" t="s">
        <v>88</v>
      </c>
      <c r="CF849" s="3">
        <v>43812</v>
      </c>
      <c r="CI849">
        <v>1</v>
      </c>
      <c r="CJ849">
        <v>1</v>
      </c>
      <c r="CK849">
        <v>21</v>
      </c>
      <c r="CL849" t="s">
        <v>89</v>
      </c>
    </row>
    <row r="850" spans="1:90">
      <c r="A850" t="s">
        <v>72</v>
      </c>
      <c r="B850" t="s">
        <v>73</v>
      </c>
      <c r="C850" t="s">
        <v>74</v>
      </c>
      <c r="E850" t="str">
        <f>"FES1162727227"</f>
        <v>FES1162727227</v>
      </c>
      <c r="F850" s="3">
        <v>43808</v>
      </c>
      <c r="G850">
        <v>202006</v>
      </c>
      <c r="H850" t="s">
        <v>75</v>
      </c>
      <c r="I850" t="s">
        <v>76</v>
      </c>
      <c r="J850" t="s">
        <v>77</v>
      </c>
      <c r="K850" t="s">
        <v>78</v>
      </c>
      <c r="L850" t="s">
        <v>169</v>
      </c>
      <c r="M850" t="s">
        <v>170</v>
      </c>
      <c r="N850" t="s">
        <v>890</v>
      </c>
      <c r="O850" t="s">
        <v>82</v>
      </c>
      <c r="P850" t="str">
        <f>"2170720714                    "</f>
        <v xml:space="preserve">2170720714                    </v>
      </c>
      <c r="Q850">
        <v>0</v>
      </c>
      <c r="R850">
        <v>0</v>
      </c>
      <c r="S850">
        <v>0</v>
      </c>
      <c r="T850">
        <v>0</v>
      </c>
      <c r="U850">
        <v>0</v>
      </c>
      <c r="V850">
        <v>0</v>
      </c>
      <c r="W850">
        <v>0</v>
      </c>
      <c r="X850">
        <v>0</v>
      </c>
      <c r="Y850">
        <v>0</v>
      </c>
      <c r="Z850">
        <v>0</v>
      </c>
      <c r="AA850">
        <v>0</v>
      </c>
      <c r="AB850">
        <v>0</v>
      </c>
      <c r="AC850">
        <v>0</v>
      </c>
      <c r="AD850">
        <v>0</v>
      </c>
      <c r="AE850">
        <v>0</v>
      </c>
      <c r="AF850">
        <v>0</v>
      </c>
      <c r="AG850">
        <v>0</v>
      </c>
      <c r="AH850">
        <v>0</v>
      </c>
      <c r="AI850">
        <v>0</v>
      </c>
      <c r="AJ850">
        <v>0</v>
      </c>
      <c r="AK850">
        <v>0</v>
      </c>
      <c r="AL850">
        <v>0</v>
      </c>
      <c r="AM850">
        <v>6.71</v>
      </c>
      <c r="AN850">
        <v>0</v>
      </c>
      <c r="AO850">
        <v>0</v>
      </c>
      <c r="AP850">
        <v>0</v>
      </c>
      <c r="AQ850">
        <v>0</v>
      </c>
      <c r="AR850">
        <v>0</v>
      </c>
      <c r="AS850">
        <v>0</v>
      </c>
      <c r="AT850">
        <v>0</v>
      </c>
      <c r="AU850">
        <v>0</v>
      </c>
      <c r="AV850">
        <v>0</v>
      </c>
      <c r="AW850">
        <v>0</v>
      </c>
      <c r="AX850">
        <v>0</v>
      </c>
      <c r="AY850">
        <v>0</v>
      </c>
      <c r="AZ850">
        <v>0</v>
      </c>
      <c r="BA850">
        <v>0</v>
      </c>
      <c r="BB850">
        <v>0</v>
      </c>
      <c r="BC850">
        <v>0</v>
      </c>
      <c r="BD850">
        <v>0</v>
      </c>
      <c r="BE850">
        <v>0</v>
      </c>
      <c r="BF850">
        <v>0</v>
      </c>
      <c r="BG850">
        <v>0</v>
      </c>
      <c r="BH850">
        <v>1</v>
      </c>
      <c r="BI850">
        <v>1</v>
      </c>
      <c r="BJ850">
        <v>0.2</v>
      </c>
      <c r="BK850">
        <v>1</v>
      </c>
      <c r="BL850" s="4">
        <v>39.42</v>
      </c>
      <c r="BM850" s="4">
        <v>5.91</v>
      </c>
      <c r="BN850" s="4">
        <v>45.33</v>
      </c>
      <c r="BO850" s="4">
        <v>45.33</v>
      </c>
      <c r="BQ850" t="s">
        <v>891</v>
      </c>
      <c r="BR850" t="s">
        <v>84</v>
      </c>
      <c r="BS850" s="3">
        <v>43809</v>
      </c>
      <c r="BT850" s="5">
        <v>0.43055555555555558</v>
      </c>
      <c r="BU850" t="s">
        <v>1380</v>
      </c>
      <c r="BV850" t="s">
        <v>86</v>
      </c>
      <c r="BY850">
        <v>1200</v>
      </c>
      <c r="CC850" t="s">
        <v>170</v>
      </c>
      <c r="CD850">
        <v>1459</v>
      </c>
      <c r="CE850" t="s">
        <v>88</v>
      </c>
      <c r="CF850" s="3">
        <v>43810</v>
      </c>
      <c r="CI850">
        <v>1</v>
      </c>
      <c r="CJ850">
        <v>1</v>
      </c>
      <c r="CK850">
        <v>22</v>
      </c>
      <c r="CL850" t="s">
        <v>89</v>
      </c>
    </row>
    <row r="851" spans="1:90">
      <c r="A851" t="s">
        <v>72</v>
      </c>
      <c r="B851" t="s">
        <v>73</v>
      </c>
      <c r="C851" t="s">
        <v>74</v>
      </c>
      <c r="E851" t="str">
        <f>"FES1162727334"</f>
        <v>FES1162727334</v>
      </c>
      <c r="F851" s="3">
        <v>43808</v>
      </c>
      <c r="G851">
        <v>202006</v>
      </c>
      <c r="H851" t="s">
        <v>75</v>
      </c>
      <c r="I851" t="s">
        <v>76</v>
      </c>
      <c r="J851" t="s">
        <v>77</v>
      </c>
      <c r="K851" t="s">
        <v>78</v>
      </c>
      <c r="L851" t="s">
        <v>404</v>
      </c>
      <c r="M851" t="s">
        <v>405</v>
      </c>
      <c r="N851" t="s">
        <v>1382</v>
      </c>
      <c r="O851" t="s">
        <v>82</v>
      </c>
      <c r="P851" t="str">
        <f>"2170720851                    "</f>
        <v xml:space="preserve">2170720851                    </v>
      </c>
      <c r="Q851">
        <v>0</v>
      </c>
      <c r="R851">
        <v>0</v>
      </c>
      <c r="S851">
        <v>0</v>
      </c>
      <c r="T851">
        <v>0</v>
      </c>
      <c r="U851">
        <v>0</v>
      </c>
      <c r="V851">
        <v>0</v>
      </c>
      <c r="W851">
        <v>0</v>
      </c>
      <c r="X851">
        <v>0</v>
      </c>
      <c r="Y851">
        <v>0</v>
      </c>
      <c r="Z851">
        <v>0</v>
      </c>
      <c r="AA851">
        <v>0</v>
      </c>
      <c r="AB851">
        <v>0</v>
      </c>
      <c r="AC851">
        <v>0</v>
      </c>
      <c r="AD851">
        <v>0</v>
      </c>
      <c r="AE851">
        <v>0</v>
      </c>
      <c r="AF851">
        <v>0</v>
      </c>
      <c r="AG851">
        <v>0</v>
      </c>
      <c r="AH851">
        <v>0</v>
      </c>
      <c r="AI851">
        <v>0</v>
      </c>
      <c r="AJ851">
        <v>0</v>
      </c>
      <c r="AK851">
        <v>0</v>
      </c>
      <c r="AL851">
        <v>0</v>
      </c>
      <c r="AM851">
        <v>10.73</v>
      </c>
      <c r="AN851">
        <v>0</v>
      </c>
      <c r="AO851">
        <v>0</v>
      </c>
      <c r="AP851">
        <v>0</v>
      </c>
      <c r="AQ851">
        <v>0</v>
      </c>
      <c r="AR851">
        <v>0</v>
      </c>
      <c r="AS851">
        <v>0</v>
      </c>
      <c r="AT851">
        <v>0</v>
      </c>
      <c r="AU851">
        <v>0</v>
      </c>
      <c r="AV851">
        <v>0</v>
      </c>
      <c r="AW851">
        <v>0</v>
      </c>
      <c r="AX851">
        <v>0</v>
      </c>
      <c r="AY851">
        <v>0</v>
      </c>
      <c r="AZ851">
        <v>0</v>
      </c>
      <c r="BA851">
        <v>0</v>
      </c>
      <c r="BB851">
        <v>0</v>
      </c>
      <c r="BC851">
        <v>0</v>
      </c>
      <c r="BD851">
        <v>0</v>
      </c>
      <c r="BE851">
        <v>0</v>
      </c>
      <c r="BF851">
        <v>0</v>
      </c>
      <c r="BG851">
        <v>0</v>
      </c>
      <c r="BH851">
        <v>1</v>
      </c>
      <c r="BI851">
        <v>2.2000000000000002</v>
      </c>
      <c r="BJ851">
        <v>1.6</v>
      </c>
      <c r="BK851">
        <v>2.5</v>
      </c>
      <c r="BL851" s="4">
        <v>63.06</v>
      </c>
      <c r="BM851" s="4">
        <v>9.4600000000000009</v>
      </c>
      <c r="BN851" s="4">
        <v>72.52</v>
      </c>
      <c r="BO851" s="4">
        <v>72.52</v>
      </c>
      <c r="BQ851" t="s">
        <v>1383</v>
      </c>
      <c r="BR851" t="s">
        <v>84</v>
      </c>
      <c r="BS851" s="3">
        <v>43809</v>
      </c>
      <c r="BT851" s="5">
        <v>0.36249999999999999</v>
      </c>
      <c r="BU851" t="s">
        <v>1384</v>
      </c>
      <c r="BV851" t="s">
        <v>86</v>
      </c>
      <c r="BY851">
        <v>7781.49</v>
      </c>
      <c r="CA851" t="s">
        <v>408</v>
      </c>
      <c r="CC851" t="s">
        <v>405</v>
      </c>
      <c r="CD851">
        <v>4026</v>
      </c>
      <c r="CE851" t="s">
        <v>116</v>
      </c>
      <c r="CF851" s="3">
        <v>43809</v>
      </c>
      <c r="CI851">
        <v>1</v>
      </c>
      <c r="CJ851">
        <v>1</v>
      </c>
      <c r="CK851">
        <v>21</v>
      </c>
      <c r="CL851" t="s">
        <v>89</v>
      </c>
    </row>
    <row r="852" spans="1:90">
      <c r="A852" t="s">
        <v>72</v>
      </c>
      <c r="B852" t="s">
        <v>73</v>
      </c>
      <c r="C852" t="s">
        <v>74</v>
      </c>
      <c r="E852" t="str">
        <f>"FES1162727378"</f>
        <v>FES1162727378</v>
      </c>
      <c r="F852" s="3">
        <v>43808</v>
      </c>
      <c r="G852">
        <v>202006</v>
      </c>
      <c r="H852" t="s">
        <v>75</v>
      </c>
      <c r="I852" t="s">
        <v>76</v>
      </c>
      <c r="J852" t="s">
        <v>77</v>
      </c>
      <c r="K852" t="s">
        <v>78</v>
      </c>
      <c r="L852" t="s">
        <v>404</v>
      </c>
      <c r="M852" t="s">
        <v>405</v>
      </c>
      <c r="N852" t="s">
        <v>1385</v>
      </c>
      <c r="O852" t="s">
        <v>82</v>
      </c>
      <c r="P852" t="str">
        <f>"2170710863                    "</f>
        <v xml:space="preserve">2170710863                    </v>
      </c>
      <c r="Q852">
        <v>0</v>
      </c>
      <c r="R852">
        <v>0</v>
      </c>
      <c r="S852">
        <v>0</v>
      </c>
      <c r="T852">
        <v>0</v>
      </c>
      <c r="U852">
        <v>0</v>
      </c>
      <c r="V852">
        <v>0</v>
      </c>
      <c r="W852">
        <v>0</v>
      </c>
      <c r="X852">
        <v>0</v>
      </c>
      <c r="Y852">
        <v>0</v>
      </c>
      <c r="Z852">
        <v>0</v>
      </c>
      <c r="AA852">
        <v>0</v>
      </c>
      <c r="AB852">
        <v>0</v>
      </c>
      <c r="AC852">
        <v>0</v>
      </c>
      <c r="AD852">
        <v>0</v>
      </c>
      <c r="AE852">
        <v>0</v>
      </c>
      <c r="AF852">
        <v>0</v>
      </c>
      <c r="AG852">
        <v>0</v>
      </c>
      <c r="AH852">
        <v>0</v>
      </c>
      <c r="AI852">
        <v>0</v>
      </c>
      <c r="AJ852">
        <v>0</v>
      </c>
      <c r="AK852">
        <v>0</v>
      </c>
      <c r="AL852">
        <v>0</v>
      </c>
      <c r="AM852">
        <v>21.45</v>
      </c>
      <c r="AN852">
        <v>0</v>
      </c>
      <c r="AO852">
        <v>0</v>
      </c>
      <c r="AP852">
        <v>0</v>
      </c>
      <c r="AQ852">
        <v>0</v>
      </c>
      <c r="AR852">
        <v>0</v>
      </c>
      <c r="AS852">
        <v>0</v>
      </c>
      <c r="AT852">
        <v>0</v>
      </c>
      <c r="AU852">
        <v>0</v>
      </c>
      <c r="AV852">
        <v>0</v>
      </c>
      <c r="AW852">
        <v>0</v>
      </c>
      <c r="AX852">
        <v>0</v>
      </c>
      <c r="AY852">
        <v>0</v>
      </c>
      <c r="AZ852">
        <v>0</v>
      </c>
      <c r="BA852">
        <v>0</v>
      </c>
      <c r="BB852">
        <v>0</v>
      </c>
      <c r="BC852">
        <v>0</v>
      </c>
      <c r="BD852">
        <v>0</v>
      </c>
      <c r="BE852">
        <v>0</v>
      </c>
      <c r="BF852">
        <v>0</v>
      </c>
      <c r="BG852">
        <v>0</v>
      </c>
      <c r="BH852">
        <v>1</v>
      </c>
      <c r="BI852">
        <v>4.8</v>
      </c>
      <c r="BJ852">
        <v>3.3</v>
      </c>
      <c r="BK852">
        <v>5</v>
      </c>
      <c r="BL852" s="4">
        <v>126.08</v>
      </c>
      <c r="BM852" s="4">
        <v>18.91</v>
      </c>
      <c r="BN852" s="4">
        <v>144.99</v>
      </c>
      <c r="BO852" s="4">
        <v>144.99</v>
      </c>
      <c r="BQ852" t="s">
        <v>277</v>
      </c>
      <c r="BR852" t="s">
        <v>84</v>
      </c>
      <c r="BS852" s="3">
        <v>43809</v>
      </c>
      <c r="BT852" s="5">
        <v>0.35902777777777778</v>
      </c>
      <c r="BU852" t="s">
        <v>1386</v>
      </c>
      <c r="BV852" t="s">
        <v>86</v>
      </c>
      <c r="BY852">
        <v>16361.28</v>
      </c>
      <c r="CA852" t="s">
        <v>270</v>
      </c>
      <c r="CC852" t="s">
        <v>405</v>
      </c>
      <c r="CD852">
        <v>4026</v>
      </c>
      <c r="CE852" t="s">
        <v>96</v>
      </c>
      <c r="CF852" s="3">
        <v>43810</v>
      </c>
      <c r="CI852">
        <v>1</v>
      </c>
      <c r="CJ852">
        <v>1</v>
      </c>
      <c r="CK852">
        <v>21</v>
      </c>
      <c r="CL852" t="s">
        <v>89</v>
      </c>
    </row>
    <row r="853" spans="1:90">
      <c r="A853" t="s">
        <v>72</v>
      </c>
      <c r="B853" t="s">
        <v>73</v>
      </c>
      <c r="C853" t="s">
        <v>74</v>
      </c>
      <c r="E853" t="str">
        <f>"FES1162727382"</f>
        <v>FES1162727382</v>
      </c>
      <c r="F853" s="3">
        <v>43808</v>
      </c>
      <c r="G853">
        <v>202006</v>
      </c>
      <c r="H853" t="s">
        <v>75</v>
      </c>
      <c r="I853" t="s">
        <v>76</v>
      </c>
      <c r="J853" t="s">
        <v>77</v>
      </c>
      <c r="K853" t="s">
        <v>78</v>
      </c>
      <c r="L853" t="s">
        <v>198</v>
      </c>
      <c r="M853" t="s">
        <v>199</v>
      </c>
      <c r="N853" t="s">
        <v>1387</v>
      </c>
      <c r="O853" t="s">
        <v>82</v>
      </c>
      <c r="P853" t="str">
        <f>"2170710867                    "</f>
        <v xml:space="preserve">2170710867                    </v>
      </c>
      <c r="Q853">
        <v>0</v>
      </c>
      <c r="R853">
        <v>0</v>
      </c>
      <c r="S853">
        <v>0</v>
      </c>
      <c r="T853">
        <v>0</v>
      </c>
      <c r="U853">
        <v>0</v>
      </c>
      <c r="V853">
        <v>0</v>
      </c>
      <c r="W853">
        <v>0</v>
      </c>
      <c r="X853">
        <v>0</v>
      </c>
      <c r="Y853">
        <v>0</v>
      </c>
      <c r="Z853">
        <v>0</v>
      </c>
      <c r="AA853">
        <v>0</v>
      </c>
      <c r="AB853">
        <v>0</v>
      </c>
      <c r="AC853">
        <v>0</v>
      </c>
      <c r="AD853">
        <v>0</v>
      </c>
      <c r="AE853">
        <v>0</v>
      </c>
      <c r="AF853">
        <v>0</v>
      </c>
      <c r="AG853">
        <v>0</v>
      </c>
      <c r="AH853">
        <v>0</v>
      </c>
      <c r="AI853">
        <v>0</v>
      </c>
      <c r="AJ853">
        <v>0</v>
      </c>
      <c r="AK853">
        <v>0</v>
      </c>
      <c r="AL853">
        <v>0</v>
      </c>
      <c r="AM853">
        <v>27.88</v>
      </c>
      <c r="AN853">
        <v>0</v>
      </c>
      <c r="AO853">
        <v>0</v>
      </c>
      <c r="AP853">
        <v>0</v>
      </c>
      <c r="AQ853">
        <v>0</v>
      </c>
      <c r="AR853">
        <v>0</v>
      </c>
      <c r="AS853">
        <v>0</v>
      </c>
      <c r="AT853">
        <v>0</v>
      </c>
      <c r="AU853">
        <v>0</v>
      </c>
      <c r="AV853">
        <v>0</v>
      </c>
      <c r="AW853">
        <v>0</v>
      </c>
      <c r="AX853">
        <v>0</v>
      </c>
      <c r="AY853">
        <v>0</v>
      </c>
      <c r="AZ853">
        <v>0</v>
      </c>
      <c r="BA853">
        <v>0</v>
      </c>
      <c r="BB853">
        <v>0</v>
      </c>
      <c r="BC853">
        <v>0</v>
      </c>
      <c r="BD853">
        <v>0</v>
      </c>
      <c r="BE853">
        <v>0</v>
      </c>
      <c r="BF853">
        <v>0</v>
      </c>
      <c r="BG853">
        <v>0</v>
      </c>
      <c r="BH853">
        <v>1</v>
      </c>
      <c r="BI853">
        <v>3.9</v>
      </c>
      <c r="BJ853">
        <v>6.2</v>
      </c>
      <c r="BK853">
        <v>6.5</v>
      </c>
      <c r="BL853" s="4">
        <v>163.89</v>
      </c>
      <c r="BM853" s="4">
        <v>24.58</v>
      </c>
      <c r="BN853" s="4">
        <v>188.47</v>
      </c>
      <c r="BO853" s="4">
        <v>188.47</v>
      </c>
      <c r="BQ853" t="s">
        <v>93</v>
      </c>
      <c r="BR853" t="s">
        <v>84</v>
      </c>
      <c r="BS853" s="3">
        <v>43809</v>
      </c>
      <c r="BT853" s="5">
        <v>0.40486111111111112</v>
      </c>
      <c r="BU853" t="s">
        <v>1388</v>
      </c>
      <c r="BV853" t="s">
        <v>86</v>
      </c>
      <c r="BY853">
        <v>30986.16</v>
      </c>
      <c r="CA853" t="s">
        <v>205</v>
      </c>
      <c r="CC853" t="s">
        <v>199</v>
      </c>
      <c r="CD853">
        <v>4001</v>
      </c>
      <c r="CE853" t="s">
        <v>116</v>
      </c>
      <c r="CF853" s="3">
        <v>43809</v>
      </c>
      <c r="CI853">
        <v>1</v>
      </c>
      <c r="CJ853">
        <v>1</v>
      </c>
      <c r="CK853">
        <v>21</v>
      </c>
      <c r="CL853" t="s">
        <v>89</v>
      </c>
    </row>
    <row r="854" spans="1:90">
      <c r="A854" t="s">
        <v>72</v>
      </c>
      <c r="B854" t="s">
        <v>73</v>
      </c>
      <c r="C854" t="s">
        <v>74</v>
      </c>
      <c r="E854" t="str">
        <f>"FES1162727452"</f>
        <v>FES1162727452</v>
      </c>
      <c r="F854" s="3">
        <v>43808</v>
      </c>
      <c r="G854">
        <v>202006</v>
      </c>
      <c r="H854" t="s">
        <v>75</v>
      </c>
      <c r="I854" t="s">
        <v>76</v>
      </c>
      <c r="J854" t="s">
        <v>77</v>
      </c>
      <c r="K854" t="s">
        <v>78</v>
      </c>
      <c r="L854" t="s">
        <v>79</v>
      </c>
      <c r="M854" t="s">
        <v>80</v>
      </c>
      <c r="N854" t="s">
        <v>1389</v>
      </c>
      <c r="O854" t="s">
        <v>82</v>
      </c>
      <c r="P854" t="str">
        <f>"21707102932                   "</f>
        <v xml:space="preserve">21707102932                   </v>
      </c>
      <c r="Q854">
        <v>0</v>
      </c>
      <c r="R854">
        <v>0</v>
      </c>
      <c r="S854">
        <v>0</v>
      </c>
      <c r="T854">
        <v>0</v>
      </c>
      <c r="U854">
        <v>0</v>
      </c>
      <c r="V854">
        <v>0</v>
      </c>
      <c r="W854">
        <v>0</v>
      </c>
      <c r="X854">
        <v>0</v>
      </c>
      <c r="Y854">
        <v>0</v>
      </c>
      <c r="Z854">
        <v>0</v>
      </c>
      <c r="AA854">
        <v>0</v>
      </c>
      <c r="AB854">
        <v>0</v>
      </c>
      <c r="AC854">
        <v>0</v>
      </c>
      <c r="AD854">
        <v>0</v>
      </c>
      <c r="AE854">
        <v>0</v>
      </c>
      <c r="AF854">
        <v>0</v>
      </c>
      <c r="AG854">
        <v>0</v>
      </c>
      <c r="AH854">
        <v>0</v>
      </c>
      <c r="AI854">
        <v>0</v>
      </c>
      <c r="AJ854">
        <v>0</v>
      </c>
      <c r="AK854">
        <v>0</v>
      </c>
      <c r="AL854">
        <v>0</v>
      </c>
      <c r="AM854">
        <v>79.349999999999994</v>
      </c>
      <c r="AN854">
        <v>0</v>
      </c>
      <c r="AO854">
        <v>0</v>
      </c>
      <c r="AP854">
        <v>0</v>
      </c>
      <c r="AQ854">
        <v>0</v>
      </c>
      <c r="AR854">
        <v>0</v>
      </c>
      <c r="AS854">
        <v>0</v>
      </c>
      <c r="AT854">
        <v>0</v>
      </c>
      <c r="AU854">
        <v>0</v>
      </c>
      <c r="AV854">
        <v>0</v>
      </c>
      <c r="AW854">
        <v>0</v>
      </c>
      <c r="AX854">
        <v>0</v>
      </c>
      <c r="AY854">
        <v>0</v>
      </c>
      <c r="AZ854">
        <v>0</v>
      </c>
      <c r="BA854">
        <v>0</v>
      </c>
      <c r="BB854">
        <v>0</v>
      </c>
      <c r="BC854">
        <v>0</v>
      </c>
      <c r="BD854">
        <v>0</v>
      </c>
      <c r="BE854">
        <v>0</v>
      </c>
      <c r="BF854">
        <v>0</v>
      </c>
      <c r="BG854">
        <v>0</v>
      </c>
      <c r="BH854">
        <v>1</v>
      </c>
      <c r="BI854">
        <v>13</v>
      </c>
      <c r="BJ854">
        <v>18.3</v>
      </c>
      <c r="BK854">
        <v>18.5</v>
      </c>
      <c r="BL854" s="4">
        <v>466.4</v>
      </c>
      <c r="BM854" s="4">
        <v>69.959999999999994</v>
      </c>
      <c r="BN854" s="4">
        <v>536.36</v>
      </c>
      <c r="BO854" s="4">
        <v>536.36</v>
      </c>
      <c r="BR854" t="s">
        <v>84</v>
      </c>
      <c r="BS854" s="3">
        <v>43809</v>
      </c>
      <c r="BT854" s="5">
        <v>0.38194444444444442</v>
      </c>
      <c r="BU854" t="s">
        <v>1390</v>
      </c>
      <c r="BV854" t="s">
        <v>86</v>
      </c>
      <c r="BY854">
        <v>91264</v>
      </c>
      <c r="CA854" t="s">
        <v>99</v>
      </c>
      <c r="CC854" t="s">
        <v>80</v>
      </c>
      <c r="CD854">
        <v>6000</v>
      </c>
      <c r="CE854" t="s">
        <v>96</v>
      </c>
      <c r="CF854" s="3">
        <v>43810</v>
      </c>
      <c r="CI854">
        <v>1</v>
      </c>
      <c r="CJ854">
        <v>1</v>
      </c>
      <c r="CK854">
        <v>21</v>
      </c>
      <c r="CL854" t="s">
        <v>89</v>
      </c>
    </row>
    <row r="855" spans="1:90">
      <c r="A855" t="s">
        <v>72</v>
      </c>
      <c r="B855" t="s">
        <v>73</v>
      </c>
      <c r="C855" t="s">
        <v>74</v>
      </c>
      <c r="E855" t="str">
        <f>"FES1162727374"</f>
        <v>FES1162727374</v>
      </c>
      <c r="F855" s="3">
        <v>43808</v>
      </c>
      <c r="G855">
        <v>202006</v>
      </c>
      <c r="H855" t="s">
        <v>75</v>
      </c>
      <c r="I855" t="s">
        <v>76</v>
      </c>
      <c r="J855" t="s">
        <v>77</v>
      </c>
      <c r="K855" t="s">
        <v>78</v>
      </c>
      <c r="L855" t="s">
        <v>221</v>
      </c>
      <c r="M855" t="s">
        <v>222</v>
      </c>
      <c r="N855" t="s">
        <v>236</v>
      </c>
      <c r="O855" t="s">
        <v>82</v>
      </c>
      <c r="P855" t="str">
        <f>"2170710859                    "</f>
        <v xml:space="preserve">2170710859                    </v>
      </c>
      <c r="Q855">
        <v>0</v>
      </c>
      <c r="R855">
        <v>0</v>
      </c>
      <c r="S855">
        <v>0</v>
      </c>
      <c r="T855">
        <v>0</v>
      </c>
      <c r="U855">
        <v>0</v>
      </c>
      <c r="V855">
        <v>0</v>
      </c>
      <c r="W855">
        <v>0</v>
      </c>
      <c r="X855">
        <v>0</v>
      </c>
      <c r="Y855">
        <v>0</v>
      </c>
      <c r="Z855">
        <v>0</v>
      </c>
      <c r="AA855">
        <v>0</v>
      </c>
      <c r="AB855">
        <v>0</v>
      </c>
      <c r="AC855">
        <v>0</v>
      </c>
      <c r="AD855">
        <v>0</v>
      </c>
      <c r="AE855">
        <v>0</v>
      </c>
      <c r="AF855">
        <v>0</v>
      </c>
      <c r="AG855">
        <v>0</v>
      </c>
      <c r="AH855">
        <v>0</v>
      </c>
      <c r="AI855">
        <v>0</v>
      </c>
      <c r="AJ855">
        <v>0</v>
      </c>
      <c r="AK855">
        <v>0</v>
      </c>
      <c r="AL855">
        <v>0</v>
      </c>
      <c r="AM855">
        <v>17.16</v>
      </c>
      <c r="AN855">
        <v>0</v>
      </c>
      <c r="AO855">
        <v>0</v>
      </c>
      <c r="AP855">
        <v>0</v>
      </c>
      <c r="AQ855">
        <v>0</v>
      </c>
      <c r="AR855">
        <v>0</v>
      </c>
      <c r="AS855">
        <v>0</v>
      </c>
      <c r="AT855">
        <v>0</v>
      </c>
      <c r="AU855">
        <v>0</v>
      </c>
      <c r="AV855">
        <v>0</v>
      </c>
      <c r="AW855">
        <v>0</v>
      </c>
      <c r="AX855">
        <v>0</v>
      </c>
      <c r="AY855">
        <v>0</v>
      </c>
      <c r="AZ855">
        <v>0</v>
      </c>
      <c r="BA855">
        <v>0</v>
      </c>
      <c r="BB855">
        <v>0</v>
      </c>
      <c r="BC855">
        <v>0</v>
      </c>
      <c r="BD855">
        <v>0</v>
      </c>
      <c r="BE855">
        <v>0</v>
      </c>
      <c r="BF855">
        <v>0</v>
      </c>
      <c r="BG855">
        <v>0</v>
      </c>
      <c r="BH855">
        <v>1</v>
      </c>
      <c r="BI855">
        <v>4</v>
      </c>
      <c r="BJ855">
        <v>1.3</v>
      </c>
      <c r="BK855">
        <v>4</v>
      </c>
      <c r="BL855" s="4">
        <v>100.87</v>
      </c>
      <c r="BM855" s="4">
        <v>15.13</v>
      </c>
      <c r="BN855" s="4">
        <v>116</v>
      </c>
      <c r="BO855" s="4">
        <v>116</v>
      </c>
      <c r="BQ855" t="s">
        <v>93</v>
      </c>
      <c r="BR855" t="s">
        <v>84</v>
      </c>
      <c r="BS855" s="3">
        <v>43809</v>
      </c>
      <c r="BT855" s="5">
        <v>0.37986111111111115</v>
      </c>
      <c r="BU855" t="s">
        <v>237</v>
      </c>
      <c r="BV855" t="s">
        <v>86</v>
      </c>
      <c r="BY855">
        <v>6633.14</v>
      </c>
      <c r="CA855" t="s">
        <v>225</v>
      </c>
      <c r="CC855" t="s">
        <v>222</v>
      </c>
      <c r="CD855">
        <v>3212</v>
      </c>
      <c r="CE855" t="s">
        <v>96</v>
      </c>
      <c r="CF855" s="3">
        <v>43812</v>
      </c>
      <c r="CI855">
        <v>1</v>
      </c>
      <c r="CJ855">
        <v>1</v>
      </c>
      <c r="CK855">
        <v>21</v>
      </c>
      <c r="CL855" t="s">
        <v>89</v>
      </c>
    </row>
    <row r="856" spans="1:90">
      <c r="A856" t="s">
        <v>72</v>
      </c>
      <c r="B856" t="s">
        <v>73</v>
      </c>
      <c r="C856" t="s">
        <v>74</v>
      </c>
      <c r="E856" t="str">
        <f>"FES1162727372"</f>
        <v>FES1162727372</v>
      </c>
      <c r="F856" s="3">
        <v>43808</v>
      </c>
      <c r="G856">
        <v>202006</v>
      </c>
      <c r="H856" t="s">
        <v>75</v>
      </c>
      <c r="I856" t="s">
        <v>76</v>
      </c>
      <c r="J856" t="s">
        <v>77</v>
      </c>
      <c r="K856" t="s">
        <v>78</v>
      </c>
      <c r="L856" t="s">
        <v>564</v>
      </c>
      <c r="M856" t="s">
        <v>565</v>
      </c>
      <c r="N856" t="s">
        <v>566</v>
      </c>
      <c r="O856" t="s">
        <v>82</v>
      </c>
      <c r="P856" t="str">
        <f>"2170720857                    "</f>
        <v xml:space="preserve">2170720857                    </v>
      </c>
      <c r="Q856">
        <v>0</v>
      </c>
      <c r="R856">
        <v>0</v>
      </c>
      <c r="S856">
        <v>0</v>
      </c>
      <c r="T856">
        <v>0</v>
      </c>
      <c r="U856">
        <v>0</v>
      </c>
      <c r="V856">
        <v>0</v>
      </c>
      <c r="W856">
        <v>0</v>
      </c>
      <c r="X856">
        <v>0</v>
      </c>
      <c r="Y856">
        <v>0</v>
      </c>
      <c r="Z856">
        <v>0</v>
      </c>
      <c r="AA856">
        <v>0</v>
      </c>
      <c r="AB856">
        <v>0</v>
      </c>
      <c r="AC856">
        <v>0</v>
      </c>
      <c r="AD856">
        <v>0</v>
      </c>
      <c r="AE856">
        <v>0</v>
      </c>
      <c r="AF856">
        <v>0</v>
      </c>
      <c r="AG856">
        <v>0</v>
      </c>
      <c r="AH856">
        <v>0</v>
      </c>
      <c r="AI856">
        <v>0</v>
      </c>
      <c r="AJ856">
        <v>0</v>
      </c>
      <c r="AK856">
        <v>0</v>
      </c>
      <c r="AL856">
        <v>0</v>
      </c>
      <c r="AM856">
        <v>16.63</v>
      </c>
      <c r="AN856">
        <v>0</v>
      </c>
      <c r="AO856">
        <v>0</v>
      </c>
      <c r="AP856">
        <v>0</v>
      </c>
      <c r="AQ856">
        <v>0</v>
      </c>
      <c r="AR856">
        <v>0</v>
      </c>
      <c r="AS856">
        <v>0</v>
      </c>
      <c r="AT856">
        <v>0</v>
      </c>
      <c r="AU856">
        <v>0</v>
      </c>
      <c r="AV856">
        <v>0</v>
      </c>
      <c r="AW856">
        <v>0</v>
      </c>
      <c r="AX856">
        <v>0</v>
      </c>
      <c r="AY856">
        <v>0</v>
      </c>
      <c r="AZ856">
        <v>0</v>
      </c>
      <c r="BA856">
        <v>0</v>
      </c>
      <c r="BB856">
        <v>0</v>
      </c>
      <c r="BC856">
        <v>0</v>
      </c>
      <c r="BD856">
        <v>0</v>
      </c>
      <c r="BE856">
        <v>0</v>
      </c>
      <c r="BF856">
        <v>0</v>
      </c>
      <c r="BG856">
        <v>0</v>
      </c>
      <c r="BH856">
        <v>1</v>
      </c>
      <c r="BI856">
        <v>1</v>
      </c>
      <c r="BJ856">
        <v>0.2</v>
      </c>
      <c r="BK856">
        <v>1</v>
      </c>
      <c r="BL856" s="4">
        <v>97.75</v>
      </c>
      <c r="BM856" s="4">
        <v>14.66</v>
      </c>
      <c r="BN856" s="4">
        <v>112.41</v>
      </c>
      <c r="BO856" s="4">
        <v>112.41</v>
      </c>
      <c r="BQ856" t="s">
        <v>135</v>
      </c>
      <c r="BR856" t="s">
        <v>84</v>
      </c>
      <c r="BS856" s="3">
        <v>43809</v>
      </c>
      <c r="BT856" s="5">
        <v>0.53749999999999998</v>
      </c>
      <c r="BU856" t="s">
        <v>1391</v>
      </c>
      <c r="BV856" t="s">
        <v>86</v>
      </c>
      <c r="BY856">
        <v>1200</v>
      </c>
      <c r="CA856" t="s">
        <v>1392</v>
      </c>
      <c r="CC856" t="s">
        <v>565</v>
      </c>
      <c r="CD856">
        <v>4276</v>
      </c>
      <c r="CE856" t="s">
        <v>88</v>
      </c>
      <c r="CF856" s="3">
        <v>43811</v>
      </c>
      <c r="CI856">
        <v>1</v>
      </c>
      <c r="CJ856">
        <v>1</v>
      </c>
      <c r="CK856">
        <v>23</v>
      </c>
      <c r="CL856" t="s">
        <v>89</v>
      </c>
    </row>
    <row r="857" spans="1:90">
      <c r="A857" t="s">
        <v>72</v>
      </c>
      <c r="B857" t="s">
        <v>73</v>
      </c>
      <c r="C857" t="s">
        <v>74</v>
      </c>
      <c r="E857" t="str">
        <f>"FES1162727367"</f>
        <v>FES1162727367</v>
      </c>
      <c r="F857" s="3">
        <v>43808</v>
      </c>
      <c r="G857">
        <v>202006</v>
      </c>
      <c r="H857" t="s">
        <v>75</v>
      </c>
      <c r="I857" t="s">
        <v>76</v>
      </c>
      <c r="J857" t="s">
        <v>77</v>
      </c>
      <c r="K857" t="s">
        <v>78</v>
      </c>
      <c r="L857" t="s">
        <v>469</v>
      </c>
      <c r="M857" t="s">
        <v>470</v>
      </c>
      <c r="N857" t="s">
        <v>471</v>
      </c>
      <c r="O857" t="s">
        <v>82</v>
      </c>
      <c r="P857" t="str">
        <f>"2170710848                    "</f>
        <v xml:space="preserve">2170710848                    </v>
      </c>
      <c r="Q857">
        <v>0</v>
      </c>
      <c r="R857">
        <v>0</v>
      </c>
      <c r="S857">
        <v>0</v>
      </c>
      <c r="T857">
        <v>0</v>
      </c>
      <c r="U857">
        <v>0</v>
      </c>
      <c r="V857">
        <v>0</v>
      </c>
      <c r="W857">
        <v>0</v>
      </c>
      <c r="X857">
        <v>0</v>
      </c>
      <c r="Y857">
        <v>0</v>
      </c>
      <c r="Z857">
        <v>0</v>
      </c>
      <c r="AA857">
        <v>0</v>
      </c>
      <c r="AB857">
        <v>0</v>
      </c>
      <c r="AC857">
        <v>0</v>
      </c>
      <c r="AD857">
        <v>0</v>
      </c>
      <c r="AE857">
        <v>0</v>
      </c>
      <c r="AF857">
        <v>0</v>
      </c>
      <c r="AG857">
        <v>0</v>
      </c>
      <c r="AH857">
        <v>0</v>
      </c>
      <c r="AI857">
        <v>0</v>
      </c>
      <c r="AJ857">
        <v>0</v>
      </c>
      <c r="AK857">
        <v>0</v>
      </c>
      <c r="AL857">
        <v>0</v>
      </c>
      <c r="AM857">
        <v>136.81</v>
      </c>
      <c r="AN857">
        <v>0</v>
      </c>
      <c r="AO857">
        <v>0</v>
      </c>
      <c r="AP857">
        <v>0</v>
      </c>
      <c r="AQ857">
        <v>0</v>
      </c>
      <c r="AR857">
        <v>0</v>
      </c>
      <c r="AS857">
        <v>0</v>
      </c>
      <c r="AT857">
        <v>0</v>
      </c>
      <c r="AU857">
        <v>0</v>
      </c>
      <c r="AV857">
        <v>0</v>
      </c>
      <c r="AW857">
        <v>0</v>
      </c>
      <c r="AX857">
        <v>0</v>
      </c>
      <c r="AY857">
        <v>0</v>
      </c>
      <c r="AZ857">
        <v>0</v>
      </c>
      <c r="BA857">
        <v>0</v>
      </c>
      <c r="BB857">
        <v>0</v>
      </c>
      <c r="BC857">
        <v>0</v>
      </c>
      <c r="BD857">
        <v>0</v>
      </c>
      <c r="BE857">
        <v>0</v>
      </c>
      <c r="BF857">
        <v>0</v>
      </c>
      <c r="BG857">
        <v>0</v>
      </c>
      <c r="BH857">
        <v>1</v>
      </c>
      <c r="BI857">
        <v>17.8</v>
      </c>
      <c r="BJ857">
        <v>3.4</v>
      </c>
      <c r="BK857">
        <v>18</v>
      </c>
      <c r="BL857" s="4">
        <v>804.17</v>
      </c>
      <c r="BM857" s="4">
        <v>120.63</v>
      </c>
      <c r="BN857" s="4">
        <v>924.8</v>
      </c>
      <c r="BO857" s="4">
        <v>924.8</v>
      </c>
      <c r="BQ857" t="s">
        <v>147</v>
      </c>
      <c r="BR857" t="s">
        <v>84</v>
      </c>
      <c r="BS857" s="3">
        <v>43809</v>
      </c>
      <c r="BT857" s="5">
        <v>0.39583333333333331</v>
      </c>
      <c r="BU857" t="s">
        <v>1393</v>
      </c>
      <c r="BV857" t="s">
        <v>86</v>
      </c>
      <c r="BY857">
        <v>17230.16</v>
      </c>
      <c r="CC857" t="s">
        <v>470</v>
      </c>
      <c r="CD857">
        <v>9880</v>
      </c>
      <c r="CE857" t="s">
        <v>96</v>
      </c>
      <c r="CF857" s="3">
        <v>43811</v>
      </c>
      <c r="CI857">
        <v>1</v>
      </c>
      <c r="CJ857">
        <v>1</v>
      </c>
      <c r="CK857">
        <v>23</v>
      </c>
      <c r="CL857" t="s">
        <v>89</v>
      </c>
    </row>
    <row r="858" spans="1:90">
      <c r="A858" t="s">
        <v>72</v>
      </c>
      <c r="B858" t="s">
        <v>73</v>
      </c>
      <c r="C858" t="s">
        <v>74</v>
      </c>
      <c r="E858" t="str">
        <f>"FES1162727361"</f>
        <v>FES1162727361</v>
      </c>
      <c r="F858" s="3">
        <v>43808</v>
      </c>
      <c r="G858">
        <v>202006</v>
      </c>
      <c r="H858" t="s">
        <v>75</v>
      </c>
      <c r="I858" t="s">
        <v>76</v>
      </c>
      <c r="J858" t="s">
        <v>77</v>
      </c>
      <c r="K858" t="s">
        <v>78</v>
      </c>
      <c r="L858" t="s">
        <v>201</v>
      </c>
      <c r="M858" t="s">
        <v>202</v>
      </c>
      <c r="N858" t="s">
        <v>286</v>
      </c>
      <c r="O858" t="s">
        <v>82</v>
      </c>
      <c r="P858" t="str">
        <f>"2170720842                    "</f>
        <v xml:space="preserve">2170720842                    </v>
      </c>
      <c r="Q858">
        <v>0</v>
      </c>
      <c r="R858">
        <v>0</v>
      </c>
      <c r="S858">
        <v>0</v>
      </c>
      <c r="T858">
        <v>0</v>
      </c>
      <c r="U858">
        <v>0</v>
      </c>
      <c r="V858">
        <v>0</v>
      </c>
      <c r="W858">
        <v>0</v>
      </c>
      <c r="X858">
        <v>0</v>
      </c>
      <c r="Y858">
        <v>0</v>
      </c>
      <c r="Z858">
        <v>0</v>
      </c>
      <c r="AA858">
        <v>0</v>
      </c>
      <c r="AB858">
        <v>0</v>
      </c>
      <c r="AC858">
        <v>0</v>
      </c>
      <c r="AD858">
        <v>0</v>
      </c>
      <c r="AE858">
        <v>0</v>
      </c>
      <c r="AF858">
        <v>0</v>
      </c>
      <c r="AG858">
        <v>0</v>
      </c>
      <c r="AH858">
        <v>0</v>
      </c>
      <c r="AI858">
        <v>0</v>
      </c>
      <c r="AJ858">
        <v>0</v>
      </c>
      <c r="AK858">
        <v>0</v>
      </c>
      <c r="AL858">
        <v>0</v>
      </c>
      <c r="AM858">
        <v>8.58</v>
      </c>
      <c r="AN858">
        <v>0</v>
      </c>
      <c r="AO858">
        <v>0</v>
      </c>
      <c r="AP858">
        <v>0</v>
      </c>
      <c r="AQ858">
        <v>0</v>
      </c>
      <c r="AR858">
        <v>0</v>
      </c>
      <c r="AS858">
        <v>0</v>
      </c>
      <c r="AT858">
        <v>0</v>
      </c>
      <c r="AU858">
        <v>0</v>
      </c>
      <c r="AV858">
        <v>0</v>
      </c>
      <c r="AW858">
        <v>0</v>
      </c>
      <c r="AX858">
        <v>0</v>
      </c>
      <c r="AY858">
        <v>0</v>
      </c>
      <c r="AZ858">
        <v>0</v>
      </c>
      <c r="BA858">
        <v>0</v>
      </c>
      <c r="BB858">
        <v>0</v>
      </c>
      <c r="BC858">
        <v>0</v>
      </c>
      <c r="BD858">
        <v>0</v>
      </c>
      <c r="BE858">
        <v>0</v>
      </c>
      <c r="BF858">
        <v>0</v>
      </c>
      <c r="BG858">
        <v>0</v>
      </c>
      <c r="BH858">
        <v>1</v>
      </c>
      <c r="BI858">
        <v>1</v>
      </c>
      <c r="BJ858">
        <v>0.2</v>
      </c>
      <c r="BK858">
        <v>1</v>
      </c>
      <c r="BL858" s="4">
        <v>50.45</v>
      </c>
      <c r="BM858" s="4">
        <v>7.57</v>
      </c>
      <c r="BN858" s="4">
        <v>58.02</v>
      </c>
      <c r="BO858" s="4">
        <v>58.02</v>
      </c>
      <c r="BQ858" t="s">
        <v>93</v>
      </c>
      <c r="BR858" t="s">
        <v>84</v>
      </c>
      <c r="BS858" s="3">
        <v>43809</v>
      </c>
      <c r="BT858" s="5">
        <v>0.36736111111111108</v>
      </c>
      <c r="BU858" t="s">
        <v>287</v>
      </c>
      <c r="BV858" t="s">
        <v>86</v>
      </c>
      <c r="BY858">
        <v>1200</v>
      </c>
      <c r="CA858" t="s">
        <v>288</v>
      </c>
      <c r="CC858" t="s">
        <v>202</v>
      </c>
      <c r="CD858">
        <v>3610</v>
      </c>
      <c r="CE858" t="s">
        <v>88</v>
      </c>
      <c r="CF858" s="3">
        <v>43809</v>
      </c>
      <c r="CI858">
        <v>1</v>
      </c>
      <c r="CJ858">
        <v>1</v>
      </c>
      <c r="CK858">
        <v>21</v>
      </c>
      <c r="CL858" t="s">
        <v>89</v>
      </c>
    </row>
    <row r="859" spans="1:90">
      <c r="A859" t="s">
        <v>72</v>
      </c>
      <c r="B859" t="s">
        <v>73</v>
      </c>
      <c r="C859" t="s">
        <v>74</v>
      </c>
      <c r="E859" t="str">
        <f>"FES1162727406"</f>
        <v>FES1162727406</v>
      </c>
      <c r="F859" s="3">
        <v>43808</v>
      </c>
      <c r="G859">
        <v>202006</v>
      </c>
      <c r="H859" t="s">
        <v>75</v>
      </c>
      <c r="I859" t="s">
        <v>76</v>
      </c>
      <c r="J859" t="s">
        <v>77</v>
      </c>
      <c r="K859" t="s">
        <v>78</v>
      </c>
      <c r="L859" t="s">
        <v>332</v>
      </c>
      <c r="M859" t="s">
        <v>333</v>
      </c>
      <c r="N859" t="s">
        <v>621</v>
      </c>
      <c r="O859" t="s">
        <v>82</v>
      </c>
      <c r="P859" t="str">
        <f>"2170720898                    "</f>
        <v xml:space="preserve">2170720898                    </v>
      </c>
      <c r="Q859">
        <v>0</v>
      </c>
      <c r="R859">
        <v>0</v>
      </c>
      <c r="S859">
        <v>0</v>
      </c>
      <c r="T859">
        <v>0</v>
      </c>
      <c r="U859">
        <v>0</v>
      </c>
      <c r="V859">
        <v>0</v>
      </c>
      <c r="W859">
        <v>0</v>
      </c>
      <c r="X859">
        <v>0</v>
      </c>
      <c r="Y859">
        <v>0</v>
      </c>
      <c r="Z859">
        <v>0</v>
      </c>
      <c r="AA859">
        <v>0</v>
      </c>
      <c r="AB859">
        <v>0</v>
      </c>
      <c r="AC859">
        <v>0</v>
      </c>
      <c r="AD859">
        <v>0</v>
      </c>
      <c r="AE859">
        <v>0</v>
      </c>
      <c r="AF859">
        <v>0</v>
      </c>
      <c r="AG859">
        <v>0</v>
      </c>
      <c r="AH859">
        <v>0</v>
      </c>
      <c r="AI859">
        <v>0</v>
      </c>
      <c r="AJ859">
        <v>0</v>
      </c>
      <c r="AK859">
        <v>0</v>
      </c>
      <c r="AL859">
        <v>0</v>
      </c>
      <c r="AM859">
        <v>6.71</v>
      </c>
      <c r="AN859">
        <v>0</v>
      </c>
      <c r="AO859">
        <v>0</v>
      </c>
      <c r="AP859">
        <v>0</v>
      </c>
      <c r="AQ859">
        <v>0</v>
      </c>
      <c r="AR859">
        <v>0</v>
      </c>
      <c r="AS859">
        <v>0</v>
      </c>
      <c r="AT859">
        <v>0</v>
      </c>
      <c r="AU859">
        <v>0</v>
      </c>
      <c r="AV859">
        <v>0</v>
      </c>
      <c r="AW859">
        <v>0</v>
      </c>
      <c r="AX859">
        <v>0</v>
      </c>
      <c r="AY859">
        <v>0</v>
      </c>
      <c r="AZ859">
        <v>0</v>
      </c>
      <c r="BA859">
        <v>0</v>
      </c>
      <c r="BB859">
        <v>0</v>
      </c>
      <c r="BC859">
        <v>0</v>
      </c>
      <c r="BD859">
        <v>0</v>
      </c>
      <c r="BE859">
        <v>0</v>
      </c>
      <c r="BF859">
        <v>0</v>
      </c>
      <c r="BG859">
        <v>0</v>
      </c>
      <c r="BH859">
        <v>1</v>
      </c>
      <c r="BI859">
        <v>1</v>
      </c>
      <c r="BJ859">
        <v>0.2</v>
      </c>
      <c r="BK859">
        <v>1</v>
      </c>
      <c r="BL859" s="4">
        <v>39.42</v>
      </c>
      <c r="BM859" s="4">
        <v>5.91</v>
      </c>
      <c r="BN859" s="4">
        <v>45.33</v>
      </c>
      <c r="BO859" s="4">
        <v>45.33</v>
      </c>
      <c r="BQ859" t="s">
        <v>622</v>
      </c>
      <c r="BR859" t="s">
        <v>84</v>
      </c>
      <c r="BS859" s="3">
        <v>43809</v>
      </c>
      <c r="BT859" s="5">
        <v>0.41666666666666669</v>
      </c>
      <c r="BU859" t="s">
        <v>1394</v>
      </c>
      <c r="BV859" t="s">
        <v>86</v>
      </c>
      <c r="BY859">
        <v>1200</v>
      </c>
      <c r="CC859" t="s">
        <v>333</v>
      </c>
      <c r="CD859">
        <v>2090</v>
      </c>
      <c r="CE859" t="s">
        <v>88</v>
      </c>
      <c r="CF859" s="3">
        <v>43811</v>
      </c>
      <c r="CI859">
        <v>1</v>
      </c>
      <c r="CJ859">
        <v>1</v>
      </c>
      <c r="CK859">
        <v>22</v>
      </c>
      <c r="CL859" t="s">
        <v>89</v>
      </c>
    </row>
    <row r="860" spans="1:90">
      <c r="A860" t="s">
        <v>72</v>
      </c>
      <c r="B860" t="s">
        <v>73</v>
      </c>
      <c r="C860" t="s">
        <v>74</v>
      </c>
      <c r="E860" t="str">
        <f>"FES1162727395"</f>
        <v>FES1162727395</v>
      </c>
      <c r="F860" s="3">
        <v>43808</v>
      </c>
      <c r="G860">
        <v>202006</v>
      </c>
      <c r="H860" t="s">
        <v>75</v>
      </c>
      <c r="I860" t="s">
        <v>76</v>
      </c>
      <c r="J860" t="s">
        <v>77</v>
      </c>
      <c r="K860" t="s">
        <v>78</v>
      </c>
      <c r="L860" t="s">
        <v>860</v>
      </c>
      <c r="M860" t="s">
        <v>861</v>
      </c>
      <c r="N860" t="s">
        <v>1395</v>
      </c>
      <c r="O860" t="s">
        <v>82</v>
      </c>
      <c r="P860" t="str">
        <f>"2170720888                    "</f>
        <v xml:space="preserve">2170720888                    </v>
      </c>
      <c r="Q860">
        <v>0</v>
      </c>
      <c r="R860">
        <v>0</v>
      </c>
      <c r="S860">
        <v>0</v>
      </c>
      <c r="T860">
        <v>0</v>
      </c>
      <c r="U860">
        <v>0</v>
      </c>
      <c r="V860">
        <v>0</v>
      </c>
      <c r="W860">
        <v>0</v>
      </c>
      <c r="X860">
        <v>0</v>
      </c>
      <c r="Y860">
        <v>0</v>
      </c>
      <c r="Z860">
        <v>0</v>
      </c>
      <c r="AA860">
        <v>0</v>
      </c>
      <c r="AB860">
        <v>0</v>
      </c>
      <c r="AC860">
        <v>0</v>
      </c>
      <c r="AD860">
        <v>0</v>
      </c>
      <c r="AE860">
        <v>0</v>
      </c>
      <c r="AF860">
        <v>0</v>
      </c>
      <c r="AG860">
        <v>0</v>
      </c>
      <c r="AH860">
        <v>0</v>
      </c>
      <c r="AI860">
        <v>0</v>
      </c>
      <c r="AJ860">
        <v>0</v>
      </c>
      <c r="AK860">
        <v>0</v>
      </c>
      <c r="AL860">
        <v>0</v>
      </c>
      <c r="AM860">
        <v>6.71</v>
      </c>
      <c r="AN860">
        <v>0</v>
      </c>
      <c r="AO860">
        <v>0</v>
      </c>
      <c r="AP860">
        <v>0</v>
      </c>
      <c r="AQ860">
        <v>0</v>
      </c>
      <c r="AR860">
        <v>0</v>
      </c>
      <c r="AS860">
        <v>0</v>
      </c>
      <c r="AT860">
        <v>0</v>
      </c>
      <c r="AU860">
        <v>0</v>
      </c>
      <c r="AV860">
        <v>0</v>
      </c>
      <c r="AW860">
        <v>0</v>
      </c>
      <c r="AX860">
        <v>0</v>
      </c>
      <c r="AY860">
        <v>0</v>
      </c>
      <c r="AZ860">
        <v>0</v>
      </c>
      <c r="BA860">
        <v>0</v>
      </c>
      <c r="BB860">
        <v>0</v>
      </c>
      <c r="BC860">
        <v>0</v>
      </c>
      <c r="BD860">
        <v>0</v>
      </c>
      <c r="BE860">
        <v>0</v>
      </c>
      <c r="BF860">
        <v>0</v>
      </c>
      <c r="BG860">
        <v>0</v>
      </c>
      <c r="BH860">
        <v>1</v>
      </c>
      <c r="BI860">
        <v>1</v>
      </c>
      <c r="BJ860">
        <v>0.2</v>
      </c>
      <c r="BK860">
        <v>1</v>
      </c>
      <c r="BL860" s="4">
        <v>39.42</v>
      </c>
      <c r="BM860" s="4">
        <v>5.91</v>
      </c>
      <c r="BN860" s="4">
        <v>45.33</v>
      </c>
      <c r="BO860" s="4">
        <v>45.33</v>
      </c>
      <c r="BQ860" t="s">
        <v>147</v>
      </c>
      <c r="BR860" t="s">
        <v>84</v>
      </c>
      <c r="BS860" s="3">
        <v>43809</v>
      </c>
      <c r="BT860" s="5">
        <v>0.39583333333333331</v>
      </c>
      <c r="BU860" t="s">
        <v>1396</v>
      </c>
      <c r="BV860" t="s">
        <v>86</v>
      </c>
      <c r="BY860">
        <v>1200</v>
      </c>
      <c r="CA860" t="s">
        <v>1397</v>
      </c>
      <c r="CC860" t="s">
        <v>861</v>
      </c>
      <c r="CD860">
        <v>2163</v>
      </c>
      <c r="CE860" t="s">
        <v>88</v>
      </c>
      <c r="CF860" s="3">
        <v>43810</v>
      </c>
      <c r="CI860">
        <v>1</v>
      </c>
      <c r="CJ860">
        <v>1</v>
      </c>
      <c r="CK860">
        <v>22</v>
      </c>
      <c r="CL860" t="s">
        <v>89</v>
      </c>
    </row>
    <row r="861" spans="1:90">
      <c r="A861" t="s">
        <v>72</v>
      </c>
      <c r="B861" t="s">
        <v>73</v>
      </c>
      <c r="C861" t="s">
        <v>74</v>
      </c>
      <c r="E861" t="str">
        <f>"FES1162727432"</f>
        <v>FES1162727432</v>
      </c>
      <c r="F861" s="3">
        <v>43808</v>
      </c>
      <c r="G861">
        <v>202006</v>
      </c>
      <c r="H861" t="s">
        <v>75</v>
      </c>
      <c r="I861" t="s">
        <v>76</v>
      </c>
      <c r="J861" t="s">
        <v>77</v>
      </c>
      <c r="K861" t="s">
        <v>78</v>
      </c>
      <c r="L861" t="s">
        <v>714</v>
      </c>
      <c r="M861" t="s">
        <v>715</v>
      </c>
      <c r="N861" t="s">
        <v>1018</v>
      </c>
      <c r="O861" t="s">
        <v>82</v>
      </c>
      <c r="P861" t="str">
        <f>"2170720921                    "</f>
        <v xml:space="preserve">2170720921                    </v>
      </c>
      <c r="Q861">
        <v>0</v>
      </c>
      <c r="R861">
        <v>0</v>
      </c>
      <c r="S861">
        <v>0</v>
      </c>
      <c r="T861">
        <v>0</v>
      </c>
      <c r="U861">
        <v>0</v>
      </c>
      <c r="V861">
        <v>0</v>
      </c>
      <c r="W861">
        <v>0</v>
      </c>
      <c r="X861">
        <v>0</v>
      </c>
      <c r="Y861">
        <v>0</v>
      </c>
      <c r="Z861">
        <v>0</v>
      </c>
      <c r="AA861">
        <v>0</v>
      </c>
      <c r="AB861">
        <v>0</v>
      </c>
      <c r="AC861">
        <v>0</v>
      </c>
      <c r="AD861">
        <v>0</v>
      </c>
      <c r="AE861">
        <v>0</v>
      </c>
      <c r="AF861">
        <v>0</v>
      </c>
      <c r="AG861">
        <v>0</v>
      </c>
      <c r="AH861">
        <v>0</v>
      </c>
      <c r="AI861">
        <v>0</v>
      </c>
      <c r="AJ861">
        <v>0</v>
      </c>
      <c r="AK861">
        <v>0</v>
      </c>
      <c r="AL861">
        <v>0</v>
      </c>
      <c r="AM861">
        <v>6.71</v>
      </c>
      <c r="AN861">
        <v>0</v>
      </c>
      <c r="AO861">
        <v>0</v>
      </c>
      <c r="AP861">
        <v>0</v>
      </c>
      <c r="AQ861">
        <v>0</v>
      </c>
      <c r="AR861">
        <v>0</v>
      </c>
      <c r="AS861">
        <v>0</v>
      </c>
      <c r="AT861">
        <v>0</v>
      </c>
      <c r="AU861">
        <v>0</v>
      </c>
      <c r="AV861">
        <v>0</v>
      </c>
      <c r="AW861">
        <v>0</v>
      </c>
      <c r="AX861">
        <v>0</v>
      </c>
      <c r="AY861">
        <v>0</v>
      </c>
      <c r="AZ861">
        <v>0</v>
      </c>
      <c r="BA861">
        <v>0</v>
      </c>
      <c r="BB861">
        <v>0</v>
      </c>
      <c r="BC861">
        <v>0</v>
      </c>
      <c r="BD861">
        <v>0</v>
      </c>
      <c r="BE861">
        <v>0</v>
      </c>
      <c r="BF861">
        <v>0</v>
      </c>
      <c r="BG861">
        <v>0</v>
      </c>
      <c r="BH861">
        <v>1</v>
      </c>
      <c r="BI861">
        <v>1</v>
      </c>
      <c r="BJ861">
        <v>0.2</v>
      </c>
      <c r="BK861">
        <v>1</v>
      </c>
      <c r="BL861" s="4">
        <v>39.42</v>
      </c>
      <c r="BM861" s="4">
        <v>5.91</v>
      </c>
      <c r="BN861" s="4">
        <v>45.33</v>
      </c>
      <c r="BO861" s="4">
        <v>45.33</v>
      </c>
      <c r="BQ861" t="s">
        <v>147</v>
      </c>
      <c r="BR861" t="s">
        <v>84</v>
      </c>
      <c r="BS861" s="3">
        <v>43809</v>
      </c>
      <c r="BT861" s="5">
        <v>0.4375</v>
      </c>
      <c r="BU861" t="s">
        <v>1398</v>
      </c>
      <c r="BV861" t="s">
        <v>86</v>
      </c>
      <c r="BY861">
        <v>1200</v>
      </c>
      <c r="CC861" t="s">
        <v>715</v>
      </c>
      <c r="CD861">
        <v>1559</v>
      </c>
      <c r="CE861" t="s">
        <v>88</v>
      </c>
      <c r="CF861" s="3">
        <v>43810</v>
      </c>
      <c r="CI861">
        <v>1</v>
      </c>
      <c r="CJ861">
        <v>1</v>
      </c>
      <c r="CK861">
        <v>22</v>
      </c>
      <c r="CL861" t="s">
        <v>89</v>
      </c>
    </row>
    <row r="862" spans="1:90">
      <c r="A862" t="s">
        <v>72</v>
      </c>
      <c r="B862" t="s">
        <v>73</v>
      </c>
      <c r="C862" t="s">
        <v>74</v>
      </c>
      <c r="E862" t="str">
        <f>"FES1162727385"</f>
        <v>FES1162727385</v>
      </c>
      <c r="F862" s="3">
        <v>43808</v>
      </c>
      <c r="G862">
        <v>202006</v>
      </c>
      <c r="H862" t="s">
        <v>75</v>
      </c>
      <c r="I862" t="s">
        <v>76</v>
      </c>
      <c r="J862" t="s">
        <v>77</v>
      </c>
      <c r="K862" t="s">
        <v>78</v>
      </c>
      <c r="L862" t="s">
        <v>90</v>
      </c>
      <c r="M862" t="s">
        <v>91</v>
      </c>
      <c r="N862" t="s">
        <v>110</v>
      </c>
      <c r="O862" t="s">
        <v>82</v>
      </c>
      <c r="P862" t="str">
        <f>"2170720872                    "</f>
        <v xml:space="preserve">2170720872                    </v>
      </c>
      <c r="Q862">
        <v>0</v>
      </c>
      <c r="R862">
        <v>0</v>
      </c>
      <c r="S862">
        <v>0</v>
      </c>
      <c r="T862">
        <v>0</v>
      </c>
      <c r="U862">
        <v>0</v>
      </c>
      <c r="V862">
        <v>0</v>
      </c>
      <c r="W862">
        <v>0</v>
      </c>
      <c r="X862">
        <v>0</v>
      </c>
      <c r="Y862">
        <v>0</v>
      </c>
      <c r="Z862">
        <v>0</v>
      </c>
      <c r="AA862">
        <v>0</v>
      </c>
      <c r="AB862">
        <v>0</v>
      </c>
      <c r="AC862">
        <v>0</v>
      </c>
      <c r="AD862">
        <v>0</v>
      </c>
      <c r="AE862">
        <v>0</v>
      </c>
      <c r="AF862">
        <v>0</v>
      </c>
      <c r="AG862">
        <v>0</v>
      </c>
      <c r="AH862">
        <v>0</v>
      </c>
      <c r="AI862">
        <v>0</v>
      </c>
      <c r="AJ862">
        <v>0</v>
      </c>
      <c r="AK862">
        <v>0</v>
      </c>
      <c r="AL862">
        <v>0</v>
      </c>
      <c r="AM862">
        <v>8.58</v>
      </c>
      <c r="AN862">
        <v>0</v>
      </c>
      <c r="AO862">
        <v>0</v>
      </c>
      <c r="AP862">
        <v>0</v>
      </c>
      <c r="AQ862">
        <v>0</v>
      </c>
      <c r="AR862">
        <v>0</v>
      </c>
      <c r="AS862">
        <v>0</v>
      </c>
      <c r="AT862">
        <v>0</v>
      </c>
      <c r="AU862">
        <v>0</v>
      </c>
      <c r="AV862">
        <v>0</v>
      </c>
      <c r="AW862">
        <v>0</v>
      </c>
      <c r="AX862">
        <v>0</v>
      </c>
      <c r="AY862">
        <v>0</v>
      </c>
      <c r="AZ862">
        <v>0</v>
      </c>
      <c r="BA862">
        <v>0</v>
      </c>
      <c r="BB862">
        <v>0</v>
      </c>
      <c r="BC862">
        <v>0</v>
      </c>
      <c r="BD862">
        <v>0</v>
      </c>
      <c r="BE862">
        <v>0</v>
      </c>
      <c r="BF862">
        <v>0</v>
      </c>
      <c r="BG862">
        <v>0</v>
      </c>
      <c r="BH862">
        <v>1</v>
      </c>
      <c r="BI862">
        <v>1</v>
      </c>
      <c r="BJ862">
        <v>0.2</v>
      </c>
      <c r="BK862">
        <v>1</v>
      </c>
      <c r="BL862" s="4">
        <v>50.45</v>
      </c>
      <c r="BM862" s="4">
        <v>7.57</v>
      </c>
      <c r="BN862" s="4">
        <v>58.02</v>
      </c>
      <c r="BO862" s="4">
        <v>58.02</v>
      </c>
      <c r="BQ862" t="s">
        <v>147</v>
      </c>
      <c r="BR862" t="s">
        <v>84</v>
      </c>
      <c r="BS862" s="3">
        <v>43809</v>
      </c>
      <c r="BT862" s="5">
        <v>0.3125</v>
      </c>
      <c r="BU862" t="s">
        <v>111</v>
      </c>
      <c r="BV862" t="s">
        <v>86</v>
      </c>
      <c r="BY862">
        <v>1200</v>
      </c>
      <c r="CA862" t="s">
        <v>112</v>
      </c>
      <c r="CC862" t="s">
        <v>91</v>
      </c>
      <c r="CD862">
        <v>7405</v>
      </c>
      <c r="CE862" t="s">
        <v>88</v>
      </c>
      <c r="CF862" s="3">
        <v>43810</v>
      </c>
      <c r="CI862">
        <v>1</v>
      </c>
      <c r="CJ862">
        <v>1</v>
      </c>
      <c r="CK862">
        <v>21</v>
      </c>
      <c r="CL862" t="s">
        <v>89</v>
      </c>
    </row>
    <row r="863" spans="1:90">
      <c r="A863" t="s">
        <v>72</v>
      </c>
      <c r="B863" t="s">
        <v>73</v>
      </c>
      <c r="C863" t="s">
        <v>74</v>
      </c>
      <c r="E863" t="str">
        <f>"FES1162727386"</f>
        <v>FES1162727386</v>
      </c>
      <c r="F863" s="3">
        <v>43808</v>
      </c>
      <c r="G863">
        <v>202006</v>
      </c>
      <c r="H863" t="s">
        <v>75</v>
      </c>
      <c r="I863" t="s">
        <v>76</v>
      </c>
      <c r="J863" t="s">
        <v>77</v>
      </c>
      <c r="K863" t="s">
        <v>78</v>
      </c>
      <c r="L863" t="s">
        <v>90</v>
      </c>
      <c r="M863" t="s">
        <v>91</v>
      </c>
      <c r="N863" t="s">
        <v>875</v>
      </c>
      <c r="O863" t="s">
        <v>82</v>
      </c>
      <c r="P863" t="str">
        <f>"2170720873                    "</f>
        <v xml:space="preserve">2170720873                    </v>
      </c>
      <c r="Q863">
        <v>0</v>
      </c>
      <c r="R863">
        <v>0</v>
      </c>
      <c r="S863">
        <v>0</v>
      </c>
      <c r="T863">
        <v>0</v>
      </c>
      <c r="U863">
        <v>0</v>
      </c>
      <c r="V863">
        <v>0</v>
      </c>
      <c r="W863">
        <v>0</v>
      </c>
      <c r="X863">
        <v>0</v>
      </c>
      <c r="Y863">
        <v>0</v>
      </c>
      <c r="Z863">
        <v>0</v>
      </c>
      <c r="AA863">
        <v>0</v>
      </c>
      <c r="AB863">
        <v>0</v>
      </c>
      <c r="AC863">
        <v>0</v>
      </c>
      <c r="AD863">
        <v>0</v>
      </c>
      <c r="AE863">
        <v>0</v>
      </c>
      <c r="AF863">
        <v>0</v>
      </c>
      <c r="AG863">
        <v>0</v>
      </c>
      <c r="AH863">
        <v>0</v>
      </c>
      <c r="AI863">
        <v>0</v>
      </c>
      <c r="AJ863">
        <v>0</v>
      </c>
      <c r="AK863">
        <v>0</v>
      </c>
      <c r="AL863">
        <v>0</v>
      </c>
      <c r="AM863">
        <v>8.58</v>
      </c>
      <c r="AN863">
        <v>0</v>
      </c>
      <c r="AO863">
        <v>0</v>
      </c>
      <c r="AP863">
        <v>0</v>
      </c>
      <c r="AQ863">
        <v>0</v>
      </c>
      <c r="AR863">
        <v>0</v>
      </c>
      <c r="AS863">
        <v>0</v>
      </c>
      <c r="AT863">
        <v>0</v>
      </c>
      <c r="AU863">
        <v>0</v>
      </c>
      <c r="AV863">
        <v>0</v>
      </c>
      <c r="AW863">
        <v>0</v>
      </c>
      <c r="AX863">
        <v>0</v>
      </c>
      <c r="AY863">
        <v>0</v>
      </c>
      <c r="AZ863">
        <v>0</v>
      </c>
      <c r="BA863">
        <v>0</v>
      </c>
      <c r="BB863">
        <v>0</v>
      </c>
      <c r="BC863">
        <v>0</v>
      </c>
      <c r="BD863">
        <v>0</v>
      </c>
      <c r="BE863">
        <v>0</v>
      </c>
      <c r="BF863">
        <v>0</v>
      </c>
      <c r="BG863">
        <v>0</v>
      </c>
      <c r="BH863">
        <v>1</v>
      </c>
      <c r="BI863">
        <v>1</v>
      </c>
      <c r="BJ863">
        <v>0.2</v>
      </c>
      <c r="BK863">
        <v>1</v>
      </c>
      <c r="BL863" s="4">
        <v>50.45</v>
      </c>
      <c r="BM863" s="4">
        <v>7.57</v>
      </c>
      <c r="BN863" s="4">
        <v>58.02</v>
      </c>
      <c r="BO863" s="4">
        <v>58.02</v>
      </c>
      <c r="BQ863" t="s">
        <v>147</v>
      </c>
      <c r="BR863" t="s">
        <v>84</v>
      </c>
      <c r="BS863" s="3">
        <v>43809</v>
      </c>
      <c r="BT863" s="5">
        <v>0.36944444444444446</v>
      </c>
      <c r="BU863" t="s">
        <v>1399</v>
      </c>
      <c r="BV863" t="s">
        <v>86</v>
      </c>
      <c r="BY863">
        <v>1200</v>
      </c>
      <c r="CA863" t="s">
        <v>809</v>
      </c>
      <c r="CC863" t="s">
        <v>91</v>
      </c>
      <c r="CD863">
        <v>7925</v>
      </c>
      <c r="CE863" t="s">
        <v>88</v>
      </c>
      <c r="CF863" s="3">
        <v>43810</v>
      </c>
      <c r="CI863">
        <v>1</v>
      </c>
      <c r="CJ863">
        <v>1</v>
      </c>
      <c r="CK863">
        <v>21</v>
      </c>
      <c r="CL863" t="s">
        <v>89</v>
      </c>
    </row>
    <row r="864" spans="1:90">
      <c r="A864" t="s">
        <v>72</v>
      </c>
      <c r="B864" t="s">
        <v>73</v>
      </c>
      <c r="C864" t="s">
        <v>74</v>
      </c>
      <c r="E864" t="str">
        <f>"FES1162727360"</f>
        <v>FES1162727360</v>
      </c>
      <c r="F864" s="3">
        <v>43808</v>
      </c>
      <c r="G864">
        <v>202006</v>
      </c>
      <c r="H864" t="s">
        <v>75</v>
      </c>
      <c r="I864" t="s">
        <v>76</v>
      </c>
      <c r="J864" t="s">
        <v>77</v>
      </c>
      <c r="K864" t="s">
        <v>78</v>
      </c>
      <c r="L864" t="s">
        <v>1183</v>
      </c>
      <c r="M864" t="s">
        <v>1184</v>
      </c>
      <c r="N864" t="s">
        <v>1185</v>
      </c>
      <c r="O864" t="s">
        <v>82</v>
      </c>
      <c r="P864" t="str">
        <f>"217710841                     "</f>
        <v xml:space="preserve">217710841                     </v>
      </c>
      <c r="Q864">
        <v>0</v>
      </c>
      <c r="R864">
        <v>0</v>
      </c>
      <c r="S864">
        <v>0</v>
      </c>
      <c r="T864">
        <v>0</v>
      </c>
      <c r="U864">
        <v>0</v>
      </c>
      <c r="V864">
        <v>0</v>
      </c>
      <c r="W864">
        <v>0</v>
      </c>
      <c r="X864">
        <v>0</v>
      </c>
      <c r="Y864">
        <v>0</v>
      </c>
      <c r="Z864">
        <v>0</v>
      </c>
      <c r="AA864">
        <v>0</v>
      </c>
      <c r="AB864">
        <v>0</v>
      </c>
      <c r="AC864">
        <v>0</v>
      </c>
      <c r="AD864">
        <v>0</v>
      </c>
      <c r="AE864">
        <v>0</v>
      </c>
      <c r="AF864">
        <v>0</v>
      </c>
      <c r="AG864">
        <v>0</v>
      </c>
      <c r="AH864">
        <v>0</v>
      </c>
      <c r="AI864">
        <v>0</v>
      </c>
      <c r="AJ864">
        <v>0</v>
      </c>
      <c r="AK864">
        <v>0</v>
      </c>
      <c r="AL864">
        <v>0</v>
      </c>
      <c r="AM864">
        <v>27.9</v>
      </c>
      <c r="AN864">
        <v>0</v>
      </c>
      <c r="AO864">
        <v>0</v>
      </c>
      <c r="AP864">
        <v>0</v>
      </c>
      <c r="AQ864">
        <v>0</v>
      </c>
      <c r="AR864">
        <v>0</v>
      </c>
      <c r="AS864">
        <v>0</v>
      </c>
      <c r="AT864">
        <v>0</v>
      </c>
      <c r="AU864">
        <v>0</v>
      </c>
      <c r="AV864">
        <v>0</v>
      </c>
      <c r="AW864">
        <v>0</v>
      </c>
      <c r="AX864">
        <v>0</v>
      </c>
      <c r="AY864">
        <v>0</v>
      </c>
      <c r="AZ864">
        <v>0</v>
      </c>
      <c r="BA864">
        <v>0</v>
      </c>
      <c r="BB864">
        <v>0</v>
      </c>
      <c r="BC864">
        <v>0</v>
      </c>
      <c r="BD864">
        <v>0</v>
      </c>
      <c r="BE864">
        <v>0</v>
      </c>
      <c r="BF864">
        <v>0</v>
      </c>
      <c r="BG864">
        <v>0</v>
      </c>
      <c r="BH864">
        <v>1</v>
      </c>
      <c r="BI864">
        <v>2.1</v>
      </c>
      <c r="BJ864">
        <v>3.3</v>
      </c>
      <c r="BK864">
        <v>3.5</v>
      </c>
      <c r="BL864" s="4">
        <v>163.98</v>
      </c>
      <c r="BM864" s="4">
        <v>24.6</v>
      </c>
      <c r="BN864" s="4">
        <v>188.58</v>
      </c>
      <c r="BO864" s="4">
        <v>188.58</v>
      </c>
      <c r="BQ864" t="s">
        <v>93</v>
      </c>
      <c r="BR864" t="s">
        <v>84</v>
      </c>
      <c r="BS864" s="3">
        <v>43809</v>
      </c>
      <c r="BT864" s="5">
        <v>0.375</v>
      </c>
      <c r="BU864" t="s">
        <v>1186</v>
      </c>
      <c r="BV864" t="s">
        <v>86</v>
      </c>
      <c r="BY864">
        <v>16414.86</v>
      </c>
      <c r="CA864" t="s">
        <v>1187</v>
      </c>
      <c r="CC864" t="s">
        <v>1184</v>
      </c>
      <c r="CD864">
        <v>3370</v>
      </c>
      <c r="CE864" t="s">
        <v>96</v>
      </c>
      <c r="CF864" s="3">
        <v>43811</v>
      </c>
      <c r="CI864">
        <v>3</v>
      </c>
      <c r="CJ864">
        <v>1</v>
      </c>
      <c r="CK864">
        <v>23</v>
      </c>
      <c r="CL864" t="s">
        <v>89</v>
      </c>
    </row>
    <row r="865" spans="1:90">
      <c r="A865" t="s">
        <v>72</v>
      </c>
      <c r="B865" t="s">
        <v>73</v>
      </c>
      <c r="C865" t="s">
        <v>74</v>
      </c>
      <c r="E865" t="str">
        <f>"FES1162727409"</f>
        <v>FES1162727409</v>
      </c>
      <c r="F865" s="3">
        <v>43808</v>
      </c>
      <c r="G865">
        <v>202006</v>
      </c>
      <c r="H865" t="s">
        <v>75</v>
      </c>
      <c r="I865" t="s">
        <v>76</v>
      </c>
      <c r="J865" t="s">
        <v>77</v>
      </c>
      <c r="K865" t="s">
        <v>78</v>
      </c>
      <c r="L865" t="s">
        <v>90</v>
      </c>
      <c r="M865" t="s">
        <v>91</v>
      </c>
      <c r="N865" t="s">
        <v>1400</v>
      </c>
      <c r="O865" t="s">
        <v>82</v>
      </c>
      <c r="P865" t="str">
        <f>"2170720905                    "</f>
        <v xml:space="preserve">2170720905                    </v>
      </c>
      <c r="Q865">
        <v>0</v>
      </c>
      <c r="R865">
        <v>0</v>
      </c>
      <c r="S865">
        <v>0</v>
      </c>
      <c r="T865">
        <v>0</v>
      </c>
      <c r="U865">
        <v>0</v>
      </c>
      <c r="V865">
        <v>0</v>
      </c>
      <c r="W865">
        <v>0</v>
      </c>
      <c r="X865">
        <v>0</v>
      </c>
      <c r="Y865">
        <v>0</v>
      </c>
      <c r="Z865">
        <v>0</v>
      </c>
      <c r="AA865">
        <v>0</v>
      </c>
      <c r="AB865">
        <v>0</v>
      </c>
      <c r="AC865">
        <v>0</v>
      </c>
      <c r="AD865">
        <v>0</v>
      </c>
      <c r="AE865">
        <v>0</v>
      </c>
      <c r="AF865">
        <v>0</v>
      </c>
      <c r="AG865">
        <v>0</v>
      </c>
      <c r="AH865">
        <v>0</v>
      </c>
      <c r="AI865">
        <v>0</v>
      </c>
      <c r="AJ865">
        <v>0</v>
      </c>
      <c r="AK865">
        <v>0</v>
      </c>
      <c r="AL865">
        <v>0</v>
      </c>
      <c r="AM865">
        <v>8.58</v>
      </c>
      <c r="AN865">
        <v>0</v>
      </c>
      <c r="AO865">
        <v>0</v>
      </c>
      <c r="AP865">
        <v>0</v>
      </c>
      <c r="AQ865">
        <v>0</v>
      </c>
      <c r="AR865">
        <v>0</v>
      </c>
      <c r="AS865">
        <v>0</v>
      </c>
      <c r="AT865">
        <v>0</v>
      </c>
      <c r="AU865">
        <v>0</v>
      </c>
      <c r="AV865">
        <v>0</v>
      </c>
      <c r="AW865">
        <v>0</v>
      </c>
      <c r="AX865">
        <v>0</v>
      </c>
      <c r="AY865">
        <v>0</v>
      </c>
      <c r="AZ865">
        <v>0</v>
      </c>
      <c r="BA865">
        <v>0</v>
      </c>
      <c r="BB865">
        <v>0</v>
      </c>
      <c r="BC865">
        <v>0</v>
      </c>
      <c r="BD865">
        <v>0</v>
      </c>
      <c r="BE865">
        <v>0</v>
      </c>
      <c r="BF865">
        <v>0</v>
      </c>
      <c r="BG865">
        <v>0</v>
      </c>
      <c r="BH865">
        <v>1</v>
      </c>
      <c r="BI865">
        <v>1</v>
      </c>
      <c r="BJ865">
        <v>0.2</v>
      </c>
      <c r="BK865">
        <v>1</v>
      </c>
      <c r="BL865" s="4">
        <v>50.45</v>
      </c>
      <c r="BM865" s="4">
        <v>7.57</v>
      </c>
      <c r="BN865" s="4">
        <v>58.02</v>
      </c>
      <c r="BO865" s="4">
        <v>58.02</v>
      </c>
      <c r="BQ865" t="s">
        <v>135</v>
      </c>
      <c r="BR865" t="s">
        <v>84</v>
      </c>
      <c r="BS865" s="3">
        <v>43809</v>
      </c>
      <c r="BT865" s="5">
        <v>0.3298611111111111</v>
      </c>
      <c r="BU865" t="s">
        <v>1401</v>
      </c>
      <c r="BV865" t="s">
        <v>86</v>
      </c>
      <c r="BY865">
        <v>1200</v>
      </c>
      <c r="CA865" t="s">
        <v>273</v>
      </c>
      <c r="CC865" t="s">
        <v>91</v>
      </c>
      <c r="CD865">
        <v>7945</v>
      </c>
      <c r="CE865" t="s">
        <v>88</v>
      </c>
      <c r="CF865" s="3">
        <v>43810</v>
      </c>
      <c r="CI865">
        <v>1</v>
      </c>
      <c r="CJ865">
        <v>1</v>
      </c>
      <c r="CK865">
        <v>21</v>
      </c>
      <c r="CL865" t="s">
        <v>89</v>
      </c>
    </row>
    <row r="866" spans="1:90">
      <c r="A866" t="s">
        <v>72</v>
      </c>
      <c r="B866" t="s">
        <v>73</v>
      </c>
      <c r="C866" t="s">
        <v>74</v>
      </c>
      <c r="E866" t="str">
        <f>"FES1162727492"</f>
        <v>FES1162727492</v>
      </c>
      <c r="F866" s="3">
        <v>43808</v>
      </c>
      <c r="G866">
        <v>202006</v>
      </c>
      <c r="H866" t="s">
        <v>75</v>
      </c>
      <c r="I866" t="s">
        <v>76</v>
      </c>
      <c r="J866" t="s">
        <v>77</v>
      </c>
      <c r="K866" t="s">
        <v>78</v>
      </c>
      <c r="L866" t="s">
        <v>75</v>
      </c>
      <c r="M866" t="s">
        <v>76</v>
      </c>
      <c r="N866" t="s">
        <v>756</v>
      </c>
      <c r="O866" t="s">
        <v>82</v>
      </c>
      <c r="P866" t="str">
        <f>"                              "</f>
        <v xml:space="preserve">                              </v>
      </c>
      <c r="Q866">
        <v>0</v>
      </c>
      <c r="R866">
        <v>0</v>
      </c>
      <c r="S866">
        <v>0</v>
      </c>
      <c r="T866">
        <v>0</v>
      </c>
      <c r="U866">
        <v>0</v>
      </c>
      <c r="V866">
        <v>0</v>
      </c>
      <c r="W866">
        <v>0</v>
      </c>
      <c r="X866">
        <v>0</v>
      </c>
      <c r="Y866">
        <v>0</v>
      </c>
      <c r="Z866">
        <v>0</v>
      </c>
      <c r="AA866">
        <v>0</v>
      </c>
      <c r="AB866">
        <v>0</v>
      </c>
      <c r="AC866">
        <v>0</v>
      </c>
      <c r="AD866">
        <v>0</v>
      </c>
      <c r="AE866">
        <v>0</v>
      </c>
      <c r="AF866">
        <v>0</v>
      </c>
      <c r="AG866">
        <v>0</v>
      </c>
      <c r="AH866">
        <v>0</v>
      </c>
      <c r="AI866">
        <v>0</v>
      </c>
      <c r="AJ866">
        <v>0</v>
      </c>
      <c r="AK866">
        <v>0</v>
      </c>
      <c r="AL866">
        <v>0</v>
      </c>
      <c r="AM866">
        <v>6.71</v>
      </c>
      <c r="AN866">
        <v>0</v>
      </c>
      <c r="AO866">
        <v>0</v>
      </c>
      <c r="AP866">
        <v>0</v>
      </c>
      <c r="AQ866">
        <v>0</v>
      </c>
      <c r="AR866">
        <v>0</v>
      </c>
      <c r="AS866">
        <v>0</v>
      </c>
      <c r="AT866">
        <v>0</v>
      </c>
      <c r="AU866">
        <v>0</v>
      </c>
      <c r="AV866">
        <v>0</v>
      </c>
      <c r="AW866">
        <v>0</v>
      </c>
      <c r="AX866">
        <v>0</v>
      </c>
      <c r="AY866">
        <v>0</v>
      </c>
      <c r="AZ866">
        <v>0</v>
      </c>
      <c r="BA866">
        <v>0</v>
      </c>
      <c r="BB866">
        <v>0</v>
      </c>
      <c r="BC866">
        <v>0</v>
      </c>
      <c r="BD866">
        <v>0</v>
      </c>
      <c r="BE866">
        <v>0</v>
      </c>
      <c r="BF866">
        <v>0</v>
      </c>
      <c r="BG866">
        <v>0</v>
      </c>
      <c r="BH866">
        <v>1</v>
      </c>
      <c r="BI866">
        <v>1</v>
      </c>
      <c r="BJ866">
        <v>0.2</v>
      </c>
      <c r="BK866">
        <v>1</v>
      </c>
      <c r="BL866" s="4">
        <v>39.42</v>
      </c>
      <c r="BM866" s="4">
        <v>5.91</v>
      </c>
      <c r="BN866" s="4">
        <v>45.33</v>
      </c>
      <c r="BO866" s="4">
        <v>45.33</v>
      </c>
      <c r="BP866">
        <v>2170720973</v>
      </c>
      <c r="BQ866" t="s">
        <v>93</v>
      </c>
      <c r="BR866" t="s">
        <v>84</v>
      </c>
      <c r="BS866" s="3">
        <v>43810</v>
      </c>
      <c r="BT866" s="5">
        <v>0.3263888888888889</v>
      </c>
      <c r="BU866" t="s">
        <v>1402</v>
      </c>
      <c r="BV866" t="s">
        <v>89</v>
      </c>
      <c r="BW866" t="s">
        <v>506</v>
      </c>
      <c r="BX866" t="s">
        <v>229</v>
      </c>
      <c r="BY866">
        <v>1200</v>
      </c>
      <c r="CA866" t="s">
        <v>1403</v>
      </c>
      <c r="CC866" t="s">
        <v>76</v>
      </c>
      <c r="CD866">
        <v>1666</v>
      </c>
      <c r="CE866" t="s">
        <v>88</v>
      </c>
      <c r="CF866" s="3">
        <v>43811</v>
      </c>
      <c r="CI866">
        <v>1</v>
      </c>
      <c r="CJ866">
        <v>2</v>
      </c>
      <c r="CK866">
        <v>22</v>
      </c>
      <c r="CL866" t="s">
        <v>89</v>
      </c>
    </row>
    <row r="867" spans="1:90">
      <c r="A867" t="s">
        <v>72</v>
      </c>
      <c r="B867" t="s">
        <v>73</v>
      </c>
      <c r="C867" t="s">
        <v>74</v>
      </c>
      <c r="E867" t="str">
        <f>"FES1162727428"</f>
        <v>FES1162727428</v>
      </c>
      <c r="F867" s="3">
        <v>43808</v>
      </c>
      <c r="G867">
        <v>202006</v>
      </c>
      <c r="H867" t="s">
        <v>75</v>
      </c>
      <c r="I867" t="s">
        <v>76</v>
      </c>
      <c r="J867" t="s">
        <v>77</v>
      </c>
      <c r="K867" t="s">
        <v>78</v>
      </c>
      <c r="L867" t="s">
        <v>198</v>
      </c>
      <c r="M867" t="s">
        <v>199</v>
      </c>
      <c r="N867" t="s">
        <v>566</v>
      </c>
      <c r="O867" t="s">
        <v>82</v>
      </c>
      <c r="P867" t="str">
        <f>"2170720917                    "</f>
        <v xml:space="preserve">2170720917                    </v>
      </c>
      <c r="Q867">
        <v>0</v>
      </c>
      <c r="R867">
        <v>0</v>
      </c>
      <c r="S867">
        <v>0</v>
      </c>
      <c r="T867">
        <v>0</v>
      </c>
      <c r="U867">
        <v>0</v>
      </c>
      <c r="V867">
        <v>0</v>
      </c>
      <c r="W867">
        <v>0</v>
      </c>
      <c r="X867">
        <v>0</v>
      </c>
      <c r="Y867">
        <v>0</v>
      </c>
      <c r="Z867">
        <v>0</v>
      </c>
      <c r="AA867">
        <v>0</v>
      </c>
      <c r="AB867">
        <v>0</v>
      </c>
      <c r="AC867">
        <v>0</v>
      </c>
      <c r="AD867">
        <v>0</v>
      </c>
      <c r="AE867">
        <v>0</v>
      </c>
      <c r="AF867">
        <v>0</v>
      </c>
      <c r="AG867">
        <v>0</v>
      </c>
      <c r="AH867">
        <v>0</v>
      </c>
      <c r="AI867">
        <v>0</v>
      </c>
      <c r="AJ867">
        <v>0</v>
      </c>
      <c r="AK867">
        <v>0</v>
      </c>
      <c r="AL867">
        <v>0</v>
      </c>
      <c r="AM867">
        <v>8.58</v>
      </c>
      <c r="AN867">
        <v>0</v>
      </c>
      <c r="AO867">
        <v>0</v>
      </c>
      <c r="AP867">
        <v>0</v>
      </c>
      <c r="AQ867">
        <v>0</v>
      </c>
      <c r="AR867">
        <v>0</v>
      </c>
      <c r="AS867">
        <v>0</v>
      </c>
      <c r="AT867">
        <v>0</v>
      </c>
      <c r="AU867">
        <v>0</v>
      </c>
      <c r="AV867">
        <v>0</v>
      </c>
      <c r="AW867">
        <v>0</v>
      </c>
      <c r="AX867">
        <v>0</v>
      </c>
      <c r="AY867">
        <v>0</v>
      </c>
      <c r="AZ867">
        <v>0</v>
      </c>
      <c r="BA867">
        <v>0</v>
      </c>
      <c r="BB867">
        <v>0</v>
      </c>
      <c r="BC867">
        <v>0</v>
      </c>
      <c r="BD867">
        <v>0</v>
      </c>
      <c r="BE867">
        <v>0</v>
      </c>
      <c r="BF867">
        <v>0</v>
      </c>
      <c r="BG867">
        <v>0</v>
      </c>
      <c r="BH867">
        <v>1</v>
      </c>
      <c r="BI867">
        <v>1</v>
      </c>
      <c r="BJ867">
        <v>0.2</v>
      </c>
      <c r="BK867">
        <v>1</v>
      </c>
      <c r="BL867" s="4">
        <v>50.45</v>
      </c>
      <c r="BM867" s="4">
        <v>7.57</v>
      </c>
      <c r="BN867" s="4">
        <v>58.02</v>
      </c>
      <c r="BO867" s="4">
        <v>58.02</v>
      </c>
      <c r="BQ867" t="s">
        <v>256</v>
      </c>
      <c r="BR867" t="s">
        <v>84</v>
      </c>
      <c r="BS867" s="3">
        <v>43810</v>
      </c>
      <c r="BT867" s="5">
        <v>0.4201388888888889</v>
      </c>
      <c r="BU867" t="s">
        <v>1404</v>
      </c>
      <c r="BV867" t="s">
        <v>89</v>
      </c>
      <c r="BW867" t="s">
        <v>506</v>
      </c>
      <c r="BX867" t="s">
        <v>1163</v>
      </c>
      <c r="BY867">
        <v>1200</v>
      </c>
      <c r="CA867" t="s">
        <v>941</v>
      </c>
      <c r="CC867" t="s">
        <v>199</v>
      </c>
      <c r="CD867">
        <v>4052</v>
      </c>
      <c r="CE867" t="s">
        <v>88</v>
      </c>
      <c r="CF867" s="3">
        <v>43811</v>
      </c>
      <c r="CI867">
        <v>1</v>
      </c>
      <c r="CJ867">
        <v>2</v>
      </c>
      <c r="CK867">
        <v>21</v>
      </c>
      <c r="CL867" t="s">
        <v>89</v>
      </c>
    </row>
    <row r="868" spans="1:90">
      <c r="A868" t="s">
        <v>72</v>
      </c>
      <c r="B868" t="s">
        <v>73</v>
      </c>
      <c r="C868" t="s">
        <v>74</v>
      </c>
      <c r="E868" t="str">
        <f>"FES1162727489"</f>
        <v>FES1162727489</v>
      </c>
      <c r="F868" s="3">
        <v>43808</v>
      </c>
      <c r="G868">
        <v>202006</v>
      </c>
      <c r="H868" t="s">
        <v>75</v>
      </c>
      <c r="I868" t="s">
        <v>76</v>
      </c>
      <c r="J868" t="s">
        <v>77</v>
      </c>
      <c r="K868" t="s">
        <v>78</v>
      </c>
      <c r="L868" t="s">
        <v>714</v>
      </c>
      <c r="M868" t="s">
        <v>715</v>
      </c>
      <c r="N868" t="s">
        <v>1405</v>
      </c>
      <c r="O868" t="s">
        <v>82</v>
      </c>
      <c r="P868" t="str">
        <f>"2170720935                    "</f>
        <v xml:space="preserve">2170720935                    </v>
      </c>
      <c r="Q868">
        <v>0</v>
      </c>
      <c r="R868">
        <v>0</v>
      </c>
      <c r="S868">
        <v>0</v>
      </c>
      <c r="T868">
        <v>0</v>
      </c>
      <c r="U868">
        <v>0</v>
      </c>
      <c r="V868">
        <v>0</v>
      </c>
      <c r="W868">
        <v>0</v>
      </c>
      <c r="X868">
        <v>0</v>
      </c>
      <c r="Y868">
        <v>0</v>
      </c>
      <c r="Z868">
        <v>0</v>
      </c>
      <c r="AA868">
        <v>0</v>
      </c>
      <c r="AB868">
        <v>0</v>
      </c>
      <c r="AC868">
        <v>0</v>
      </c>
      <c r="AD868">
        <v>0</v>
      </c>
      <c r="AE868">
        <v>0</v>
      </c>
      <c r="AF868">
        <v>0</v>
      </c>
      <c r="AG868">
        <v>0</v>
      </c>
      <c r="AH868">
        <v>0</v>
      </c>
      <c r="AI868">
        <v>0</v>
      </c>
      <c r="AJ868">
        <v>0</v>
      </c>
      <c r="AK868">
        <v>0</v>
      </c>
      <c r="AL868">
        <v>0</v>
      </c>
      <c r="AM868">
        <v>6.71</v>
      </c>
      <c r="AN868">
        <v>0</v>
      </c>
      <c r="AO868">
        <v>0</v>
      </c>
      <c r="AP868">
        <v>0</v>
      </c>
      <c r="AQ868">
        <v>0</v>
      </c>
      <c r="AR868">
        <v>0</v>
      </c>
      <c r="AS868">
        <v>0</v>
      </c>
      <c r="AT868">
        <v>0</v>
      </c>
      <c r="AU868">
        <v>0</v>
      </c>
      <c r="AV868">
        <v>0</v>
      </c>
      <c r="AW868">
        <v>0</v>
      </c>
      <c r="AX868">
        <v>0</v>
      </c>
      <c r="AY868">
        <v>0</v>
      </c>
      <c r="AZ868">
        <v>0</v>
      </c>
      <c r="BA868">
        <v>0</v>
      </c>
      <c r="BB868">
        <v>0</v>
      </c>
      <c r="BC868">
        <v>0</v>
      </c>
      <c r="BD868">
        <v>0</v>
      </c>
      <c r="BE868">
        <v>0</v>
      </c>
      <c r="BF868">
        <v>0</v>
      </c>
      <c r="BG868">
        <v>0</v>
      </c>
      <c r="BH868">
        <v>1</v>
      </c>
      <c r="BI868">
        <v>1</v>
      </c>
      <c r="BJ868">
        <v>0.2</v>
      </c>
      <c r="BK868">
        <v>1</v>
      </c>
      <c r="BL868" s="4">
        <v>39.42</v>
      </c>
      <c r="BM868" s="4">
        <v>5.91</v>
      </c>
      <c r="BN868" s="4">
        <v>45.33</v>
      </c>
      <c r="BO868" s="4">
        <v>45.33</v>
      </c>
      <c r="BQ868" t="s">
        <v>1406</v>
      </c>
      <c r="BR868" t="s">
        <v>84</v>
      </c>
      <c r="BS868" s="3">
        <v>43809</v>
      </c>
      <c r="BT868" s="5">
        <v>0.38194444444444442</v>
      </c>
      <c r="BU868" t="s">
        <v>1407</v>
      </c>
      <c r="BV868" t="s">
        <v>86</v>
      </c>
      <c r="BY868">
        <v>1200</v>
      </c>
      <c r="CA868" t="s">
        <v>1408</v>
      </c>
      <c r="CC868" t="s">
        <v>715</v>
      </c>
      <c r="CD868">
        <v>1559</v>
      </c>
      <c r="CE868" t="s">
        <v>88</v>
      </c>
      <c r="CF868" s="3">
        <v>43810</v>
      </c>
      <c r="CI868">
        <v>1</v>
      </c>
      <c r="CJ868">
        <v>1</v>
      </c>
      <c r="CK868">
        <v>22</v>
      </c>
      <c r="CL868" t="s">
        <v>89</v>
      </c>
    </row>
    <row r="869" spans="1:90">
      <c r="A869" t="s">
        <v>72</v>
      </c>
      <c r="B869" t="s">
        <v>73</v>
      </c>
      <c r="C869" t="s">
        <v>74</v>
      </c>
      <c r="E869" t="str">
        <f>"FES1162727461"</f>
        <v>FES1162727461</v>
      </c>
      <c r="F869" s="3">
        <v>43808</v>
      </c>
      <c r="G869">
        <v>202006</v>
      </c>
      <c r="H869" t="s">
        <v>75</v>
      </c>
      <c r="I869" t="s">
        <v>76</v>
      </c>
      <c r="J869" t="s">
        <v>77</v>
      </c>
      <c r="K869" t="s">
        <v>78</v>
      </c>
      <c r="L869" t="s">
        <v>75</v>
      </c>
      <c r="M869" t="s">
        <v>76</v>
      </c>
      <c r="N869" t="s">
        <v>770</v>
      </c>
      <c r="O869" t="s">
        <v>82</v>
      </c>
      <c r="P869" t="str">
        <f>"2170710945                    "</f>
        <v xml:space="preserve">2170710945                    </v>
      </c>
      <c r="Q869">
        <v>0</v>
      </c>
      <c r="R869">
        <v>0</v>
      </c>
      <c r="S869">
        <v>0</v>
      </c>
      <c r="T869">
        <v>0</v>
      </c>
      <c r="U869">
        <v>0</v>
      </c>
      <c r="V869">
        <v>0</v>
      </c>
      <c r="W869">
        <v>0</v>
      </c>
      <c r="X869">
        <v>0</v>
      </c>
      <c r="Y869">
        <v>0</v>
      </c>
      <c r="Z869">
        <v>0</v>
      </c>
      <c r="AA869">
        <v>0</v>
      </c>
      <c r="AB869">
        <v>0</v>
      </c>
      <c r="AC869">
        <v>0</v>
      </c>
      <c r="AD869">
        <v>0</v>
      </c>
      <c r="AE869">
        <v>0</v>
      </c>
      <c r="AF869">
        <v>0</v>
      </c>
      <c r="AG869">
        <v>0</v>
      </c>
      <c r="AH869">
        <v>0</v>
      </c>
      <c r="AI869">
        <v>0</v>
      </c>
      <c r="AJ869">
        <v>0</v>
      </c>
      <c r="AK869">
        <v>0</v>
      </c>
      <c r="AL869">
        <v>0</v>
      </c>
      <c r="AM869">
        <v>13.94</v>
      </c>
      <c r="AN869">
        <v>0</v>
      </c>
      <c r="AO869">
        <v>0</v>
      </c>
      <c r="AP869">
        <v>0</v>
      </c>
      <c r="AQ869">
        <v>0</v>
      </c>
      <c r="AR869">
        <v>0</v>
      </c>
      <c r="AS869">
        <v>0</v>
      </c>
      <c r="AT869">
        <v>0</v>
      </c>
      <c r="AU869">
        <v>0</v>
      </c>
      <c r="AV869">
        <v>0</v>
      </c>
      <c r="AW869">
        <v>0</v>
      </c>
      <c r="AX869">
        <v>0</v>
      </c>
      <c r="AY869">
        <v>0</v>
      </c>
      <c r="AZ869">
        <v>0</v>
      </c>
      <c r="BA869">
        <v>0</v>
      </c>
      <c r="BB869">
        <v>0</v>
      </c>
      <c r="BC869">
        <v>0</v>
      </c>
      <c r="BD869">
        <v>0</v>
      </c>
      <c r="BE869">
        <v>0</v>
      </c>
      <c r="BF869">
        <v>0</v>
      </c>
      <c r="BG869">
        <v>0</v>
      </c>
      <c r="BH869">
        <v>1</v>
      </c>
      <c r="BI869">
        <v>6.2</v>
      </c>
      <c r="BJ869">
        <v>1.3</v>
      </c>
      <c r="BK869">
        <v>6.5</v>
      </c>
      <c r="BL869" s="4">
        <v>81.93</v>
      </c>
      <c r="BM869" s="4">
        <v>12.29</v>
      </c>
      <c r="BN869" s="4">
        <v>94.22</v>
      </c>
      <c r="BO869" s="4">
        <v>94.22</v>
      </c>
      <c r="BQ869" t="s">
        <v>147</v>
      </c>
      <c r="BR869" t="s">
        <v>84</v>
      </c>
      <c r="BS869" s="3">
        <v>43809</v>
      </c>
      <c r="BT869" s="5">
        <v>0.3263888888888889</v>
      </c>
      <c r="BU869" t="s">
        <v>1409</v>
      </c>
      <c r="BV869" t="s">
        <v>86</v>
      </c>
      <c r="BY869">
        <v>6425.69</v>
      </c>
      <c r="CA869" t="s">
        <v>155</v>
      </c>
      <c r="CC869" t="s">
        <v>76</v>
      </c>
      <c r="CD869">
        <v>1601</v>
      </c>
      <c r="CE869" t="s">
        <v>96</v>
      </c>
      <c r="CF869" s="3">
        <v>43810</v>
      </c>
      <c r="CI869">
        <v>1</v>
      </c>
      <c r="CJ869">
        <v>1</v>
      </c>
      <c r="CK869">
        <v>22</v>
      </c>
      <c r="CL869" t="s">
        <v>89</v>
      </c>
    </row>
    <row r="870" spans="1:90">
      <c r="A870" t="s">
        <v>72</v>
      </c>
      <c r="B870" t="s">
        <v>73</v>
      </c>
      <c r="C870" t="s">
        <v>74</v>
      </c>
      <c r="E870" t="str">
        <f>"FES1162727487"</f>
        <v>FES1162727487</v>
      </c>
      <c r="F870" s="3">
        <v>43808</v>
      </c>
      <c r="G870">
        <v>202006</v>
      </c>
      <c r="H870" t="s">
        <v>75</v>
      </c>
      <c r="I870" t="s">
        <v>76</v>
      </c>
      <c r="J870" t="s">
        <v>77</v>
      </c>
      <c r="K870" t="s">
        <v>78</v>
      </c>
      <c r="L870" t="s">
        <v>151</v>
      </c>
      <c r="M870" t="s">
        <v>102</v>
      </c>
      <c r="N870" t="s">
        <v>329</v>
      </c>
      <c r="O870" t="s">
        <v>82</v>
      </c>
      <c r="P870" t="str">
        <f>"2170720970                    "</f>
        <v xml:space="preserve">2170720970                    </v>
      </c>
      <c r="Q870">
        <v>0</v>
      </c>
      <c r="R870">
        <v>0</v>
      </c>
      <c r="S870">
        <v>0</v>
      </c>
      <c r="T870">
        <v>0</v>
      </c>
      <c r="U870">
        <v>0</v>
      </c>
      <c r="V870">
        <v>0</v>
      </c>
      <c r="W870">
        <v>0</v>
      </c>
      <c r="X870">
        <v>0</v>
      </c>
      <c r="Y870">
        <v>0</v>
      </c>
      <c r="Z870">
        <v>0</v>
      </c>
      <c r="AA870">
        <v>0</v>
      </c>
      <c r="AB870">
        <v>0</v>
      </c>
      <c r="AC870">
        <v>0</v>
      </c>
      <c r="AD870">
        <v>0</v>
      </c>
      <c r="AE870">
        <v>0</v>
      </c>
      <c r="AF870">
        <v>0</v>
      </c>
      <c r="AG870">
        <v>0</v>
      </c>
      <c r="AH870">
        <v>0</v>
      </c>
      <c r="AI870">
        <v>0</v>
      </c>
      <c r="AJ870">
        <v>0</v>
      </c>
      <c r="AK870">
        <v>0</v>
      </c>
      <c r="AL870">
        <v>0</v>
      </c>
      <c r="AM870">
        <v>8.58</v>
      </c>
      <c r="AN870">
        <v>0</v>
      </c>
      <c r="AO870">
        <v>0</v>
      </c>
      <c r="AP870">
        <v>0</v>
      </c>
      <c r="AQ870">
        <v>0</v>
      </c>
      <c r="AR870">
        <v>0</v>
      </c>
      <c r="AS870">
        <v>0</v>
      </c>
      <c r="AT870">
        <v>0</v>
      </c>
      <c r="AU870">
        <v>0</v>
      </c>
      <c r="AV870">
        <v>0</v>
      </c>
      <c r="AW870">
        <v>0</v>
      </c>
      <c r="AX870">
        <v>0</v>
      </c>
      <c r="AY870">
        <v>0</v>
      </c>
      <c r="AZ870">
        <v>0</v>
      </c>
      <c r="BA870">
        <v>0</v>
      </c>
      <c r="BB870">
        <v>0</v>
      </c>
      <c r="BC870">
        <v>0</v>
      </c>
      <c r="BD870">
        <v>0</v>
      </c>
      <c r="BE870">
        <v>0</v>
      </c>
      <c r="BF870">
        <v>0</v>
      </c>
      <c r="BG870">
        <v>0</v>
      </c>
      <c r="BH870">
        <v>1</v>
      </c>
      <c r="BI870">
        <v>1</v>
      </c>
      <c r="BJ870">
        <v>0.2</v>
      </c>
      <c r="BK870">
        <v>1</v>
      </c>
      <c r="BL870" s="4">
        <v>50.45</v>
      </c>
      <c r="BM870" s="4">
        <v>7.57</v>
      </c>
      <c r="BN870" s="4">
        <v>58.02</v>
      </c>
      <c r="BO870" s="4">
        <v>58.02</v>
      </c>
      <c r="BQ870" t="s">
        <v>147</v>
      </c>
      <c r="BR870" t="s">
        <v>84</v>
      </c>
      <c r="BS870" s="3">
        <v>43809</v>
      </c>
      <c r="BT870" s="5">
        <v>0.40277777777777773</v>
      </c>
      <c r="BU870" t="s">
        <v>1410</v>
      </c>
      <c r="BV870" t="s">
        <v>86</v>
      </c>
      <c r="BY870">
        <v>1200</v>
      </c>
      <c r="CA870" t="s">
        <v>163</v>
      </c>
      <c r="CC870" t="s">
        <v>102</v>
      </c>
      <c r="CD870">
        <v>200</v>
      </c>
      <c r="CE870" t="s">
        <v>88</v>
      </c>
      <c r="CF870" s="3">
        <v>43810</v>
      </c>
      <c r="CI870">
        <v>1</v>
      </c>
      <c r="CJ870">
        <v>1</v>
      </c>
      <c r="CK870">
        <v>21</v>
      </c>
      <c r="CL870" t="s">
        <v>89</v>
      </c>
    </row>
    <row r="871" spans="1:90">
      <c r="A871" t="s">
        <v>72</v>
      </c>
      <c r="B871" t="s">
        <v>73</v>
      </c>
      <c r="C871" t="s">
        <v>74</v>
      </c>
      <c r="E871" t="str">
        <f>"FES1162727478"</f>
        <v>FES1162727478</v>
      </c>
      <c r="F871" s="3">
        <v>43808</v>
      </c>
      <c r="G871">
        <v>202006</v>
      </c>
      <c r="H871" t="s">
        <v>75</v>
      </c>
      <c r="I871" t="s">
        <v>76</v>
      </c>
      <c r="J871" t="s">
        <v>77</v>
      </c>
      <c r="K871" t="s">
        <v>78</v>
      </c>
      <c r="L871" t="s">
        <v>151</v>
      </c>
      <c r="M871" t="s">
        <v>102</v>
      </c>
      <c r="N871" t="s">
        <v>1411</v>
      </c>
      <c r="O871" t="s">
        <v>82</v>
      </c>
      <c r="P871" t="str">
        <f>"2170710763                    "</f>
        <v xml:space="preserve">2170710763                    </v>
      </c>
      <c r="Q871">
        <v>0</v>
      </c>
      <c r="R871">
        <v>0</v>
      </c>
      <c r="S871">
        <v>0</v>
      </c>
      <c r="T871">
        <v>0</v>
      </c>
      <c r="U871">
        <v>0</v>
      </c>
      <c r="V871">
        <v>0</v>
      </c>
      <c r="W871">
        <v>0</v>
      </c>
      <c r="X871">
        <v>0</v>
      </c>
      <c r="Y871">
        <v>0</v>
      </c>
      <c r="Z871">
        <v>0</v>
      </c>
      <c r="AA871">
        <v>0</v>
      </c>
      <c r="AB871">
        <v>0</v>
      </c>
      <c r="AC871">
        <v>0</v>
      </c>
      <c r="AD871">
        <v>0</v>
      </c>
      <c r="AE871">
        <v>0</v>
      </c>
      <c r="AF871">
        <v>0</v>
      </c>
      <c r="AG871">
        <v>0</v>
      </c>
      <c r="AH871">
        <v>0</v>
      </c>
      <c r="AI871">
        <v>0</v>
      </c>
      <c r="AJ871">
        <v>0</v>
      </c>
      <c r="AK871">
        <v>0</v>
      </c>
      <c r="AL871">
        <v>0</v>
      </c>
      <c r="AM871">
        <v>8.58</v>
      </c>
      <c r="AN871">
        <v>0</v>
      </c>
      <c r="AO871">
        <v>0</v>
      </c>
      <c r="AP871">
        <v>0</v>
      </c>
      <c r="AQ871">
        <v>0</v>
      </c>
      <c r="AR871">
        <v>0</v>
      </c>
      <c r="AS871">
        <v>0</v>
      </c>
      <c r="AT871">
        <v>0</v>
      </c>
      <c r="AU871">
        <v>0</v>
      </c>
      <c r="AV871">
        <v>0</v>
      </c>
      <c r="AW871">
        <v>0</v>
      </c>
      <c r="AX871">
        <v>0</v>
      </c>
      <c r="AY871">
        <v>0</v>
      </c>
      <c r="AZ871">
        <v>0</v>
      </c>
      <c r="BA871">
        <v>0</v>
      </c>
      <c r="BB871">
        <v>0</v>
      </c>
      <c r="BC871">
        <v>0</v>
      </c>
      <c r="BD871">
        <v>0</v>
      </c>
      <c r="BE871">
        <v>0</v>
      </c>
      <c r="BF871">
        <v>0</v>
      </c>
      <c r="BG871">
        <v>0</v>
      </c>
      <c r="BH871">
        <v>1</v>
      </c>
      <c r="BI871">
        <v>1.7</v>
      </c>
      <c r="BJ871">
        <v>1.2</v>
      </c>
      <c r="BK871">
        <v>2</v>
      </c>
      <c r="BL871" s="4">
        <v>50.45</v>
      </c>
      <c r="BM871" s="4">
        <v>7.57</v>
      </c>
      <c r="BN871" s="4">
        <v>58.02</v>
      </c>
      <c r="BO871" s="4">
        <v>58.02</v>
      </c>
      <c r="BR871" t="s">
        <v>84</v>
      </c>
      <c r="BS871" s="3">
        <v>43809</v>
      </c>
      <c r="BT871" s="5">
        <v>0.46527777777777773</v>
      </c>
      <c r="BU871" t="s">
        <v>1412</v>
      </c>
      <c r="BV871" t="s">
        <v>89</v>
      </c>
      <c r="BW871" t="s">
        <v>149</v>
      </c>
      <c r="BX871" t="s">
        <v>785</v>
      </c>
      <c r="BY871">
        <v>5920.59</v>
      </c>
      <c r="CA871" t="s">
        <v>328</v>
      </c>
      <c r="CC871" t="s">
        <v>102</v>
      </c>
      <c r="CD871">
        <v>184</v>
      </c>
      <c r="CE871" t="s">
        <v>116</v>
      </c>
      <c r="CF871" s="3">
        <v>43810</v>
      </c>
      <c r="CI871">
        <v>1</v>
      </c>
      <c r="CJ871">
        <v>1</v>
      </c>
      <c r="CK871">
        <v>21</v>
      </c>
      <c r="CL871" t="s">
        <v>89</v>
      </c>
    </row>
    <row r="872" spans="1:90">
      <c r="A872" t="s">
        <v>72</v>
      </c>
      <c r="B872" t="s">
        <v>73</v>
      </c>
      <c r="C872" t="s">
        <v>74</v>
      </c>
      <c r="E872" t="str">
        <f>"FES1162727440"</f>
        <v>FES1162727440</v>
      </c>
      <c r="F872" s="3">
        <v>43808</v>
      </c>
      <c r="G872">
        <v>202006</v>
      </c>
      <c r="H872" t="s">
        <v>75</v>
      </c>
      <c r="I872" t="s">
        <v>76</v>
      </c>
      <c r="J872" t="s">
        <v>77</v>
      </c>
      <c r="K872" t="s">
        <v>78</v>
      </c>
      <c r="L872" t="s">
        <v>498</v>
      </c>
      <c r="M872" t="s">
        <v>499</v>
      </c>
      <c r="N872" t="s">
        <v>500</v>
      </c>
      <c r="O872" t="s">
        <v>82</v>
      </c>
      <c r="P872" t="str">
        <f>"2170710931                    "</f>
        <v xml:space="preserve">2170710931                    </v>
      </c>
      <c r="Q872">
        <v>0</v>
      </c>
      <c r="R872">
        <v>0</v>
      </c>
      <c r="S872">
        <v>0</v>
      </c>
      <c r="T872">
        <v>0</v>
      </c>
      <c r="U872">
        <v>0</v>
      </c>
      <c r="V872">
        <v>0</v>
      </c>
      <c r="W872">
        <v>0</v>
      </c>
      <c r="X872">
        <v>0</v>
      </c>
      <c r="Y872">
        <v>0</v>
      </c>
      <c r="Z872">
        <v>0</v>
      </c>
      <c r="AA872">
        <v>0</v>
      </c>
      <c r="AB872">
        <v>0</v>
      </c>
      <c r="AC872">
        <v>0</v>
      </c>
      <c r="AD872">
        <v>0</v>
      </c>
      <c r="AE872">
        <v>0</v>
      </c>
      <c r="AF872">
        <v>0</v>
      </c>
      <c r="AG872">
        <v>0</v>
      </c>
      <c r="AH872">
        <v>0</v>
      </c>
      <c r="AI872">
        <v>0</v>
      </c>
      <c r="AJ872">
        <v>0</v>
      </c>
      <c r="AK872">
        <v>0</v>
      </c>
      <c r="AL872">
        <v>0</v>
      </c>
      <c r="AM872">
        <v>27.9</v>
      </c>
      <c r="AN872">
        <v>0</v>
      </c>
      <c r="AO872">
        <v>0</v>
      </c>
      <c r="AP872">
        <v>0</v>
      </c>
      <c r="AQ872">
        <v>0</v>
      </c>
      <c r="AR872">
        <v>0</v>
      </c>
      <c r="AS872">
        <v>0</v>
      </c>
      <c r="AT872">
        <v>0</v>
      </c>
      <c r="AU872">
        <v>0</v>
      </c>
      <c r="AV872">
        <v>0</v>
      </c>
      <c r="AW872">
        <v>0</v>
      </c>
      <c r="AX872">
        <v>0</v>
      </c>
      <c r="AY872">
        <v>0</v>
      </c>
      <c r="AZ872">
        <v>0</v>
      </c>
      <c r="BA872">
        <v>0</v>
      </c>
      <c r="BB872">
        <v>0</v>
      </c>
      <c r="BC872">
        <v>0</v>
      </c>
      <c r="BD872">
        <v>0</v>
      </c>
      <c r="BE872">
        <v>0</v>
      </c>
      <c r="BF872">
        <v>0</v>
      </c>
      <c r="BG872">
        <v>0</v>
      </c>
      <c r="BH872">
        <v>1</v>
      </c>
      <c r="BI872">
        <v>3</v>
      </c>
      <c r="BJ872">
        <v>3.2</v>
      </c>
      <c r="BK872">
        <v>3.5</v>
      </c>
      <c r="BL872" s="4">
        <v>163.98</v>
      </c>
      <c r="BM872" s="4">
        <v>24.6</v>
      </c>
      <c r="BN872" s="4">
        <v>188.58</v>
      </c>
      <c r="BO872" s="4">
        <v>188.58</v>
      </c>
      <c r="BQ872" t="s">
        <v>147</v>
      </c>
      <c r="BR872" t="s">
        <v>84</v>
      </c>
      <c r="BS872" s="3">
        <v>43809</v>
      </c>
      <c r="BT872" s="5">
        <v>0.39583333333333331</v>
      </c>
      <c r="BU872" t="s">
        <v>148</v>
      </c>
      <c r="BV872" t="s">
        <v>86</v>
      </c>
      <c r="BY872">
        <v>15781.64</v>
      </c>
      <c r="CA872" t="s">
        <v>1413</v>
      </c>
      <c r="CC872" t="s">
        <v>499</v>
      </c>
      <c r="CD872">
        <v>9700</v>
      </c>
      <c r="CE872" t="s">
        <v>96</v>
      </c>
      <c r="CF872" s="3">
        <v>43811</v>
      </c>
      <c r="CI872">
        <v>1</v>
      </c>
      <c r="CJ872">
        <v>1</v>
      </c>
      <c r="CK872">
        <v>23</v>
      </c>
      <c r="CL872" t="s">
        <v>89</v>
      </c>
    </row>
    <row r="873" spans="1:90">
      <c r="A873" t="s">
        <v>72</v>
      </c>
      <c r="B873" t="s">
        <v>73</v>
      </c>
      <c r="C873" t="s">
        <v>74</v>
      </c>
      <c r="E873" t="str">
        <f>"FES1162727457"</f>
        <v>FES1162727457</v>
      </c>
      <c r="F873" s="3">
        <v>43808</v>
      </c>
      <c r="G873">
        <v>202006</v>
      </c>
      <c r="H873" t="s">
        <v>75</v>
      </c>
      <c r="I873" t="s">
        <v>76</v>
      </c>
      <c r="J873" t="s">
        <v>77</v>
      </c>
      <c r="K873" t="s">
        <v>78</v>
      </c>
      <c r="L873" t="s">
        <v>198</v>
      </c>
      <c r="M873" t="s">
        <v>199</v>
      </c>
      <c r="N873" t="s">
        <v>297</v>
      </c>
      <c r="O873" t="s">
        <v>82</v>
      </c>
      <c r="P873" t="str">
        <f>"217071944                     "</f>
        <v xml:space="preserve">217071944                     </v>
      </c>
      <c r="Q873">
        <v>0</v>
      </c>
      <c r="R873">
        <v>0</v>
      </c>
      <c r="S873">
        <v>0</v>
      </c>
      <c r="T873">
        <v>0</v>
      </c>
      <c r="U873">
        <v>0</v>
      </c>
      <c r="V873">
        <v>0</v>
      </c>
      <c r="W873">
        <v>0</v>
      </c>
      <c r="X873">
        <v>0</v>
      </c>
      <c r="Y873">
        <v>0</v>
      </c>
      <c r="Z873">
        <v>0</v>
      </c>
      <c r="AA873">
        <v>0</v>
      </c>
      <c r="AB873">
        <v>0</v>
      </c>
      <c r="AC873">
        <v>0</v>
      </c>
      <c r="AD873">
        <v>0</v>
      </c>
      <c r="AE873">
        <v>0</v>
      </c>
      <c r="AF873">
        <v>0</v>
      </c>
      <c r="AG873">
        <v>0</v>
      </c>
      <c r="AH873">
        <v>0</v>
      </c>
      <c r="AI873">
        <v>0</v>
      </c>
      <c r="AJ873">
        <v>0</v>
      </c>
      <c r="AK873">
        <v>0</v>
      </c>
      <c r="AL873">
        <v>0</v>
      </c>
      <c r="AM873">
        <v>23.59</v>
      </c>
      <c r="AN873">
        <v>0</v>
      </c>
      <c r="AO873">
        <v>0</v>
      </c>
      <c r="AP873">
        <v>0</v>
      </c>
      <c r="AQ873">
        <v>0</v>
      </c>
      <c r="AR873">
        <v>0</v>
      </c>
      <c r="AS873">
        <v>0</v>
      </c>
      <c r="AT873">
        <v>0</v>
      </c>
      <c r="AU873">
        <v>0</v>
      </c>
      <c r="AV873">
        <v>0</v>
      </c>
      <c r="AW873">
        <v>0</v>
      </c>
      <c r="AX873">
        <v>0</v>
      </c>
      <c r="AY873">
        <v>0</v>
      </c>
      <c r="AZ873">
        <v>0</v>
      </c>
      <c r="BA873">
        <v>0</v>
      </c>
      <c r="BB873">
        <v>0</v>
      </c>
      <c r="BC873">
        <v>0</v>
      </c>
      <c r="BD873">
        <v>0</v>
      </c>
      <c r="BE873">
        <v>0</v>
      </c>
      <c r="BF873">
        <v>0</v>
      </c>
      <c r="BG873">
        <v>0</v>
      </c>
      <c r="BH873">
        <v>1</v>
      </c>
      <c r="BI873">
        <v>5.0999999999999996</v>
      </c>
      <c r="BJ873">
        <v>1.3</v>
      </c>
      <c r="BK873">
        <v>5.5</v>
      </c>
      <c r="BL873" s="4">
        <v>138.68</v>
      </c>
      <c r="BM873" s="4">
        <v>20.8</v>
      </c>
      <c r="BN873" s="4">
        <v>159.47999999999999</v>
      </c>
      <c r="BO873" s="4">
        <v>159.47999999999999</v>
      </c>
      <c r="BQ873" t="s">
        <v>172</v>
      </c>
      <c r="BR873" t="s">
        <v>84</v>
      </c>
      <c r="BS873" s="3">
        <v>43809</v>
      </c>
      <c r="BT873" s="5">
        <v>0.3659722222222222</v>
      </c>
      <c r="BU873" t="s">
        <v>542</v>
      </c>
      <c r="BV873" t="s">
        <v>86</v>
      </c>
      <c r="BY873">
        <v>6430.28</v>
      </c>
      <c r="CA873" t="s">
        <v>299</v>
      </c>
      <c r="CC873" t="s">
        <v>199</v>
      </c>
      <c r="CD873">
        <v>4000</v>
      </c>
      <c r="CE873" t="s">
        <v>96</v>
      </c>
      <c r="CF873" s="3">
        <v>43809</v>
      </c>
      <c r="CI873">
        <v>1</v>
      </c>
      <c r="CJ873">
        <v>1</v>
      </c>
      <c r="CK873">
        <v>21</v>
      </c>
      <c r="CL873" t="s">
        <v>89</v>
      </c>
    </row>
    <row r="874" spans="1:90">
      <c r="A874" t="s">
        <v>72</v>
      </c>
      <c r="B874" t="s">
        <v>73</v>
      </c>
      <c r="C874" t="s">
        <v>74</v>
      </c>
      <c r="E874" t="str">
        <f>"FES1162727426"</f>
        <v>FES1162727426</v>
      </c>
      <c r="F874" s="3">
        <v>43808</v>
      </c>
      <c r="G874">
        <v>202006</v>
      </c>
      <c r="H874" t="s">
        <v>75</v>
      </c>
      <c r="I874" t="s">
        <v>76</v>
      </c>
      <c r="J874" t="s">
        <v>77</v>
      </c>
      <c r="K874" t="s">
        <v>78</v>
      </c>
      <c r="L874" t="s">
        <v>350</v>
      </c>
      <c r="M874" t="s">
        <v>351</v>
      </c>
      <c r="N874" t="s">
        <v>1414</v>
      </c>
      <c r="O874" t="s">
        <v>82</v>
      </c>
      <c r="P874" t="str">
        <f>"2170720916                    "</f>
        <v xml:space="preserve">2170720916                    </v>
      </c>
      <c r="Q874">
        <v>0</v>
      </c>
      <c r="R874">
        <v>0</v>
      </c>
      <c r="S874">
        <v>0</v>
      </c>
      <c r="T874">
        <v>0</v>
      </c>
      <c r="U874">
        <v>0</v>
      </c>
      <c r="V874">
        <v>0</v>
      </c>
      <c r="W874">
        <v>0</v>
      </c>
      <c r="X874">
        <v>0</v>
      </c>
      <c r="Y874">
        <v>0</v>
      </c>
      <c r="Z874">
        <v>0</v>
      </c>
      <c r="AA874">
        <v>0</v>
      </c>
      <c r="AB874">
        <v>0</v>
      </c>
      <c r="AC874">
        <v>0</v>
      </c>
      <c r="AD874">
        <v>0</v>
      </c>
      <c r="AE874">
        <v>0</v>
      </c>
      <c r="AF874">
        <v>0</v>
      </c>
      <c r="AG874">
        <v>0</v>
      </c>
      <c r="AH874">
        <v>0</v>
      </c>
      <c r="AI874">
        <v>0</v>
      </c>
      <c r="AJ874">
        <v>0</v>
      </c>
      <c r="AK874">
        <v>0</v>
      </c>
      <c r="AL874">
        <v>0</v>
      </c>
      <c r="AM874">
        <v>6.71</v>
      </c>
      <c r="AN874">
        <v>0</v>
      </c>
      <c r="AO874">
        <v>0</v>
      </c>
      <c r="AP874">
        <v>0</v>
      </c>
      <c r="AQ874">
        <v>0</v>
      </c>
      <c r="AR874">
        <v>0</v>
      </c>
      <c r="AS874">
        <v>0</v>
      </c>
      <c r="AT874">
        <v>0</v>
      </c>
      <c r="AU874">
        <v>0</v>
      </c>
      <c r="AV874">
        <v>0</v>
      </c>
      <c r="AW874">
        <v>0</v>
      </c>
      <c r="AX874">
        <v>0</v>
      </c>
      <c r="AY874">
        <v>0</v>
      </c>
      <c r="AZ874">
        <v>0</v>
      </c>
      <c r="BA874">
        <v>0</v>
      </c>
      <c r="BB874">
        <v>0</v>
      </c>
      <c r="BC874">
        <v>0</v>
      </c>
      <c r="BD874">
        <v>0</v>
      </c>
      <c r="BE874">
        <v>0</v>
      </c>
      <c r="BF874">
        <v>0</v>
      </c>
      <c r="BG874">
        <v>0</v>
      </c>
      <c r="BH874">
        <v>1</v>
      </c>
      <c r="BI874">
        <v>1</v>
      </c>
      <c r="BJ874">
        <v>0.2</v>
      </c>
      <c r="BK874">
        <v>1</v>
      </c>
      <c r="BL874" s="4">
        <v>39.42</v>
      </c>
      <c r="BM874" s="4">
        <v>5.91</v>
      </c>
      <c r="BN874" s="4">
        <v>45.33</v>
      </c>
      <c r="BO874" s="4">
        <v>45.33</v>
      </c>
      <c r="BR874" t="s">
        <v>84</v>
      </c>
      <c r="BS874" s="3">
        <v>43809</v>
      </c>
      <c r="BT874" s="5">
        <v>0.31944444444444448</v>
      </c>
      <c r="BU874" t="s">
        <v>1415</v>
      </c>
      <c r="BV874" t="s">
        <v>86</v>
      </c>
      <c r="BY874">
        <v>1200</v>
      </c>
      <c r="CA874" t="s">
        <v>344</v>
      </c>
      <c r="CC874" t="s">
        <v>351</v>
      </c>
      <c r="CD874">
        <v>1500</v>
      </c>
      <c r="CE874" t="s">
        <v>88</v>
      </c>
      <c r="CF874" s="3">
        <v>43811</v>
      </c>
      <c r="CI874">
        <v>1</v>
      </c>
      <c r="CJ874">
        <v>1</v>
      </c>
      <c r="CK874">
        <v>22</v>
      </c>
      <c r="CL874" t="s">
        <v>89</v>
      </c>
    </row>
    <row r="875" spans="1:90">
      <c r="A875" t="s">
        <v>72</v>
      </c>
      <c r="B875" t="s">
        <v>73</v>
      </c>
      <c r="C875" t="s">
        <v>74</v>
      </c>
      <c r="E875" t="str">
        <f>"FES1162727464"</f>
        <v>FES1162727464</v>
      </c>
      <c r="F875" s="3">
        <v>43808</v>
      </c>
      <c r="G875">
        <v>202006</v>
      </c>
      <c r="H875" t="s">
        <v>75</v>
      </c>
      <c r="I875" t="s">
        <v>76</v>
      </c>
      <c r="J875" t="s">
        <v>77</v>
      </c>
      <c r="K875" t="s">
        <v>78</v>
      </c>
      <c r="L875" t="s">
        <v>332</v>
      </c>
      <c r="M875" t="s">
        <v>333</v>
      </c>
      <c r="N875" t="s">
        <v>701</v>
      </c>
      <c r="O875" t="s">
        <v>82</v>
      </c>
      <c r="P875" t="str">
        <f>"2170720949                    "</f>
        <v xml:space="preserve">2170720949                    </v>
      </c>
      <c r="Q875">
        <v>0</v>
      </c>
      <c r="R875">
        <v>0</v>
      </c>
      <c r="S875">
        <v>0</v>
      </c>
      <c r="T875">
        <v>0</v>
      </c>
      <c r="U875">
        <v>0</v>
      </c>
      <c r="V875">
        <v>0</v>
      </c>
      <c r="W875">
        <v>0</v>
      </c>
      <c r="X875">
        <v>0</v>
      </c>
      <c r="Y875">
        <v>0</v>
      </c>
      <c r="Z875">
        <v>0</v>
      </c>
      <c r="AA875">
        <v>0</v>
      </c>
      <c r="AB875">
        <v>0</v>
      </c>
      <c r="AC875">
        <v>0</v>
      </c>
      <c r="AD875">
        <v>0</v>
      </c>
      <c r="AE875">
        <v>0</v>
      </c>
      <c r="AF875">
        <v>0</v>
      </c>
      <c r="AG875">
        <v>0</v>
      </c>
      <c r="AH875">
        <v>0</v>
      </c>
      <c r="AI875">
        <v>0</v>
      </c>
      <c r="AJ875">
        <v>0</v>
      </c>
      <c r="AK875">
        <v>0</v>
      </c>
      <c r="AL875">
        <v>0</v>
      </c>
      <c r="AM875">
        <v>6.71</v>
      </c>
      <c r="AN875">
        <v>0</v>
      </c>
      <c r="AO875">
        <v>0</v>
      </c>
      <c r="AP875">
        <v>0</v>
      </c>
      <c r="AQ875">
        <v>0</v>
      </c>
      <c r="AR875">
        <v>0</v>
      </c>
      <c r="AS875">
        <v>0</v>
      </c>
      <c r="AT875">
        <v>0</v>
      </c>
      <c r="AU875">
        <v>0</v>
      </c>
      <c r="AV875">
        <v>0</v>
      </c>
      <c r="AW875">
        <v>0</v>
      </c>
      <c r="AX875">
        <v>0</v>
      </c>
      <c r="AY875">
        <v>0</v>
      </c>
      <c r="AZ875">
        <v>0</v>
      </c>
      <c r="BA875">
        <v>0</v>
      </c>
      <c r="BB875">
        <v>0</v>
      </c>
      <c r="BC875">
        <v>0</v>
      </c>
      <c r="BD875">
        <v>0</v>
      </c>
      <c r="BE875">
        <v>0</v>
      </c>
      <c r="BF875">
        <v>0</v>
      </c>
      <c r="BG875">
        <v>0</v>
      </c>
      <c r="BH875">
        <v>1</v>
      </c>
      <c r="BI875">
        <v>1</v>
      </c>
      <c r="BJ875">
        <v>0.2</v>
      </c>
      <c r="BK875">
        <v>1</v>
      </c>
      <c r="BL875" s="4">
        <v>39.42</v>
      </c>
      <c r="BM875" s="4">
        <v>5.91</v>
      </c>
      <c r="BN875" s="4">
        <v>45.33</v>
      </c>
      <c r="BO875" s="4">
        <v>45.33</v>
      </c>
      <c r="BQ875" t="s">
        <v>93</v>
      </c>
      <c r="BR875" t="s">
        <v>84</v>
      </c>
      <c r="BS875" s="3">
        <v>43809</v>
      </c>
      <c r="BT875" s="5">
        <v>0.38055555555555554</v>
      </c>
      <c r="BU875" t="s">
        <v>142</v>
      </c>
      <c r="BV875" t="s">
        <v>86</v>
      </c>
      <c r="BY875">
        <v>1200</v>
      </c>
      <c r="CC875" t="s">
        <v>333</v>
      </c>
      <c r="CD875">
        <v>2094</v>
      </c>
      <c r="CE875" t="s">
        <v>88</v>
      </c>
      <c r="CF875" s="3">
        <v>43810</v>
      </c>
      <c r="CI875">
        <v>1</v>
      </c>
      <c r="CJ875">
        <v>1</v>
      </c>
      <c r="CK875">
        <v>22</v>
      </c>
      <c r="CL875" t="s">
        <v>89</v>
      </c>
    </row>
    <row r="876" spans="1:90">
      <c r="A876" t="s">
        <v>72</v>
      </c>
      <c r="B876" t="s">
        <v>73</v>
      </c>
      <c r="C876" t="s">
        <v>74</v>
      </c>
      <c r="E876" t="str">
        <f>"FES1162727479"</f>
        <v>FES1162727479</v>
      </c>
      <c r="F876" s="3">
        <v>43808</v>
      </c>
      <c r="G876">
        <v>202006</v>
      </c>
      <c r="H876" t="s">
        <v>75</v>
      </c>
      <c r="I876" t="s">
        <v>76</v>
      </c>
      <c r="J876" t="s">
        <v>77</v>
      </c>
      <c r="K876" t="s">
        <v>78</v>
      </c>
      <c r="L876" t="s">
        <v>151</v>
      </c>
      <c r="M876" t="s">
        <v>102</v>
      </c>
      <c r="N876" t="s">
        <v>409</v>
      </c>
      <c r="O876" t="s">
        <v>82</v>
      </c>
      <c r="P876" t="str">
        <f>"2170720958                    "</f>
        <v xml:space="preserve">2170720958                    </v>
      </c>
      <c r="Q876">
        <v>0</v>
      </c>
      <c r="R876">
        <v>0</v>
      </c>
      <c r="S876">
        <v>0</v>
      </c>
      <c r="T876">
        <v>0</v>
      </c>
      <c r="U876">
        <v>0</v>
      </c>
      <c r="V876">
        <v>0</v>
      </c>
      <c r="W876">
        <v>0</v>
      </c>
      <c r="X876">
        <v>0</v>
      </c>
      <c r="Y876">
        <v>0</v>
      </c>
      <c r="Z876">
        <v>0</v>
      </c>
      <c r="AA876">
        <v>0</v>
      </c>
      <c r="AB876">
        <v>0</v>
      </c>
      <c r="AC876">
        <v>0</v>
      </c>
      <c r="AD876">
        <v>0</v>
      </c>
      <c r="AE876">
        <v>0</v>
      </c>
      <c r="AF876">
        <v>0</v>
      </c>
      <c r="AG876">
        <v>0</v>
      </c>
      <c r="AH876">
        <v>0</v>
      </c>
      <c r="AI876">
        <v>0</v>
      </c>
      <c r="AJ876">
        <v>0</v>
      </c>
      <c r="AK876">
        <v>0</v>
      </c>
      <c r="AL876">
        <v>0</v>
      </c>
      <c r="AM876">
        <v>8.58</v>
      </c>
      <c r="AN876">
        <v>0</v>
      </c>
      <c r="AO876">
        <v>0</v>
      </c>
      <c r="AP876">
        <v>0</v>
      </c>
      <c r="AQ876">
        <v>0</v>
      </c>
      <c r="AR876">
        <v>0</v>
      </c>
      <c r="AS876">
        <v>0</v>
      </c>
      <c r="AT876">
        <v>0</v>
      </c>
      <c r="AU876">
        <v>0</v>
      </c>
      <c r="AV876">
        <v>0</v>
      </c>
      <c r="AW876">
        <v>0</v>
      </c>
      <c r="AX876">
        <v>0</v>
      </c>
      <c r="AY876">
        <v>0</v>
      </c>
      <c r="AZ876">
        <v>0</v>
      </c>
      <c r="BA876">
        <v>0</v>
      </c>
      <c r="BB876">
        <v>0</v>
      </c>
      <c r="BC876">
        <v>0</v>
      </c>
      <c r="BD876">
        <v>0</v>
      </c>
      <c r="BE876">
        <v>0</v>
      </c>
      <c r="BF876">
        <v>0</v>
      </c>
      <c r="BG876">
        <v>0</v>
      </c>
      <c r="BH876">
        <v>1</v>
      </c>
      <c r="BI876">
        <v>1</v>
      </c>
      <c r="BJ876">
        <v>0.2</v>
      </c>
      <c r="BK876">
        <v>1</v>
      </c>
      <c r="BL876" s="4">
        <v>50.45</v>
      </c>
      <c r="BM876" s="4">
        <v>7.57</v>
      </c>
      <c r="BN876" s="4">
        <v>58.02</v>
      </c>
      <c r="BO876" s="4">
        <v>58.02</v>
      </c>
      <c r="BQ876" t="s">
        <v>147</v>
      </c>
      <c r="BR876" t="s">
        <v>84</v>
      </c>
      <c r="BS876" s="3">
        <v>43809</v>
      </c>
      <c r="BT876" s="5">
        <v>0.39583333333333331</v>
      </c>
      <c r="BU876" t="s">
        <v>1416</v>
      </c>
      <c r="BV876" t="s">
        <v>86</v>
      </c>
      <c r="BY876">
        <v>1200</v>
      </c>
      <c r="CA876" t="s">
        <v>163</v>
      </c>
      <c r="CC876" t="s">
        <v>102</v>
      </c>
      <c r="CD876">
        <v>200</v>
      </c>
      <c r="CE876" t="s">
        <v>88</v>
      </c>
      <c r="CF876" s="3">
        <v>43810</v>
      </c>
      <c r="CI876">
        <v>1</v>
      </c>
      <c r="CJ876">
        <v>1</v>
      </c>
      <c r="CK876">
        <v>21</v>
      </c>
      <c r="CL876" t="s">
        <v>89</v>
      </c>
    </row>
    <row r="877" spans="1:90">
      <c r="A877" t="s">
        <v>72</v>
      </c>
      <c r="B877" t="s">
        <v>73</v>
      </c>
      <c r="C877" t="s">
        <v>74</v>
      </c>
      <c r="E877" t="str">
        <f>"FES1162727414"</f>
        <v>FES1162727414</v>
      </c>
      <c r="F877" s="3">
        <v>43808</v>
      </c>
      <c r="G877">
        <v>202006</v>
      </c>
      <c r="H877" t="s">
        <v>75</v>
      </c>
      <c r="I877" t="s">
        <v>76</v>
      </c>
      <c r="J877" t="s">
        <v>77</v>
      </c>
      <c r="K877" t="s">
        <v>78</v>
      </c>
      <c r="L877" t="s">
        <v>198</v>
      </c>
      <c r="M877" t="s">
        <v>199</v>
      </c>
      <c r="N877" t="s">
        <v>297</v>
      </c>
      <c r="O877" t="s">
        <v>82</v>
      </c>
      <c r="P877" t="str">
        <f>"2170711254                    "</f>
        <v xml:space="preserve">2170711254                    </v>
      </c>
      <c r="Q877">
        <v>0</v>
      </c>
      <c r="R877">
        <v>0</v>
      </c>
      <c r="S877">
        <v>0</v>
      </c>
      <c r="T877">
        <v>0</v>
      </c>
      <c r="U877">
        <v>0</v>
      </c>
      <c r="V877">
        <v>0</v>
      </c>
      <c r="W877">
        <v>0</v>
      </c>
      <c r="X877">
        <v>0</v>
      </c>
      <c r="Y877">
        <v>0</v>
      </c>
      <c r="Z877">
        <v>0</v>
      </c>
      <c r="AA877">
        <v>0</v>
      </c>
      <c r="AB877">
        <v>0</v>
      </c>
      <c r="AC877">
        <v>0</v>
      </c>
      <c r="AD877">
        <v>0</v>
      </c>
      <c r="AE877">
        <v>0</v>
      </c>
      <c r="AF877">
        <v>0</v>
      </c>
      <c r="AG877">
        <v>0</v>
      </c>
      <c r="AH877">
        <v>0</v>
      </c>
      <c r="AI877">
        <v>0</v>
      </c>
      <c r="AJ877">
        <v>0</v>
      </c>
      <c r="AK877">
        <v>0</v>
      </c>
      <c r="AL877">
        <v>0</v>
      </c>
      <c r="AM877">
        <v>79.349999999999994</v>
      </c>
      <c r="AN877">
        <v>0</v>
      </c>
      <c r="AO877">
        <v>0</v>
      </c>
      <c r="AP877">
        <v>0</v>
      </c>
      <c r="AQ877">
        <v>0</v>
      </c>
      <c r="AR877">
        <v>0</v>
      </c>
      <c r="AS877">
        <v>0</v>
      </c>
      <c r="AT877">
        <v>0</v>
      </c>
      <c r="AU877">
        <v>0</v>
      </c>
      <c r="AV877">
        <v>0</v>
      </c>
      <c r="AW877">
        <v>0</v>
      </c>
      <c r="AX877">
        <v>0</v>
      </c>
      <c r="AY877">
        <v>0</v>
      </c>
      <c r="AZ877">
        <v>0</v>
      </c>
      <c r="BA877">
        <v>0</v>
      </c>
      <c r="BB877">
        <v>0</v>
      </c>
      <c r="BC877">
        <v>0</v>
      </c>
      <c r="BD877">
        <v>0</v>
      </c>
      <c r="BE877">
        <v>0</v>
      </c>
      <c r="BF877">
        <v>0</v>
      </c>
      <c r="BG877">
        <v>0</v>
      </c>
      <c r="BH877">
        <v>1</v>
      </c>
      <c r="BI877">
        <v>16.7</v>
      </c>
      <c r="BJ877">
        <v>18.100000000000001</v>
      </c>
      <c r="BK877">
        <v>18.5</v>
      </c>
      <c r="BL877" s="4">
        <v>466.4</v>
      </c>
      <c r="BM877" s="4">
        <v>69.959999999999994</v>
      </c>
      <c r="BN877" s="4">
        <v>536.36</v>
      </c>
      <c r="BO877" s="4">
        <v>536.36</v>
      </c>
      <c r="BQ877" t="s">
        <v>172</v>
      </c>
      <c r="BR877" t="s">
        <v>84</v>
      </c>
      <c r="BS877" s="3">
        <v>43809</v>
      </c>
      <c r="BT877" s="5">
        <v>0.3659722222222222</v>
      </c>
      <c r="BU877" t="s">
        <v>542</v>
      </c>
      <c r="BV877" t="s">
        <v>86</v>
      </c>
      <c r="BY877">
        <v>90631.7</v>
      </c>
      <c r="CA877" t="s">
        <v>299</v>
      </c>
      <c r="CC877" t="s">
        <v>199</v>
      </c>
      <c r="CD877">
        <v>4000</v>
      </c>
      <c r="CE877" t="s">
        <v>116</v>
      </c>
      <c r="CF877" s="3">
        <v>43809</v>
      </c>
      <c r="CI877">
        <v>1</v>
      </c>
      <c r="CJ877">
        <v>1</v>
      </c>
      <c r="CK877">
        <v>21</v>
      </c>
      <c r="CL877" t="s">
        <v>89</v>
      </c>
    </row>
    <row r="878" spans="1:90">
      <c r="A878" t="s">
        <v>72</v>
      </c>
      <c r="B878" t="s">
        <v>73</v>
      </c>
      <c r="C878" t="s">
        <v>74</v>
      </c>
      <c r="E878" t="str">
        <f>"FES1162727463"</f>
        <v>FES1162727463</v>
      </c>
      <c r="F878" s="3">
        <v>43808</v>
      </c>
      <c r="G878">
        <v>202006</v>
      </c>
      <c r="H878" t="s">
        <v>75</v>
      </c>
      <c r="I878" t="s">
        <v>76</v>
      </c>
      <c r="J878" t="s">
        <v>77</v>
      </c>
      <c r="K878" t="s">
        <v>78</v>
      </c>
      <c r="L878" t="s">
        <v>332</v>
      </c>
      <c r="M878" t="s">
        <v>333</v>
      </c>
      <c r="N878" t="s">
        <v>701</v>
      </c>
      <c r="O878" t="s">
        <v>82</v>
      </c>
      <c r="P878" t="str">
        <f>"21707120948                   "</f>
        <v xml:space="preserve">21707120948                   </v>
      </c>
      <c r="Q878">
        <v>0</v>
      </c>
      <c r="R878">
        <v>0</v>
      </c>
      <c r="S878">
        <v>0</v>
      </c>
      <c r="T878">
        <v>0</v>
      </c>
      <c r="U878">
        <v>0</v>
      </c>
      <c r="V878">
        <v>0</v>
      </c>
      <c r="W878">
        <v>0</v>
      </c>
      <c r="X878">
        <v>0</v>
      </c>
      <c r="Y878">
        <v>0</v>
      </c>
      <c r="Z878">
        <v>0</v>
      </c>
      <c r="AA878">
        <v>0</v>
      </c>
      <c r="AB878">
        <v>0</v>
      </c>
      <c r="AC878">
        <v>0</v>
      </c>
      <c r="AD878">
        <v>0</v>
      </c>
      <c r="AE878">
        <v>0</v>
      </c>
      <c r="AF878">
        <v>0</v>
      </c>
      <c r="AG878">
        <v>0</v>
      </c>
      <c r="AH878">
        <v>0</v>
      </c>
      <c r="AI878">
        <v>0</v>
      </c>
      <c r="AJ878">
        <v>0</v>
      </c>
      <c r="AK878">
        <v>0</v>
      </c>
      <c r="AL878">
        <v>0</v>
      </c>
      <c r="AM878">
        <v>15.55</v>
      </c>
      <c r="AN878">
        <v>0</v>
      </c>
      <c r="AO878">
        <v>0</v>
      </c>
      <c r="AP878">
        <v>0</v>
      </c>
      <c r="AQ878">
        <v>0</v>
      </c>
      <c r="AR878">
        <v>0</v>
      </c>
      <c r="AS878">
        <v>0</v>
      </c>
      <c r="AT878">
        <v>0</v>
      </c>
      <c r="AU878">
        <v>0</v>
      </c>
      <c r="AV878">
        <v>0</v>
      </c>
      <c r="AW878">
        <v>0</v>
      </c>
      <c r="AX878">
        <v>0</v>
      </c>
      <c r="AY878">
        <v>0</v>
      </c>
      <c r="AZ878">
        <v>0</v>
      </c>
      <c r="BA878">
        <v>0</v>
      </c>
      <c r="BB878">
        <v>0</v>
      </c>
      <c r="BC878">
        <v>0</v>
      </c>
      <c r="BD878">
        <v>0</v>
      </c>
      <c r="BE878">
        <v>0</v>
      </c>
      <c r="BF878">
        <v>0</v>
      </c>
      <c r="BG878">
        <v>0</v>
      </c>
      <c r="BH878">
        <v>1</v>
      </c>
      <c r="BI878">
        <v>7.1</v>
      </c>
      <c r="BJ878">
        <v>1.9</v>
      </c>
      <c r="BK878">
        <v>7.5</v>
      </c>
      <c r="BL878" s="4">
        <v>91.38</v>
      </c>
      <c r="BM878" s="4">
        <v>13.71</v>
      </c>
      <c r="BN878" s="4">
        <v>105.09</v>
      </c>
      <c r="BO878" s="4">
        <v>105.09</v>
      </c>
      <c r="BQ878" t="s">
        <v>93</v>
      </c>
      <c r="BR878" t="s">
        <v>84</v>
      </c>
      <c r="BS878" s="3">
        <v>43809</v>
      </c>
      <c r="BT878" s="5">
        <v>0.38055555555555554</v>
      </c>
      <c r="BU878" t="s">
        <v>142</v>
      </c>
      <c r="BV878" t="s">
        <v>86</v>
      </c>
      <c r="BY878">
        <v>9341.1</v>
      </c>
      <c r="CC878" t="s">
        <v>333</v>
      </c>
      <c r="CD878">
        <v>2094</v>
      </c>
      <c r="CE878" t="s">
        <v>96</v>
      </c>
      <c r="CF878" s="3">
        <v>43810</v>
      </c>
      <c r="CI878">
        <v>1</v>
      </c>
      <c r="CJ878">
        <v>1</v>
      </c>
      <c r="CK878">
        <v>22</v>
      </c>
      <c r="CL878" t="s">
        <v>89</v>
      </c>
    </row>
    <row r="879" spans="1:90">
      <c r="A879" t="s">
        <v>72</v>
      </c>
      <c r="B879" t="s">
        <v>73</v>
      </c>
      <c r="C879" t="s">
        <v>74</v>
      </c>
      <c r="E879" t="str">
        <f>"FES1162727125"</f>
        <v>FES1162727125</v>
      </c>
      <c r="F879" s="3">
        <v>43808</v>
      </c>
      <c r="G879">
        <v>202006</v>
      </c>
      <c r="H879" t="s">
        <v>75</v>
      </c>
      <c r="I879" t="s">
        <v>76</v>
      </c>
      <c r="J879" t="s">
        <v>77</v>
      </c>
      <c r="K879" t="s">
        <v>78</v>
      </c>
      <c r="L879" t="s">
        <v>671</v>
      </c>
      <c r="M879" t="s">
        <v>672</v>
      </c>
      <c r="N879" t="s">
        <v>1417</v>
      </c>
      <c r="O879" t="s">
        <v>82</v>
      </c>
      <c r="P879" t="str">
        <f>"2170720594                    "</f>
        <v xml:space="preserve">2170720594                    </v>
      </c>
      <c r="Q879">
        <v>0</v>
      </c>
      <c r="R879">
        <v>0</v>
      </c>
      <c r="S879">
        <v>0</v>
      </c>
      <c r="T879">
        <v>0</v>
      </c>
      <c r="U879">
        <v>0</v>
      </c>
      <c r="V879">
        <v>0</v>
      </c>
      <c r="W879">
        <v>0</v>
      </c>
      <c r="X879">
        <v>0</v>
      </c>
      <c r="Y879">
        <v>0</v>
      </c>
      <c r="Z879">
        <v>0</v>
      </c>
      <c r="AA879">
        <v>0</v>
      </c>
      <c r="AB879">
        <v>0</v>
      </c>
      <c r="AC879">
        <v>0</v>
      </c>
      <c r="AD879">
        <v>0</v>
      </c>
      <c r="AE879">
        <v>0</v>
      </c>
      <c r="AF879">
        <v>0</v>
      </c>
      <c r="AG879">
        <v>0</v>
      </c>
      <c r="AH879">
        <v>0</v>
      </c>
      <c r="AI879">
        <v>0</v>
      </c>
      <c r="AJ879">
        <v>0</v>
      </c>
      <c r="AK879">
        <v>0</v>
      </c>
      <c r="AL879">
        <v>0</v>
      </c>
      <c r="AM879">
        <v>16.63</v>
      </c>
      <c r="AN879">
        <v>0</v>
      </c>
      <c r="AO879">
        <v>0</v>
      </c>
      <c r="AP879">
        <v>0</v>
      </c>
      <c r="AQ879">
        <v>0</v>
      </c>
      <c r="AR879">
        <v>0</v>
      </c>
      <c r="AS879">
        <v>0</v>
      </c>
      <c r="AT879">
        <v>0</v>
      </c>
      <c r="AU879">
        <v>0</v>
      </c>
      <c r="AV879">
        <v>0</v>
      </c>
      <c r="AW879">
        <v>0</v>
      </c>
      <c r="AX879">
        <v>0</v>
      </c>
      <c r="AY879">
        <v>0</v>
      </c>
      <c r="AZ879">
        <v>0</v>
      </c>
      <c r="BA879">
        <v>0</v>
      </c>
      <c r="BB879">
        <v>0</v>
      </c>
      <c r="BC879">
        <v>0</v>
      </c>
      <c r="BD879">
        <v>0</v>
      </c>
      <c r="BE879">
        <v>0</v>
      </c>
      <c r="BF879">
        <v>0</v>
      </c>
      <c r="BG879">
        <v>0</v>
      </c>
      <c r="BH879">
        <v>1</v>
      </c>
      <c r="BI879">
        <v>1.2</v>
      </c>
      <c r="BJ879">
        <v>0.2</v>
      </c>
      <c r="BK879">
        <v>1.5</v>
      </c>
      <c r="BL879" s="4">
        <v>97.75</v>
      </c>
      <c r="BM879" s="4">
        <v>14.66</v>
      </c>
      <c r="BN879" s="4">
        <v>112.41</v>
      </c>
      <c r="BO879" s="4">
        <v>112.41</v>
      </c>
      <c r="BQ879" t="s">
        <v>93</v>
      </c>
      <c r="BR879" t="s">
        <v>84</v>
      </c>
      <c r="BS879" s="3">
        <v>43809</v>
      </c>
      <c r="BT879" s="5">
        <v>0.35972222222222222</v>
      </c>
      <c r="BU879" t="s">
        <v>1418</v>
      </c>
      <c r="BV879" t="s">
        <v>86</v>
      </c>
      <c r="BY879">
        <v>1200</v>
      </c>
      <c r="CA879" t="s">
        <v>946</v>
      </c>
      <c r="CC879" t="s">
        <v>672</v>
      </c>
      <c r="CD879">
        <v>1900</v>
      </c>
      <c r="CE879" t="s">
        <v>88</v>
      </c>
      <c r="CF879" s="3">
        <v>43810</v>
      </c>
      <c r="CI879">
        <v>1</v>
      </c>
      <c r="CJ879">
        <v>1</v>
      </c>
      <c r="CK879">
        <v>23</v>
      </c>
      <c r="CL879" t="s">
        <v>89</v>
      </c>
    </row>
    <row r="880" spans="1:90">
      <c r="A880" t="s">
        <v>72</v>
      </c>
      <c r="B880" t="s">
        <v>73</v>
      </c>
      <c r="C880" t="s">
        <v>74</v>
      </c>
      <c r="E880" t="str">
        <f>"FES1162727291"</f>
        <v>FES1162727291</v>
      </c>
      <c r="F880" s="3">
        <v>43808</v>
      </c>
      <c r="G880">
        <v>202006</v>
      </c>
      <c r="H880" t="s">
        <v>75</v>
      </c>
      <c r="I880" t="s">
        <v>76</v>
      </c>
      <c r="J880" t="s">
        <v>77</v>
      </c>
      <c r="K880" t="s">
        <v>78</v>
      </c>
      <c r="L880" t="s">
        <v>169</v>
      </c>
      <c r="M880" t="s">
        <v>170</v>
      </c>
      <c r="N880" t="s">
        <v>969</v>
      </c>
      <c r="O880" t="s">
        <v>82</v>
      </c>
      <c r="P880" t="str">
        <f>"2178361                       "</f>
        <v xml:space="preserve">2178361                       </v>
      </c>
      <c r="Q880">
        <v>0</v>
      </c>
      <c r="R880">
        <v>0</v>
      </c>
      <c r="S880">
        <v>0</v>
      </c>
      <c r="T880">
        <v>0</v>
      </c>
      <c r="U880">
        <v>0</v>
      </c>
      <c r="V880">
        <v>0</v>
      </c>
      <c r="W880">
        <v>0</v>
      </c>
      <c r="X880">
        <v>0</v>
      </c>
      <c r="Y880">
        <v>0</v>
      </c>
      <c r="Z880">
        <v>0</v>
      </c>
      <c r="AA880">
        <v>0</v>
      </c>
      <c r="AB880">
        <v>0</v>
      </c>
      <c r="AC880">
        <v>0</v>
      </c>
      <c r="AD880">
        <v>0</v>
      </c>
      <c r="AE880">
        <v>0</v>
      </c>
      <c r="AF880">
        <v>0</v>
      </c>
      <c r="AG880">
        <v>0</v>
      </c>
      <c r="AH880">
        <v>0</v>
      </c>
      <c r="AI880">
        <v>0</v>
      </c>
      <c r="AJ880">
        <v>0</v>
      </c>
      <c r="AK880">
        <v>0</v>
      </c>
      <c r="AL880">
        <v>0</v>
      </c>
      <c r="AM880">
        <v>12.33</v>
      </c>
      <c r="AN880">
        <v>0</v>
      </c>
      <c r="AO880">
        <v>0</v>
      </c>
      <c r="AP880">
        <v>0</v>
      </c>
      <c r="AQ880">
        <v>0</v>
      </c>
      <c r="AR880">
        <v>0</v>
      </c>
      <c r="AS880">
        <v>0</v>
      </c>
      <c r="AT880">
        <v>0</v>
      </c>
      <c r="AU880">
        <v>0</v>
      </c>
      <c r="AV880">
        <v>0</v>
      </c>
      <c r="AW880">
        <v>0</v>
      </c>
      <c r="AX880">
        <v>0</v>
      </c>
      <c r="AY880">
        <v>0</v>
      </c>
      <c r="AZ880">
        <v>0</v>
      </c>
      <c r="BA880">
        <v>0</v>
      </c>
      <c r="BB880">
        <v>0</v>
      </c>
      <c r="BC880">
        <v>0</v>
      </c>
      <c r="BD880">
        <v>0</v>
      </c>
      <c r="BE880">
        <v>0</v>
      </c>
      <c r="BF880">
        <v>0</v>
      </c>
      <c r="BG880">
        <v>0</v>
      </c>
      <c r="BH880">
        <v>1</v>
      </c>
      <c r="BI880">
        <v>3.6</v>
      </c>
      <c r="BJ880">
        <v>5.2</v>
      </c>
      <c r="BK880">
        <v>5.5</v>
      </c>
      <c r="BL880" s="4">
        <v>72.48</v>
      </c>
      <c r="BM880" s="4">
        <v>10.87</v>
      </c>
      <c r="BN880" s="4">
        <v>83.35</v>
      </c>
      <c r="BO880" s="4">
        <v>83.35</v>
      </c>
      <c r="BQ880" t="s">
        <v>93</v>
      </c>
      <c r="BR880" t="s">
        <v>84</v>
      </c>
      <c r="BS880" s="3">
        <v>43809</v>
      </c>
      <c r="BT880" s="5">
        <v>0.32291666666666669</v>
      </c>
      <c r="BU880" t="s">
        <v>1419</v>
      </c>
      <c r="BV880" t="s">
        <v>86</v>
      </c>
      <c r="BY880">
        <v>25913.16</v>
      </c>
      <c r="CA880" t="s">
        <v>250</v>
      </c>
      <c r="CC880" t="s">
        <v>170</v>
      </c>
      <c r="CD880">
        <v>1459</v>
      </c>
      <c r="CE880" t="s">
        <v>88</v>
      </c>
      <c r="CF880" s="3">
        <v>43810</v>
      </c>
      <c r="CI880">
        <v>1</v>
      </c>
      <c r="CJ880">
        <v>1</v>
      </c>
      <c r="CK880">
        <v>22</v>
      </c>
      <c r="CL880" t="s">
        <v>89</v>
      </c>
    </row>
    <row r="881" spans="1:90">
      <c r="A881" t="s">
        <v>72</v>
      </c>
      <c r="B881" t="s">
        <v>73</v>
      </c>
      <c r="C881" t="s">
        <v>74</v>
      </c>
      <c r="E881" t="str">
        <f>"FES1162727405"</f>
        <v>FES1162727405</v>
      </c>
      <c r="F881" s="3">
        <v>43808</v>
      </c>
      <c r="G881">
        <v>202006</v>
      </c>
      <c r="H881" t="s">
        <v>75</v>
      </c>
      <c r="I881" t="s">
        <v>76</v>
      </c>
      <c r="J881" t="s">
        <v>77</v>
      </c>
      <c r="K881" t="s">
        <v>78</v>
      </c>
      <c r="L881" t="s">
        <v>169</v>
      </c>
      <c r="M881" t="s">
        <v>170</v>
      </c>
      <c r="N881" t="s">
        <v>248</v>
      </c>
      <c r="O881" t="s">
        <v>82</v>
      </c>
      <c r="P881" t="str">
        <f>"2170720897                    "</f>
        <v xml:space="preserve">2170720897                    </v>
      </c>
      <c r="Q881">
        <v>0</v>
      </c>
      <c r="R881">
        <v>0</v>
      </c>
      <c r="S881">
        <v>0</v>
      </c>
      <c r="T881">
        <v>0</v>
      </c>
      <c r="U881">
        <v>0</v>
      </c>
      <c r="V881">
        <v>0</v>
      </c>
      <c r="W881">
        <v>0</v>
      </c>
      <c r="X881">
        <v>0</v>
      </c>
      <c r="Y881">
        <v>0</v>
      </c>
      <c r="Z881">
        <v>0</v>
      </c>
      <c r="AA881">
        <v>0</v>
      </c>
      <c r="AB881">
        <v>0</v>
      </c>
      <c r="AC881">
        <v>0</v>
      </c>
      <c r="AD881">
        <v>0</v>
      </c>
      <c r="AE881">
        <v>0</v>
      </c>
      <c r="AF881">
        <v>0</v>
      </c>
      <c r="AG881">
        <v>0</v>
      </c>
      <c r="AH881">
        <v>0</v>
      </c>
      <c r="AI881">
        <v>0</v>
      </c>
      <c r="AJ881">
        <v>0</v>
      </c>
      <c r="AK881">
        <v>0</v>
      </c>
      <c r="AL881">
        <v>0</v>
      </c>
      <c r="AM881">
        <v>19.559999999999999</v>
      </c>
      <c r="AN881">
        <v>0</v>
      </c>
      <c r="AO881">
        <v>0</v>
      </c>
      <c r="AP881">
        <v>0</v>
      </c>
      <c r="AQ881">
        <v>0</v>
      </c>
      <c r="AR881">
        <v>0</v>
      </c>
      <c r="AS881">
        <v>0</v>
      </c>
      <c r="AT881">
        <v>0</v>
      </c>
      <c r="AU881">
        <v>0</v>
      </c>
      <c r="AV881">
        <v>0</v>
      </c>
      <c r="AW881">
        <v>0</v>
      </c>
      <c r="AX881">
        <v>0</v>
      </c>
      <c r="AY881">
        <v>0</v>
      </c>
      <c r="AZ881">
        <v>0</v>
      </c>
      <c r="BA881">
        <v>0</v>
      </c>
      <c r="BB881">
        <v>0</v>
      </c>
      <c r="BC881">
        <v>0</v>
      </c>
      <c r="BD881">
        <v>0</v>
      </c>
      <c r="BE881">
        <v>0</v>
      </c>
      <c r="BF881">
        <v>0</v>
      </c>
      <c r="BG881">
        <v>0</v>
      </c>
      <c r="BH881">
        <v>1</v>
      </c>
      <c r="BI881">
        <v>9.9</v>
      </c>
      <c r="BJ881">
        <v>4.4000000000000004</v>
      </c>
      <c r="BK881">
        <v>10</v>
      </c>
      <c r="BL881" s="4">
        <v>114.99</v>
      </c>
      <c r="BM881" s="4">
        <v>17.25</v>
      </c>
      <c r="BN881" s="4">
        <v>132.24</v>
      </c>
      <c r="BO881" s="4">
        <v>132.24</v>
      </c>
      <c r="BQ881" t="s">
        <v>147</v>
      </c>
      <c r="BR881" t="s">
        <v>84</v>
      </c>
      <c r="BS881" s="3">
        <v>43809</v>
      </c>
      <c r="BT881" s="5">
        <v>0.34583333333333338</v>
      </c>
      <c r="BU881" t="s">
        <v>1420</v>
      </c>
      <c r="BV881" t="s">
        <v>86</v>
      </c>
      <c r="BY881">
        <v>22008.45</v>
      </c>
      <c r="CA881" t="s">
        <v>1421</v>
      </c>
      <c r="CC881" t="s">
        <v>170</v>
      </c>
      <c r="CD881">
        <v>1459</v>
      </c>
      <c r="CE881" t="s">
        <v>96</v>
      </c>
      <c r="CF881" s="3">
        <v>43810</v>
      </c>
      <c r="CI881">
        <v>1</v>
      </c>
      <c r="CJ881">
        <v>1</v>
      </c>
      <c r="CK881">
        <v>22</v>
      </c>
      <c r="CL881" t="s">
        <v>89</v>
      </c>
    </row>
    <row r="882" spans="1:90">
      <c r="A882" t="s">
        <v>72</v>
      </c>
      <c r="B882" t="s">
        <v>73</v>
      </c>
      <c r="C882" t="s">
        <v>74</v>
      </c>
      <c r="E882" t="str">
        <f>"FES1162727490"</f>
        <v>FES1162727490</v>
      </c>
      <c r="F882" s="3">
        <v>43808</v>
      </c>
      <c r="G882">
        <v>202006</v>
      </c>
      <c r="H882" t="s">
        <v>75</v>
      </c>
      <c r="I882" t="s">
        <v>76</v>
      </c>
      <c r="J882" t="s">
        <v>77</v>
      </c>
      <c r="K882" t="s">
        <v>78</v>
      </c>
      <c r="L882" t="s">
        <v>79</v>
      </c>
      <c r="M882" t="s">
        <v>80</v>
      </c>
      <c r="N882" t="s">
        <v>1389</v>
      </c>
      <c r="O882" t="s">
        <v>82</v>
      </c>
      <c r="P882" t="str">
        <f>"21707120963                   "</f>
        <v xml:space="preserve">21707120963                   </v>
      </c>
      <c r="Q882">
        <v>0</v>
      </c>
      <c r="R882">
        <v>0</v>
      </c>
      <c r="S882">
        <v>0</v>
      </c>
      <c r="T882">
        <v>0</v>
      </c>
      <c r="U882">
        <v>0</v>
      </c>
      <c r="V882">
        <v>0</v>
      </c>
      <c r="W882">
        <v>0</v>
      </c>
      <c r="X882">
        <v>0</v>
      </c>
      <c r="Y882">
        <v>0</v>
      </c>
      <c r="Z882">
        <v>0</v>
      </c>
      <c r="AA882">
        <v>0</v>
      </c>
      <c r="AB882">
        <v>0</v>
      </c>
      <c r="AC882">
        <v>0</v>
      </c>
      <c r="AD882">
        <v>0</v>
      </c>
      <c r="AE882">
        <v>0</v>
      </c>
      <c r="AF882">
        <v>0</v>
      </c>
      <c r="AG882">
        <v>0</v>
      </c>
      <c r="AH882">
        <v>0</v>
      </c>
      <c r="AI882">
        <v>0</v>
      </c>
      <c r="AJ882">
        <v>0</v>
      </c>
      <c r="AK882">
        <v>0</v>
      </c>
      <c r="AL882">
        <v>0</v>
      </c>
      <c r="AM882">
        <v>19.3</v>
      </c>
      <c r="AN882">
        <v>0</v>
      </c>
      <c r="AO882">
        <v>0</v>
      </c>
      <c r="AP882">
        <v>0</v>
      </c>
      <c r="AQ882">
        <v>0</v>
      </c>
      <c r="AR882">
        <v>0</v>
      </c>
      <c r="AS882">
        <v>0</v>
      </c>
      <c r="AT882">
        <v>0</v>
      </c>
      <c r="AU882">
        <v>0</v>
      </c>
      <c r="AV882">
        <v>0</v>
      </c>
      <c r="AW882">
        <v>0</v>
      </c>
      <c r="AX882">
        <v>0</v>
      </c>
      <c r="AY882">
        <v>0</v>
      </c>
      <c r="AZ882">
        <v>0</v>
      </c>
      <c r="BA882">
        <v>0</v>
      </c>
      <c r="BB882">
        <v>0</v>
      </c>
      <c r="BC882">
        <v>0</v>
      </c>
      <c r="BD882">
        <v>0</v>
      </c>
      <c r="BE882">
        <v>0</v>
      </c>
      <c r="BF882">
        <v>0</v>
      </c>
      <c r="BG882">
        <v>0</v>
      </c>
      <c r="BH882">
        <v>1</v>
      </c>
      <c r="BI882">
        <v>4.2</v>
      </c>
      <c r="BJ882">
        <v>2</v>
      </c>
      <c r="BK882">
        <v>4.5</v>
      </c>
      <c r="BL882" s="4">
        <v>113.47</v>
      </c>
      <c r="BM882" s="4">
        <v>17.02</v>
      </c>
      <c r="BN882" s="4">
        <v>130.49</v>
      </c>
      <c r="BO882" s="4">
        <v>130.49</v>
      </c>
      <c r="BR882" t="s">
        <v>84</v>
      </c>
      <c r="BS882" s="3">
        <v>43809</v>
      </c>
      <c r="BT882" s="5">
        <v>0.38194444444444442</v>
      </c>
      <c r="BU882" t="s">
        <v>1390</v>
      </c>
      <c r="BV882" t="s">
        <v>86</v>
      </c>
      <c r="BY882">
        <v>9966.16</v>
      </c>
      <c r="CA882" t="s">
        <v>99</v>
      </c>
      <c r="CC882" t="s">
        <v>80</v>
      </c>
      <c r="CD882">
        <v>6000</v>
      </c>
      <c r="CE882" t="s">
        <v>116</v>
      </c>
      <c r="CF882" s="3">
        <v>43810</v>
      </c>
      <c r="CI882">
        <v>1</v>
      </c>
      <c r="CJ882">
        <v>1</v>
      </c>
      <c r="CK882">
        <v>21</v>
      </c>
      <c r="CL882" t="s">
        <v>89</v>
      </c>
    </row>
    <row r="883" spans="1:90">
      <c r="A883" t="s">
        <v>72</v>
      </c>
      <c r="B883" t="s">
        <v>73</v>
      </c>
      <c r="C883" t="s">
        <v>74</v>
      </c>
      <c r="E883" t="str">
        <f>"FES1162727410"</f>
        <v>FES1162727410</v>
      </c>
      <c r="F883" s="3">
        <v>43808</v>
      </c>
      <c r="G883">
        <v>202006</v>
      </c>
      <c r="H883" t="s">
        <v>75</v>
      </c>
      <c r="I883" t="s">
        <v>76</v>
      </c>
      <c r="J883" t="s">
        <v>77</v>
      </c>
      <c r="K883" t="s">
        <v>78</v>
      </c>
      <c r="L883" t="s">
        <v>198</v>
      </c>
      <c r="M883" t="s">
        <v>199</v>
      </c>
      <c r="N883" t="s">
        <v>280</v>
      </c>
      <c r="O883" t="s">
        <v>82</v>
      </c>
      <c r="P883" t="str">
        <f>"2170720901                    "</f>
        <v xml:space="preserve">2170720901                    </v>
      </c>
      <c r="Q883">
        <v>0</v>
      </c>
      <c r="R883">
        <v>0</v>
      </c>
      <c r="S883">
        <v>0</v>
      </c>
      <c r="T883">
        <v>0</v>
      </c>
      <c r="U883">
        <v>0</v>
      </c>
      <c r="V883">
        <v>0</v>
      </c>
      <c r="W883">
        <v>0</v>
      </c>
      <c r="X883">
        <v>0</v>
      </c>
      <c r="Y883">
        <v>0</v>
      </c>
      <c r="Z883">
        <v>0</v>
      </c>
      <c r="AA883">
        <v>0</v>
      </c>
      <c r="AB883">
        <v>0</v>
      </c>
      <c r="AC883">
        <v>0</v>
      </c>
      <c r="AD883">
        <v>0</v>
      </c>
      <c r="AE883">
        <v>0</v>
      </c>
      <c r="AF883">
        <v>0</v>
      </c>
      <c r="AG883">
        <v>0</v>
      </c>
      <c r="AH883">
        <v>0</v>
      </c>
      <c r="AI883">
        <v>0</v>
      </c>
      <c r="AJ883">
        <v>0</v>
      </c>
      <c r="AK883">
        <v>0</v>
      </c>
      <c r="AL883">
        <v>0</v>
      </c>
      <c r="AM883">
        <v>8.58</v>
      </c>
      <c r="AN883">
        <v>0</v>
      </c>
      <c r="AO883">
        <v>0</v>
      </c>
      <c r="AP883">
        <v>0</v>
      </c>
      <c r="AQ883">
        <v>0</v>
      </c>
      <c r="AR883">
        <v>0</v>
      </c>
      <c r="AS883">
        <v>0</v>
      </c>
      <c r="AT883">
        <v>0</v>
      </c>
      <c r="AU883">
        <v>0</v>
      </c>
      <c r="AV883">
        <v>0</v>
      </c>
      <c r="AW883">
        <v>0</v>
      </c>
      <c r="AX883">
        <v>0</v>
      </c>
      <c r="AY883">
        <v>0</v>
      </c>
      <c r="AZ883">
        <v>0</v>
      </c>
      <c r="BA883">
        <v>0</v>
      </c>
      <c r="BB883">
        <v>0</v>
      </c>
      <c r="BC883">
        <v>0</v>
      </c>
      <c r="BD883">
        <v>0</v>
      </c>
      <c r="BE883">
        <v>0</v>
      </c>
      <c r="BF883">
        <v>0</v>
      </c>
      <c r="BG883">
        <v>0</v>
      </c>
      <c r="BH883">
        <v>1</v>
      </c>
      <c r="BI883">
        <v>1</v>
      </c>
      <c r="BJ883">
        <v>0.2</v>
      </c>
      <c r="BK883">
        <v>1</v>
      </c>
      <c r="BL883" s="4">
        <v>50.45</v>
      </c>
      <c r="BM883" s="4">
        <v>7.57</v>
      </c>
      <c r="BN883" s="4">
        <v>58.02</v>
      </c>
      <c r="BO883" s="4">
        <v>58.02</v>
      </c>
      <c r="BQ883" t="s">
        <v>147</v>
      </c>
      <c r="BR883" t="s">
        <v>84</v>
      </c>
      <c r="BS883" s="3">
        <v>43809</v>
      </c>
      <c r="BT883" s="5">
        <v>0.33263888888888887</v>
      </c>
      <c r="BU883" t="s">
        <v>1422</v>
      </c>
      <c r="BV883" t="s">
        <v>86</v>
      </c>
      <c r="BY883">
        <v>1200</v>
      </c>
      <c r="CA883" t="s">
        <v>281</v>
      </c>
      <c r="CC883" t="s">
        <v>199</v>
      </c>
      <c r="CD883">
        <v>4001</v>
      </c>
      <c r="CE883" t="s">
        <v>88</v>
      </c>
      <c r="CF883" s="3">
        <v>43809</v>
      </c>
      <c r="CI883">
        <v>1</v>
      </c>
      <c r="CJ883">
        <v>1</v>
      </c>
      <c r="CK883">
        <v>21</v>
      </c>
      <c r="CL883" t="s">
        <v>89</v>
      </c>
    </row>
    <row r="884" spans="1:90">
      <c r="A884" t="s">
        <v>72</v>
      </c>
      <c r="B884" t="s">
        <v>73</v>
      </c>
      <c r="C884" t="s">
        <v>74</v>
      </c>
      <c r="E884" t="str">
        <f>"FES1162727455"</f>
        <v>FES1162727455</v>
      </c>
      <c r="F884" s="3">
        <v>43808</v>
      </c>
      <c r="G884">
        <v>202006</v>
      </c>
      <c r="H884" t="s">
        <v>75</v>
      </c>
      <c r="I884" t="s">
        <v>76</v>
      </c>
      <c r="J884" t="s">
        <v>77</v>
      </c>
      <c r="K884" t="s">
        <v>78</v>
      </c>
      <c r="L884" t="s">
        <v>198</v>
      </c>
      <c r="M884" t="s">
        <v>199</v>
      </c>
      <c r="N884" t="s">
        <v>424</v>
      </c>
      <c r="O884" t="s">
        <v>82</v>
      </c>
      <c r="P884" t="str">
        <f>"2170720939                    "</f>
        <v xml:space="preserve">2170720939                    </v>
      </c>
      <c r="Q884">
        <v>0</v>
      </c>
      <c r="R884">
        <v>0</v>
      </c>
      <c r="S884">
        <v>0</v>
      </c>
      <c r="T884">
        <v>0</v>
      </c>
      <c r="U884">
        <v>0</v>
      </c>
      <c r="V884">
        <v>0</v>
      </c>
      <c r="W884">
        <v>0</v>
      </c>
      <c r="X884">
        <v>0</v>
      </c>
      <c r="Y884">
        <v>0</v>
      </c>
      <c r="Z884">
        <v>0</v>
      </c>
      <c r="AA884">
        <v>0</v>
      </c>
      <c r="AB884">
        <v>0</v>
      </c>
      <c r="AC884">
        <v>0</v>
      </c>
      <c r="AD884">
        <v>0</v>
      </c>
      <c r="AE884">
        <v>0</v>
      </c>
      <c r="AF884">
        <v>0</v>
      </c>
      <c r="AG884">
        <v>0</v>
      </c>
      <c r="AH884">
        <v>0</v>
      </c>
      <c r="AI884">
        <v>0</v>
      </c>
      <c r="AJ884">
        <v>0</v>
      </c>
      <c r="AK884">
        <v>0</v>
      </c>
      <c r="AL884">
        <v>0</v>
      </c>
      <c r="AM884">
        <v>8.58</v>
      </c>
      <c r="AN884">
        <v>0</v>
      </c>
      <c r="AO884">
        <v>0</v>
      </c>
      <c r="AP884">
        <v>0</v>
      </c>
      <c r="AQ884">
        <v>0</v>
      </c>
      <c r="AR884">
        <v>0</v>
      </c>
      <c r="AS884">
        <v>0</v>
      </c>
      <c r="AT884">
        <v>0</v>
      </c>
      <c r="AU884">
        <v>0</v>
      </c>
      <c r="AV884">
        <v>0</v>
      </c>
      <c r="AW884">
        <v>0</v>
      </c>
      <c r="AX884">
        <v>0</v>
      </c>
      <c r="AY884">
        <v>0</v>
      </c>
      <c r="AZ884">
        <v>0</v>
      </c>
      <c r="BA884">
        <v>0</v>
      </c>
      <c r="BB884">
        <v>0</v>
      </c>
      <c r="BC884">
        <v>0</v>
      </c>
      <c r="BD884">
        <v>0</v>
      </c>
      <c r="BE884">
        <v>0</v>
      </c>
      <c r="BF884">
        <v>0</v>
      </c>
      <c r="BG884">
        <v>0</v>
      </c>
      <c r="BH884">
        <v>1</v>
      </c>
      <c r="BI884">
        <v>1</v>
      </c>
      <c r="BJ884">
        <v>0.2</v>
      </c>
      <c r="BK884">
        <v>1</v>
      </c>
      <c r="BL884" s="4">
        <v>50.45</v>
      </c>
      <c r="BM884" s="4">
        <v>7.57</v>
      </c>
      <c r="BN884" s="4">
        <v>58.02</v>
      </c>
      <c r="BO884" s="4">
        <v>58.02</v>
      </c>
      <c r="BQ884" t="s">
        <v>147</v>
      </c>
      <c r="BR884" t="s">
        <v>84</v>
      </c>
      <c r="BS884" s="3">
        <v>43809</v>
      </c>
      <c r="BT884" s="5">
        <v>0.43194444444444446</v>
      </c>
      <c r="BU884" t="s">
        <v>1141</v>
      </c>
      <c r="BV884" t="s">
        <v>86</v>
      </c>
      <c r="BY884">
        <v>1200</v>
      </c>
      <c r="CA884" t="s">
        <v>270</v>
      </c>
      <c r="CC884" t="s">
        <v>199</v>
      </c>
      <c r="CD884">
        <v>4001</v>
      </c>
      <c r="CE884" t="s">
        <v>88</v>
      </c>
      <c r="CF884" s="3">
        <v>43810</v>
      </c>
      <c r="CI884">
        <v>1</v>
      </c>
      <c r="CJ884">
        <v>1</v>
      </c>
      <c r="CK884">
        <v>21</v>
      </c>
      <c r="CL884" t="s">
        <v>89</v>
      </c>
    </row>
    <row r="885" spans="1:90">
      <c r="A885" t="s">
        <v>72</v>
      </c>
      <c r="B885" t="s">
        <v>73</v>
      </c>
      <c r="C885" t="s">
        <v>74</v>
      </c>
      <c r="E885" t="str">
        <f>"FES1162727437"</f>
        <v>FES1162727437</v>
      </c>
      <c r="F885" s="3">
        <v>43808</v>
      </c>
      <c r="G885">
        <v>202006</v>
      </c>
      <c r="H885" t="s">
        <v>75</v>
      </c>
      <c r="I885" t="s">
        <v>76</v>
      </c>
      <c r="J885" t="s">
        <v>77</v>
      </c>
      <c r="K885" t="s">
        <v>78</v>
      </c>
      <c r="L885" t="s">
        <v>221</v>
      </c>
      <c r="M885" t="s">
        <v>222</v>
      </c>
      <c r="N885" t="s">
        <v>845</v>
      </c>
      <c r="O885" t="s">
        <v>82</v>
      </c>
      <c r="P885" t="str">
        <f>"2170720928                    "</f>
        <v xml:space="preserve">2170720928                    </v>
      </c>
      <c r="Q885">
        <v>0</v>
      </c>
      <c r="R885">
        <v>0</v>
      </c>
      <c r="S885">
        <v>0</v>
      </c>
      <c r="T885">
        <v>0</v>
      </c>
      <c r="U885">
        <v>0</v>
      </c>
      <c r="V885">
        <v>0</v>
      </c>
      <c r="W885">
        <v>0</v>
      </c>
      <c r="X885">
        <v>0</v>
      </c>
      <c r="Y885">
        <v>0</v>
      </c>
      <c r="Z885">
        <v>0</v>
      </c>
      <c r="AA885">
        <v>0</v>
      </c>
      <c r="AB885">
        <v>0</v>
      </c>
      <c r="AC885">
        <v>0</v>
      </c>
      <c r="AD885">
        <v>0</v>
      </c>
      <c r="AE885">
        <v>0</v>
      </c>
      <c r="AF885">
        <v>0</v>
      </c>
      <c r="AG885">
        <v>0</v>
      </c>
      <c r="AH885">
        <v>0</v>
      </c>
      <c r="AI885">
        <v>0</v>
      </c>
      <c r="AJ885">
        <v>0</v>
      </c>
      <c r="AK885">
        <v>0</v>
      </c>
      <c r="AL885">
        <v>0</v>
      </c>
      <c r="AM885">
        <v>8.58</v>
      </c>
      <c r="AN885">
        <v>0</v>
      </c>
      <c r="AO885">
        <v>0</v>
      </c>
      <c r="AP885">
        <v>0</v>
      </c>
      <c r="AQ885">
        <v>0</v>
      </c>
      <c r="AR885">
        <v>0</v>
      </c>
      <c r="AS885">
        <v>0</v>
      </c>
      <c r="AT885">
        <v>0</v>
      </c>
      <c r="AU885">
        <v>0</v>
      </c>
      <c r="AV885">
        <v>0</v>
      </c>
      <c r="AW885">
        <v>0</v>
      </c>
      <c r="AX885">
        <v>0</v>
      </c>
      <c r="AY885">
        <v>0</v>
      </c>
      <c r="AZ885">
        <v>0</v>
      </c>
      <c r="BA885">
        <v>0</v>
      </c>
      <c r="BB885">
        <v>0</v>
      </c>
      <c r="BC885">
        <v>0</v>
      </c>
      <c r="BD885">
        <v>0</v>
      </c>
      <c r="BE885">
        <v>0</v>
      </c>
      <c r="BF885">
        <v>0</v>
      </c>
      <c r="BG885">
        <v>0</v>
      </c>
      <c r="BH885">
        <v>1</v>
      </c>
      <c r="BI885">
        <v>1</v>
      </c>
      <c r="BJ885">
        <v>0.2</v>
      </c>
      <c r="BK885">
        <v>1</v>
      </c>
      <c r="BL885" s="4">
        <v>50.45</v>
      </c>
      <c r="BM885" s="4">
        <v>7.57</v>
      </c>
      <c r="BN885" s="4">
        <v>58.02</v>
      </c>
      <c r="BO885" s="4">
        <v>58.02</v>
      </c>
      <c r="BQ885" t="s">
        <v>93</v>
      </c>
      <c r="BR885" t="s">
        <v>84</v>
      </c>
      <c r="BS885" s="3">
        <v>43809</v>
      </c>
      <c r="BT885" s="5">
        <v>0.34375</v>
      </c>
      <c r="BU885" t="s">
        <v>1423</v>
      </c>
      <c r="BV885" t="s">
        <v>86</v>
      </c>
      <c r="BY885">
        <v>1200</v>
      </c>
      <c r="CA885" t="s">
        <v>1424</v>
      </c>
      <c r="CC885" t="s">
        <v>222</v>
      </c>
      <c r="CD885">
        <v>3201</v>
      </c>
      <c r="CE885" t="s">
        <v>88</v>
      </c>
      <c r="CF885" s="3">
        <v>43812</v>
      </c>
      <c r="CI885">
        <v>1</v>
      </c>
      <c r="CJ885">
        <v>1</v>
      </c>
      <c r="CK885">
        <v>21</v>
      </c>
      <c r="CL885" t="s">
        <v>89</v>
      </c>
    </row>
    <row r="886" spans="1:90">
      <c r="A886" t="s">
        <v>72</v>
      </c>
      <c r="B886" t="s">
        <v>73</v>
      </c>
      <c r="C886" t="s">
        <v>74</v>
      </c>
      <c r="E886" t="str">
        <f>"FES1162727485"</f>
        <v>FES1162727485</v>
      </c>
      <c r="F886" s="3">
        <v>43808</v>
      </c>
      <c r="G886">
        <v>202006</v>
      </c>
      <c r="H886" t="s">
        <v>75</v>
      </c>
      <c r="I886" t="s">
        <v>76</v>
      </c>
      <c r="J886" t="s">
        <v>77</v>
      </c>
      <c r="K886" t="s">
        <v>78</v>
      </c>
      <c r="L886" t="s">
        <v>79</v>
      </c>
      <c r="M886" t="s">
        <v>80</v>
      </c>
      <c r="N886" t="s">
        <v>129</v>
      </c>
      <c r="O886" t="s">
        <v>82</v>
      </c>
      <c r="P886" t="str">
        <f>"2170719621                    "</f>
        <v xml:space="preserve">2170719621                    </v>
      </c>
      <c r="Q886">
        <v>0</v>
      </c>
      <c r="R886">
        <v>0</v>
      </c>
      <c r="S886">
        <v>0</v>
      </c>
      <c r="T886">
        <v>0</v>
      </c>
      <c r="U886">
        <v>0</v>
      </c>
      <c r="V886">
        <v>0</v>
      </c>
      <c r="W886">
        <v>0</v>
      </c>
      <c r="X886">
        <v>0</v>
      </c>
      <c r="Y886">
        <v>0</v>
      </c>
      <c r="Z886">
        <v>0</v>
      </c>
      <c r="AA886">
        <v>0</v>
      </c>
      <c r="AB886">
        <v>0</v>
      </c>
      <c r="AC886">
        <v>0</v>
      </c>
      <c r="AD886">
        <v>0</v>
      </c>
      <c r="AE886">
        <v>0</v>
      </c>
      <c r="AF886">
        <v>0</v>
      </c>
      <c r="AG886">
        <v>0</v>
      </c>
      <c r="AH886">
        <v>0</v>
      </c>
      <c r="AI886">
        <v>0</v>
      </c>
      <c r="AJ886">
        <v>0</v>
      </c>
      <c r="AK886">
        <v>0</v>
      </c>
      <c r="AL886">
        <v>0</v>
      </c>
      <c r="AM886">
        <v>10.73</v>
      </c>
      <c r="AN886">
        <v>0</v>
      </c>
      <c r="AO886">
        <v>0</v>
      </c>
      <c r="AP886">
        <v>0</v>
      </c>
      <c r="AQ886">
        <v>0</v>
      </c>
      <c r="AR886">
        <v>0</v>
      </c>
      <c r="AS886">
        <v>0</v>
      </c>
      <c r="AT886">
        <v>0</v>
      </c>
      <c r="AU886">
        <v>0</v>
      </c>
      <c r="AV886">
        <v>0</v>
      </c>
      <c r="AW886">
        <v>0</v>
      </c>
      <c r="AX886">
        <v>0</v>
      </c>
      <c r="AY886">
        <v>0</v>
      </c>
      <c r="AZ886">
        <v>0</v>
      </c>
      <c r="BA886">
        <v>0</v>
      </c>
      <c r="BB886">
        <v>0</v>
      </c>
      <c r="BC886">
        <v>0</v>
      </c>
      <c r="BD886">
        <v>0</v>
      </c>
      <c r="BE886">
        <v>0</v>
      </c>
      <c r="BF886">
        <v>0</v>
      </c>
      <c r="BG886">
        <v>0</v>
      </c>
      <c r="BH886">
        <v>1</v>
      </c>
      <c r="BI886">
        <v>1.8</v>
      </c>
      <c r="BJ886">
        <v>2.2999999999999998</v>
      </c>
      <c r="BK886">
        <v>2.5</v>
      </c>
      <c r="BL886" s="4">
        <v>63.06</v>
      </c>
      <c r="BM886" s="4">
        <v>9.4600000000000009</v>
      </c>
      <c r="BN886" s="4">
        <v>72.52</v>
      </c>
      <c r="BO886" s="4">
        <v>72.52</v>
      </c>
      <c r="BQ886" t="s">
        <v>147</v>
      </c>
      <c r="BR886" t="s">
        <v>84</v>
      </c>
      <c r="BS886" s="3">
        <v>43809</v>
      </c>
      <c r="BT886" s="5">
        <v>0.3979166666666667</v>
      </c>
      <c r="BU886" t="s">
        <v>130</v>
      </c>
      <c r="BV886" t="s">
        <v>86</v>
      </c>
      <c r="BY886">
        <v>11506.26</v>
      </c>
      <c r="CA886" t="s">
        <v>131</v>
      </c>
      <c r="CC886" t="s">
        <v>80</v>
      </c>
      <c r="CD886">
        <v>6001</v>
      </c>
      <c r="CE886" t="s">
        <v>116</v>
      </c>
      <c r="CF886" s="3">
        <v>43810</v>
      </c>
      <c r="CI886">
        <v>1</v>
      </c>
      <c r="CJ886">
        <v>1</v>
      </c>
      <c r="CK886">
        <v>21</v>
      </c>
      <c r="CL886" t="s">
        <v>89</v>
      </c>
    </row>
    <row r="887" spans="1:90">
      <c r="A887" t="s">
        <v>72</v>
      </c>
      <c r="B887" t="s">
        <v>73</v>
      </c>
      <c r="C887" t="s">
        <v>74</v>
      </c>
      <c r="E887" t="str">
        <f>"FES1162727454"</f>
        <v>FES1162727454</v>
      </c>
      <c r="F887" s="3">
        <v>43808</v>
      </c>
      <c r="G887">
        <v>202006</v>
      </c>
      <c r="H887" t="s">
        <v>75</v>
      </c>
      <c r="I887" t="s">
        <v>76</v>
      </c>
      <c r="J887" t="s">
        <v>77</v>
      </c>
      <c r="K887" t="s">
        <v>78</v>
      </c>
      <c r="L887" t="s">
        <v>446</v>
      </c>
      <c r="M887" t="s">
        <v>447</v>
      </c>
      <c r="N887" t="s">
        <v>448</v>
      </c>
      <c r="O887" t="s">
        <v>82</v>
      </c>
      <c r="P887" t="str">
        <f>"2170720938                    "</f>
        <v xml:space="preserve">2170720938                    </v>
      </c>
      <c r="Q887">
        <v>0</v>
      </c>
      <c r="R887">
        <v>0</v>
      </c>
      <c r="S887">
        <v>0</v>
      </c>
      <c r="T887">
        <v>0</v>
      </c>
      <c r="U887">
        <v>0</v>
      </c>
      <c r="V887">
        <v>0</v>
      </c>
      <c r="W887">
        <v>0</v>
      </c>
      <c r="X887">
        <v>0</v>
      </c>
      <c r="Y887">
        <v>0</v>
      </c>
      <c r="Z887">
        <v>0</v>
      </c>
      <c r="AA887">
        <v>0</v>
      </c>
      <c r="AB887">
        <v>0</v>
      </c>
      <c r="AC887">
        <v>0</v>
      </c>
      <c r="AD887">
        <v>0</v>
      </c>
      <c r="AE887">
        <v>0</v>
      </c>
      <c r="AF887">
        <v>0</v>
      </c>
      <c r="AG887">
        <v>0</v>
      </c>
      <c r="AH887">
        <v>0</v>
      </c>
      <c r="AI887">
        <v>0</v>
      </c>
      <c r="AJ887">
        <v>0</v>
      </c>
      <c r="AK887">
        <v>0</v>
      </c>
      <c r="AL887">
        <v>0</v>
      </c>
      <c r="AM887">
        <v>8.58</v>
      </c>
      <c r="AN887">
        <v>0</v>
      </c>
      <c r="AO887">
        <v>0</v>
      </c>
      <c r="AP887">
        <v>0</v>
      </c>
      <c r="AQ887">
        <v>0</v>
      </c>
      <c r="AR887">
        <v>0</v>
      </c>
      <c r="AS887">
        <v>0</v>
      </c>
      <c r="AT887">
        <v>0</v>
      </c>
      <c r="AU887">
        <v>0</v>
      </c>
      <c r="AV887">
        <v>0</v>
      </c>
      <c r="AW887">
        <v>0</v>
      </c>
      <c r="AX887">
        <v>0</v>
      </c>
      <c r="AY887">
        <v>0</v>
      </c>
      <c r="AZ887">
        <v>0</v>
      </c>
      <c r="BA887">
        <v>0</v>
      </c>
      <c r="BB887">
        <v>0</v>
      </c>
      <c r="BC887">
        <v>0</v>
      </c>
      <c r="BD887">
        <v>0</v>
      </c>
      <c r="BE887">
        <v>0</v>
      </c>
      <c r="BF887">
        <v>0</v>
      </c>
      <c r="BG887">
        <v>0</v>
      </c>
      <c r="BH887">
        <v>1</v>
      </c>
      <c r="BI887">
        <v>1</v>
      </c>
      <c r="BJ887">
        <v>0.2</v>
      </c>
      <c r="BK887">
        <v>1</v>
      </c>
      <c r="BL887" s="4">
        <v>50.45</v>
      </c>
      <c r="BM887" s="4">
        <v>7.57</v>
      </c>
      <c r="BN887" s="4">
        <v>58.02</v>
      </c>
      <c r="BO887" s="4">
        <v>58.02</v>
      </c>
      <c r="BQ887" t="s">
        <v>256</v>
      </c>
      <c r="BR887" t="s">
        <v>84</v>
      </c>
      <c r="BS887" s="3">
        <v>43809</v>
      </c>
      <c r="BT887" s="5">
        <v>0.42083333333333334</v>
      </c>
      <c r="BU887" t="s">
        <v>1425</v>
      </c>
      <c r="BV887" t="s">
        <v>86</v>
      </c>
      <c r="BY887">
        <v>1200</v>
      </c>
      <c r="CA887" t="s">
        <v>270</v>
      </c>
      <c r="CC887" t="s">
        <v>447</v>
      </c>
      <c r="CD887">
        <v>4113</v>
      </c>
      <c r="CE887" t="s">
        <v>88</v>
      </c>
      <c r="CF887" s="3">
        <v>43810</v>
      </c>
      <c r="CI887">
        <v>1</v>
      </c>
      <c r="CJ887">
        <v>1</v>
      </c>
      <c r="CK887">
        <v>21</v>
      </c>
      <c r="CL887" t="s">
        <v>89</v>
      </c>
    </row>
    <row r="888" spans="1:90">
      <c r="A888" t="s">
        <v>72</v>
      </c>
      <c r="B888" t="s">
        <v>73</v>
      </c>
      <c r="C888" t="s">
        <v>74</v>
      </c>
      <c r="E888" t="str">
        <f>"FES1162727458"</f>
        <v>FES1162727458</v>
      </c>
      <c r="F888" s="3">
        <v>43808</v>
      </c>
      <c r="G888">
        <v>202006</v>
      </c>
      <c r="H888" t="s">
        <v>75</v>
      </c>
      <c r="I888" t="s">
        <v>76</v>
      </c>
      <c r="J888" t="s">
        <v>77</v>
      </c>
      <c r="K888" t="s">
        <v>78</v>
      </c>
      <c r="L888" t="s">
        <v>169</v>
      </c>
      <c r="M888" t="s">
        <v>170</v>
      </c>
      <c r="N888" t="s">
        <v>992</v>
      </c>
      <c r="O888" t="s">
        <v>82</v>
      </c>
      <c r="P888" t="str">
        <f>"2170718917                    "</f>
        <v xml:space="preserve">2170718917                    </v>
      </c>
      <c r="Q888">
        <v>0</v>
      </c>
      <c r="R888">
        <v>0</v>
      </c>
      <c r="S888">
        <v>0</v>
      </c>
      <c r="T888">
        <v>0</v>
      </c>
      <c r="U888">
        <v>0</v>
      </c>
      <c r="V888">
        <v>0</v>
      </c>
      <c r="W888">
        <v>0</v>
      </c>
      <c r="X888">
        <v>0</v>
      </c>
      <c r="Y888">
        <v>0</v>
      </c>
      <c r="Z888">
        <v>0</v>
      </c>
      <c r="AA888">
        <v>0</v>
      </c>
      <c r="AB888">
        <v>0</v>
      </c>
      <c r="AC888">
        <v>0</v>
      </c>
      <c r="AD888">
        <v>0</v>
      </c>
      <c r="AE888">
        <v>0</v>
      </c>
      <c r="AF888">
        <v>0</v>
      </c>
      <c r="AG888">
        <v>0</v>
      </c>
      <c r="AH888">
        <v>0</v>
      </c>
      <c r="AI888">
        <v>0</v>
      </c>
      <c r="AJ888">
        <v>0</v>
      </c>
      <c r="AK888">
        <v>0</v>
      </c>
      <c r="AL888">
        <v>0</v>
      </c>
      <c r="AM888">
        <v>6.71</v>
      </c>
      <c r="AN888">
        <v>0</v>
      </c>
      <c r="AO888">
        <v>0</v>
      </c>
      <c r="AP888">
        <v>0</v>
      </c>
      <c r="AQ888">
        <v>0</v>
      </c>
      <c r="AR888">
        <v>0</v>
      </c>
      <c r="AS888">
        <v>0</v>
      </c>
      <c r="AT888">
        <v>0</v>
      </c>
      <c r="AU888">
        <v>0</v>
      </c>
      <c r="AV888">
        <v>0</v>
      </c>
      <c r="AW888">
        <v>0</v>
      </c>
      <c r="AX888">
        <v>0</v>
      </c>
      <c r="AY888">
        <v>0</v>
      </c>
      <c r="AZ888">
        <v>0</v>
      </c>
      <c r="BA888">
        <v>0</v>
      </c>
      <c r="BB888">
        <v>0</v>
      </c>
      <c r="BC888">
        <v>0</v>
      </c>
      <c r="BD888">
        <v>0</v>
      </c>
      <c r="BE888">
        <v>0</v>
      </c>
      <c r="BF888">
        <v>0</v>
      </c>
      <c r="BG888">
        <v>0</v>
      </c>
      <c r="BH888">
        <v>1</v>
      </c>
      <c r="BI888">
        <v>1</v>
      </c>
      <c r="BJ888">
        <v>0.2</v>
      </c>
      <c r="BK888">
        <v>1</v>
      </c>
      <c r="BL888" s="4">
        <v>39.42</v>
      </c>
      <c r="BM888" s="4">
        <v>5.91</v>
      </c>
      <c r="BN888" s="4">
        <v>45.33</v>
      </c>
      <c r="BO888" s="4">
        <v>45.33</v>
      </c>
      <c r="BQ888" t="s">
        <v>993</v>
      </c>
      <c r="BR888" t="s">
        <v>84</v>
      </c>
      <c r="BS888" s="3">
        <v>43809</v>
      </c>
      <c r="BT888" s="5">
        <v>0.36041666666666666</v>
      </c>
      <c r="BU888" t="s">
        <v>994</v>
      </c>
      <c r="BV888" t="s">
        <v>86</v>
      </c>
      <c r="BY888">
        <v>1200</v>
      </c>
      <c r="CA888" t="s">
        <v>174</v>
      </c>
      <c r="CC888" t="s">
        <v>170</v>
      </c>
      <c r="CD888">
        <v>1459</v>
      </c>
      <c r="CE888" t="s">
        <v>88</v>
      </c>
      <c r="CF888" s="3">
        <v>43810</v>
      </c>
      <c r="CI888">
        <v>1</v>
      </c>
      <c r="CJ888">
        <v>1</v>
      </c>
      <c r="CK888">
        <v>22</v>
      </c>
      <c r="CL888" t="s">
        <v>89</v>
      </c>
    </row>
    <row r="889" spans="1:90">
      <c r="A889" t="s">
        <v>72</v>
      </c>
      <c r="B889" t="s">
        <v>73</v>
      </c>
      <c r="C889" t="s">
        <v>74</v>
      </c>
      <c r="E889" t="str">
        <f>"FES1162727480"</f>
        <v>FES1162727480</v>
      </c>
      <c r="F889" s="3">
        <v>43808</v>
      </c>
      <c r="G889">
        <v>202006</v>
      </c>
      <c r="H889" t="s">
        <v>75</v>
      </c>
      <c r="I889" t="s">
        <v>76</v>
      </c>
      <c r="J889" t="s">
        <v>77</v>
      </c>
      <c r="K889" t="s">
        <v>78</v>
      </c>
      <c r="L889" t="s">
        <v>138</v>
      </c>
      <c r="M889" t="s">
        <v>139</v>
      </c>
      <c r="N889" t="s">
        <v>1426</v>
      </c>
      <c r="O889" t="s">
        <v>82</v>
      </c>
      <c r="P889" t="str">
        <f>"217071959                     "</f>
        <v xml:space="preserve">217071959                     </v>
      </c>
      <c r="Q889">
        <v>0</v>
      </c>
      <c r="R889">
        <v>0</v>
      </c>
      <c r="S889">
        <v>0</v>
      </c>
      <c r="T889">
        <v>0</v>
      </c>
      <c r="U889">
        <v>0</v>
      </c>
      <c r="V889">
        <v>0</v>
      </c>
      <c r="W889">
        <v>0</v>
      </c>
      <c r="X889">
        <v>0</v>
      </c>
      <c r="Y889">
        <v>0</v>
      </c>
      <c r="Z889">
        <v>0</v>
      </c>
      <c r="AA889">
        <v>0</v>
      </c>
      <c r="AB889">
        <v>0</v>
      </c>
      <c r="AC889">
        <v>0</v>
      </c>
      <c r="AD889">
        <v>0</v>
      </c>
      <c r="AE889">
        <v>0</v>
      </c>
      <c r="AF889">
        <v>0</v>
      </c>
      <c r="AG889">
        <v>0</v>
      </c>
      <c r="AH889">
        <v>0</v>
      </c>
      <c r="AI889">
        <v>0</v>
      </c>
      <c r="AJ889">
        <v>0</v>
      </c>
      <c r="AK889">
        <v>0</v>
      </c>
      <c r="AL889">
        <v>0</v>
      </c>
      <c r="AM889">
        <v>9.1199999999999992</v>
      </c>
      <c r="AN889">
        <v>0</v>
      </c>
      <c r="AO889">
        <v>0</v>
      </c>
      <c r="AP889">
        <v>0</v>
      </c>
      <c r="AQ889">
        <v>0</v>
      </c>
      <c r="AR889">
        <v>0</v>
      </c>
      <c r="AS889">
        <v>0</v>
      </c>
      <c r="AT889">
        <v>0</v>
      </c>
      <c r="AU889">
        <v>0</v>
      </c>
      <c r="AV889">
        <v>0</v>
      </c>
      <c r="AW889">
        <v>0</v>
      </c>
      <c r="AX889">
        <v>0</v>
      </c>
      <c r="AY889">
        <v>0</v>
      </c>
      <c r="AZ889">
        <v>0</v>
      </c>
      <c r="BA889">
        <v>0</v>
      </c>
      <c r="BB889">
        <v>0</v>
      </c>
      <c r="BC889">
        <v>0</v>
      </c>
      <c r="BD889">
        <v>0</v>
      </c>
      <c r="BE889">
        <v>0</v>
      </c>
      <c r="BF889">
        <v>0</v>
      </c>
      <c r="BG889">
        <v>0</v>
      </c>
      <c r="BH889">
        <v>1</v>
      </c>
      <c r="BI889">
        <v>3.1</v>
      </c>
      <c r="BJ889">
        <v>3.2</v>
      </c>
      <c r="BK889">
        <v>3.5</v>
      </c>
      <c r="BL889" s="4">
        <v>53.59</v>
      </c>
      <c r="BM889" s="4">
        <v>8.0399999999999991</v>
      </c>
      <c r="BN889" s="4">
        <v>61.63</v>
      </c>
      <c r="BO889" s="4">
        <v>61.63</v>
      </c>
      <c r="BQ889" t="s">
        <v>1427</v>
      </c>
      <c r="BR889" t="s">
        <v>84</v>
      </c>
      <c r="BS889" s="3">
        <v>43809</v>
      </c>
      <c r="BT889" s="5">
        <v>0.43333333333333335</v>
      </c>
      <c r="BU889" t="s">
        <v>1428</v>
      </c>
      <c r="BV889" t="s">
        <v>86</v>
      </c>
      <c r="BY889">
        <v>16185.74</v>
      </c>
      <c r="CC889" t="s">
        <v>139</v>
      </c>
      <c r="CD889">
        <v>1428</v>
      </c>
      <c r="CE889" t="s">
        <v>96</v>
      </c>
      <c r="CF889" s="3">
        <v>43810</v>
      </c>
      <c r="CI889">
        <v>1</v>
      </c>
      <c r="CJ889">
        <v>1</v>
      </c>
      <c r="CK889">
        <v>22</v>
      </c>
      <c r="CL889" t="s">
        <v>89</v>
      </c>
    </row>
    <row r="890" spans="1:90">
      <c r="A890" t="s">
        <v>72</v>
      </c>
      <c r="B890" t="s">
        <v>73</v>
      </c>
      <c r="C890" t="s">
        <v>74</v>
      </c>
      <c r="E890" t="str">
        <f>"FES1162727438"</f>
        <v>FES1162727438</v>
      </c>
      <c r="F890" s="3">
        <v>43808</v>
      </c>
      <c r="G890">
        <v>202006</v>
      </c>
      <c r="H890" t="s">
        <v>75</v>
      </c>
      <c r="I890" t="s">
        <v>76</v>
      </c>
      <c r="J890" t="s">
        <v>77</v>
      </c>
      <c r="K890" t="s">
        <v>78</v>
      </c>
      <c r="L890" t="s">
        <v>198</v>
      </c>
      <c r="M890" t="s">
        <v>199</v>
      </c>
      <c r="N890" t="s">
        <v>297</v>
      </c>
      <c r="O890" t="s">
        <v>82</v>
      </c>
      <c r="P890" t="str">
        <f>"2170720927                    "</f>
        <v xml:space="preserve">2170720927                    </v>
      </c>
      <c r="Q890">
        <v>0</v>
      </c>
      <c r="R890">
        <v>0</v>
      </c>
      <c r="S890">
        <v>0</v>
      </c>
      <c r="T890">
        <v>0</v>
      </c>
      <c r="U890">
        <v>0</v>
      </c>
      <c r="V890">
        <v>0</v>
      </c>
      <c r="W890">
        <v>0</v>
      </c>
      <c r="X890">
        <v>0</v>
      </c>
      <c r="Y890">
        <v>0</v>
      </c>
      <c r="Z890">
        <v>0</v>
      </c>
      <c r="AA890">
        <v>0</v>
      </c>
      <c r="AB890">
        <v>0</v>
      </c>
      <c r="AC890">
        <v>0</v>
      </c>
      <c r="AD890">
        <v>0</v>
      </c>
      <c r="AE890">
        <v>0</v>
      </c>
      <c r="AF890">
        <v>0</v>
      </c>
      <c r="AG890">
        <v>0</v>
      </c>
      <c r="AH890">
        <v>0</v>
      </c>
      <c r="AI890">
        <v>0</v>
      </c>
      <c r="AJ890">
        <v>0</v>
      </c>
      <c r="AK890">
        <v>0</v>
      </c>
      <c r="AL890">
        <v>0</v>
      </c>
      <c r="AM890">
        <v>8.58</v>
      </c>
      <c r="AN890">
        <v>0</v>
      </c>
      <c r="AO890">
        <v>0</v>
      </c>
      <c r="AP890">
        <v>0</v>
      </c>
      <c r="AQ890">
        <v>0</v>
      </c>
      <c r="AR890">
        <v>0</v>
      </c>
      <c r="AS890">
        <v>0</v>
      </c>
      <c r="AT890">
        <v>0</v>
      </c>
      <c r="AU890">
        <v>0</v>
      </c>
      <c r="AV890">
        <v>0</v>
      </c>
      <c r="AW890">
        <v>0</v>
      </c>
      <c r="AX890">
        <v>0</v>
      </c>
      <c r="AY890">
        <v>0</v>
      </c>
      <c r="AZ890">
        <v>0</v>
      </c>
      <c r="BA890">
        <v>0</v>
      </c>
      <c r="BB890">
        <v>0</v>
      </c>
      <c r="BC890">
        <v>0</v>
      </c>
      <c r="BD890">
        <v>0</v>
      </c>
      <c r="BE890">
        <v>0</v>
      </c>
      <c r="BF890">
        <v>0</v>
      </c>
      <c r="BG890">
        <v>0</v>
      </c>
      <c r="BH890">
        <v>1</v>
      </c>
      <c r="BI890">
        <v>1.6</v>
      </c>
      <c r="BJ890">
        <v>0.9</v>
      </c>
      <c r="BK890">
        <v>2</v>
      </c>
      <c r="BL890" s="4">
        <v>50.45</v>
      </c>
      <c r="BM890" s="4">
        <v>7.57</v>
      </c>
      <c r="BN890" s="4">
        <v>58.02</v>
      </c>
      <c r="BO890" s="4">
        <v>58.02</v>
      </c>
      <c r="BQ890" t="s">
        <v>172</v>
      </c>
      <c r="BR890" t="s">
        <v>84</v>
      </c>
      <c r="BS890" s="3">
        <v>43809</v>
      </c>
      <c r="BT890" s="5">
        <v>0.3659722222222222</v>
      </c>
      <c r="BU890" t="s">
        <v>542</v>
      </c>
      <c r="BV890" t="s">
        <v>86</v>
      </c>
      <c r="BY890">
        <v>4387.5</v>
      </c>
      <c r="CA890" t="s">
        <v>299</v>
      </c>
      <c r="CC890" t="s">
        <v>199</v>
      </c>
      <c r="CD890">
        <v>4000</v>
      </c>
      <c r="CE890" t="s">
        <v>96</v>
      </c>
      <c r="CF890" s="3">
        <v>43809</v>
      </c>
      <c r="CI890">
        <v>1</v>
      </c>
      <c r="CJ890">
        <v>1</v>
      </c>
      <c r="CK890">
        <v>21</v>
      </c>
      <c r="CL890" t="s">
        <v>89</v>
      </c>
    </row>
    <row r="891" spans="1:90">
      <c r="A891" t="s">
        <v>72</v>
      </c>
      <c r="B891" t="s">
        <v>73</v>
      </c>
      <c r="C891" t="s">
        <v>74</v>
      </c>
      <c r="E891" t="str">
        <f>"FES1162727459"</f>
        <v>FES1162727459</v>
      </c>
      <c r="F891" s="3">
        <v>43808</v>
      </c>
      <c r="G891">
        <v>202006</v>
      </c>
      <c r="H891" t="s">
        <v>75</v>
      </c>
      <c r="I891" t="s">
        <v>76</v>
      </c>
      <c r="J891" t="s">
        <v>77</v>
      </c>
      <c r="K891" t="s">
        <v>78</v>
      </c>
      <c r="L891" t="s">
        <v>169</v>
      </c>
      <c r="M891" t="s">
        <v>170</v>
      </c>
      <c r="N891" t="s">
        <v>1429</v>
      </c>
      <c r="O891" t="s">
        <v>82</v>
      </c>
      <c r="P891" t="str">
        <f>"2170719945                    "</f>
        <v xml:space="preserve">2170719945                    </v>
      </c>
      <c r="Q891">
        <v>0</v>
      </c>
      <c r="R891">
        <v>0</v>
      </c>
      <c r="S891">
        <v>0</v>
      </c>
      <c r="T891">
        <v>0</v>
      </c>
      <c r="U891">
        <v>0</v>
      </c>
      <c r="V891">
        <v>0</v>
      </c>
      <c r="W891">
        <v>0</v>
      </c>
      <c r="X891">
        <v>0</v>
      </c>
      <c r="Y891">
        <v>0</v>
      </c>
      <c r="Z891">
        <v>0</v>
      </c>
      <c r="AA891">
        <v>0</v>
      </c>
      <c r="AB891">
        <v>0</v>
      </c>
      <c r="AC891">
        <v>0</v>
      </c>
      <c r="AD891">
        <v>0</v>
      </c>
      <c r="AE891">
        <v>0</v>
      </c>
      <c r="AF891">
        <v>0</v>
      </c>
      <c r="AG891">
        <v>0</v>
      </c>
      <c r="AH891">
        <v>0</v>
      </c>
      <c r="AI891">
        <v>0</v>
      </c>
      <c r="AJ891">
        <v>0</v>
      </c>
      <c r="AK891">
        <v>0</v>
      </c>
      <c r="AL891">
        <v>0</v>
      </c>
      <c r="AM891">
        <v>6.71</v>
      </c>
      <c r="AN891">
        <v>0</v>
      </c>
      <c r="AO891">
        <v>0</v>
      </c>
      <c r="AP891">
        <v>0</v>
      </c>
      <c r="AQ891">
        <v>0</v>
      </c>
      <c r="AR891">
        <v>0</v>
      </c>
      <c r="AS891">
        <v>0</v>
      </c>
      <c r="AT891">
        <v>0</v>
      </c>
      <c r="AU891">
        <v>0</v>
      </c>
      <c r="AV891">
        <v>0</v>
      </c>
      <c r="AW891">
        <v>0</v>
      </c>
      <c r="AX891">
        <v>0</v>
      </c>
      <c r="AY891">
        <v>0</v>
      </c>
      <c r="AZ891">
        <v>0</v>
      </c>
      <c r="BA891">
        <v>0</v>
      </c>
      <c r="BB891">
        <v>0</v>
      </c>
      <c r="BC891">
        <v>0</v>
      </c>
      <c r="BD891">
        <v>0</v>
      </c>
      <c r="BE891">
        <v>0</v>
      </c>
      <c r="BF891">
        <v>0</v>
      </c>
      <c r="BG891">
        <v>0</v>
      </c>
      <c r="BH891">
        <v>1</v>
      </c>
      <c r="BI891">
        <v>1</v>
      </c>
      <c r="BJ891">
        <v>0.2</v>
      </c>
      <c r="BK891">
        <v>1</v>
      </c>
      <c r="BL891" s="4">
        <v>39.42</v>
      </c>
      <c r="BM891" s="4">
        <v>5.91</v>
      </c>
      <c r="BN891" s="4">
        <v>45.33</v>
      </c>
      <c r="BO891" s="4">
        <v>45.33</v>
      </c>
      <c r="BQ891" t="s">
        <v>1430</v>
      </c>
      <c r="BR891" t="s">
        <v>84</v>
      </c>
      <c r="BS891" s="3">
        <v>43809</v>
      </c>
      <c r="BT891" s="5">
        <v>0.28541666666666665</v>
      </c>
      <c r="BU891" t="s">
        <v>1431</v>
      </c>
      <c r="BV891" t="s">
        <v>86</v>
      </c>
      <c r="BY891">
        <v>1200</v>
      </c>
      <c r="CA891" t="s">
        <v>174</v>
      </c>
      <c r="CC891" t="s">
        <v>170</v>
      </c>
      <c r="CD891">
        <v>1459</v>
      </c>
      <c r="CE891" t="s">
        <v>88</v>
      </c>
      <c r="CF891" s="3">
        <v>43810</v>
      </c>
      <c r="CI891">
        <v>1</v>
      </c>
      <c r="CJ891">
        <v>1</v>
      </c>
      <c r="CK891">
        <v>22</v>
      </c>
      <c r="CL891" t="s">
        <v>89</v>
      </c>
    </row>
    <row r="892" spans="1:90">
      <c r="A892" t="s">
        <v>72</v>
      </c>
      <c r="B892" t="s">
        <v>73</v>
      </c>
      <c r="C892" t="s">
        <v>74</v>
      </c>
      <c r="E892" t="str">
        <f>"FES1162727447"</f>
        <v>FES1162727447</v>
      </c>
      <c r="F892" s="3">
        <v>43808</v>
      </c>
      <c r="G892">
        <v>202006</v>
      </c>
      <c r="H892" t="s">
        <v>75</v>
      </c>
      <c r="I892" t="s">
        <v>76</v>
      </c>
      <c r="J892" t="s">
        <v>77</v>
      </c>
      <c r="K892" t="s">
        <v>78</v>
      </c>
      <c r="L892" t="s">
        <v>169</v>
      </c>
      <c r="M892" t="s">
        <v>170</v>
      </c>
      <c r="N892" t="s">
        <v>1432</v>
      </c>
      <c r="O892" t="s">
        <v>82</v>
      </c>
      <c r="P892" t="str">
        <f>"2170720934                    "</f>
        <v xml:space="preserve">2170720934                    </v>
      </c>
      <c r="Q892">
        <v>0</v>
      </c>
      <c r="R892">
        <v>0</v>
      </c>
      <c r="S892">
        <v>0</v>
      </c>
      <c r="T892">
        <v>0</v>
      </c>
      <c r="U892">
        <v>0</v>
      </c>
      <c r="V892">
        <v>0</v>
      </c>
      <c r="W892">
        <v>0</v>
      </c>
      <c r="X892">
        <v>0</v>
      </c>
      <c r="Y892">
        <v>0</v>
      </c>
      <c r="Z892">
        <v>0</v>
      </c>
      <c r="AA892">
        <v>0</v>
      </c>
      <c r="AB892">
        <v>0</v>
      </c>
      <c r="AC892">
        <v>0</v>
      </c>
      <c r="AD892">
        <v>0</v>
      </c>
      <c r="AE892">
        <v>0</v>
      </c>
      <c r="AF892">
        <v>0</v>
      </c>
      <c r="AG892">
        <v>0</v>
      </c>
      <c r="AH892">
        <v>0</v>
      </c>
      <c r="AI892">
        <v>0</v>
      </c>
      <c r="AJ892">
        <v>0</v>
      </c>
      <c r="AK892">
        <v>0</v>
      </c>
      <c r="AL892">
        <v>0</v>
      </c>
      <c r="AM892">
        <v>6.71</v>
      </c>
      <c r="AN892">
        <v>0</v>
      </c>
      <c r="AO892">
        <v>0</v>
      </c>
      <c r="AP892">
        <v>0</v>
      </c>
      <c r="AQ892">
        <v>0</v>
      </c>
      <c r="AR892">
        <v>0</v>
      </c>
      <c r="AS892">
        <v>0</v>
      </c>
      <c r="AT892">
        <v>0</v>
      </c>
      <c r="AU892">
        <v>0</v>
      </c>
      <c r="AV892">
        <v>0</v>
      </c>
      <c r="AW892">
        <v>0</v>
      </c>
      <c r="AX892">
        <v>0</v>
      </c>
      <c r="AY892">
        <v>0</v>
      </c>
      <c r="AZ892">
        <v>0</v>
      </c>
      <c r="BA892">
        <v>0</v>
      </c>
      <c r="BB892">
        <v>0</v>
      </c>
      <c r="BC892">
        <v>0</v>
      </c>
      <c r="BD892">
        <v>0</v>
      </c>
      <c r="BE892">
        <v>0</v>
      </c>
      <c r="BF892">
        <v>0</v>
      </c>
      <c r="BG892">
        <v>0</v>
      </c>
      <c r="BH892">
        <v>1</v>
      </c>
      <c r="BI892">
        <v>1</v>
      </c>
      <c r="BJ892">
        <v>0.2</v>
      </c>
      <c r="BK892">
        <v>1</v>
      </c>
      <c r="BL892" s="4">
        <v>39.42</v>
      </c>
      <c r="BM892" s="4">
        <v>5.91</v>
      </c>
      <c r="BN892" s="4">
        <v>45.33</v>
      </c>
      <c r="BO892" s="4">
        <v>45.33</v>
      </c>
      <c r="BQ892" t="s">
        <v>1433</v>
      </c>
      <c r="BR892" t="s">
        <v>84</v>
      </c>
      <c r="BS892" s="3">
        <v>43809</v>
      </c>
      <c r="BT892" s="5">
        <v>0.38263888888888892</v>
      </c>
      <c r="BU892" t="s">
        <v>1434</v>
      </c>
      <c r="BV892" t="s">
        <v>86</v>
      </c>
      <c r="BY892">
        <v>1200</v>
      </c>
      <c r="CA892" t="s">
        <v>174</v>
      </c>
      <c r="CC892" t="s">
        <v>170</v>
      </c>
      <c r="CD892">
        <v>1459</v>
      </c>
      <c r="CE892" t="s">
        <v>88</v>
      </c>
      <c r="CF892" s="3">
        <v>43810</v>
      </c>
      <c r="CI892">
        <v>1</v>
      </c>
      <c r="CJ892">
        <v>1</v>
      </c>
      <c r="CK892">
        <v>22</v>
      </c>
      <c r="CL892" t="s">
        <v>89</v>
      </c>
    </row>
    <row r="893" spans="1:90">
      <c r="A893" t="s">
        <v>72</v>
      </c>
      <c r="B893" t="s">
        <v>73</v>
      </c>
      <c r="C893" t="s">
        <v>74</v>
      </c>
      <c r="E893" t="str">
        <f>"FES1162727416"</f>
        <v>FES1162727416</v>
      </c>
      <c r="F893" s="3">
        <v>43808</v>
      </c>
      <c r="G893">
        <v>202006</v>
      </c>
      <c r="H893" t="s">
        <v>75</v>
      </c>
      <c r="I893" t="s">
        <v>76</v>
      </c>
      <c r="J893" t="s">
        <v>77</v>
      </c>
      <c r="K893" t="s">
        <v>78</v>
      </c>
      <c r="L893" t="s">
        <v>201</v>
      </c>
      <c r="M893" t="s">
        <v>202</v>
      </c>
      <c r="N893" t="s">
        <v>1435</v>
      </c>
      <c r="O893" t="s">
        <v>82</v>
      </c>
      <c r="P893" t="str">
        <f>"2170720906                    "</f>
        <v xml:space="preserve">2170720906                    </v>
      </c>
      <c r="Q893">
        <v>0</v>
      </c>
      <c r="R893">
        <v>0</v>
      </c>
      <c r="S893">
        <v>0</v>
      </c>
      <c r="T893">
        <v>0</v>
      </c>
      <c r="U893">
        <v>0</v>
      </c>
      <c r="V893">
        <v>0</v>
      </c>
      <c r="W893">
        <v>0</v>
      </c>
      <c r="X893">
        <v>0</v>
      </c>
      <c r="Y893">
        <v>0</v>
      </c>
      <c r="Z893">
        <v>0</v>
      </c>
      <c r="AA893">
        <v>0</v>
      </c>
      <c r="AB893">
        <v>0</v>
      </c>
      <c r="AC893">
        <v>0</v>
      </c>
      <c r="AD893">
        <v>0</v>
      </c>
      <c r="AE893">
        <v>0</v>
      </c>
      <c r="AF893">
        <v>0</v>
      </c>
      <c r="AG893">
        <v>0</v>
      </c>
      <c r="AH893">
        <v>0</v>
      </c>
      <c r="AI893">
        <v>0</v>
      </c>
      <c r="AJ893">
        <v>0</v>
      </c>
      <c r="AK893">
        <v>0</v>
      </c>
      <c r="AL893">
        <v>0</v>
      </c>
      <c r="AM893">
        <v>15.02</v>
      </c>
      <c r="AN893">
        <v>0</v>
      </c>
      <c r="AO893">
        <v>0</v>
      </c>
      <c r="AP893">
        <v>0</v>
      </c>
      <c r="AQ893">
        <v>0</v>
      </c>
      <c r="AR893">
        <v>0</v>
      </c>
      <c r="AS893">
        <v>0</v>
      </c>
      <c r="AT893">
        <v>0</v>
      </c>
      <c r="AU893">
        <v>0</v>
      </c>
      <c r="AV893">
        <v>0</v>
      </c>
      <c r="AW893">
        <v>0</v>
      </c>
      <c r="AX893">
        <v>0</v>
      </c>
      <c r="AY893">
        <v>0</v>
      </c>
      <c r="AZ893">
        <v>0</v>
      </c>
      <c r="BA893">
        <v>0</v>
      </c>
      <c r="BB893">
        <v>0</v>
      </c>
      <c r="BC893">
        <v>0</v>
      </c>
      <c r="BD893">
        <v>0</v>
      </c>
      <c r="BE893">
        <v>0</v>
      </c>
      <c r="BF893">
        <v>0</v>
      </c>
      <c r="BG893">
        <v>0</v>
      </c>
      <c r="BH893">
        <v>1</v>
      </c>
      <c r="BI893">
        <v>3.4</v>
      </c>
      <c r="BJ893">
        <v>1.3</v>
      </c>
      <c r="BK893">
        <v>3.5</v>
      </c>
      <c r="BL893" s="4">
        <v>88.27</v>
      </c>
      <c r="BM893" s="4">
        <v>13.24</v>
      </c>
      <c r="BN893" s="4">
        <v>101.51</v>
      </c>
      <c r="BO893" s="4">
        <v>101.51</v>
      </c>
      <c r="BQ893" t="s">
        <v>135</v>
      </c>
      <c r="BR893" t="s">
        <v>84</v>
      </c>
      <c r="BS893" s="3">
        <v>43809</v>
      </c>
      <c r="BT893" s="5">
        <v>0.43541666666666662</v>
      </c>
      <c r="BU893" t="s">
        <v>1436</v>
      </c>
      <c r="BV893" t="s">
        <v>86</v>
      </c>
      <c r="BY893">
        <v>6424.47</v>
      </c>
      <c r="CA893" t="s">
        <v>288</v>
      </c>
      <c r="CC893" t="s">
        <v>202</v>
      </c>
      <c r="CD893">
        <v>3600</v>
      </c>
      <c r="CE893" t="s">
        <v>96</v>
      </c>
      <c r="CF893" s="3">
        <v>43809</v>
      </c>
      <c r="CI893">
        <v>1</v>
      </c>
      <c r="CJ893">
        <v>1</v>
      </c>
      <c r="CK893">
        <v>21</v>
      </c>
      <c r="CL893" t="s">
        <v>89</v>
      </c>
    </row>
    <row r="894" spans="1:90">
      <c r="A894" t="s">
        <v>72</v>
      </c>
      <c r="B894" t="s">
        <v>73</v>
      </c>
      <c r="C894" t="s">
        <v>74</v>
      </c>
      <c r="E894" t="str">
        <f>"FES1162727434"</f>
        <v>FES1162727434</v>
      </c>
      <c r="F894" s="3">
        <v>43808</v>
      </c>
      <c r="G894">
        <v>202006</v>
      </c>
      <c r="H894" t="s">
        <v>75</v>
      </c>
      <c r="I894" t="s">
        <v>76</v>
      </c>
      <c r="J894" t="s">
        <v>77</v>
      </c>
      <c r="K894" t="s">
        <v>78</v>
      </c>
      <c r="L894" t="s">
        <v>198</v>
      </c>
      <c r="M894" t="s">
        <v>199</v>
      </c>
      <c r="N894" t="s">
        <v>1437</v>
      </c>
      <c r="O894" t="s">
        <v>82</v>
      </c>
      <c r="P894" t="str">
        <f>"2170720924                    "</f>
        <v xml:space="preserve">2170720924                    </v>
      </c>
      <c r="Q894">
        <v>0</v>
      </c>
      <c r="R894">
        <v>0</v>
      </c>
      <c r="S894">
        <v>0</v>
      </c>
      <c r="T894">
        <v>0</v>
      </c>
      <c r="U894">
        <v>0</v>
      </c>
      <c r="V894">
        <v>0</v>
      </c>
      <c r="W894">
        <v>0</v>
      </c>
      <c r="X894">
        <v>0</v>
      </c>
      <c r="Y894">
        <v>0</v>
      </c>
      <c r="Z894">
        <v>0</v>
      </c>
      <c r="AA894">
        <v>0</v>
      </c>
      <c r="AB894">
        <v>0</v>
      </c>
      <c r="AC894">
        <v>0</v>
      </c>
      <c r="AD894">
        <v>0</v>
      </c>
      <c r="AE894">
        <v>0</v>
      </c>
      <c r="AF894">
        <v>0</v>
      </c>
      <c r="AG894">
        <v>0</v>
      </c>
      <c r="AH894">
        <v>0</v>
      </c>
      <c r="AI894">
        <v>0</v>
      </c>
      <c r="AJ894">
        <v>0</v>
      </c>
      <c r="AK894">
        <v>0</v>
      </c>
      <c r="AL894">
        <v>0</v>
      </c>
      <c r="AM894">
        <v>8.58</v>
      </c>
      <c r="AN894">
        <v>0</v>
      </c>
      <c r="AO894">
        <v>0</v>
      </c>
      <c r="AP894">
        <v>0</v>
      </c>
      <c r="AQ894">
        <v>0</v>
      </c>
      <c r="AR894">
        <v>0</v>
      </c>
      <c r="AS894">
        <v>0</v>
      </c>
      <c r="AT894">
        <v>0</v>
      </c>
      <c r="AU894">
        <v>0</v>
      </c>
      <c r="AV894">
        <v>0</v>
      </c>
      <c r="AW894">
        <v>0</v>
      </c>
      <c r="AX894">
        <v>0</v>
      </c>
      <c r="AY894">
        <v>0</v>
      </c>
      <c r="AZ894">
        <v>0</v>
      </c>
      <c r="BA894">
        <v>0</v>
      </c>
      <c r="BB894">
        <v>0</v>
      </c>
      <c r="BC894">
        <v>0</v>
      </c>
      <c r="BD894">
        <v>0</v>
      </c>
      <c r="BE894">
        <v>0</v>
      </c>
      <c r="BF894">
        <v>0</v>
      </c>
      <c r="BG894">
        <v>0</v>
      </c>
      <c r="BH894">
        <v>1</v>
      </c>
      <c r="BI894">
        <v>1</v>
      </c>
      <c r="BJ894">
        <v>0.2</v>
      </c>
      <c r="BK894">
        <v>1</v>
      </c>
      <c r="BL894" s="4">
        <v>50.45</v>
      </c>
      <c r="BM894" s="4">
        <v>7.57</v>
      </c>
      <c r="BN894" s="4">
        <v>58.02</v>
      </c>
      <c r="BO894" s="4">
        <v>58.02</v>
      </c>
      <c r="BQ894" t="s">
        <v>256</v>
      </c>
      <c r="BR894" t="s">
        <v>84</v>
      </c>
      <c r="BS894" s="3">
        <v>43809</v>
      </c>
      <c r="BT894" s="5">
        <v>0.39305555555555555</v>
      </c>
      <c r="BU894" t="s">
        <v>1438</v>
      </c>
      <c r="BV894" t="s">
        <v>86</v>
      </c>
      <c r="BY894">
        <v>1200</v>
      </c>
      <c r="CA894" t="s">
        <v>488</v>
      </c>
      <c r="CC894" t="s">
        <v>199</v>
      </c>
      <c r="CD894">
        <v>4051</v>
      </c>
      <c r="CE894" t="s">
        <v>88</v>
      </c>
      <c r="CF894" s="3">
        <v>43809</v>
      </c>
      <c r="CI894">
        <v>1</v>
      </c>
      <c r="CJ894">
        <v>1</v>
      </c>
      <c r="CK894">
        <v>21</v>
      </c>
      <c r="CL894" t="s">
        <v>89</v>
      </c>
    </row>
    <row r="895" spans="1:90">
      <c r="A895" t="s">
        <v>72</v>
      </c>
      <c r="B895" t="s">
        <v>73</v>
      </c>
      <c r="C895" t="s">
        <v>74</v>
      </c>
      <c r="E895" t="str">
        <f>"FES1162727471"</f>
        <v>FES1162727471</v>
      </c>
      <c r="F895" s="3">
        <v>43808</v>
      </c>
      <c r="G895">
        <v>202006</v>
      </c>
      <c r="H895" t="s">
        <v>75</v>
      </c>
      <c r="I895" t="s">
        <v>76</v>
      </c>
      <c r="J895" t="s">
        <v>77</v>
      </c>
      <c r="K895" t="s">
        <v>78</v>
      </c>
      <c r="L895" t="s">
        <v>164</v>
      </c>
      <c r="M895" t="s">
        <v>165</v>
      </c>
      <c r="N895" t="s">
        <v>658</v>
      </c>
      <c r="O895" t="s">
        <v>82</v>
      </c>
      <c r="P895" t="str">
        <f>"2170717930                    "</f>
        <v xml:space="preserve">2170717930                    </v>
      </c>
      <c r="Q895">
        <v>0</v>
      </c>
      <c r="R895">
        <v>0</v>
      </c>
      <c r="S895">
        <v>0</v>
      </c>
      <c r="T895">
        <v>0</v>
      </c>
      <c r="U895">
        <v>0</v>
      </c>
      <c r="V895">
        <v>0</v>
      </c>
      <c r="W895">
        <v>0</v>
      </c>
      <c r="X895">
        <v>0</v>
      </c>
      <c r="Y895">
        <v>0</v>
      </c>
      <c r="Z895">
        <v>0</v>
      </c>
      <c r="AA895">
        <v>0</v>
      </c>
      <c r="AB895">
        <v>0</v>
      </c>
      <c r="AC895">
        <v>0</v>
      </c>
      <c r="AD895">
        <v>0</v>
      </c>
      <c r="AE895">
        <v>0</v>
      </c>
      <c r="AF895">
        <v>0</v>
      </c>
      <c r="AG895">
        <v>0</v>
      </c>
      <c r="AH895">
        <v>0</v>
      </c>
      <c r="AI895">
        <v>0</v>
      </c>
      <c r="AJ895">
        <v>0</v>
      </c>
      <c r="AK895">
        <v>0</v>
      </c>
      <c r="AL895">
        <v>0</v>
      </c>
      <c r="AM895">
        <v>36.46</v>
      </c>
      <c r="AN895">
        <v>0</v>
      </c>
      <c r="AO895">
        <v>0</v>
      </c>
      <c r="AP895">
        <v>0</v>
      </c>
      <c r="AQ895">
        <v>0</v>
      </c>
      <c r="AR895">
        <v>0</v>
      </c>
      <c r="AS895">
        <v>0</v>
      </c>
      <c r="AT895">
        <v>0</v>
      </c>
      <c r="AU895">
        <v>0</v>
      </c>
      <c r="AV895">
        <v>0</v>
      </c>
      <c r="AW895">
        <v>0</v>
      </c>
      <c r="AX895">
        <v>0</v>
      </c>
      <c r="AY895">
        <v>0</v>
      </c>
      <c r="AZ895">
        <v>0</v>
      </c>
      <c r="BA895">
        <v>0</v>
      </c>
      <c r="BB895">
        <v>0</v>
      </c>
      <c r="BC895">
        <v>0</v>
      </c>
      <c r="BD895">
        <v>0</v>
      </c>
      <c r="BE895">
        <v>0</v>
      </c>
      <c r="BF895">
        <v>0</v>
      </c>
      <c r="BG895">
        <v>0</v>
      </c>
      <c r="BH895">
        <v>2</v>
      </c>
      <c r="BI895">
        <v>8.4</v>
      </c>
      <c r="BJ895">
        <v>3.7</v>
      </c>
      <c r="BK895">
        <v>8.5</v>
      </c>
      <c r="BL895" s="4">
        <v>214.31</v>
      </c>
      <c r="BM895" s="4">
        <v>32.15</v>
      </c>
      <c r="BN895" s="4">
        <v>246.46</v>
      </c>
      <c r="BO895" s="4">
        <v>246.46</v>
      </c>
      <c r="BR895" t="s">
        <v>84</v>
      </c>
      <c r="BS895" s="3">
        <v>43809</v>
      </c>
      <c r="BT895" s="5">
        <v>0.41666666666666669</v>
      </c>
      <c r="BU895" t="s">
        <v>1439</v>
      </c>
      <c r="BV895" t="s">
        <v>86</v>
      </c>
      <c r="BY895">
        <v>18576.560000000001</v>
      </c>
      <c r="CA895" t="s">
        <v>1030</v>
      </c>
      <c r="CC895" t="s">
        <v>165</v>
      </c>
      <c r="CD895">
        <v>5200</v>
      </c>
      <c r="CE895" t="s">
        <v>413</v>
      </c>
      <c r="CF895" s="3">
        <v>43811</v>
      </c>
      <c r="CI895">
        <v>1</v>
      </c>
      <c r="CJ895">
        <v>1</v>
      </c>
      <c r="CK895">
        <v>21</v>
      </c>
      <c r="CL895" t="s">
        <v>89</v>
      </c>
    </row>
    <row r="896" spans="1:90">
      <c r="A896" t="s">
        <v>72</v>
      </c>
      <c r="B896" t="s">
        <v>73</v>
      </c>
      <c r="C896" t="s">
        <v>74</v>
      </c>
      <c r="E896" t="str">
        <f>"FES1162727308"</f>
        <v>FES1162727308</v>
      </c>
      <c r="F896" s="3">
        <v>43808</v>
      </c>
      <c r="G896">
        <v>202006</v>
      </c>
      <c r="H896" t="s">
        <v>75</v>
      </c>
      <c r="I896" t="s">
        <v>76</v>
      </c>
      <c r="J896" t="s">
        <v>77</v>
      </c>
      <c r="K896" t="s">
        <v>78</v>
      </c>
      <c r="L896" t="s">
        <v>430</v>
      </c>
      <c r="M896" t="s">
        <v>431</v>
      </c>
      <c r="N896" t="s">
        <v>1440</v>
      </c>
      <c r="O896" t="s">
        <v>82</v>
      </c>
      <c r="P896" t="str">
        <f>"2170710787                    "</f>
        <v xml:space="preserve">2170710787                    </v>
      </c>
      <c r="Q896">
        <v>0</v>
      </c>
      <c r="R896">
        <v>0</v>
      </c>
      <c r="S896">
        <v>0</v>
      </c>
      <c r="T896">
        <v>0</v>
      </c>
      <c r="U896">
        <v>0</v>
      </c>
      <c r="V896">
        <v>0</v>
      </c>
      <c r="W896">
        <v>0</v>
      </c>
      <c r="X896">
        <v>0</v>
      </c>
      <c r="Y896">
        <v>0</v>
      </c>
      <c r="Z896">
        <v>0</v>
      </c>
      <c r="AA896">
        <v>0</v>
      </c>
      <c r="AB896">
        <v>0</v>
      </c>
      <c r="AC896">
        <v>0</v>
      </c>
      <c r="AD896">
        <v>0</v>
      </c>
      <c r="AE896">
        <v>0</v>
      </c>
      <c r="AF896">
        <v>0</v>
      </c>
      <c r="AG896">
        <v>0</v>
      </c>
      <c r="AH896">
        <v>0</v>
      </c>
      <c r="AI896">
        <v>0</v>
      </c>
      <c r="AJ896">
        <v>0</v>
      </c>
      <c r="AK896">
        <v>0</v>
      </c>
      <c r="AL896">
        <v>0</v>
      </c>
      <c r="AM896">
        <v>12.07</v>
      </c>
      <c r="AN896">
        <v>0</v>
      </c>
      <c r="AO896">
        <v>0</v>
      </c>
      <c r="AP896">
        <v>0</v>
      </c>
      <c r="AQ896">
        <v>0</v>
      </c>
      <c r="AR896">
        <v>0</v>
      </c>
      <c r="AS896">
        <v>0</v>
      </c>
      <c r="AT896">
        <v>0</v>
      </c>
      <c r="AU896">
        <v>0</v>
      </c>
      <c r="AV896">
        <v>0</v>
      </c>
      <c r="AW896">
        <v>0</v>
      </c>
      <c r="AX896">
        <v>0</v>
      </c>
      <c r="AY896">
        <v>0</v>
      </c>
      <c r="AZ896">
        <v>0</v>
      </c>
      <c r="BA896">
        <v>0</v>
      </c>
      <c r="BB896">
        <v>0</v>
      </c>
      <c r="BC896">
        <v>0</v>
      </c>
      <c r="BD896">
        <v>0</v>
      </c>
      <c r="BE896">
        <v>0</v>
      </c>
      <c r="BF896">
        <v>0</v>
      </c>
      <c r="BG896">
        <v>0</v>
      </c>
      <c r="BH896">
        <v>1</v>
      </c>
      <c r="BI896">
        <v>0.2</v>
      </c>
      <c r="BJ896">
        <v>1.4</v>
      </c>
      <c r="BK896">
        <v>1.5</v>
      </c>
      <c r="BL896" s="4">
        <v>70.95</v>
      </c>
      <c r="BM896" s="4">
        <v>10.64</v>
      </c>
      <c r="BN896" s="4">
        <v>81.59</v>
      </c>
      <c r="BO896" s="4">
        <v>81.59</v>
      </c>
      <c r="BQ896" t="s">
        <v>147</v>
      </c>
      <c r="BR896" t="s">
        <v>84</v>
      </c>
      <c r="BS896" s="3">
        <v>43809</v>
      </c>
      <c r="BT896" s="5">
        <v>0.43472222222222223</v>
      </c>
      <c r="BU896" t="s">
        <v>1441</v>
      </c>
      <c r="BV896" t="s">
        <v>86</v>
      </c>
      <c r="BY896">
        <v>6997.91</v>
      </c>
      <c r="CA896" t="s">
        <v>434</v>
      </c>
      <c r="CC896" t="s">
        <v>431</v>
      </c>
      <c r="CD896">
        <v>250</v>
      </c>
      <c r="CE896" t="s">
        <v>116</v>
      </c>
      <c r="CF896" s="3">
        <v>43811</v>
      </c>
      <c r="CI896">
        <v>1</v>
      </c>
      <c r="CJ896">
        <v>1</v>
      </c>
      <c r="CK896">
        <v>24</v>
      </c>
      <c r="CL896" t="s">
        <v>89</v>
      </c>
    </row>
    <row r="897" spans="1:90">
      <c r="A897" t="s">
        <v>72</v>
      </c>
      <c r="B897" t="s">
        <v>73</v>
      </c>
      <c r="C897" t="s">
        <v>74</v>
      </c>
      <c r="E897" t="str">
        <f>"FES1162727332"</f>
        <v>FES1162727332</v>
      </c>
      <c r="F897" s="3">
        <v>43808</v>
      </c>
      <c r="G897">
        <v>202006</v>
      </c>
      <c r="H897" t="s">
        <v>75</v>
      </c>
      <c r="I897" t="s">
        <v>76</v>
      </c>
      <c r="J897" t="s">
        <v>77</v>
      </c>
      <c r="K897" t="s">
        <v>78</v>
      </c>
      <c r="L897" t="s">
        <v>164</v>
      </c>
      <c r="M897" t="s">
        <v>165</v>
      </c>
      <c r="N897" t="s">
        <v>1282</v>
      </c>
      <c r="O897" t="s">
        <v>82</v>
      </c>
      <c r="P897" t="str">
        <f>"2170720810                    "</f>
        <v xml:space="preserve">2170720810                    </v>
      </c>
      <c r="Q897">
        <v>0</v>
      </c>
      <c r="R897">
        <v>0</v>
      </c>
      <c r="S897">
        <v>0</v>
      </c>
      <c r="T897">
        <v>0</v>
      </c>
      <c r="U897">
        <v>0</v>
      </c>
      <c r="V897">
        <v>0</v>
      </c>
      <c r="W897">
        <v>0</v>
      </c>
      <c r="X897">
        <v>0</v>
      </c>
      <c r="Y897">
        <v>0</v>
      </c>
      <c r="Z897">
        <v>0</v>
      </c>
      <c r="AA897">
        <v>0</v>
      </c>
      <c r="AB897">
        <v>0</v>
      </c>
      <c r="AC897">
        <v>0</v>
      </c>
      <c r="AD897">
        <v>0</v>
      </c>
      <c r="AE897">
        <v>0</v>
      </c>
      <c r="AF897">
        <v>0</v>
      </c>
      <c r="AG897">
        <v>0</v>
      </c>
      <c r="AH897">
        <v>0</v>
      </c>
      <c r="AI897">
        <v>0</v>
      </c>
      <c r="AJ897">
        <v>0</v>
      </c>
      <c r="AK897">
        <v>0</v>
      </c>
      <c r="AL897">
        <v>0</v>
      </c>
      <c r="AM897">
        <v>8.58</v>
      </c>
      <c r="AN897">
        <v>0</v>
      </c>
      <c r="AO897">
        <v>0</v>
      </c>
      <c r="AP897">
        <v>0</v>
      </c>
      <c r="AQ897">
        <v>0</v>
      </c>
      <c r="AR897">
        <v>0</v>
      </c>
      <c r="AS897">
        <v>0</v>
      </c>
      <c r="AT897">
        <v>0</v>
      </c>
      <c r="AU897">
        <v>0</v>
      </c>
      <c r="AV897">
        <v>0</v>
      </c>
      <c r="AW897">
        <v>0</v>
      </c>
      <c r="AX897">
        <v>0</v>
      </c>
      <c r="AY897">
        <v>0</v>
      </c>
      <c r="AZ897">
        <v>0</v>
      </c>
      <c r="BA897">
        <v>0</v>
      </c>
      <c r="BB897">
        <v>0</v>
      </c>
      <c r="BC897">
        <v>0</v>
      </c>
      <c r="BD897">
        <v>0</v>
      </c>
      <c r="BE897">
        <v>0</v>
      </c>
      <c r="BF897">
        <v>0</v>
      </c>
      <c r="BG897">
        <v>0</v>
      </c>
      <c r="BH897">
        <v>1</v>
      </c>
      <c r="BI897">
        <v>1</v>
      </c>
      <c r="BJ897">
        <v>0.2</v>
      </c>
      <c r="BK897">
        <v>1</v>
      </c>
      <c r="BL897" s="4">
        <v>50.45</v>
      </c>
      <c r="BM897" s="4">
        <v>7.57</v>
      </c>
      <c r="BN897" s="4">
        <v>58.02</v>
      </c>
      <c r="BO897" s="4">
        <v>58.02</v>
      </c>
      <c r="BQ897" t="s">
        <v>1283</v>
      </c>
      <c r="BR897" t="s">
        <v>84</v>
      </c>
      <c r="BS897" s="3">
        <v>43809</v>
      </c>
      <c r="BT897" s="5">
        <v>0.40277777777777773</v>
      </c>
      <c r="BU897" t="s">
        <v>1442</v>
      </c>
      <c r="BV897" t="s">
        <v>86</v>
      </c>
      <c r="BY897">
        <v>1200</v>
      </c>
      <c r="CA897" t="s">
        <v>371</v>
      </c>
      <c r="CC897" t="s">
        <v>165</v>
      </c>
      <c r="CD897">
        <v>5200</v>
      </c>
      <c r="CE897" t="s">
        <v>88</v>
      </c>
      <c r="CF897" s="3">
        <v>43810</v>
      </c>
      <c r="CI897">
        <v>1</v>
      </c>
      <c r="CJ897">
        <v>1</v>
      </c>
      <c r="CK897">
        <v>21</v>
      </c>
      <c r="CL897" t="s">
        <v>89</v>
      </c>
    </row>
    <row r="898" spans="1:90">
      <c r="A898" t="s">
        <v>72</v>
      </c>
      <c r="B898" t="s">
        <v>73</v>
      </c>
      <c r="C898" t="s">
        <v>74</v>
      </c>
      <c r="E898" t="str">
        <f>"FES1162727344"</f>
        <v>FES1162727344</v>
      </c>
      <c r="F898" s="3">
        <v>43808</v>
      </c>
      <c r="G898">
        <v>202006</v>
      </c>
      <c r="H898" t="s">
        <v>75</v>
      </c>
      <c r="I898" t="s">
        <v>76</v>
      </c>
      <c r="J898" t="s">
        <v>77</v>
      </c>
      <c r="K898" t="s">
        <v>78</v>
      </c>
      <c r="L898" t="s">
        <v>79</v>
      </c>
      <c r="M898" t="s">
        <v>80</v>
      </c>
      <c r="N898" t="s">
        <v>373</v>
      </c>
      <c r="O898" t="s">
        <v>82</v>
      </c>
      <c r="P898" t="str">
        <f>"2170720822                    "</f>
        <v xml:space="preserve">2170720822                    </v>
      </c>
      <c r="Q898">
        <v>0</v>
      </c>
      <c r="R898">
        <v>0</v>
      </c>
      <c r="S898">
        <v>0</v>
      </c>
      <c r="T898">
        <v>0</v>
      </c>
      <c r="U898">
        <v>0</v>
      </c>
      <c r="V898">
        <v>0</v>
      </c>
      <c r="W898">
        <v>0</v>
      </c>
      <c r="X898">
        <v>0</v>
      </c>
      <c r="Y898">
        <v>0</v>
      </c>
      <c r="Z898">
        <v>0</v>
      </c>
      <c r="AA898">
        <v>0</v>
      </c>
      <c r="AB898">
        <v>0</v>
      </c>
      <c r="AC898">
        <v>0</v>
      </c>
      <c r="AD898">
        <v>0</v>
      </c>
      <c r="AE898">
        <v>0</v>
      </c>
      <c r="AF898">
        <v>0</v>
      </c>
      <c r="AG898">
        <v>0</v>
      </c>
      <c r="AH898">
        <v>0</v>
      </c>
      <c r="AI898">
        <v>0</v>
      </c>
      <c r="AJ898">
        <v>0</v>
      </c>
      <c r="AK898">
        <v>0</v>
      </c>
      <c r="AL898">
        <v>0</v>
      </c>
      <c r="AM898">
        <v>8.58</v>
      </c>
      <c r="AN898">
        <v>0</v>
      </c>
      <c r="AO898">
        <v>0</v>
      </c>
      <c r="AP898">
        <v>0</v>
      </c>
      <c r="AQ898">
        <v>0</v>
      </c>
      <c r="AR898">
        <v>0</v>
      </c>
      <c r="AS898">
        <v>0</v>
      </c>
      <c r="AT898">
        <v>0</v>
      </c>
      <c r="AU898">
        <v>0</v>
      </c>
      <c r="AV898">
        <v>0</v>
      </c>
      <c r="AW898">
        <v>0</v>
      </c>
      <c r="AX898">
        <v>0</v>
      </c>
      <c r="AY898">
        <v>0</v>
      </c>
      <c r="AZ898">
        <v>0</v>
      </c>
      <c r="BA898">
        <v>0</v>
      </c>
      <c r="BB898">
        <v>0</v>
      </c>
      <c r="BC898">
        <v>0</v>
      </c>
      <c r="BD898">
        <v>0</v>
      </c>
      <c r="BE898">
        <v>0</v>
      </c>
      <c r="BF898">
        <v>0</v>
      </c>
      <c r="BG898">
        <v>0</v>
      </c>
      <c r="BH898">
        <v>1</v>
      </c>
      <c r="BI898">
        <v>1</v>
      </c>
      <c r="BJ898">
        <v>0.2</v>
      </c>
      <c r="BK898">
        <v>1</v>
      </c>
      <c r="BL898" s="4">
        <v>50.45</v>
      </c>
      <c r="BM898" s="4">
        <v>7.57</v>
      </c>
      <c r="BN898" s="4">
        <v>58.02</v>
      </c>
      <c r="BO898" s="4">
        <v>58.02</v>
      </c>
      <c r="BQ898" t="s">
        <v>147</v>
      </c>
      <c r="BR898" t="s">
        <v>84</v>
      </c>
      <c r="BS898" s="3">
        <v>43809</v>
      </c>
      <c r="BT898" s="5">
        <v>0.36458333333333331</v>
      </c>
      <c r="BU898" t="s">
        <v>1443</v>
      </c>
      <c r="BV898" t="s">
        <v>86</v>
      </c>
      <c r="BY898">
        <v>1200</v>
      </c>
      <c r="CA898" t="s">
        <v>185</v>
      </c>
      <c r="CC898" t="s">
        <v>80</v>
      </c>
      <c r="CD898">
        <v>6012</v>
      </c>
      <c r="CE898" t="s">
        <v>88</v>
      </c>
      <c r="CF898" s="3">
        <v>43810</v>
      </c>
      <c r="CI898">
        <v>1</v>
      </c>
      <c r="CJ898">
        <v>1</v>
      </c>
      <c r="CK898">
        <v>21</v>
      </c>
      <c r="CL898" t="s">
        <v>89</v>
      </c>
    </row>
    <row r="899" spans="1:90">
      <c r="A899" t="s">
        <v>72</v>
      </c>
      <c r="B899" t="s">
        <v>73</v>
      </c>
      <c r="C899" t="s">
        <v>74</v>
      </c>
      <c r="E899" t="str">
        <f>"FES1162727339"</f>
        <v>FES1162727339</v>
      </c>
      <c r="F899" s="3">
        <v>43808</v>
      </c>
      <c r="G899">
        <v>202006</v>
      </c>
      <c r="H899" t="s">
        <v>75</v>
      </c>
      <c r="I899" t="s">
        <v>76</v>
      </c>
      <c r="J899" t="s">
        <v>77</v>
      </c>
      <c r="K899" t="s">
        <v>78</v>
      </c>
      <c r="L899" t="s">
        <v>213</v>
      </c>
      <c r="M899" t="s">
        <v>214</v>
      </c>
      <c r="N899" t="s">
        <v>1444</v>
      </c>
      <c r="O899" t="s">
        <v>82</v>
      </c>
      <c r="P899" t="str">
        <f>"2170720821                    "</f>
        <v xml:space="preserve">2170720821                    </v>
      </c>
      <c r="Q899">
        <v>0</v>
      </c>
      <c r="R899">
        <v>0</v>
      </c>
      <c r="S899">
        <v>0</v>
      </c>
      <c r="T899">
        <v>0</v>
      </c>
      <c r="U899">
        <v>0</v>
      </c>
      <c r="V899">
        <v>0</v>
      </c>
      <c r="W899">
        <v>0</v>
      </c>
      <c r="X899">
        <v>0</v>
      </c>
      <c r="Y899">
        <v>0</v>
      </c>
      <c r="Z899">
        <v>0</v>
      </c>
      <c r="AA899">
        <v>0</v>
      </c>
      <c r="AB899">
        <v>0</v>
      </c>
      <c r="AC899">
        <v>0</v>
      </c>
      <c r="AD899">
        <v>0</v>
      </c>
      <c r="AE899">
        <v>0</v>
      </c>
      <c r="AF899">
        <v>0</v>
      </c>
      <c r="AG899">
        <v>0</v>
      </c>
      <c r="AH899">
        <v>0</v>
      </c>
      <c r="AI899">
        <v>0</v>
      </c>
      <c r="AJ899">
        <v>0</v>
      </c>
      <c r="AK899">
        <v>0</v>
      </c>
      <c r="AL899">
        <v>0</v>
      </c>
      <c r="AM899">
        <v>8.58</v>
      </c>
      <c r="AN899">
        <v>0</v>
      </c>
      <c r="AO899">
        <v>0</v>
      </c>
      <c r="AP899">
        <v>0</v>
      </c>
      <c r="AQ899">
        <v>0</v>
      </c>
      <c r="AR899">
        <v>0</v>
      </c>
      <c r="AS899">
        <v>0</v>
      </c>
      <c r="AT899">
        <v>0</v>
      </c>
      <c r="AU899">
        <v>0</v>
      </c>
      <c r="AV899">
        <v>0</v>
      </c>
      <c r="AW899">
        <v>0</v>
      </c>
      <c r="AX899">
        <v>0</v>
      </c>
      <c r="AY899">
        <v>0</v>
      </c>
      <c r="AZ899">
        <v>0</v>
      </c>
      <c r="BA899">
        <v>0</v>
      </c>
      <c r="BB899">
        <v>0</v>
      </c>
      <c r="BC899">
        <v>0</v>
      </c>
      <c r="BD899">
        <v>0</v>
      </c>
      <c r="BE899">
        <v>0</v>
      </c>
      <c r="BF899">
        <v>0</v>
      </c>
      <c r="BG899">
        <v>0</v>
      </c>
      <c r="BH899">
        <v>1</v>
      </c>
      <c r="BI899">
        <v>1</v>
      </c>
      <c r="BJ899">
        <v>0.2</v>
      </c>
      <c r="BK899">
        <v>1</v>
      </c>
      <c r="BL899" s="4">
        <v>50.45</v>
      </c>
      <c r="BM899" s="4">
        <v>7.57</v>
      </c>
      <c r="BN899" s="4">
        <v>58.02</v>
      </c>
      <c r="BO899" s="4">
        <v>58.02</v>
      </c>
      <c r="BR899" t="s">
        <v>84</v>
      </c>
      <c r="BS899" s="3">
        <v>43809</v>
      </c>
      <c r="BT899" s="5">
        <v>0.38055555555555554</v>
      </c>
      <c r="BU899" t="s">
        <v>1445</v>
      </c>
      <c r="BV899" t="s">
        <v>86</v>
      </c>
      <c r="BY899">
        <v>1200</v>
      </c>
      <c r="CA899" t="s">
        <v>99</v>
      </c>
      <c r="CC899" t="s">
        <v>214</v>
      </c>
      <c r="CD899">
        <v>6230</v>
      </c>
      <c r="CE899" t="s">
        <v>88</v>
      </c>
      <c r="CF899" s="3">
        <v>43810</v>
      </c>
      <c r="CI899">
        <v>1</v>
      </c>
      <c r="CJ899">
        <v>1</v>
      </c>
      <c r="CK899">
        <v>21</v>
      </c>
      <c r="CL899" t="s">
        <v>89</v>
      </c>
    </row>
    <row r="900" spans="1:90">
      <c r="A900" t="s">
        <v>72</v>
      </c>
      <c r="B900" t="s">
        <v>73</v>
      </c>
      <c r="C900" t="s">
        <v>74</v>
      </c>
      <c r="E900" t="str">
        <f>"FES1162727327"</f>
        <v>FES1162727327</v>
      </c>
      <c r="F900" s="3">
        <v>43808</v>
      </c>
      <c r="G900">
        <v>202006</v>
      </c>
      <c r="H900" t="s">
        <v>75</v>
      </c>
      <c r="I900" t="s">
        <v>76</v>
      </c>
      <c r="J900" t="s">
        <v>77</v>
      </c>
      <c r="K900" t="s">
        <v>78</v>
      </c>
      <c r="L900" t="s">
        <v>90</v>
      </c>
      <c r="M900" t="s">
        <v>91</v>
      </c>
      <c r="N900" t="s">
        <v>315</v>
      </c>
      <c r="O900" t="s">
        <v>82</v>
      </c>
      <c r="P900" t="str">
        <f>"2170720806                    "</f>
        <v xml:space="preserve">2170720806                    </v>
      </c>
      <c r="Q900">
        <v>0</v>
      </c>
      <c r="R900">
        <v>0</v>
      </c>
      <c r="S900">
        <v>0</v>
      </c>
      <c r="T900">
        <v>0</v>
      </c>
      <c r="U900">
        <v>0</v>
      </c>
      <c r="V900">
        <v>0</v>
      </c>
      <c r="W900">
        <v>0</v>
      </c>
      <c r="X900">
        <v>0</v>
      </c>
      <c r="Y900">
        <v>0</v>
      </c>
      <c r="Z900">
        <v>0</v>
      </c>
      <c r="AA900">
        <v>0</v>
      </c>
      <c r="AB900">
        <v>0</v>
      </c>
      <c r="AC900">
        <v>0</v>
      </c>
      <c r="AD900">
        <v>0</v>
      </c>
      <c r="AE900">
        <v>0</v>
      </c>
      <c r="AF900">
        <v>0</v>
      </c>
      <c r="AG900">
        <v>0</v>
      </c>
      <c r="AH900">
        <v>0</v>
      </c>
      <c r="AI900">
        <v>0</v>
      </c>
      <c r="AJ900">
        <v>0</v>
      </c>
      <c r="AK900">
        <v>0</v>
      </c>
      <c r="AL900">
        <v>0</v>
      </c>
      <c r="AM900">
        <v>8.58</v>
      </c>
      <c r="AN900">
        <v>0</v>
      </c>
      <c r="AO900">
        <v>0</v>
      </c>
      <c r="AP900">
        <v>0</v>
      </c>
      <c r="AQ900">
        <v>0</v>
      </c>
      <c r="AR900">
        <v>0</v>
      </c>
      <c r="AS900">
        <v>0</v>
      </c>
      <c r="AT900">
        <v>0</v>
      </c>
      <c r="AU900">
        <v>0</v>
      </c>
      <c r="AV900">
        <v>0</v>
      </c>
      <c r="AW900">
        <v>0</v>
      </c>
      <c r="AX900">
        <v>0</v>
      </c>
      <c r="AY900">
        <v>0</v>
      </c>
      <c r="AZ900">
        <v>0</v>
      </c>
      <c r="BA900">
        <v>0</v>
      </c>
      <c r="BB900">
        <v>0</v>
      </c>
      <c r="BC900">
        <v>0</v>
      </c>
      <c r="BD900">
        <v>0</v>
      </c>
      <c r="BE900">
        <v>0</v>
      </c>
      <c r="BF900">
        <v>0</v>
      </c>
      <c r="BG900">
        <v>0</v>
      </c>
      <c r="BH900">
        <v>1</v>
      </c>
      <c r="BI900">
        <v>1</v>
      </c>
      <c r="BJ900">
        <v>0.2</v>
      </c>
      <c r="BK900">
        <v>1</v>
      </c>
      <c r="BL900" s="4">
        <v>50.45</v>
      </c>
      <c r="BM900" s="4">
        <v>7.57</v>
      </c>
      <c r="BN900" s="4">
        <v>58.02</v>
      </c>
      <c r="BO900" s="4">
        <v>58.02</v>
      </c>
      <c r="BQ900" t="s">
        <v>135</v>
      </c>
      <c r="BR900" t="s">
        <v>84</v>
      </c>
      <c r="BS900" s="3">
        <v>43809</v>
      </c>
      <c r="BT900" s="5">
        <v>0.3576388888888889</v>
      </c>
      <c r="BU900" t="s">
        <v>316</v>
      </c>
      <c r="BV900" t="s">
        <v>86</v>
      </c>
      <c r="BY900">
        <v>1200</v>
      </c>
      <c r="CA900" t="s">
        <v>273</v>
      </c>
      <c r="CC900" t="s">
        <v>91</v>
      </c>
      <c r="CD900">
        <v>7800</v>
      </c>
      <c r="CE900" t="s">
        <v>88</v>
      </c>
      <c r="CF900" s="3">
        <v>43810</v>
      </c>
      <c r="CI900">
        <v>1</v>
      </c>
      <c r="CJ900">
        <v>1</v>
      </c>
      <c r="CK900">
        <v>21</v>
      </c>
      <c r="CL900" t="s">
        <v>89</v>
      </c>
    </row>
    <row r="901" spans="1:90">
      <c r="A901" t="s">
        <v>72</v>
      </c>
      <c r="B901" t="s">
        <v>73</v>
      </c>
      <c r="C901" t="s">
        <v>74</v>
      </c>
      <c r="E901" t="str">
        <f>"FES1162727333"</f>
        <v>FES1162727333</v>
      </c>
      <c r="F901" s="3">
        <v>43808</v>
      </c>
      <c r="G901">
        <v>202006</v>
      </c>
      <c r="H901" t="s">
        <v>75</v>
      </c>
      <c r="I901" t="s">
        <v>76</v>
      </c>
      <c r="J901" t="s">
        <v>77</v>
      </c>
      <c r="K901" t="s">
        <v>78</v>
      </c>
      <c r="L901" t="s">
        <v>90</v>
      </c>
      <c r="M901" t="s">
        <v>91</v>
      </c>
      <c r="N901" t="s">
        <v>110</v>
      </c>
      <c r="O901" t="s">
        <v>82</v>
      </c>
      <c r="P901" t="str">
        <f>"2170720811                    "</f>
        <v xml:space="preserve">2170720811                    </v>
      </c>
      <c r="Q901">
        <v>0</v>
      </c>
      <c r="R901">
        <v>0</v>
      </c>
      <c r="S901">
        <v>0</v>
      </c>
      <c r="T901">
        <v>0</v>
      </c>
      <c r="U901">
        <v>0</v>
      </c>
      <c r="V901">
        <v>0</v>
      </c>
      <c r="W901">
        <v>0</v>
      </c>
      <c r="X901">
        <v>0</v>
      </c>
      <c r="Y901">
        <v>0</v>
      </c>
      <c r="Z901">
        <v>0</v>
      </c>
      <c r="AA901">
        <v>0</v>
      </c>
      <c r="AB901">
        <v>0</v>
      </c>
      <c r="AC901">
        <v>0</v>
      </c>
      <c r="AD901">
        <v>0</v>
      </c>
      <c r="AE901">
        <v>0</v>
      </c>
      <c r="AF901">
        <v>0</v>
      </c>
      <c r="AG901">
        <v>0</v>
      </c>
      <c r="AH901">
        <v>0</v>
      </c>
      <c r="AI901">
        <v>0</v>
      </c>
      <c r="AJ901">
        <v>0</v>
      </c>
      <c r="AK901">
        <v>0</v>
      </c>
      <c r="AL901">
        <v>0</v>
      </c>
      <c r="AM901">
        <v>8.58</v>
      </c>
      <c r="AN901">
        <v>0</v>
      </c>
      <c r="AO901">
        <v>0</v>
      </c>
      <c r="AP901">
        <v>0</v>
      </c>
      <c r="AQ901">
        <v>0</v>
      </c>
      <c r="AR901">
        <v>0</v>
      </c>
      <c r="AS901">
        <v>0</v>
      </c>
      <c r="AT901">
        <v>0</v>
      </c>
      <c r="AU901">
        <v>0</v>
      </c>
      <c r="AV901">
        <v>0</v>
      </c>
      <c r="AW901">
        <v>0</v>
      </c>
      <c r="AX901">
        <v>0</v>
      </c>
      <c r="AY901">
        <v>0</v>
      </c>
      <c r="AZ901">
        <v>0</v>
      </c>
      <c r="BA901">
        <v>0</v>
      </c>
      <c r="BB901">
        <v>0</v>
      </c>
      <c r="BC901">
        <v>0</v>
      </c>
      <c r="BD901">
        <v>0</v>
      </c>
      <c r="BE901">
        <v>0</v>
      </c>
      <c r="BF901">
        <v>0</v>
      </c>
      <c r="BG901">
        <v>0</v>
      </c>
      <c r="BH901">
        <v>1</v>
      </c>
      <c r="BI901">
        <v>1</v>
      </c>
      <c r="BJ901">
        <v>0.2</v>
      </c>
      <c r="BK901">
        <v>1</v>
      </c>
      <c r="BL901" s="4">
        <v>50.45</v>
      </c>
      <c r="BM901" s="4">
        <v>7.57</v>
      </c>
      <c r="BN901" s="4">
        <v>58.02</v>
      </c>
      <c r="BO901" s="4">
        <v>58.02</v>
      </c>
      <c r="BQ901" t="s">
        <v>147</v>
      </c>
      <c r="BR901" t="s">
        <v>84</v>
      </c>
      <c r="BS901" s="3">
        <v>43809</v>
      </c>
      <c r="BT901" s="5">
        <v>0.31319444444444444</v>
      </c>
      <c r="BU901" t="s">
        <v>111</v>
      </c>
      <c r="BV901" t="s">
        <v>86</v>
      </c>
      <c r="BY901">
        <v>1200</v>
      </c>
      <c r="CA901" t="s">
        <v>112</v>
      </c>
      <c r="CC901" t="s">
        <v>91</v>
      </c>
      <c r="CD901">
        <v>7405</v>
      </c>
      <c r="CE901" t="s">
        <v>88</v>
      </c>
      <c r="CF901" s="3">
        <v>43810</v>
      </c>
      <c r="CI901">
        <v>1</v>
      </c>
      <c r="CJ901">
        <v>1</v>
      </c>
      <c r="CK901">
        <v>21</v>
      </c>
      <c r="CL901" t="s">
        <v>89</v>
      </c>
    </row>
    <row r="902" spans="1:90">
      <c r="A902" t="s">
        <v>72</v>
      </c>
      <c r="B902" t="s">
        <v>73</v>
      </c>
      <c r="C902" t="s">
        <v>74</v>
      </c>
      <c r="E902" t="str">
        <f>"FES1162727321"</f>
        <v>FES1162727321</v>
      </c>
      <c r="F902" s="3">
        <v>43808</v>
      </c>
      <c r="G902">
        <v>202006</v>
      </c>
      <c r="H902" t="s">
        <v>75</v>
      </c>
      <c r="I902" t="s">
        <v>76</v>
      </c>
      <c r="J902" t="s">
        <v>77</v>
      </c>
      <c r="K902" t="s">
        <v>78</v>
      </c>
      <c r="L902" t="s">
        <v>90</v>
      </c>
      <c r="M902" t="s">
        <v>91</v>
      </c>
      <c r="N902" t="s">
        <v>110</v>
      </c>
      <c r="O902" t="s">
        <v>82</v>
      </c>
      <c r="P902" t="str">
        <f>"2170720800                    "</f>
        <v xml:space="preserve">2170720800                    </v>
      </c>
      <c r="Q902">
        <v>0</v>
      </c>
      <c r="R902">
        <v>0</v>
      </c>
      <c r="S902">
        <v>0</v>
      </c>
      <c r="T902">
        <v>0</v>
      </c>
      <c r="U902">
        <v>0</v>
      </c>
      <c r="V902">
        <v>0</v>
      </c>
      <c r="W902">
        <v>0</v>
      </c>
      <c r="X902">
        <v>0</v>
      </c>
      <c r="Y902">
        <v>0</v>
      </c>
      <c r="Z902">
        <v>0</v>
      </c>
      <c r="AA902">
        <v>0</v>
      </c>
      <c r="AB902">
        <v>0</v>
      </c>
      <c r="AC902">
        <v>0</v>
      </c>
      <c r="AD902">
        <v>0</v>
      </c>
      <c r="AE902">
        <v>0</v>
      </c>
      <c r="AF902">
        <v>0</v>
      </c>
      <c r="AG902">
        <v>0</v>
      </c>
      <c r="AH902">
        <v>0</v>
      </c>
      <c r="AI902">
        <v>0</v>
      </c>
      <c r="AJ902">
        <v>0</v>
      </c>
      <c r="AK902">
        <v>0</v>
      </c>
      <c r="AL902">
        <v>0</v>
      </c>
      <c r="AM902">
        <v>8.58</v>
      </c>
      <c r="AN902">
        <v>0</v>
      </c>
      <c r="AO902">
        <v>0</v>
      </c>
      <c r="AP902">
        <v>0</v>
      </c>
      <c r="AQ902">
        <v>0</v>
      </c>
      <c r="AR902">
        <v>0</v>
      </c>
      <c r="AS902">
        <v>0</v>
      </c>
      <c r="AT902">
        <v>0</v>
      </c>
      <c r="AU902">
        <v>0</v>
      </c>
      <c r="AV902">
        <v>0</v>
      </c>
      <c r="AW902">
        <v>0</v>
      </c>
      <c r="AX902">
        <v>0</v>
      </c>
      <c r="AY902">
        <v>0</v>
      </c>
      <c r="AZ902">
        <v>0</v>
      </c>
      <c r="BA902">
        <v>0</v>
      </c>
      <c r="BB902">
        <v>0</v>
      </c>
      <c r="BC902">
        <v>0</v>
      </c>
      <c r="BD902">
        <v>0</v>
      </c>
      <c r="BE902">
        <v>0</v>
      </c>
      <c r="BF902">
        <v>0</v>
      </c>
      <c r="BG902">
        <v>0</v>
      </c>
      <c r="BH902">
        <v>1</v>
      </c>
      <c r="BI902">
        <v>2</v>
      </c>
      <c r="BJ902">
        <v>0.2</v>
      </c>
      <c r="BK902">
        <v>2</v>
      </c>
      <c r="BL902" s="4">
        <v>50.45</v>
      </c>
      <c r="BM902" s="4">
        <v>7.57</v>
      </c>
      <c r="BN902" s="4">
        <v>58.02</v>
      </c>
      <c r="BO902" s="4">
        <v>58.02</v>
      </c>
      <c r="BQ902" t="s">
        <v>147</v>
      </c>
      <c r="BR902" t="s">
        <v>84</v>
      </c>
      <c r="BS902" s="3">
        <v>43809</v>
      </c>
      <c r="BT902" s="5">
        <v>0.31388888888888888</v>
      </c>
      <c r="BU902" t="s">
        <v>111</v>
      </c>
      <c r="BV902" t="s">
        <v>86</v>
      </c>
      <c r="BY902">
        <v>1200</v>
      </c>
      <c r="CA902" t="s">
        <v>112</v>
      </c>
      <c r="CC902" t="s">
        <v>91</v>
      </c>
      <c r="CD902">
        <v>7405</v>
      </c>
      <c r="CE902" t="s">
        <v>88</v>
      </c>
      <c r="CF902" s="3">
        <v>43810</v>
      </c>
      <c r="CI902">
        <v>1</v>
      </c>
      <c r="CJ902">
        <v>1</v>
      </c>
      <c r="CK902">
        <v>21</v>
      </c>
      <c r="CL902" t="s">
        <v>89</v>
      </c>
    </row>
    <row r="903" spans="1:90">
      <c r="A903" t="s">
        <v>72</v>
      </c>
      <c r="B903" t="s">
        <v>73</v>
      </c>
      <c r="C903" t="s">
        <v>74</v>
      </c>
      <c r="E903" t="str">
        <f>"FES1162727294"</f>
        <v>FES1162727294</v>
      </c>
      <c r="F903" s="3">
        <v>43808</v>
      </c>
      <c r="G903">
        <v>202006</v>
      </c>
      <c r="H903" t="s">
        <v>75</v>
      </c>
      <c r="I903" t="s">
        <v>76</v>
      </c>
      <c r="J903" t="s">
        <v>77</v>
      </c>
      <c r="K903" t="s">
        <v>78</v>
      </c>
      <c r="L903" t="s">
        <v>396</v>
      </c>
      <c r="M903" t="s">
        <v>397</v>
      </c>
      <c r="N903" t="s">
        <v>551</v>
      </c>
      <c r="O903" t="s">
        <v>82</v>
      </c>
      <c r="P903" t="str">
        <f>"2170718562                    "</f>
        <v xml:space="preserve">2170718562                    </v>
      </c>
      <c r="Q903">
        <v>0</v>
      </c>
      <c r="R903">
        <v>0</v>
      </c>
      <c r="S903">
        <v>0</v>
      </c>
      <c r="T903">
        <v>0</v>
      </c>
      <c r="U903">
        <v>0</v>
      </c>
      <c r="V903">
        <v>0</v>
      </c>
      <c r="W903">
        <v>0</v>
      </c>
      <c r="X903">
        <v>0</v>
      </c>
      <c r="Y903">
        <v>0</v>
      </c>
      <c r="Z903">
        <v>0</v>
      </c>
      <c r="AA903">
        <v>0</v>
      </c>
      <c r="AB903">
        <v>0</v>
      </c>
      <c r="AC903">
        <v>0</v>
      </c>
      <c r="AD903">
        <v>0</v>
      </c>
      <c r="AE903">
        <v>0</v>
      </c>
      <c r="AF903">
        <v>0</v>
      </c>
      <c r="AG903">
        <v>0</v>
      </c>
      <c r="AH903">
        <v>0</v>
      </c>
      <c r="AI903">
        <v>0</v>
      </c>
      <c r="AJ903">
        <v>0</v>
      </c>
      <c r="AK903">
        <v>0</v>
      </c>
      <c r="AL903">
        <v>0</v>
      </c>
      <c r="AM903">
        <v>16.63</v>
      </c>
      <c r="AN903">
        <v>0</v>
      </c>
      <c r="AO903">
        <v>0</v>
      </c>
      <c r="AP903">
        <v>0</v>
      </c>
      <c r="AQ903">
        <v>0</v>
      </c>
      <c r="AR903">
        <v>0</v>
      </c>
      <c r="AS903">
        <v>0</v>
      </c>
      <c r="AT903">
        <v>0</v>
      </c>
      <c r="AU903">
        <v>0</v>
      </c>
      <c r="AV903">
        <v>0</v>
      </c>
      <c r="AW903">
        <v>0</v>
      </c>
      <c r="AX903">
        <v>0</v>
      </c>
      <c r="AY903">
        <v>0</v>
      </c>
      <c r="AZ903">
        <v>0</v>
      </c>
      <c r="BA903">
        <v>0</v>
      </c>
      <c r="BB903">
        <v>0</v>
      </c>
      <c r="BC903">
        <v>0</v>
      </c>
      <c r="BD903">
        <v>0</v>
      </c>
      <c r="BE903">
        <v>0</v>
      </c>
      <c r="BF903">
        <v>0</v>
      </c>
      <c r="BG903">
        <v>0</v>
      </c>
      <c r="BH903">
        <v>1</v>
      </c>
      <c r="BI903">
        <v>1</v>
      </c>
      <c r="BJ903">
        <v>0.2</v>
      </c>
      <c r="BK903">
        <v>1</v>
      </c>
      <c r="BL903" s="4">
        <v>97.75</v>
      </c>
      <c r="BM903" s="4">
        <v>14.66</v>
      </c>
      <c r="BN903" s="4">
        <v>112.41</v>
      </c>
      <c r="BO903" s="4">
        <v>112.41</v>
      </c>
      <c r="BQ903" t="s">
        <v>552</v>
      </c>
      <c r="BR903" t="s">
        <v>84</v>
      </c>
      <c r="BS903" s="3">
        <v>43809</v>
      </c>
      <c r="BT903" s="5">
        <v>0.47986111111111113</v>
      </c>
      <c r="BU903" t="s">
        <v>1446</v>
      </c>
      <c r="BV903" t="s">
        <v>86</v>
      </c>
      <c r="BY903">
        <v>1200</v>
      </c>
      <c r="CA903" t="s">
        <v>400</v>
      </c>
      <c r="CC903" t="s">
        <v>397</v>
      </c>
      <c r="CD903">
        <v>7130</v>
      </c>
      <c r="CE903" t="s">
        <v>88</v>
      </c>
      <c r="CF903" s="3">
        <v>43810</v>
      </c>
      <c r="CI903">
        <v>1</v>
      </c>
      <c r="CJ903">
        <v>1</v>
      </c>
      <c r="CK903">
        <v>23</v>
      </c>
      <c r="CL903" t="s">
        <v>89</v>
      </c>
    </row>
    <row r="904" spans="1:90">
      <c r="A904" t="s">
        <v>72</v>
      </c>
      <c r="B904" t="s">
        <v>73</v>
      </c>
      <c r="C904" t="s">
        <v>74</v>
      </c>
      <c r="E904" t="str">
        <f>"FES1162727306"</f>
        <v>FES1162727306</v>
      </c>
      <c r="F904" s="3">
        <v>43808</v>
      </c>
      <c r="G904">
        <v>202006</v>
      </c>
      <c r="H904" t="s">
        <v>75</v>
      </c>
      <c r="I904" t="s">
        <v>76</v>
      </c>
      <c r="J904" t="s">
        <v>77</v>
      </c>
      <c r="K904" t="s">
        <v>78</v>
      </c>
      <c r="L904" t="s">
        <v>90</v>
      </c>
      <c r="M904" t="s">
        <v>91</v>
      </c>
      <c r="N904" t="s">
        <v>1191</v>
      </c>
      <c r="O904" t="s">
        <v>82</v>
      </c>
      <c r="P904" t="str">
        <f>"2170720785                    "</f>
        <v xml:space="preserve">2170720785                    </v>
      </c>
      <c r="Q904">
        <v>0</v>
      </c>
      <c r="R904">
        <v>0</v>
      </c>
      <c r="S904">
        <v>0</v>
      </c>
      <c r="T904">
        <v>0</v>
      </c>
      <c r="U904">
        <v>0</v>
      </c>
      <c r="V904">
        <v>0</v>
      </c>
      <c r="W904">
        <v>0</v>
      </c>
      <c r="X904">
        <v>0</v>
      </c>
      <c r="Y904">
        <v>0</v>
      </c>
      <c r="Z904">
        <v>0</v>
      </c>
      <c r="AA904">
        <v>0</v>
      </c>
      <c r="AB904">
        <v>0</v>
      </c>
      <c r="AC904">
        <v>0</v>
      </c>
      <c r="AD904">
        <v>0</v>
      </c>
      <c r="AE904">
        <v>0</v>
      </c>
      <c r="AF904">
        <v>0</v>
      </c>
      <c r="AG904">
        <v>0</v>
      </c>
      <c r="AH904">
        <v>0</v>
      </c>
      <c r="AI904">
        <v>0</v>
      </c>
      <c r="AJ904">
        <v>0</v>
      </c>
      <c r="AK904">
        <v>0</v>
      </c>
      <c r="AL904">
        <v>0</v>
      </c>
      <c r="AM904">
        <v>8.58</v>
      </c>
      <c r="AN904">
        <v>0</v>
      </c>
      <c r="AO904">
        <v>0</v>
      </c>
      <c r="AP904">
        <v>0</v>
      </c>
      <c r="AQ904">
        <v>0</v>
      </c>
      <c r="AR904">
        <v>0</v>
      </c>
      <c r="AS904">
        <v>0</v>
      </c>
      <c r="AT904">
        <v>0</v>
      </c>
      <c r="AU904">
        <v>0</v>
      </c>
      <c r="AV904">
        <v>0</v>
      </c>
      <c r="AW904">
        <v>0</v>
      </c>
      <c r="AX904">
        <v>0</v>
      </c>
      <c r="AY904">
        <v>0</v>
      </c>
      <c r="AZ904">
        <v>0</v>
      </c>
      <c r="BA904">
        <v>0</v>
      </c>
      <c r="BB904">
        <v>0</v>
      </c>
      <c r="BC904">
        <v>0</v>
      </c>
      <c r="BD904">
        <v>0</v>
      </c>
      <c r="BE904">
        <v>0</v>
      </c>
      <c r="BF904">
        <v>0</v>
      </c>
      <c r="BG904">
        <v>0</v>
      </c>
      <c r="BH904">
        <v>1</v>
      </c>
      <c r="BI904">
        <v>1</v>
      </c>
      <c r="BJ904">
        <v>0.2</v>
      </c>
      <c r="BK904">
        <v>1</v>
      </c>
      <c r="BL904" s="4">
        <v>50.45</v>
      </c>
      <c r="BM904" s="4">
        <v>7.57</v>
      </c>
      <c r="BN904" s="4">
        <v>58.02</v>
      </c>
      <c r="BO904" s="4">
        <v>58.02</v>
      </c>
      <c r="BR904" t="s">
        <v>84</v>
      </c>
      <c r="BS904" s="3">
        <v>43809</v>
      </c>
      <c r="BT904" s="5">
        <v>0.31527777777777777</v>
      </c>
      <c r="BU904" t="s">
        <v>1447</v>
      </c>
      <c r="BV904" t="s">
        <v>86</v>
      </c>
      <c r="BY904">
        <v>1200</v>
      </c>
      <c r="CA904" t="s">
        <v>112</v>
      </c>
      <c r="CC904" t="s">
        <v>91</v>
      </c>
      <c r="CD904">
        <v>7405</v>
      </c>
      <c r="CE904" t="s">
        <v>88</v>
      </c>
      <c r="CF904" s="3">
        <v>43810</v>
      </c>
      <c r="CI904">
        <v>1</v>
      </c>
      <c r="CJ904">
        <v>1</v>
      </c>
      <c r="CK904">
        <v>21</v>
      </c>
      <c r="CL904" t="s">
        <v>89</v>
      </c>
    </row>
    <row r="905" spans="1:90">
      <c r="A905" t="s">
        <v>72</v>
      </c>
      <c r="B905" t="s">
        <v>73</v>
      </c>
      <c r="C905" t="s">
        <v>74</v>
      </c>
      <c r="E905" t="str">
        <f>"FES1162727238"</f>
        <v>FES1162727238</v>
      </c>
      <c r="F905" s="3">
        <v>43808</v>
      </c>
      <c r="G905">
        <v>202006</v>
      </c>
      <c r="H905" t="s">
        <v>75</v>
      </c>
      <c r="I905" t="s">
        <v>76</v>
      </c>
      <c r="J905" t="s">
        <v>77</v>
      </c>
      <c r="K905" t="s">
        <v>78</v>
      </c>
      <c r="L905" t="s">
        <v>90</v>
      </c>
      <c r="M905" t="s">
        <v>91</v>
      </c>
      <c r="N905" t="s">
        <v>535</v>
      </c>
      <c r="O905" t="s">
        <v>82</v>
      </c>
      <c r="P905" t="str">
        <f>"2170720725                    "</f>
        <v xml:space="preserve">2170720725                    </v>
      </c>
      <c r="Q905">
        <v>0</v>
      </c>
      <c r="R905">
        <v>0</v>
      </c>
      <c r="S905">
        <v>0</v>
      </c>
      <c r="T905">
        <v>0</v>
      </c>
      <c r="U905">
        <v>0</v>
      </c>
      <c r="V905">
        <v>0</v>
      </c>
      <c r="W905">
        <v>0</v>
      </c>
      <c r="X905">
        <v>0</v>
      </c>
      <c r="Y905">
        <v>0</v>
      </c>
      <c r="Z905">
        <v>0</v>
      </c>
      <c r="AA905">
        <v>0</v>
      </c>
      <c r="AB905">
        <v>0</v>
      </c>
      <c r="AC905">
        <v>0</v>
      </c>
      <c r="AD905">
        <v>0</v>
      </c>
      <c r="AE905">
        <v>0</v>
      </c>
      <c r="AF905">
        <v>0</v>
      </c>
      <c r="AG905">
        <v>0</v>
      </c>
      <c r="AH905">
        <v>0</v>
      </c>
      <c r="AI905">
        <v>0</v>
      </c>
      <c r="AJ905">
        <v>0</v>
      </c>
      <c r="AK905">
        <v>0</v>
      </c>
      <c r="AL905">
        <v>0</v>
      </c>
      <c r="AM905">
        <v>8.58</v>
      </c>
      <c r="AN905">
        <v>0</v>
      </c>
      <c r="AO905">
        <v>0</v>
      </c>
      <c r="AP905">
        <v>0</v>
      </c>
      <c r="AQ905">
        <v>0</v>
      </c>
      <c r="AR905">
        <v>0</v>
      </c>
      <c r="AS905">
        <v>0</v>
      </c>
      <c r="AT905">
        <v>0</v>
      </c>
      <c r="AU905">
        <v>0</v>
      </c>
      <c r="AV905">
        <v>0</v>
      </c>
      <c r="AW905">
        <v>0</v>
      </c>
      <c r="AX905">
        <v>0</v>
      </c>
      <c r="AY905">
        <v>0</v>
      </c>
      <c r="AZ905">
        <v>0</v>
      </c>
      <c r="BA905">
        <v>0</v>
      </c>
      <c r="BB905">
        <v>0</v>
      </c>
      <c r="BC905">
        <v>0</v>
      </c>
      <c r="BD905">
        <v>0</v>
      </c>
      <c r="BE905">
        <v>0</v>
      </c>
      <c r="BF905">
        <v>0</v>
      </c>
      <c r="BG905">
        <v>0</v>
      </c>
      <c r="BH905">
        <v>1</v>
      </c>
      <c r="BI905">
        <v>1</v>
      </c>
      <c r="BJ905">
        <v>0.2</v>
      </c>
      <c r="BK905">
        <v>1</v>
      </c>
      <c r="BL905" s="4">
        <v>50.45</v>
      </c>
      <c r="BM905" s="4">
        <v>7.57</v>
      </c>
      <c r="BN905" s="4">
        <v>58.02</v>
      </c>
      <c r="BO905" s="4">
        <v>58.02</v>
      </c>
      <c r="BQ905" t="s">
        <v>147</v>
      </c>
      <c r="BR905" t="s">
        <v>84</v>
      </c>
      <c r="BS905" s="3">
        <v>43809</v>
      </c>
      <c r="BT905" s="5">
        <v>0.41250000000000003</v>
      </c>
      <c r="BU905" t="s">
        <v>1448</v>
      </c>
      <c r="BV905" t="s">
        <v>86</v>
      </c>
      <c r="BY905">
        <v>1200</v>
      </c>
      <c r="CA905" t="s">
        <v>209</v>
      </c>
      <c r="CC905" t="s">
        <v>91</v>
      </c>
      <c r="CD905">
        <v>7441</v>
      </c>
      <c r="CE905" t="s">
        <v>88</v>
      </c>
      <c r="CF905" s="3">
        <v>43810</v>
      </c>
      <c r="CI905">
        <v>1</v>
      </c>
      <c r="CJ905">
        <v>1</v>
      </c>
      <c r="CK905">
        <v>21</v>
      </c>
      <c r="CL905" t="s">
        <v>89</v>
      </c>
    </row>
    <row r="906" spans="1:90">
      <c r="A906" t="s">
        <v>72</v>
      </c>
      <c r="B906" t="s">
        <v>73</v>
      </c>
      <c r="C906" t="s">
        <v>74</v>
      </c>
      <c r="E906" t="str">
        <f>"FES1162727287"</f>
        <v>FES1162727287</v>
      </c>
      <c r="F906" s="3">
        <v>43808</v>
      </c>
      <c r="G906">
        <v>202006</v>
      </c>
      <c r="H906" t="s">
        <v>75</v>
      </c>
      <c r="I906" t="s">
        <v>76</v>
      </c>
      <c r="J906" t="s">
        <v>77</v>
      </c>
      <c r="K906" t="s">
        <v>78</v>
      </c>
      <c r="L906" t="s">
        <v>308</v>
      </c>
      <c r="M906" t="s">
        <v>308</v>
      </c>
      <c r="N906" t="s">
        <v>1449</v>
      </c>
      <c r="O906" t="s">
        <v>82</v>
      </c>
      <c r="P906" t="str">
        <f>"2170720783                    "</f>
        <v xml:space="preserve">2170720783                    </v>
      </c>
      <c r="Q906">
        <v>0</v>
      </c>
      <c r="R906">
        <v>0</v>
      </c>
      <c r="S906">
        <v>0</v>
      </c>
      <c r="T906">
        <v>0</v>
      </c>
      <c r="U906">
        <v>0</v>
      </c>
      <c r="V906">
        <v>0</v>
      </c>
      <c r="W906">
        <v>0</v>
      </c>
      <c r="X906">
        <v>0</v>
      </c>
      <c r="Y906">
        <v>0</v>
      </c>
      <c r="Z906">
        <v>0</v>
      </c>
      <c r="AA906">
        <v>0</v>
      </c>
      <c r="AB906">
        <v>0</v>
      </c>
      <c r="AC906">
        <v>0</v>
      </c>
      <c r="AD906">
        <v>0</v>
      </c>
      <c r="AE906">
        <v>0</v>
      </c>
      <c r="AF906">
        <v>0</v>
      </c>
      <c r="AG906">
        <v>0</v>
      </c>
      <c r="AH906">
        <v>0</v>
      </c>
      <c r="AI906">
        <v>0</v>
      </c>
      <c r="AJ906">
        <v>0</v>
      </c>
      <c r="AK906">
        <v>0</v>
      </c>
      <c r="AL906">
        <v>0</v>
      </c>
      <c r="AM906">
        <v>16.63</v>
      </c>
      <c r="AN906">
        <v>0</v>
      </c>
      <c r="AO906">
        <v>0</v>
      </c>
      <c r="AP906">
        <v>0</v>
      </c>
      <c r="AQ906">
        <v>0</v>
      </c>
      <c r="AR906">
        <v>0</v>
      </c>
      <c r="AS906">
        <v>0</v>
      </c>
      <c r="AT906">
        <v>0</v>
      </c>
      <c r="AU906">
        <v>0</v>
      </c>
      <c r="AV906">
        <v>0</v>
      </c>
      <c r="AW906">
        <v>0</v>
      </c>
      <c r="AX906">
        <v>0</v>
      </c>
      <c r="AY906">
        <v>0</v>
      </c>
      <c r="AZ906">
        <v>0</v>
      </c>
      <c r="BA906">
        <v>0</v>
      </c>
      <c r="BB906">
        <v>0</v>
      </c>
      <c r="BC906">
        <v>0</v>
      </c>
      <c r="BD906">
        <v>0</v>
      </c>
      <c r="BE906">
        <v>0</v>
      </c>
      <c r="BF906">
        <v>0</v>
      </c>
      <c r="BG906">
        <v>0</v>
      </c>
      <c r="BH906">
        <v>1</v>
      </c>
      <c r="BI906">
        <v>1</v>
      </c>
      <c r="BJ906">
        <v>0.2</v>
      </c>
      <c r="BK906">
        <v>1</v>
      </c>
      <c r="BL906" s="4">
        <v>97.75</v>
      </c>
      <c r="BM906" s="4">
        <v>14.66</v>
      </c>
      <c r="BN906" s="4">
        <v>112.41</v>
      </c>
      <c r="BO906" s="4">
        <v>112.41</v>
      </c>
      <c r="BQ906" t="s">
        <v>277</v>
      </c>
      <c r="BR906" t="s">
        <v>84</v>
      </c>
      <c r="BS906" s="3">
        <v>43809</v>
      </c>
      <c r="BT906" s="5">
        <v>0.45902777777777781</v>
      </c>
      <c r="BU906" t="s">
        <v>1450</v>
      </c>
      <c r="BV906" t="s">
        <v>86</v>
      </c>
      <c r="BY906">
        <v>1200</v>
      </c>
      <c r="CA906" t="s">
        <v>311</v>
      </c>
      <c r="CC906" t="s">
        <v>308</v>
      </c>
      <c r="CD906">
        <v>7646</v>
      </c>
      <c r="CE906" t="s">
        <v>88</v>
      </c>
      <c r="CF906" s="3">
        <v>43810</v>
      </c>
      <c r="CI906">
        <v>1</v>
      </c>
      <c r="CJ906">
        <v>1</v>
      </c>
      <c r="CK906">
        <v>23</v>
      </c>
      <c r="CL906" t="s">
        <v>89</v>
      </c>
    </row>
    <row r="907" spans="1:90">
      <c r="A907" t="s">
        <v>72</v>
      </c>
      <c r="B907" t="s">
        <v>73</v>
      </c>
      <c r="C907" t="s">
        <v>74</v>
      </c>
      <c r="E907" t="str">
        <f>"FES1162727273"</f>
        <v>FES1162727273</v>
      </c>
      <c r="F907" s="3">
        <v>43808</v>
      </c>
      <c r="G907">
        <v>202006</v>
      </c>
      <c r="H907" t="s">
        <v>75</v>
      </c>
      <c r="I907" t="s">
        <v>76</v>
      </c>
      <c r="J907" t="s">
        <v>77</v>
      </c>
      <c r="K907" t="s">
        <v>78</v>
      </c>
      <c r="L907" t="s">
        <v>361</v>
      </c>
      <c r="M907" t="s">
        <v>362</v>
      </c>
      <c r="N907" t="s">
        <v>363</v>
      </c>
      <c r="O907" t="s">
        <v>82</v>
      </c>
      <c r="P907" t="str">
        <f>"2170720767                    "</f>
        <v xml:space="preserve">2170720767                    </v>
      </c>
      <c r="Q907">
        <v>0</v>
      </c>
      <c r="R907">
        <v>0</v>
      </c>
      <c r="S907">
        <v>0</v>
      </c>
      <c r="T907">
        <v>0</v>
      </c>
      <c r="U907">
        <v>0</v>
      </c>
      <c r="V907">
        <v>0</v>
      </c>
      <c r="W907">
        <v>0</v>
      </c>
      <c r="X907">
        <v>0</v>
      </c>
      <c r="Y907">
        <v>0</v>
      </c>
      <c r="Z907">
        <v>0</v>
      </c>
      <c r="AA907">
        <v>0</v>
      </c>
      <c r="AB907">
        <v>0</v>
      </c>
      <c r="AC907">
        <v>0</v>
      </c>
      <c r="AD907">
        <v>0</v>
      </c>
      <c r="AE907">
        <v>0</v>
      </c>
      <c r="AF907">
        <v>0</v>
      </c>
      <c r="AG907">
        <v>0</v>
      </c>
      <c r="AH907">
        <v>0</v>
      </c>
      <c r="AI907">
        <v>0</v>
      </c>
      <c r="AJ907">
        <v>0</v>
      </c>
      <c r="AK907">
        <v>0</v>
      </c>
      <c r="AL907">
        <v>0</v>
      </c>
      <c r="AM907">
        <v>8.58</v>
      </c>
      <c r="AN907">
        <v>0</v>
      </c>
      <c r="AO907">
        <v>0</v>
      </c>
      <c r="AP907">
        <v>0</v>
      </c>
      <c r="AQ907">
        <v>0</v>
      </c>
      <c r="AR907">
        <v>0</v>
      </c>
      <c r="AS907">
        <v>0</v>
      </c>
      <c r="AT907">
        <v>0</v>
      </c>
      <c r="AU907">
        <v>0</v>
      </c>
      <c r="AV907">
        <v>0</v>
      </c>
      <c r="AW907">
        <v>0</v>
      </c>
      <c r="AX907">
        <v>0</v>
      </c>
      <c r="AY907">
        <v>0</v>
      </c>
      <c r="AZ907">
        <v>0</v>
      </c>
      <c r="BA907">
        <v>0</v>
      </c>
      <c r="BB907">
        <v>0</v>
      </c>
      <c r="BC907">
        <v>0</v>
      </c>
      <c r="BD907">
        <v>0</v>
      </c>
      <c r="BE907">
        <v>0</v>
      </c>
      <c r="BF907">
        <v>0</v>
      </c>
      <c r="BG907">
        <v>0</v>
      </c>
      <c r="BH907">
        <v>1</v>
      </c>
      <c r="BI907">
        <v>1</v>
      </c>
      <c r="BJ907">
        <v>0.2</v>
      </c>
      <c r="BK907">
        <v>1</v>
      </c>
      <c r="BL907" s="4">
        <v>50.45</v>
      </c>
      <c r="BM907" s="4">
        <v>7.57</v>
      </c>
      <c r="BN907" s="4">
        <v>58.02</v>
      </c>
      <c r="BO907" s="4">
        <v>58.02</v>
      </c>
      <c r="BQ907" t="s">
        <v>93</v>
      </c>
      <c r="BR907" t="s">
        <v>84</v>
      </c>
      <c r="BS907" s="3">
        <v>43809</v>
      </c>
      <c r="BT907" s="5">
        <v>0.4291666666666667</v>
      </c>
      <c r="BU907" t="s">
        <v>1451</v>
      </c>
      <c r="BV907" t="s">
        <v>86</v>
      </c>
      <c r="BY907">
        <v>1200</v>
      </c>
      <c r="CA907" t="s">
        <v>185</v>
      </c>
      <c r="CC907" t="s">
        <v>362</v>
      </c>
      <c r="CD907">
        <v>6220</v>
      </c>
      <c r="CE907" t="s">
        <v>88</v>
      </c>
      <c r="CF907" s="3">
        <v>43810</v>
      </c>
      <c r="CI907">
        <v>1</v>
      </c>
      <c r="CJ907">
        <v>1</v>
      </c>
      <c r="CK907">
        <v>21</v>
      </c>
      <c r="CL907" t="s">
        <v>89</v>
      </c>
    </row>
    <row r="908" spans="1:90">
      <c r="A908" t="s">
        <v>72</v>
      </c>
      <c r="B908" t="s">
        <v>73</v>
      </c>
      <c r="C908" t="s">
        <v>74</v>
      </c>
      <c r="E908" t="str">
        <f>"FES1162727228"</f>
        <v>FES1162727228</v>
      </c>
      <c r="F908" s="3">
        <v>43808</v>
      </c>
      <c r="G908">
        <v>202006</v>
      </c>
      <c r="H908" t="s">
        <v>75</v>
      </c>
      <c r="I908" t="s">
        <v>76</v>
      </c>
      <c r="J908" t="s">
        <v>77</v>
      </c>
      <c r="K908" t="s">
        <v>78</v>
      </c>
      <c r="L908" t="s">
        <v>79</v>
      </c>
      <c r="M908" t="s">
        <v>80</v>
      </c>
      <c r="N908" t="s">
        <v>129</v>
      </c>
      <c r="O908" t="s">
        <v>82</v>
      </c>
      <c r="P908" t="str">
        <f>"2170720717                    "</f>
        <v xml:space="preserve">2170720717                    </v>
      </c>
      <c r="Q908">
        <v>0</v>
      </c>
      <c r="R908">
        <v>0</v>
      </c>
      <c r="S908">
        <v>0</v>
      </c>
      <c r="T908">
        <v>0</v>
      </c>
      <c r="U908">
        <v>0</v>
      </c>
      <c r="V908">
        <v>0</v>
      </c>
      <c r="W908">
        <v>0</v>
      </c>
      <c r="X908">
        <v>0</v>
      </c>
      <c r="Y908">
        <v>0</v>
      </c>
      <c r="Z908">
        <v>0</v>
      </c>
      <c r="AA908">
        <v>0</v>
      </c>
      <c r="AB908">
        <v>0</v>
      </c>
      <c r="AC908">
        <v>0</v>
      </c>
      <c r="AD908">
        <v>0</v>
      </c>
      <c r="AE908">
        <v>0</v>
      </c>
      <c r="AF908">
        <v>0</v>
      </c>
      <c r="AG908">
        <v>0</v>
      </c>
      <c r="AH908">
        <v>0</v>
      </c>
      <c r="AI908">
        <v>0</v>
      </c>
      <c r="AJ908">
        <v>0</v>
      </c>
      <c r="AK908">
        <v>0</v>
      </c>
      <c r="AL908">
        <v>0</v>
      </c>
      <c r="AM908">
        <v>8.58</v>
      </c>
      <c r="AN908">
        <v>0</v>
      </c>
      <c r="AO908">
        <v>0</v>
      </c>
      <c r="AP908">
        <v>0</v>
      </c>
      <c r="AQ908">
        <v>0</v>
      </c>
      <c r="AR908">
        <v>0</v>
      </c>
      <c r="AS908">
        <v>0</v>
      </c>
      <c r="AT908">
        <v>0</v>
      </c>
      <c r="AU908">
        <v>0</v>
      </c>
      <c r="AV908">
        <v>0</v>
      </c>
      <c r="AW908">
        <v>0</v>
      </c>
      <c r="AX908">
        <v>0</v>
      </c>
      <c r="AY908">
        <v>0</v>
      </c>
      <c r="AZ908">
        <v>0</v>
      </c>
      <c r="BA908">
        <v>0</v>
      </c>
      <c r="BB908">
        <v>0</v>
      </c>
      <c r="BC908">
        <v>0</v>
      </c>
      <c r="BD908">
        <v>0</v>
      </c>
      <c r="BE908">
        <v>0</v>
      </c>
      <c r="BF908">
        <v>0</v>
      </c>
      <c r="BG908">
        <v>0</v>
      </c>
      <c r="BH908">
        <v>1</v>
      </c>
      <c r="BI908">
        <v>1</v>
      </c>
      <c r="BJ908">
        <v>0.2</v>
      </c>
      <c r="BK908">
        <v>1</v>
      </c>
      <c r="BL908" s="4">
        <v>50.45</v>
      </c>
      <c r="BM908" s="4">
        <v>7.57</v>
      </c>
      <c r="BN908" s="4">
        <v>58.02</v>
      </c>
      <c r="BO908" s="4">
        <v>58.02</v>
      </c>
      <c r="BQ908" t="s">
        <v>147</v>
      </c>
      <c r="BR908" t="s">
        <v>84</v>
      </c>
      <c r="BS908" s="3">
        <v>43809</v>
      </c>
      <c r="BT908" s="5">
        <v>0.3979166666666667</v>
      </c>
      <c r="BU908" t="s">
        <v>130</v>
      </c>
      <c r="BV908" t="s">
        <v>86</v>
      </c>
      <c r="BY908">
        <v>1200</v>
      </c>
      <c r="CA908" t="s">
        <v>131</v>
      </c>
      <c r="CC908" t="s">
        <v>80</v>
      </c>
      <c r="CD908">
        <v>6001</v>
      </c>
      <c r="CE908" t="s">
        <v>88</v>
      </c>
      <c r="CF908" s="3">
        <v>43810</v>
      </c>
      <c r="CI908">
        <v>1</v>
      </c>
      <c r="CJ908">
        <v>1</v>
      </c>
      <c r="CK908">
        <v>21</v>
      </c>
      <c r="CL908" t="s">
        <v>89</v>
      </c>
    </row>
    <row r="909" spans="1:90">
      <c r="A909" t="s">
        <v>72</v>
      </c>
      <c r="B909" t="s">
        <v>73</v>
      </c>
      <c r="C909" t="s">
        <v>74</v>
      </c>
      <c r="E909" t="str">
        <f>"FES1162727251"</f>
        <v>FES1162727251</v>
      </c>
      <c r="F909" s="3">
        <v>43808</v>
      </c>
      <c r="G909">
        <v>202006</v>
      </c>
      <c r="H909" t="s">
        <v>75</v>
      </c>
      <c r="I909" t="s">
        <v>76</v>
      </c>
      <c r="J909" t="s">
        <v>77</v>
      </c>
      <c r="K909" t="s">
        <v>78</v>
      </c>
      <c r="L909" t="s">
        <v>79</v>
      </c>
      <c r="M909" t="s">
        <v>80</v>
      </c>
      <c r="N909" t="s">
        <v>1452</v>
      </c>
      <c r="O909" t="s">
        <v>82</v>
      </c>
      <c r="P909" t="str">
        <f>"2170720738                    "</f>
        <v xml:space="preserve">2170720738                    </v>
      </c>
      <c r="Q909">
        <v>0</v>
      </c>
      <c r="R909">
        <v>0</v>
      </c>
      <c r="S909">
        <v>0</v>
      </c>
      <c r="T909">
        <v>0</v>
      </c>
      <c r="U909">
        <v>0</v>
      </c>
      <c r="V909">
        <v>0</v>
      </c>
      <c r="W909">
        <v>0</v>
      </c>
      <c r="X909">
        <v>0</v>
      </c>
      <c r="Y909">
        <v>0</v>
      </c>
      <c r="Z909">
        <v>0</v>
      </c>
      <c r="AA909">
        <v>0</v>
      </c>
      <c r="AB909">
        <v>0</v>
      </c>
      <c r="AC909">
        <v>0</v>
      </c>
      <c r="AD909">
        <v>0</v>
      </c>
      <c r="AE909">
        <v>0</v>
      </c>
      <c r="AF909">
        <v>0</v>
      </c>
      <c r="AG909">
        <v>0</v>
      </c>
      <c r="AH909">
        <v>0</v>
      </c>
      <c r="AI909">
        <v>0</v>
      </c>
      <c r="AJ909">
        <v>0</v>
      </c>
      <c r="AK909">
        <v>0</v>
      </c>
      <c r="AL909">
        <v>0</v>
      </c>
      <c r="AM909">
        <v>8.58</v>
      </c>
      <c r="AN909">
        <v>0</v>
      </c>
      <c r="AO909">
        <v>0</v>
      </c>
      <c r="AP909">
        <v>0</v>
      </c>
      <c r="AQ909">
        <v>0</v>
      </c>
      <c r="AR909">
        <v>0</v>
      </c>
      <c r="AS909">
        <v>0</v>
      </c>
      <c r="AT909">
        <v>0</v>
      </c>
      <c r="AU909">
        <v>0</v>
      </c>
      <c r="AV909">
        <v>0</v>
      </c>
      <c r="AW909">
        <v>0</v>
      </c>
      <c r="AX909">
        <v>0</v>
      </c>
      <c r="AY909">
        <v>0</v>
      </c>
      <c r="AZ909">
        <v>0</v>
      </c>
      <c r="BA909">
        <v>0</v>
      </c>
      <c r="BB909">
        <v>0</v>
      </c>
      <c r="BC909">
        <v>0</v>
      </c>
      <c r="BD909">
        <v>0</v>
      </c>
      <c r="BE909">
        <v>0</v>
      </c>
      <c r="BF909">
        <v>0</v>
      </c>
      <c r="BG909">
        <v>0</v>
      </c>
      <c r="BH909">
        <v>1</v>
      </c>
      <c r="BI909">
        <v>1</v>
      </c>
      <c r="BJ909">
        <v>0.2</v>
      </c>
      <c r="BK909">
        <v>1</v>
      </c>
      <c r="BL909" s="4">
        <v>50.45</v>
      </c>
      <c r="BM909" s="4">
        <v>7.57</v>
      </c>
      <c r="BN909" s="4">
        <v>58.02</v>
      </c>
      <c r="BO909" s="4">
        <v>58.02</v>
      </c>
      <c r="BQ909" t="s">
        <v>256</v>
      </c>
      <c r="BR909" t="s">
        <v>84</v>
      </c>
      <c r="BS909" s="3">
        <v>43809</v>
      </c>
      <c r="BT909" s="5">
        <v>0.41805555555555557</v>
      </c>
      <c r="BU909" t="s">
        <v>1453</v>
      </c>
      <c r="BV909" t="s">
        <v>86</v>
      </c>
      <c r="BY909">
        <v>1200</v>
      </c>
      <c r="CA909" t="s">
        <v>131</v>
      </c>
      <c r="CC909" t="s">
        <v>80</v>
      </c>
      <c r="CD909">
        <v>6001</v>
      </c>
      <c r="CE909" t="s">
        <v>88</v>
      </c>
      <c r="CF909" s="3">
        <v>43810</v>
      </c>
      <c r="CI909">
        <v>1</v>
      </c>
      <c r="CJ909">
        <v>1</v>
      </c>
      <c r="CK909">
        <v>21</v>
      </c>
      <c r="CL909" t="s">
        <v>89</v>
      </c>
    </row>
    <row r="910" spans="1:90">
      <c r="A910" t="s">
        <v>72</v>
      </c>
      <c r="B910" t="s">
        <v>73</v>
      </c>
      <c r="C910" t="s">
        <v>74</v>
      </c>
      <c r="E910" t="str">
        <f>"FES1162727248"</f>
        <v>FES1162727248</v>
      </c>
      <c r="F910" s="3">
        <v>43808</v>
      </c>
      <c r="G910">
        <v>202006</v>
      </c>
      <c r="H910" t="s">
        <v>75</v>
      </c>
      <c r="I910" t="s">
        <v>76</v>
      </c>
      <c r="J910" t="s">
        <v>77</v>
      </c>
      <c r="K910" t="s">
        <v>78</v>
      </c>
      <c r="L910" t="s">
        <v>79</v>
      </c>
      <c r="M910" t="s">
        <v>80</v>
      </c>
      <c r="N910" t="s">
        <v>300</v>
      </c>
      <c r="O910" t="s">
        <v>82</v>
      </c>
      <c r="P910" t="str">
        <f>"2170719948                    "</f>
        <v xml:space="preserve">2170719948                    </v>
      </c>
      <c r="Q910">
        <v>0</v>
      </c>
      <c r="R910">
        <v>0</v>
      </c>
      <c r="S910">
        <v>0</v>
      </c>
      <c r="T910">
        <v>0</v>
      </c>
      <c r="U910">
        <v>0</v>
      </c>
      <c r="V910">
        <v>0</v>
      </c>
      <c r="W910">
        <v>0</v>
      </c>
      <c r="X910">
        <v>0</v>
      </c>
      <c r="Y910">
        <v>0</v>
      </c>
      <c r="Z910">
        <v>0</v>
      </c>
      <c r="AA910">
        <v>0</v>
      </c>
      <c r="AB910">
        <v>0</v>
      </c>
      <c r="AC910">
        <v>0</v>
      </c>
      <c r="AD910">
        <v>0</v>
      </c>
      <c r="AE910">
        <v>0</v>
      </c>
      <c r="AF910">
        <v>0</v>
      </c>
      <c r="AG910">
        <v>0</v>
      </c>
      <c r="AH910">
        <v>0</v>
      </c>
      <c r="AI910">
        <v>0</v>
      </c>
      <c r="AJ910">
        <v>0</v>
      </c>
      <c r="AK910">
        <v>0</v>
      </c>
      <c r="AL910">
        <v>0</v>
      </c>
      <c r="AM910">
        <v>8.58</v>
      </c>
      <c r="AN910">
        <v>0</v>
      </c>
      <c r="AO910">
        <v>0</v>
      </c>
      <c r="AP910">
        <v>0</v>
      </c>
      <c r="AQ910">
        <v>0</v>
      </c>
      <c r="AR910">
        <v>0</v>
      </c>
      <c r="AS910">
        <v>0</v>
      </c>
      <c r="AT910">
        <v>0</v>
      </c>
      <c r="AU910">
        <v>0</v>
      </c>
      <c r="AV910">
        <v>0</v>
      </c>
      <c r="AW910">
        <v>0</v>
      </c>
      <c r="AX910">
        <v>0</v>
      </c>
      <c r="AY910">
        <v>0</v>
      </c>
      <c r="AZ910">
        <v>0</v>
      </c>
      <c r="BA910">
        <v>0</v>
      </c>
      <c r="BB910">
        <v>0</v>
      </c>
      <c r="BC910">
        <v>0</v>
      </c>
      <c r="BD910">
        <v>0</v>
      </c>
      <c r="BE910">
        <v>0</v>
      </c>
      <c r="BF910">
        <v>0</v>
      </c>
      <c r="BG910">
        <v>0</v>
      </c>
      <c r="BH910">
        <v>1</v>
      </c>
      <c r="BI910">
        <v>1</v>
      </c>
      <c r="BJ910">
        <v>0.2</v>
      </c>
      <c r="BK910">
        <v>1</v>
      </c>
      <c r="BL910" s="4">
        <v>50.45</v>
      </c>
      <c r="BM910" s="4">
        <v>7.57</v>
      </c>
      <c r="BN910" s="4">
        <v>58.02</v>
      </c>
      <c r="BO910" s="4">
        <v>58.02</v>
      </c>
      <c r="BQ910" t="s">
        <v>147</v>
      </c>
      <c r="BR910" t="s">
        <v>84</v>
      </c>
      <c r="BS910" s="3">
        <v>43809</v>
      </c>
      <c r="BT910" s="5">
        <v>0.41666666666666669</v>
      </c>
      <c r="BU910" t="s">
        <v>403</v>
      </c>
      <c r="BV910" t="s">
        <v>86</v>
      </c>
      <c r="BY910">
        <v>1200</v>
      </c>
      <c r="CA910" t="s">
        <v>99</v>
      </c>
      <c r="CC910" t="s">
        <v>80</v>
      </c>
      <c r="CD910">
        <v>6001</v>
      </c>
      <c r="CE910" t="s">
        <v>88</v>
      </c>
      <c r="CF910" s="3">
        <v>43810</v>
      </c>
      <c r="CI910">
        <v>1</v>
      </c>
      <c r="CJ910">
        <v>1</v>
      </c>
      <c r="CK910">
        <v>21</v>
      </c>
      <c r="CL910" t="s">
        <v>89</v>
      </c>
    </row>
    <row r="911" spans="1:90">
      <c r="A911" t="s">
        <v>72</v>
      </c>
      <c r="B911" t="s">
        <v>73</v>
      </c>
      <c r="C911" t="s">
        <v>74</v>
      </c>
      <c r="E911" t="str">
        <f>"FES1162727259"</f>
        <v>FES1162727259</v>
      </c>
      <c r="F911" s="3">
        <v>43808</v>
      </c>
      <c r="G911">
        <v>202006</v>
      </c>
      <c r="H911" t="s">
        <v>75</v>
      </c>
      <c r="I911" t="s">
        <v>76</v>
      </c>
      <c r="J911" t="s">
        <v>77</v>
      </c>
      <c r="K911" t="s">
        <v>78</v>
      </c>
      <c r="L911" t="s">
        <v>164</v>
      </c>
      <c r="M911" t="s">
        <v>165</v>
      </c>
      <c r="N911" t="s">
        <v>369</v>
      </c>
      <c r="O911" t="s">
        <v>82</v>
      </c>
      <c r="P911" t="str">
        <f>"2170720748                    "</f>
        <v xml:space="preserve">2170720748                    </v>
      </c>
      <c r="Q911">
        <v>0</v>
      </c>
      <c r="R911">
        <v>0</v>
      </c>
      <c r="S911">
        <v>0</v>
      </c>
      <c r="T911">
        <v>0</v>
      </c>
      <c r="U911">
        <v>0</v>
      </c>
      <c r="V911">
        <v>0</v>
      </c>
      <c r="W911">
        <v>0</v>
      </c>
      <c r="X911">
        <v>0</v>
      </c>
      <c r="Y911">
        <v>0</v>
      </c>
      <c r="Z911">
        <v>0</v>
      </c>
      <c r="AA911">
        <v>0</v>
      </c>
      <c r="AB911">
        <v>0</v>
      </c>
      <c r="AC911">
        <v>0</v>
      </c>
      <c r="AD911">
        <v>0</v>
      </c>
      <c r="AE911">
        <v>0</v>
      </c>
      <c r="AF911">
        <v>0</v>
      </c>
      <c r="AG911">
        <v>0</v>
      </c>
      <c r="AH911">
        <v>0</v>
      </c>
      <c r="AI911">
        <v>0</v>
      </c>
      <c r="AJ911">
        <v>0</v>
      </c>
      <c r="AK911">
        <v>0</v>
      </c>
      <c r="AL911">
        <v>0</v>
      </c>
      <c r="AM911">
        <v>8.58</v>
      </c>
      <c r="AN911">
        <v>0</v>
      </c>
      <c r="AO911">
        <v>0</v>
      </c>
      <c r="AP911">
        <v>0</v>
      </c>
      <c r="AQ911">
        <v>0</v>
      </c>
      <c r="AR911">
        <v>0</v>
      </c>
      <c r="AS911">
        <v>0</v>
      </c>
      <c r="AT911">
        <v>0</v>
      </c>
      <c r="AU911">
        <v>0</v>
      </c>
      <c r="AV911">
        <v>0</v>
      </c>
      <c r="AW911">
        <v>0</v>
      </c>
      <c r="AX911">
        <v>0</v>
      </c>
      <c r="AY911">
        <v>0</v>
      </c>
      <c r="AZ911">
        <v>0</v>
      </c>
      <c r="BA911">
        <v>0</v>
      </c>
      <c r="BB911">
        <v>0</v>
      </c>
      <c r="BC911">
        <v>0</v>
      </c>
      <c r="BD911">
        <v>0</v>
      </c>
      <c r="BE911">
        <v>0</v>
      </c>
      <c r="BF911">
        <v>0</v>
      </c>
      <c r="BG911">
        <v>0</v>
      </c>
      <c r="BH911">
        <v>1</v>
      </c>
      <c r="BI911">
        <v>1</v>
      </c>
      <c r="BJ911">
        <v>0.2</v>
      </c>
      <c r="BK911">
        <v>1</v>
      </c>
      <c r="BL911" s="4">
        <v>50.45</v>
      </c>
      <c r="BM911" s="4">
        <v>7.57</v>
      </c>
      <c r="BN911" s="4">
        <v>58.02</v>
      </c>
      <c r="BO911" s="4">
        <v>58.02</v>
      </c>
      <c r="BQ911" t="s">
        <v>93</v>
      </c>
      <c r="BR911" t="s">
        <v>84</v>
      </c>
      <c r="BS911" s="3">
        <v>43809</v>
      </c>
      <c r="BT911" s="5">
        <v>0.38750000000000001</v>
      </c>
      <c r="BU911" t="s">
        <v>370</v>
      </c>
      <c r="BV911" t="s">
        <v>86</v>
      </c>
      <c r="BY911">
        <v>1200</v>
      </c>
      <c r="CA911" t="s">
        <v>371</v>
      </c>
      <c r="CC911" t="s">
        <v>165</v>
      </c>
      <c r="CD911">
        <v>5201</v>
      </c>
      <c r="CE911" t="s">
        <v>88</v>
      </c>
      <c r="CF911" s="3">
        <v>43810</v>
      </c>
      <c r="CI911">
        <v>1</v>
      </c>
      <c r="CJ911">
        <v>1</v>
      </c>
      <c r="CK911">
        <v>21</v>
      </c>
      <c r="CL911" t="s">
        <v>89</v>
      </c>
    </row>
    <row r="912" spans="1:90">
      <c r="A912" t="s">
        <v>72</v>
      </c>
      <c r="B912" t="s">
        <v>73</v>
      </c>
      <c r="C912" t="s">
        <v>74</v>
      </c>
      <c r="E912" t="str">
        <f>"FES1162727267"</f>
        <v>FES1162727267</v>
      </c>
      <c r="F912" s="3">
        <v>43808</v>
      </c>
      <c r="G912">
        <v>202006</v>
      </c>
      <c r="H912" t="s">
        <v>75</v>
      </c>
      <c r="I912" t="s">
        <v>76</v>
      </c>
      <c r="J912" t="s">
        <v>77</v>
      </c>
      <c r="K912" t="s">
        <v>78</v>
      </c>
      <c r="L912" t="s">
        <v>79</v>
      </c>
      <c r="M912" t="s">
        <v>80</v>
      </c>
      <c r="N912" t="s">
        <v>1101</v>
      </c>
      <c r="O912" t="s">
        <v>82</v>
      </c>
      <c r="P912" t="str">
        <f>"2170720756                    "</f>
        <v xml:space="preserve">2170720756                    </v>
      </c>
      <c r="Q912">
        <v>0</v>
      </c>
      <c r="R912">
        <v>0</v>
      </c>
      <c r="S912">
        <v>0</v>
      </c>
      <c r="T912">
        <v>0</v>
      </c>
      <c r="U912">
        <v>0</v>
      </c>
      <c r="V912">
        <v>0</v>
      </c>
      <c r="W912">
        <v>0</v>
      </c>
      <c r="X912">
        <v>0</v>
      </c>
      <c r="Y912">
        <v>0</v>
      </c>
      <c r="Z912">
        <v>0</v>
      </c>
      <c r="AA912">
        <v>0</v>
      </c>
      <c r="AB912">
        <v>0</v>
      </c>
      <c r="AC912">
        <v>0</v>
      </c>
      <c r="AD912">
        <v>0</v>
      </c>
      <c r="AE912">
        <v>0</v>
      </c>
      <c r="AF912">
        <v>0</v>
      </c>
      <c r="AG912">
        <v>0</v>
      </c>
      <c r="AH912">
        <v>0</v>
      </c>
      <c r="AI912">
        <v>0</v>
      </c>
      <c r="AJ912">
        <v>0</v>
      </c>
      <c r="AK912">
        <v>0</v>
      </c>
      <c r="AL912">
        <v>0</v>
      </c>
      <c r="AM912">
        <v>8.58</v>
      </c>
      <c r="AN912">
        <v>0</v>
      </c>
      <c r="AO912">
        <v>0</v>
      </c>
      <c r="AP912">
        <v>0</v>
      </c>
      <c r="AQ912">
        <v>0</v>
      </c>
      <c r="AR912">
        <v>0</v>
      </c>
      <c r="AS912">
        <v>0</v>
      </c>
      <c r="AT912">
        <v>0</v>
      </c>
      <c r="AU912">
        <v>0</v>
      </c>
      <c r="AV912">
        <v>0</v>
      </c>
      <c r="AW912">
        <v>0</v>
      </c>
      <c r="AX912">
        <v>0</v>
      </c>
      <c r="AY912">
        <v>0</v>
      </c>
      <c r="AZ912">
        <v>0</v>
      </c>
      <c r="BA912">
        <v>0</v>
      </c>
      <c r="BB912">
        <v>0</v>
      </c>
      <c r="BC912">
        <v>0</v>
      </c>
      <c r="BD912">
        <v>0</v>
      </c>
      <c r="BE912">
        <v>0</v>
      </c>
      <c r="BF912">
        <v>0</v>
      </c>
      <c r="BG912">
        <v>0</v>
      </c>
      <c r="BH912">
        <v>1</v>
      </c>
      <c r="BI912">
        <v>1</v>
      </c>
      <c r="BJ912">
        <v>0.2</v>
      </c>
      <c r="BK912">
        <v>1</v>
      </c>
      <c r="BL912" s="4">
        <v>50.45</v>
      </c>
      <c r="BM912" s="4">
        <v>7.57</v>
      </c>
      <c r="BN912" s="4">
        <v>58.02</v>
      </c>
      <c r="BO912" s="4">
        <v>58.02</v>
      </c>
      <c r="BQ912" t="s">
        <v>147</v>
      </c>
      <c r="BR912" t="s">
        <v>84</v>
      </c>
      <c r="BS912" s="3">
        <v>43809</v>
      </c>
      <c r="BT912" s="5">
        <v>0.38680555555555557</v>
      </c>
      <c r="BU912" t="s">
        <v>1120</v>
      </c>
      <c r="BV912" t="s">
        <v>86</v>
      </c>
      <c r="BY912">
        <v>1200</v>
      </c>
      <c r="CA912" t="s">
        <v>419</v>
      </c>
      <c r="CC912" t="s">
        <v>80</v>
      </c>
      <c r="CD912">
        <v>6001</v>
      </c>
      <c r="CE912" t="s">
        <v>88</v>
      </c>
      <c r="CF912" s="3">
        <v>43810</v>
      </c>
      <c r="CI912">
        <v>1</v>
      </c>
      <c r="CJ912">
        <v>1</v>
      </c>
      <c r="CK912">
        <v>21</v>
      </c>
      <c r="CL912" t="s">
        <v>89</v>
      </c>
    </row>
    <row r="913" spans="1:90">
      <c r="A913" t="s">
        <v>72</v>
      </c>
      <c r="B913" t="s">
        <v>73</v>
      </c>
      <c r="C913" t="s">
        <v>74</v>
      </c>
      <c r="E913" t="str">
        <f>"FES1162727269"</f>
        <v>FES1162727269</v>
      </c>
      <c r="F913" s="3">
        <v>43808</v>
      </c>
      <c r="G913">
        <v>202006</v>
      </c>
      <c r="H913" t="s">
        <v>75</v>
      </c>
      <c r="I913" t="s">
        <v>76</v>
      </c>
      <c r="J913" t="s">
        <v>77</v>
      </c>
      <c r="K913" t="s">
        <v>78</v>
      </c>
      <c r="L913" t="s">
        <v>79</v>
      </c>
      <c r="M913" t="s">
        <v>80</v>
      </c>
      <c r="N913" t="s">
        <v>129</v>
      </c>
      <c r="O913" t="s">
        <v>82</v>
      </c>
      <c r="P913" t="str">
        <f>"2170720761                    "</f>
        <v xml:space="preserve">2170720761                    </v>
      </c>
      <c r="Q913">
        <v>0</v>
      </c>
      <c r="R913">
        <v>0</v>
      </c>
      <c r="S913">
        <v>0</v>
      </c>
      <c r="T913">
        <v>0</v>
      </c>
      <c r="U913">
        <v>0</v>
      </c>
      <c r="V913">
        <v>0</v>
      </c>
      <c r="W913">
        <v>0</v>
      </c>
      <c r="X913">
        <v>0</v>
      </c>
      <c r="Y913">
        <v>0</v>
      </c>
      <c r="Z913">
        <v>0</v>
      </c>
      <c r="AA913">
        <v>0</v>
      </c>
      <c r="AB913">
        <v>0</v>
      </c>
      <c r="AC913">
        <v>0</v>
      </c>
      <c r="AD913">
        <v>0</v>
      </c>
      <c r="AE913">
        <v>0</v>
      </c>
      <c r="AF913">
        <v>0</v>
      </c>
      <c r="AG913">
        <v>0</v>
      </c>
      <c r="AH913">
        <v>0</v>
      </c>
      <c r="AI913">
        <v>0</v>
      </c>
      <c r="AJ913">
        <v>0</v>
      </c>
      <c r="AK913">
        <v>0</v>
      </c>
      <c r="AL913">
        <v>0</v>
      </c>
      <c r="AM913">
        <v>8.58</v>
      </c>
      <c r="AN913">
        <v>0</v>
      </c>
      <c r="AO913">
        <v>0</v>
      </c>
      <c r="AP913">
        <v>0</v>
      </c>
      <c r="AQ913">
        <v>0</v>
      </c>
      <c r="AR913">
        <v>0</v>
      </c>
      <c r="AS913">
        <v>0</v>
      </c>
      <c r="AT913">
        <v>0</v>
      </c>
      <c r="AU913">
        <v>0</v>
      </c>
      <c r="AV913">
        <v>0</v>
      </c>
      <c r="AW913">
        <v>0</v>
      </c>
      <c r="AX913">
        <v>0</v>
      </c>
      <c r="AY913">
        <v>0</v>
      </c>
      <c r="AZ913">
        <v>0</v>
      </c>
      <c r="BA913">
        <v>0</v>
      </c>
      <c r="BB913">
        <v>0</v>
      </c>
      <c r="BC913">
        <v>0</v>
      </c>
      <c r="BD913">
        <v>0</v>
      </c>
      <c r="BE913">
        <v>0</v>
      </c>
      <c r="BF913">
        <v>0</v>
      </c>
      <c r="BG913">
        <v>0</v>
      </c>
      <c r="BH913">
        <v>1</v>
      </c>
      <c r="BI913">
        <v>1</v>
      </c>
      <c r="BJ913">
        <v>0.2</v>
      </c>
      <c r="BK913">
        <v>1</v>
      </c>
      <c r="BL913" s="4">
        <v>50.45</v>
      </c>
      <c r="BM913" s="4">
        <v>7.57</v>
      </c>
      <c r="BN913" s="4">
        <v>58.02</v>
      </c>
      <c r="BO913" s="4">
        <v>58.02</v>
      </c>
      <c r="BQ913" t="s">
        <v>147</v>
      </c>
      <c r="BR913" t="s">
        <v>84</v>
      </c>
      <c r="BS913" s="3">
        <v>43809</v>
      </c>
      <c r="BT913" s="5">
        <v>0.3979166666666667</v>
      </c>
      <c r="BU913" t="s">
        <v>130</v>
      </c>
      <c r="BV913" t="s">
        <v>86</v>
      </c>
      <c r="BY913">
        <v>1200</v>
      </c>
      <c r="CA913" t="s">
        <v>131</v>
      </c>
      <c r="CC913" t="s">
        <v>80</v>
      </c>
      <c r="CD913">
        <v>6001</v>
      </c>
      <c r="CE913" t="s">
        <v>88</v>
      </c>
      <c r="CF913" s="3">
        <v>43810</v>
      </c>
      <c r="CI913">
        <v>1</v>
      </c>
      <c r="CJ913">
        <v>1</v>
      </c>
      <c r="CK913">
        <v>21</v>
      </c>
      <c r="CL913" t="s">
        <v>89</v>
      </c>
    </row>
    <row r="914" spans="1:90">
      <c r="A914" t="s">
        <v>72</v>
      </c>
      <c r="B914" t="s">
        <v>73</v>
      </c>
      <c r="C914" t="s">
        <v>74</v>
      </c>
      <c r="E914" t="str">
        <f>"FES1162727237"</f>
        <v>FES1162727237</v>
      </c>
      <c r="F914" s="3">
        <v>43808</v>
      </c>
      <c r="G914">
        <v>202006</v>
      </c>
      <c r="H914" t="s">
        <v>75</v>
      </c>
      <c r="I914" t="s">
        <v>76</v>
      </c>
      <c r="J914" t="s">
        <v>77</v>
      </c>
      <c r="K914" t="s">
        <v>78</v>
      </c>
      <c r="L914" t="s">
        <v>164</v>
      </c>
      <c r="M914" t="s">
        <v>165</v>
      </c>
      <c r="N914" t="s">
        <v>263</v>
      </c>
      <c r="O914" t="s">
        <v>82</v>
      </c>
      <c r="P914" t="str">
        <f>"2170710724                    "</f>
        <v xml:space="preserve">2170710724                    </v>
      </c>
      <c r="Q914">
        <v>0</v>
      </c>
      <c r="R914">
        <v>0</v>
      </c>
      <c r="S914">
        <v>0</v>
      </c>
      <c r="T914">
        <v>0</v>
      </c>
      <c r="U914">
        <v>0</v>
      </c>
      <c r="V914">
        <v>0</v>
      </c>
      <c r="W914">
        <v>0</v>
      </c>
      <c r="X914">
        <v>0</v>
      </c>
      <c r="Y914">
        <v>0</v>
      </c>
      <c r="Z914">
        <v>0</v>
      </c>
      <c r="AA914">
        <v>0</v>
      </c>
      <c r="AB914">
        <v>0</v>
      </c>
      <c r="AC914">
        <v>0</v>
      </c>
      <c r="AD914">
        <v>0</v>
      </c>
      <c r="AE914">
        <v>0</v>
      </c>
      <c r="AF914">
        <v>0</v>
      </c>
      <c r="AG914">
        <v>0</v>
      </c>
      <c r="AH914">
        <v>0</v>
      </c>
      <c r="AI914">
        <v>0</v>
      </c>
      <c r="AJ914">
        <v>0</v>
      </c>
      <c r="AK914">
        <v>0</v>
      </c>
      <c r="AL914">
        <v>0</v>
      </c>
      <c r="AM914">
        <v>27.88</v>
      </c>
      <c r="AN914">
        <v>0</v>
      </c>
      <c r="AO914">
        <v>0</v>
      </c>
      <c r="AP914">
        <v>0</v>
      </c>
      <c r="AQ914">
        <v>0</v>
      </c>
      <c r="AR914">
        <v>0</v>
      </c>
      <c r="AS914">
        <v>0</v>
      </c>
      <c r="AT914">
        <v>0</v>
      </c>
      <c r="AU914">
        <v>0</v>
      </c>
      <c r="AV914">
        <v>0</v>
      </c>
      <c r="AW914">
        <v>0</v>
      </c>
      <c r="AX914">
        <v>0</v>
      </c>
      <c r="AY914">
        <v>0</v>
      </c>
      <c r="AZ914">
        <v>0</v>
      </c>
      <c r="BA914">
        <v>0</v>
      </c>
      <c r="BB914">
        <v>0</v>
      </c>
      <c r="BC914">
        <v>0</v>
      </c>
      <c r="BD914">
        <v>0</v>
      </c>
      <c r="BE914">
        <v>0</v>
      </c>
      <c r="BF914">
        <v>0</v>
      </c>
      <c r="BG914">
        <v>0</v>
      </c>
      <c r="BH914">
        <v>1</v>
      </c>
      <c r="BI914">
        <v>4.2</v>
      </c>
      <c r="BJ914">
        <v>6.1</v>
      </c>
      <c r="BK914">
        <v>6.5</v>
      </c>
      <c r="BL914" s="4">
        <v>163.89</v>
      </c>
      <c r="BM914" s="4">
        <v>24.58</v>
      </c>
      <c r="BN914" s="4">
        <v>188.47</v>
      </c>
      <c r="BO914" s="4">
        <v>188.47</v>
      </c>
      <c r="BQ914" t="s">
        <v>147</v>
      </c>
      <c r="BR914" t="s">
        <v>84</v>
      </c>
      <c r="BS914" s="3">
        <v>43809</v>
      </c>
      <c r="BT914" s="5">
        <v>0.37777777777777777</v>
      </c>
      <c r="BU914" t="s">
        <v>1012</v>
      </c>
      <c r="BV914" t="s">
        <v>86</v>
      </c>
      <c r="BY914">
        <v>30628.15</v>
      </c>
      <c r="CA914" t="s">
        <v>371</v>
      </c>
      <c r="CC914" t="s">
        <v>165</v>
      </c>
      <c r="CD914">
        <v>5201</v>
      </c>
      <c r="CE914" t="s">
        <v>96</v>
      </c>
      <c r="CF914" s="3">
        <v>43810</v>
      </c>
      <c r="CI914">
        <v>1</v>
      </c>
      <c r="CJ914">
        <v>1</v>
      </c>
      <c r="CK914">
        <v>21</v>
      </c>
      <c r="CL914" t="s">
        <v>89</v>
      </c>
    </row>
    <row r="915" spans="1:90">
      <c r="A915" t="s">
        <v>72</v>
      </c>
      <c r="B915" t="s">
        <v>73</v>
      </c>
      <c r="C915" t="s">
        <v>74</v>
      </c>
      <c r="E915" t="str">
        <f>"FES1162727147"</f>
        <v>FES1162727147</v>
      </c>
      <c r="F915" s="3">
        <v>43808</v>
      </c>
      <c r="G915">
        <v>202006</v>
      </c>
      <c r="H915" t="s">
        <v>75</v>
      </c>
      <c r="I915" t="s">
        <v>76</v>
      </c>
      <c r="J915" t="s">
        <v>77</v>
      </c>
      <c r="K915" t="s">
        <v>78</v>
      </c>
      <c r="L915" t="s">
        <v>361</v>
      </c>
      <c r="M915" t="s">
        <v>362</v>
      </c>
      <c r="N915" t="s">
        <v>363</v>
      </c>
      <c r="O915" t="s">
        <v>82</v>
      </c>
      <c r="P915" t="str">
        <f>"2170720072                    "</f>
        <v xml:space="preserve">2170720072                    </v>
      </c>
      <c r="Q915">
        <v>0</v>
      </c>
      <c r="R915">
        <v>0</v>
      </c>
      <c r="S915">
        <v>0</v>
      </c>
      <c r="T915">
        <v>0</v>
      </c>
      <c r="U915">
        <v>0</v>
      </c>
      <c r="V915">
        <v>0</v>
      </c>
      <c r="W915">
        <v>0</v>
      </c>
      <c r="X915">
        <v>0</v>
      </c>
      <c r="Y915">
        <v>0</v>
      </c>
      <c r="Z915">
        <v>0</v>
      </c>
      <c r="AA915">
        <v>0</v>
      </c>
      <c r="AB915">
        <v>0</v>
      </c>
      <c r="AC915">
        <v>0</v>
      </c>
      <c r="AD915">
        <v>0</v>
      </c>
      <c r="AE915">
        <v>0</v>
      </c>
      <c r="AF915">
        <v>0</v>
      </c>
      <c r="AG915">
        <v>0</v>
      </c>
      <c r="AH915">
        <v>0</v>
      </c>
      <c r="AI915">
        <v>0</v>
      </c>
      <c r="AJ915">
        <v>0</v>
      </c>
      <c r="AK915">
        <v>0</v>
      </c>
      <c r="AL915">
        <v>0</v>
      </c>
      <c r="AM915">
        <v>19.3</v>
      </c>
      <c r="AN915">
        <v>0</v>
      </c>
      <c r="AO915">
        <v>0</v>
      </c>
      <c r="AP915">
        <v>0</v>
      </c>
      <c r="AQ915">
        <v>0</v>
      </c>
      <c r="AR915">
        <v>0</v>
      </c>
      <c r="AS915">
        <v>0</v>
      </c>
      <c r="AT915">
        <v>0</v>
      </c>
      <c r="AU915">
        <v>0</v>
      </c>
      <c r="AV915">
        <v>0</v>
      </c>
      <c r="AW915">
        <v>0</v>
      </c>
      <c r="AX915">
        <v>0</v>
      </c>
      <c r="AY915">
        <v>0</v>
      </c>
      <c r="AZ915">
        <v>0</v>
      </c>
      <c r="BA915">
        <v>0</v>
      </c>
      <c r="BB915">
        <v>0</v>
      </c>
      <c r="BC915">
        <v>0</v>
      </c>
      <c r="BD915">
        <v>0</v>
      </c>
      <c r="BE915">
        <v>0</v>
      </c>
      <c r="BF915">
        <v>0</v>
      </c>
      <c r="BG915">
        <v>0</v>
      </c>
      <c r="BH915">
        <v>1</v>
      </c>
      <c r="BI915">
        <v>4.2</v>
      </c>
      <c r="BJ915">
        <v>3</v>
      </c>
      <c r="BK915">
        <v>4.5</v>
      </c>
      <c r="BL915" s="4">
        <v>113.47</v>
      </c>
      <c r="BM915" s="4">
        <v>17.02</v>
      </c>
      <c r="BN915" s="4">
        <v>130.49</v>
      </c>
      <c r="BO915" s="4">
        <v>130.49</v>
      </c>
      <c r="BQ915" t="s">
        <v>93</v>
      </c>
      <c r="BR915" t="s">
        <v>84</v>
      </c>
      <c r="BS915" s="3">
        <v>43809</v>
      </c>
      <c r="BT915" s="5">
        <v>0.4291666666666667</v>
      </c>
      <c r="BU915" t="s">
        <v>1454</v>
      </c>
      <c r="BV915" t="s">
        <v>86</v>
      </c>
      <c r="BY915">
        <v>15007.87</v>
      </c>
      <c r="CA915" t="s">
        <v>185</v>
      </c>
      <c r="CC915" t="s">
        <v>362</v>
      </c>
      <c r="CD915">
        <v>6220</v>
      </c>
      <c r="CE915" t="s">
        <v>96</v>
      </c>
      <c r="CF915" s="3">
        <v>43810</v>
      </c>
      <c r="CI915">
        <v>1</v>
      </c>
      <c r="CJ915">
        <v>1</v>
      </c>
      <c r="CK915">
        <v>21</v>
      </c>
      <c r="CL915" t="s">
        <v>89</v>
      </c>
    </row>
    <row r="916" spans="1:90">
      <c r="A916" t="s">
        <v>72</v>
      </c>
      <c r="B916" t="s">
        <v>73</v>
      </c>
      <c r="C916" t="s">
        <v>74</v>
      </c>
      <c r="E916" t="str">
        <f>"FES1162727150"</f>
        <v>FES1162727150</v>
      </c>
      <c r="F916" s="3">
        <v>43808</v>
      </c>
      <c r="G916">
        <v>202006</v>
      </c>
      <c r="H916" t="s">
        <v>75</v>
      </c>
      <c r="I916" t="s">
        <v>76</v>
      </c>
      <c r="J916" t="s">
        <v>77</v>
      </c>
      <c r="K916" t="s">
        <v>78</v>
      </c>
      <c r="L916" t="s">
        <v>213</v>
      </c>
      <c r="M916" t="s">
        <v>214</v>
      </c>
      <c r="N916" t="s">
        <v>598</v>
      </c>
      <c r="O916" t="s">
        <v>82</v>
      </c>
      <c r="P916" t="str">
        <f>"2170720538                    "</f>
        <v xml:space="preserve">2170720538                    </v>
      </c>
      <c r="Q916">
        <v>0</v>
      </c>
      <c r="R916">
        <v>0</v>
      </c>
      <c r="S916">
        <v>0</v>
      </c>
      <c r="T916">
        <v>0</v>
      </c>
      <c r="U916">
        <v>0</v>
      </c>
      <c r="V916">
        <v>0</v>
      </c>
      <c r="W916">
        <v>0</v>
      </c>
      <c r="X916">
        <v>0</v>
      </c>
      <c r="Y916">
        <v>0</v>
      </c>
      <c r="Z916">
        <v>0</v>
      </c>
      <c r="AA916">
        <v>0</v>
      </c>
      <c r="AB916">
        <v>0</v>
      </c>
      <c r="AC916">
        <v>0</v>
      </c>
      <c r="AD916">
        <v>0</v>
      </c>
      <c r="AE916">
        <v>0</v>
      </c>
      <c r="AF916">
        <v>0</v>
      </c>
      <c r="AG916">
        <v>0</v>
      </c>
      <c r="AH916">
        <v>0</v>
      </c>
      <c r="AI916">
        <v>0</v>
      </c>
      <c r="AJ916">
        <v>0</v>
      </c>
      <c r="AK916">
        <v>0</v>
      </c>
      <c r="AL916">
        <v>0</v>
      </c>
      <c r="AM916">
        <v>40.75</v>
      </c>
      <c r="AN916">
        <v>0</v>
      </c>
      <c r="AO916">
        <v>0</v>
      </c>
      <c r="AP916">
        <v>0</v>
      </c>
      <c r="AQ916">
        <v>0</v>
      </c>
      <c r="AR916">
        <v>0</v>
      </c>
      <c r="AS916">
        <v>0</v>
      </c>
      <c r="AT916">
        <v>0</v>
      </c>
      <c r="AU916">
        <v>0</v>
      </c>
      <c r="AV916">
        <v>0</v>
      </c>
      <c r="AW916">
        <v>0</v>
      </c>
      <c r="AX916">
        <v>0</v>
      </c>
      <c r="AY916">
        <v>0</v>
      </c>
      <c r="AZ916">
        <v>0</v>
      </c>
      <c r="BA916">
        <v>0</v>
      </c>
      <c r="BB916">
        <v>0</v>
      </c>
      <c r="BC916">
        <v>0</v>
      </c>
      <c r="BD916">
        <v>0</v>
      </c>
      <c r="BE916">
        <v>0</v>
      </c>
      <c r="BF916">
        <v>0</v>
      </c>
      <c r="BG916">
        <v>0</v>
      </c>
      <c r="BH916">
        <v>1</v>
      </c>
      <c r="BI916">
        <v>9.4</v>
      </c>
      <c r="BJ916">
        <v>3.3</v>
      </c>
      <c r="BK916">
        <v>9.5</v>
      </c>
      <c r="BL916" s="4">
        <v>239.52</v>
      </c>
      <c r="BM916" s="4">
        <v>35.93</v>
      </c>
      <c r="BN916" s="4">
        <v>275.45</v>
      </c>
      <c r="BO916" s="4">
        <v>275.45</v>
      </c>
      <c r="BQ916" t="s">
        <v>147</v>
      </c>
      <c r="BR916" t="s">
        <v>84</v>
      </c>
      <c r="BS916" s="3">
        <v>43809</v>
      </c>
      <c r="BT916" s="5">
        <v>0.33680555555555558</v>
      </c>
      <c r="BU916" t="s">
        <v>688</v>
      </c>
      <c r="BV916" t="s">
        <v>86</v>
      </c>
      <c r="BY916">
        <v>16376.67</v>
      </c>
      <c r="CA916" t="s">
        <v>99</v>
      </c>
      <c r="CC916" t="s">
        <v>214</v>
      </c>
      <c r="CD916">
        <v>6229</v>
      </c>
      <c r="CE916" t="s">
        <v>116</v>
      </c>
      <c r="CF916" s="3">
        <v>43810</v>
      </c>
      <c r="CI916">
        <v>1</v>
      </c>
      <c r="CJ916">
        <v>1</v>
      </c>
      <c r="CK916">
        <v>21</v>
      </c>
      <c r="CL916" t="s">
        <v>89</v>
      </c>
    </row>
    <row r="917" spans="1:90">
      <c r="A917" t="s">
        <v>72</v>
      </c>
      <c r="B917" t="s">
        <v>73</v>
      </c>
      <c r="C917" t="s">
        <v>74</v>
      </c>
      <c r="E917" t="str">
        <f>"FES1162727235"</f>
        <v>FES1162727235</v>
      </c>
      <c r="F917" s="3">
        <v>43808</v>
      </c>
      <c r="G917">
        <v>202006</v>
      </c>
      <c r="H917" t="s">
        <v>75</v>
      </c>
      <c r="I917" t="s">
        <v>76</v>
      </c>
      <c r="J917" t="s">
        <v>77</v>
      </c>
      <c r="K917" t="s">
        <v>78</v>
      </c>
      <c r="L917" t="s">
        <v>79</v>
      </c>
      <c r="M917" t="s">
        <v>80</v>
      </c>
      <c r="N917" t="s">
        <v>129</v>
      </c>
      <c r="O917" t="s">
        <v>82</v>
      </c>
      <c r="P917" t="str">
        <f>"217071722                     "</f>
        <v xml:space="preserve">217071722                     </v>
      </c>
      <c r="Q917">
        <v>0</v>
      </c>
      <c r="R917">
        <v>0</v>
      </c>
      <c r="S917">
        <v>0</v>
      </c>
      <c r="T917">
        <v>0</v>
      </c>
      <c r="U917">
        <v>0</v>
      </c>
      <c r="V917">
        <v>0</v>
      </c>
      <c r="W917">
        <v>0</v>
      </c>
      <c r="X917">
        <v>0</v>
      </c>
      <c r="Y917">
        <v>0</v>
      </c>
      <c r="Z917">
        <v>0</v>
      </c>
      <c r="AA917">
        <v>0</v>
      </c>
      <c r="AB917">
        <v>0</v>
      </c>
      <c r="AC917">
        <v>0</v>
      </c>
      <c r="AD917">
        <v>0</v>
      </c>
      <c r="AE917">
        <v>0</v>
      </c>
      <c r="AF917">
        <v>0</v>
      </c>
      <c r="AG917">
        <v>0</v>
      </c>
      <c r="AH917">
        <v>0</v>
      </c>
      <c r="AI917">
        <v>0</v>
      </c>
      <c r="AJ917">
        <v>0</v>
      </c>
      <c r="AK917">
        <v>0</v>
      </c>
      <c r="AL917">
        <v>0</v>
      </c>
      <c r="AM917">
        <v>81.489999999999995</v>
      </c>
      <c r="AN917">
        <v>0</v>
      </c>
      <c r="AO917">
        <v>0</v>
      </c>
      <c r="AP917">
        <v>0</v>
      </c>
      <c r="AQ917">
        <v>0</v>
      </c>
      <c r="AR917">
        <v>0</v>
      </c>
      <c r="AS917">
        <v>0</v>
      </c>
      <c r="AT917">
        <v>0</v>
      </c>
      <c r="AU917">
        <v>0</v>
      </c>
      <c r="AV917">
        <v>0</v>
      </c>
      <c r="AW917">
        <v>0</v>
      </c>
      <c r="AX917">
        <v>0</v>
      </c>
      <c r="AY917">
        <v>0</v>
      </c>
      <c r="AZ917">
        <v>0</v>
      </c>
      <c r="BA917">
        <v>0</v>
      </c>
      <c r="BB917">
        <v>0</v>
      </c>
      <c r="BC917">
        <v>0</v>
      </c>
      <c r="BD917">
        <v>0</v>
      </c>
      <c r="BE917">
        <v>0</v>
      </c>
      <c r="BF917">
        <v>0</v>
      </c>
      <c r="BG917">
        <v>0</v>
      </c>
      <c r="BH917">
        <v>1</v>
      </c>
      <c r="BI917">
        <v>19</v>
      </c>
      <c r="BJ917">
        <v>18.3</v>
      </c>
      <c r="BK917">
        <v>19</v>
      </c>
      <c r="BL917" s="4">
        <v>479</v>
      </c>
      <c r="BM917" s="4">
        <v>71.849999999999994</v>
      </c>
      <c r="BN917" s="4">
        <v>550.85</v>
      </c>
      <c r="BO917" s="4">
        <v>550.85</v>
      </c>
      <c r="BQ917" t="s">
        <v>147</v>
      </c>
      <c r="BR917" t="s">
        <v>84</v>
      </c>
      <c r="BS917" s="3">
        <v>43809</v>
      </c>
      <c r="BT917" s="5">
        <v>0.3979166666666667</v>
      </c>
      <c r="BU917" t="s">
        <v>130</v>
      </c>
      <c r="BV917" t="s">
        <v>86</v>
      </c>
      <c r="BY917">
        <v>91264</v>
      </c>
      <c r="CA917" t="s">
        <v>131</v>
      </c>
      <c r="CC917" t="s">
        <v>80</v>
      </c>
      <c r="CD917">
        <v>6001</v>
      </c>
      <c r="CE917" t="s">
        <v>96</v>
      </c>
      <c r="CF917" s="3">
        <v>43810</v>
      </c>
      <c r="CI917">
        <v>1</v>
      </c>
      <c r="CJ917">
        <v>1</v>
      </c>
      <c r="CK917">
        <v>21</v>
      </c>
      <c r="CL917" t="s">
        <v>89</v>
      </c>
    </row>
    <row r="918" spans="1:90">
      <c r="A918" t="s">
        <v>72</v>
      </c>
      <c r="B918" t="s">
        <v>73</v>
      </c>
      <c r="C918" t="s">
        <v>74</v>
      </c>
      <c r="E918" t="str">
        <f>"FES1162727194"</f>
        <v>FES1162727194</v>
      </c>
      <c r="F918" s="3">
        <v>43808</v>
      </c>
      <c r="G918">
        <v>202006</v>
      </c>
      <c r="H918" t="s">
        <v>75</v>
      </c>
      <c r="I918" t="s">
        <v>76</v>
      </c>
      <c r="J918" t="s">
        <v>77</v>
      </c>
      <c r="K918" t="s">
        <v>78</v>
      </c>
      <c r="L918" t="s">
        <v>79</v>
      </c>
      <c r="M918" t="s">
        <v>80</v>
      </c>
      <c r="N918" t="s">
        <v>1455</v>
      </c>
      <c r="O918" t="s">
        <v>82</v>
      </c>
      <c r="P918" t="str">
        <f>"21707120673                   "</f>
        <v xml:space="preserve">21707120673                   </v>
      </c>
      <c r="Q918">
        <v>0</v>
      </c>
      <c r="R918">
        <v>0</v>
      </c>
      <c r="S918">
        <v>0</v>
      </c>
      <c r="T918">
        <v>0</v>
      </c>
      <c r="U918">
        <v>0</v>
      </c>
      <c r="V918">
        <v>0</v>
      </c>
      <c r="W918">
        <v>0</v>
      </c>
      <c r="X918">
        <v>0</v>
      </c>
      <c r="Y918">
        <v>0</v>
      </c>
      <c r="Z918">
        <v>0</v>
      </c>
      <c r="AA918">
        <v>0</v>
      </c>
      <c r="AB918">
        <v>0</v>
      </c>
      <c r="AC918">
        <v>0</v>
      </c>
      <c r="AD918">
        <v>0</v>
      </c>
      <c r="AE918">
        <v>0</v>
      </c>
      <c r="AF918">
        <v>0</v>
      </c>
      <c r="AG918">
        <v>0</v>
      </c>
      <c r="AH918">
        <v>0</v>
      </c>
      <c r="AI918">
        <v>0</v>
      </c>
      <c r="AJ918">
        <v>0</v>
      </c>
      <c r="AK918">
        <v>0</v>
      </c>
      <c r="AL918">
        <v>0</v>
      </c>
      <c r="AM918">
        <v>25.74</v>
      </c>
      <c r="AN918">
        <v>0</v>
      </c>
      <c r="AO918">
        <v>0</v>
      </c>
      <c r="AP918">
        <v>0</v>
      </c>
      <c r="AQ918">
        <v>0</v>
      </c>
      <c r="AR918">
        <v>0</v>
      </c>
      <c r="AS918">
        <v>0</v>
      </c>
      <c r="AT918">
        <v>0</v>
      </c>
      <c r="AU918">
        <v>0</v>
      </c>
      <c r="AV918">
        <v>0</v>
      </c>
      <c r="AW918">
        <v>0</v>
      </c>
      <c r="AX918">
        <v>0</v>
      </c>
      <c r="AY918">
        <v>0</v>
      </c>
      <c r="AZ918">
        <v>0</v>
      </c>
      <c r="BA918">
        <v>0</v>
      </c>
      <c r="BB918">
        <v>0</v>
      </c>
      <c r="BC918">
        <v>0</v>
      </c>
      <c r="BD918">
        <v>0</v>
      </c>
      <c r="BE918">
        <v>0</v>
      </c>
      <c r="BF918">
        <v>0</v>
      </c>
      <c r="BG918">
        <v>0</v>
      </c>
      <c r="BH918">
        <v>1</v>
      </c>
      <c r="BI918">
        <v>2</v>
      </c>
      <c r="BJ918">
        <v>6</v>
      </c>
      <c r="BK918">
        <v>6</v>
      </c>
      <c r="BL918" s="4">
        <v>151.29</v>
      </c>
      <c r="BM918" s="4">
        <v>22.69</v>
      </c>
      <c r="BN918" s="4">
        <v>173.98</v>
      </c>
      <c r="BO918" s="4">
        <v>173.98</v>
      </c>
      <c r="BQ918" t="s">
        <v>1456</v>
      </c>
      <c r="BR918" t="s">
        <v>84</v>
      </c>
      <c r="BS918" s="3">
        <v>43809</v>
      </c>
      <c r="BT918" s="5">
        <v>0.42152777777777778</v>
      </c>
      <c r="BU918" t="s">
        <v>1457</v>
      </c>
      <c r="BV918" t="s">
        <v>86</v>
      </c>
      <c r="BY918">
        <v>29851.68</v>
      </c>
      <c r="CA918" t="s">
        <v>131</v>
      </c>
      <c r="CC918" t="s">
        <v>80</v>
      </c>
      <c r="CD918">
        <v>6001</v>
      </c>
      <c r="CE918" t="s">
        <v>116</v>
      </c>
      <c r="CF918" s="3">
        <v>43810</v>
      </c>
      <c r="CI918">
        <v>1</v>
      </c>
      <c r="CJ918">
        <v>1</v>
      </c>
      <c r="CK918">
        <v>21</v>
      </c>
      <c r="CL918" t="s">
        <v>89</v>
      </c>
    </row>
    <row r="919" spans="1:90">
      <c r="A919" t="s">
        <v>72</v>
      </c>
      <c r="B919" t="s">
        <v>73</v>
      </c>
      <c r="C919" t="s">
        <v>74</v>
      </c>
      <c r="E919" t="str">
        <f>"FES1162727303"</f>
        <v>FES1162727303</v>
      </c>
      <c r="F919" s="3">
        <v>43808</v>
      </c>
      <c r="G919">
        <v>202006</v>
      </c>
      <c r="H919" t="s">
        <v>75</v>
      </c>
      <c r="I919" t="s">
        <v>76</v>
      </c>
      <c r="J919" t="s">
        <v>77</v>
      </c>
      <c r="K919" t="s">
        <v>78</v>
      </c>
      <c r="L919" t="s">
        <v>90</v>
      </c>
      <c r="M919" t="s">
        <v>91</v>
      </c>
      <c r="N919" t="s">
        <v>1458</v>
      </c>
      <c r="O919" t="s">
        <v>82</v>
      </c>
      <c r="P919" t="str">
        <f>"21707120720                   "</f>
        <v xml:space="preserve">21707120720                   </v>
      </c>
      <c r="Q919">
        <v>0</v>
      </c>
      <c r="R919">
        <v>0</v>
      </c>
      <c r="S919">
        <v>0</v>
      </c>
      <c r="T919">
        <v>0</v>
      </c>
      <c r="U919">
        <v>0</v>
      </c>
      <c r="V919">
        <v>0</v>
      </c>
      <c r="W919">
        <v>0</v>
      </c>
      <c r="X919">
        <v>0</v>
      </c>
      <c r="Y919">
        <v>0</v>
      </c>
      <c r="Z919">
        <v>0</v>
      </c>
      <c r="AA919">
        <v>0</v>
      </c>
      <c r="AB919">
        <v>0</v>
      </c>
      <c r="AC919">
        <v>0</v>
      </c>
      <c r="AD919">
        <v>0</v>
      </c>
      <c r="AE919">
        <v>0</v>
      </c>
      <c r="AF919">
        <v>0</v>
      </c>
      <c r="AG919">
        <v>0</v>
      </c>
      <c r="AH919">
        <v>0</v>
      </c>
      <c r="AI919">
        <v>0</v>
      </c>
      <c r="AJ919">
        <v>0</v>
      </c>
      <c r="AK919">
        <v>0</v>
      </c>
      <c r="AL919">
        <v>0</v>
      </c>
      <c r="AM919">
        <v>70.77</v>
      </c>
      <c r="AN919">
        <v>0</v>
      </c>
      <c r="AO919">
        <v>0</v>
      </c>
      <c r="AP919">
        <v>0</v>
      </c>
      <c r="AQ919">
        <v>0</v>
      </c>
      <c r="AR919">
        <v>0</v>
      </c>
      <c r="AS919">
        <v>0</v>
      </c>
      <c r="AT919">
        <v>0</v>
      </c>
      <c r="AU919">
        <v>0</v>
      </c>
      <c r="AV919">
        <v>0</v>
      </c>
      <c r="AW919">
        <v>0</v>
      </c>
      <c r="AX919">
        <v>0</v>
      </c>
      <c r="AY919">
        <v>0</v>
      </c>
      <c r="AZ919">
        <v>0</v>
      </c>
      <c r="BA919">
        <v>0</v>
      </c>
      <c r="BB919">
        <v>0</v>
      </c>
      <c r="BC919">
        <v>0</v>
      </c>
      <c r="BD919">
        <v>0</v>
      </c>
      <c r="BE919">
        <v>0</v>
      </c>
      <c r="BF919">
        <v>0</v>
      </c>
      <c r="BG919">
        <v>0</v>
      </c>
      <c r="BH919">
        <v>1</v>
      </c>
      <c r="BI919">
        <v>7.9</v>
      </c>
      <c r="BJ919">
        <v>16.2</v>
      </c>
      <c r="BK919">
        <v>16.5</v>
      </c>
      <c r="BL919" s="4">
        <v>415.98</v>
      </c>
      <c r="BM919" s="4">
        <v>62.4</v>
      </c>
      <c r="BN919" s="4">
        <v>478.38</v>
      </c>
      <c r="BO919" s="4">
        <v>478.38</v>
      </c>
      <c r="BQ919" t="s">
        <v>1459</v>
      </c>
      <c r="BR919" t="s">
        <v>84</v>
      </c>
      <c r="BS919" s="3">
        <v>43809</v>
      </c>
      <c r="BT919" s="5">
        <v>0.3923611111111111</v>
      </c>
      <c r="BU919" t="s">
        <v>1460</v>
      </c>
      <c r="BV919" t="s">
        <v>86</v>
      </c>
      <c r="BY919">
        <v>81101.5</v>
      </c>
      <c r="CA919" t="s">
        <v>563</v>
      </c>
      <c r="CC919" t="s">
        <v>91</v>
      </c>
      <c r="CD919">
        <v>7460</v>
      </c>
      <c r="CE919" t="s">
        <v>96</v>
      </c>
      <c r="CF919" s="3">
        <v>43810</v>
      </c>
      <c r="CI919">
        <v>1</v>
      </c>
      <c r="CJ919">
        <v>1</v>
      </c>
      <c r="CK919">
        <v>21</v>
      </c>
      <c r="CL919" t="s">
        <v>89</v>
      </c>
    </row>
    <row r="920" spans="1:90">
      <c r="A920" t="s">
        <v>72</v>
      </c>
      <c r="B920" t="s">
        <v>73</v>
      </c>
      <c r="C920" t="s">
        <v>74</v>
      </c>
      <c r="E920" t="str">
        <f>"FES1162727186"</f>
        <v>FES1162727186</v>
      </c>
      <c r="F920" s="3">
        <v>43808</v>
      </c>
      <c r="G920">
        <v>202006</v>
      </c>
      <c r="H920" t="s">
        <v>75</v>
      </c>
      <c r="I920" t="s">
        <v>76</v>
      </c>
      <c r="J920" t="s">
        <v>77</v>
      </c>
      <c r="K920" t="s">
        <v>78</v>
      </c>
      <c r="L920" t="s">
        <v>90</v>
      </c>
      <c r="M920" t="s">
        <v>91</v>
      </c>
      <c r="N920" t="s">
        <v>1145</v>
      </c>
      <c r="O920" t="s">
        <v>82</v>
      </c>
      <c r="P920" t="str">
        <f>"2170720664                    "</f>
        <v xml:space="preserve">2170720664                    </v>
      </c>
      <c r="Q920">
        <v>0</v>
      </c>
      <c r="R920">
        <v>0</v>
      </c>
      <c r="S920">
        <v>0</v>
      </c>
      <c r="T920">
        <v>0</v>
      </c>
      <c r="U920">
        <v>0</v>
      </c>
      <c r="V920">
        <v>0</v>
      </c>
      <c r="W920">
        <v>0</v>
      </c>
      <c r="X920">
        <v>0</v>
      </c>
      <c r="Y920">
        <v>0</v>
      </c>
      <c r="Z920">
        <v>0</v>
      </c>
      <c r="AA920">
        <v>0</v>
      </c>
      <c r="AB920">
        <v>0</v>
      </c>
      <c r="AC920">
        <v>0</v>
      </c>
      <c r="AD920">
        <v>0</v>
      </c>
      <c r="AE920">
        <v>0</v>
      </c>
      <c r="AF920">
        <v>0</v>
      </c>
      <c r="AG920">
        <v>0</v>
      </c>
      <c r="AH920">
        <v>0</v>
      </c>
      <c r="AI920">
        <v>0</v>
      </c>
      <c r="AJ920">
        <v>0</v>
      </c>
      <c r="AK920">
        <v>0</v>
      </c>
      <c r="AL920">
        <v>0</v>
      </c>
      <c r="AM920">
        <v>42.89</v>
      </c>
      <c r="AN920">
        <v>0</v>
      </c>
      <c r="AO920">
        <v>0</v>
      </c>
      <c r="AP920">
        <v>0</v>
      </c>
      <c r="AQ920">
        <v>0</v>
      </c>
      <c r="AR920">
        <v>0</v>
      </c>
      <c r="AS920">
        <v>0</v>
      </c>
      <c r="AT920">
        <v>0</v>
      </c>
      <c r="AU920">
        <v>0</v>
      </c>
      <c r="AV920">
        <v>0</v>
      </c>
      <c r="AW920">
        <v>0</v>
      </c>
      <c r="AX920">
        <v>0</v>
      </c>
      <c r="AY920">
        <v>0</v>
      </c>
      <c r="AZ920">
        <v>0</v>
      </c>
      <c r="BA920">
        <v>0</v>
      </c>
      <c r="BB920">
        <v>0</v>
      </c>
      <c r="BC920">
        <v>0</v>
      </c>
      <c r="BD920">
        <v>0</v>
      </c>
      <c r="BE920">
        <v>0</v>
      </c>
      <c r="BF920">
        <v>0</v>
      </c>
      <c r="BG920">
        <v>0</v>
      </c>
      <c r="BH920">
        <v>1</v>
      </c>
      <c r="BI920">
        <v>9.8000000000000007</v>
      </c>
      <c r="BJ920">
        <v>3.1</v>
      </c>
      <c r="BK920">
        <v>10</v>
      </c>
      <c r="BL920" s="4">
        <v>252.12</v>
      </c>
      <c r="BM920" s="4">
        <v>37.82</v>
      </c>
      <c r="BN920" s="4">
        <v>289.94</v>
      </c>
      <c r="BO920" s="4">
        <v>289.94</v>
      </c>
      <c r="BQ920" t="s">
        <v>147</v>
      </c>
      <c r="BR920" t="s">
        <v>84</v>
      </c>
      <c r="BS920" s="3">
        <v>43809</v>
      </c>
      <c r="BT920" s="5">
        <v>0.34652777777777777</v>
      </c>
      <c r="BU920" t="s">
        <v>1146</v>
      </c>
      <c r="BV920" t="s">
        <v>86</v>
      </c>
      <c r="BY920">
        <v>15650.39</v>
      </c>
      <c r="CA920" t="s">
        <v>809</v>
      </c>
      <c r="CC920" t="s">
        <v>91</v>
      </c>
      <c r="CD920">
        <v>7925</v>
      </c>
      <c r="CE920" t="s">
        <v>96</v>
      </c>
      <c r="CF920" s="3">
        <v>43810</v>
      </c>
      <c r="CI920">
        <v>1</v>
      </c>
      <c r="CJ920">
        <v>1</v>
      </c>
      <c r="CK920">
        <v>21</v>
      </c>
      <c r="CL920" t="s">
        <v>89</v>
      </c>
    </row>
    <row r="921" spans="1:90">
      <c r="A921" t="s">
        <v>72</v>
      </c>
      <c r="B921" t="s">
        <v>73</v>
      </c>
      <c r="C921" t="s">
        <v>74</v>
      </c>
      <c r="E921" t="str">
        <f>"FES1162727299"</f>
        <v>FES1162727299</v>
      </c>
      <c r="F921" s="3">
        <v>43808</v>
      </c>
      <c r="G921">
        <v>202006</v>
      </c>
      <c r="H921" t="s">
        <v>75</v>
      </c>
      <c r="I921" t="s">
        <v>76</v>
      </c>
      <c r="J921" t="s">
        <v>77</v>
      </c>
      <c r="K921" t="s">
        <v>78</v>
      </c>
      <c r="L921" t="s">
        <v>90</v>
      </c>
      <c r="M921" t="s">
        <v>91</v>
      </c>
      <c r="N921" t="s">
        <v>548</v>
      </c>
      <c r="O921" t="s">
        <v>82</v>
      </c>
      <c r="P921" t="str">
        <f>"2170720267                    "</f>
        <v xml:space="preserve">2170720267                    </v>
      </c>
      <c r="Q921">
        <v>0</v>
      </c>
      <c r="R921">
        <v>0</v>
      </c>
      <c r="S921">
        <v>0</v>
      </c>
      <c r="T921">
        <v>0</v>
      </c>
      <c r="U921">
        <v>0</v>
      </c>
      <c r="V921">
        <v>0</v>
      </c>
      <c r="W921">
        <v>0</v>
      </c>
      <c r="X921">
        <v>0</v>
      </c>
      <c r="Y921">
        <v>0</v>
      </c>
      <c r="Z921">
        <v>0</v>
      </c>
      <c r="AA921">
        <v>0</v>
      </c>
      <c r="AB921">
        <v>0</v>
      </c>
      <c r="AC921">
        <v>0</v>
      </c>
      <c r="AD921">
        <v>0</v>
      </c>
      <c r="AE921">
        <v>0</v>
      </c>
      <c r="AF921">
        <v>0</v>
      </c>
      <c r="AG921">
        <v>0</v>
      </c>
      <c r="AH921">
        <v>0</v>
      </c>
      <c r="AI921">
        <v>0</v>
      </c>
      <c r="AJ921">
        <v>0</v>
      </c>
      <c r="AK921">
        <v>0</v>
      </c>
      <c r="AL921">
        <v>0</v>
      </c>
      <c r="AM921">
        <v>8.58</v>
      </c>
      <c r="AN921">
        <v>0</v>
      </c>
      <c r="AO921">
        <v>0</v>
      </c>
      <c r="AP921">
        <v>0</v>
      </c>
      <c r="AQ921">
        <v>0</v>
      </c>
      <c r="AR921">
        <v>0</v>
      </c>
      <c r="AS921">
        <v>0</v>
      </c>
      <c r="AT921">
        <v>0</v>
      </c>
      <c r="AU921">
        <v>0</v>
      </c>
      <c r="AV921">
        <v>0</v>
      </c>
      <c r="AW921">
        <v>0</v>
      </c>
      <c r="AX921">
        <v>0</v>
      </c>
      <c r="AY921">
        <v>0</v>
      </c>
      <c r="AZ921">
        <v>0</v>
      </c>
      <c r="BA921">
        <v>0</v>
      </c>
      <c r="BB921">
        <v>0</v>
      </c>
      <c r="BC921">
        <v>0</v>
      </c>
      <c r="BD921">
        <v>0</v>
      </c>
      <c r="BE921">
        <v>0</v>
      </c>
      <c r="BF921">
        <v>0</v>
      </c>
      <c r="BG921">
        <v>0</v>
      </c>
      <c r="BH921">
        <v>1</v>
      </c>
      <c r="BI921">
        <v>1.4</v>
      </c>
      <c r="BJ921">
        <v>0.9</v>
      </c>
      <c r="BK921">
        <v>1.5</v>
      </c>
      <c r="BL921" s="4">
        <v>50.45</v>
      </c>
      <c r="BM921" s="4">
        <v>7.57</v>
      </c>
      <c r="BN921" s="4">
        <v>58.02</v>
      </c>
      <c r="BO921" s="4">
        <v>58.02</v>
      </c>
      <c r="BQ921" t="s">
        <v>147</v>
      </c>
      <c r="BR921" t="s">
        <v>84</v>
      </c>
      <c r="BS921" s="3">
        <v>43809</v>
      </c>
      <c r="BT921" s="5">
        <v>0.30902777777777779</v>
      </c>
      <c r="BU921" t="s">
        <v>1461</v>
      </c>
      <c r="BV921" t="s">
        <v>86</v>
      </c>
      <c r="BY921">
        <v>4445.87</v>
      </c>
      <c r="CA921" t="s">
        <v>550</v>
      </c>
      <c r="CC921" t="s">
        <v>91</v>
      </c>
      <c r="CD921">
        <v>7530</v>
      </c>
      <c r="CE921" t="s">
        <v>96</v>
      </c>
      <c r="CF921" s="3">
        <v>43810</v>
      </c>
      <c r="CI921">
        <v>1</v>
      </c>
      <c r="CJ921">
        <v>1</v>
      </c>
      <c r="CK921">
        <v>21</v>
      </c>
      <c r="CL921" t="s">
        <v>89</v>
      </c>
    </row>
    <row r="922" spans="1:90">
      <c r="A922" t="s">
        <v>72</v>
      </c>
      <c r="B922" t="s">
        <v>73</v>
      </c>
      <c r="C922" t="s">
        <v>74</v>
      </c>
      <c r="E922" t="str">
        <f>"FES1162727206"</f>
        <v>FES1162727206</v>
      </c>
      <c r="F922" s="3">
        <v>43808</v>
      </c>
      <c r="G922">
        <v>202006</v>
      </c>
      <c r="H922" t="s">
        <v>75</v>
      </c>
      <c r="I922" t="s">
        <v>76</v>
      </c>
      <c r="J922" t="s">
        <v>77</v>
      </c>
      <c r="K922" t="s">
        <v>78</v>
      </c>
      <c r="L922" t="s">
        <v>90</v>
      </c>
      <c r="M922" t="s">
        <v>91</v>
      </c>
      <c r="N922" t="s">
        <v>207</v>
      </c>
      <c r="O922" t="s">
        <v>82</v>
      </c>
      <c r="P922" t="str">
        <f>"21707120682                   "</f>
        <v xml:space="preserve">21707120682                   </v>
      </c>
      <c r="Q922">
        <v>0</v>
      </c>
      <c r="R922">
        <v>0</v>
      </c>
      <c r="S922">
        <v>0</v>
      </c>
      <c r="T922">
        <v>0</v>
      </c>
      <c r="U922">
        <v>0</v>
      </c>
      <c r="V922">
        <v>0</v>
      </c>
      <c r="W922">
        <v>0</v>
      </c>
      <c r="X922">
        <v>0</v>
      </c>
      <c r="Y922">
        <v>0</v>
      </c>
      <c r="Z922">
        <v>0</v>
      </c>
      <c r="AA922">
        <v>0</v>
      </c>
      <c r="AB922">
        <v>0</v>
      </c>
      <c r="AC922">
        <v>0</v>
      </c>
      <c r="AD922">
        <v>0</v>
      </c>
      <c r="AE922">
        <v>0</v>
      </c>
      <c r="AF922">
        <v>0</v>
      </c>
      <c r="AG922">
        <v>0</v>
      </c>
      <c r="AH922">
        <v>0</v>
      </c>
      <c r="AI922">
        <v>0</v>
      </c>
      <c r="AJ922">
        <v>0</v>
      </c>
      <c r="AK922">
        <v>0</v>
      </c>
      <c r="AL922">
        <v>0</v>
      </c>
      <c r="AM922">
        <v>19.3</v>
      </c>
      <c r="AN922">
        <v>0</v>
      </c>
      <c r="AO922">
        <v>0</v>
      </c>
      <c r="AP922">
        <v>0</v>
      </c>
      <c r="AQ922">
        <v>0</v>
      </c>
      <c r="AR922">
        <v>0</v>
      </c>
      <c r="AS922">
        <v>0</v>
      </c>
      <c r="AT922">
        <v>0</v>
      </c>
      <c r="AU922">
        <v>0</v>
      </c>
      <c r="AV922">
        <v>0</v>
      </c>
      <c r="AW922">
        <v>0</v>
      </c>
      <c r="AX922">
        <v>0</v>
      </c>
      <c r="AY922">
        <v>0</v>
      </c>
      <c r="AZ922">
        <v>0</v>
      </c>
      <c r="BA922">
        <v>0</v>
      </c>
      <c r="BB922">
        <v>0</v>
      </c>
      <c r="BC922">
        <v>0</v>
      </c>
      <c r="BD922">
        <v>0</v>
      </c>
      <c r="BE922">
        <v>0</v>
      </c>
      <c r="BF922">
        <v>0</v>
      </c>
      <c r="BG922">
        <v>0</v>
      </c>
      <c r="BH922">
        <v>1</v>
      </c>
      <c r="BI922">
        <v>2.4</v>
      </c>
      <c r="BJ922">
        <v>4.3</v>
      </c>
      <c r="BK922">
        <v>4.5</v>
      </c>
      <c r="BL922" s="4">
        <v>113.47</v>
      </c>
      <c r="BM922" s="4">
        <v>17.02</v>
      </c>
      <c r="BN922" s="4">
        <v>130.49</v>
      </c>
      <c r="BO922" s="4">
        <v>130.49</v>
      </c>
      <c r="BQ922" t="s">
        <v>147</v>
      </c>
      <c r="BR922" t="s">
        <v>84</v>
      </c>
      <c r="BS922" s="3">
        <v>43809</v>
      </c>
      <c r="BT922" s="5">
        <v>0.35486111111111113</v>
      </c>
      <c r="BU922" t="s">
        <v>349</v>
      </c>
      <c r="BV922" t="s">
        <v>86</v>
      </c>
      <c r="BY922">
        <v>21418.23</v>
      </c>
      <c r="CA922" t="s">
        <v>209</v>
      </c>
      <c r="CC922" t="s">
        <v>91</v>
      </c>
      <c r="CD922">
        <v>7441</v>
      </c>
      <c r="CE922" t="s">
        <v>116</v>
      </c>
      <c r="CF922" s="3">
        <v>43810</v>
      </c>
      <c r="CI922">
        <v>1</v>
      </c>
      <c r="CJ922">
        <v>1</v>
      </c>
      <c r="CK922">
        <v>21</v>
      </c>
      <c r="CL922" t="s">
        <v>89</v>
      </c>
    </row>
    <row r="923" spans="1:90">
      <c r="A923" t="s">
        <v>72</v>
      </c>
      <c r="B923" t="s">
        <v>73</v>
      </c>
      <c r="C923" t="s">
        <v>74</v>
      </c>
      <c r="E923" t="str">
        <f>"FES1162727341"</f>
        <v>FES1162727341</v>
      </c>
      <c r="F923" s="3">
        <v>43808</v>
      </c>
      <c r="G923">
        <v>202006</v>
      </c>
      <c r="H923" t="s">
        <v>75</v>
      </c>
      <c r="I923" t="s">
        <v>76</v>
      </c>
      <c r="J923" t="s">
        <v>77</v>
      </c>
      <c r="K923" t="s">
        <v>78</v>
      </c>
      <c r="L923" t="s">
        <v>577</v>
      </c>
      <c r="M923" t="s">
        <v>578</v>
      </c>
      <c r="N923" t="s">
        <v>579</v>
      </c>
      <c r="O923" t="s">
        <v>82</v>
      </c>
      <c r="P923" t="str">
        <f>"2170720377                    "</f>
        <v xml:space="preserve">2170720377                    </v>
      </c>
      <c r="Q923">
        <v>0</v>
      </c>
      <c r="R923">
        <v>0</v>
      </c>
      <c r="S923">
        <v>0</v>
      </c>
      <c r="T923">
        <v>0</v>
      </c>
      <c r="U923">
        <v>0</v>
      </c>
      <c r="V923">
        <v>0</v>
      </c>
      <c r="W923">
        <v>0</v>
      </c>
      <c r="X923">
        <v>0</v>
      </c>
      <c r="Y923">
        <v>0</v>
      </c>
      <c r="Z923">
        <v>0</v>
      </c>
      <c r="AA923">
        <v>0</v>
      </c>
      <c r="AB923">
        <v>0</v>
      </c>
      <c r="AC923">
        <v>0</v>
      </c>
      <c r="AD923">
        <v>0</v>
      </c>
      <c r="AE923">
        <v>0</v>
      </c>
      <c r="AF923">
        <v>0</v>
      </c>
      <c r="AG923">
        <v>0</v>
      </c>
      <c r="AH923">
        <v>0</v>
      </c>
      <c r="AI923">
        <v>0</v>
      </c>
      <c r="AJ923">
        <v>0</v>
      </c>
      <c r="AK923">
        <v>0</v>
      </c>
      <c r="AL923">
        <v>0</v>
      </c>
      <c r="AM923">
        <v>36.46</v>
      </c>
      <c r="AN923">
        <v>0</v>
      </c>
      <c r="AO923">
        <v>0</v>
      </c>
      <c r="AP923">
        <v>0</v>
      </c>
      <c r="AQ923">
        <v>0</v>
      </c>
      <c r="AR923">
        <v>0</v>
      </c>
      <c r="AS923">
        <v>0</v>
      </c>
      <c r="AT923">
        <v>0</v>
      </c>
      <c r="AU923">
        <v>0</v>
      </c>
      <c r="AV923">
        <v>0</v>
      </c>
      <c r="AW923">
        <v>0</v>
      </c>
      <c r="AX923">
        <v>0</v>
      </c>
      <c r="AY923">
        <v>0</v>
      </c>
      <c r="AZ923">
        <v>0</v>
      </c>
      <c r="BA923">
        <v>0</v>
      </c>
      <c r="BB923">
        <v>0</v>
      </c>
      <c r="BC923">
        <v>0</v>
      </c>
      <c r="BD923">
        <v>0</v>
      </c>
      <c r="BE923">
        <v>0</v>
      </c>
      <c r="BF923">
        <v>0</v>
      </c>
      <c r="BG923">
        <v>0</v>
      </c>
      <c r="BH923">
        <v>1</v>
      </c>
      <c r="BI923">
        <v>8.5</v>
      </c>
      <c r="BJ923">
        <v>3.6</v>
      </c>
      <c r="BK923">
        <v>8.5</v>
      </c>
      <c r="BL923" s="4">
        <v>214.31</v>
      </c>
      <c r="BM923" s="4">
        <v>32.15</v>
      </c>
      <c r="BN923" s="4">
        <v>246.46</v>
      </c>
      <c r="BO923" s="4">
        <v>246.46</v>
      </c>
      <c r="BQ923" t="s">
        <v>147</v>
      </c>
      <c r="BR923" t="s">
        <v>84</v>
      </c>
      <c r="BS923" s="3">
        <v>43809</v>
      </c>
      <c r="BT923" s="5">
        <v>0.42499999999999999</v>
      </c>
      <c r="BU923" t="s">
        <v>1253</v>
      </c>
      <c r="BV923" t="s">
        <v>86</v>
      </c>
      <c r="BY923">
        <v>18006.68</v>
      </c>
      <c r="CC923" t="s">
        <v>578</v>
      </c>
      <c r="CD923">
        <v>6536</v>
      </c>
      <c r="CE923" t="s">
        <v>116</v>
      </c>
      <c r="CF923" s="3">
        <v>43810</v>
      </c>
      <c r="CI923">
        <v>1</v>
      </c>
      <c r="CJ923">
        <v>1</v>
      </c>
      <c r="CK923">
        <v>21</v>
      </c>
      <c r="CL923" t="s">
        <v>89</v>
      </c>
    </row>
    <row r="924" spans="1:90">
      <c r="A924" t="s">
        <v>72</v>
      </c>
      <c r="B924" t="s">
        <v>73</v>
      </c>
      <c r="C924" t="s">
        <v>74</v>
      </c>
      <c r="E924" t="str">
        <f>"FES1162727349"</f>
        <v>FES1162727349</v>
      </c>
      <c r="F924" s="3">
        <v>43808</v>
      </c>
      <c r="G924">
        <v>202006</v>
      </c>
      <c r="H924" t="s">
        <v>75</v>
      </c>
      <c r="I924" t="s">
        <v>76</v>
      </c>
      <c r="J924" t="s">
        <v>77</v>
      </c>
      <c r="K924" t="s">
        <v>78</v>
      </c>
      <c r="L924" t="s">
        <v>90</v>
      </c>
      <c r="M924" t="s">
        <v>91</v>
      </c>
      <c r="N924" t="s">
        <v>110</v>
      </c>
      <c r="O924" t="s">
        <v>82</v>
      </c>
      <c r="P924" t="str">
        <f>"21707120828                   "</f>
        <v xml:space="preserve">21707120828                   </v>
      </c>
      <c r="Q924">
        <v>0</v>
      </c>
      <c r="R924">
        <v>0</v>
      </c>
      <c r="S924">
        <v>0</v>
      </c>
      <c r="T924">
        <v>0</v>
      </c>
      <c r="U924">
        <v>0</v>
      </c>
      <c r="V924">
        <v>0</v>
      </c>
      <c r="W924">
        <v>0</v>
      </c>
      <c r="X924">
        <v>0</v>
      </c>
      <c r="Y924">
        <v>0</v>
      </c>
      <c r="Z924">
        <v>0</v>
      </c>
      <c r="AA924">
        <v>0</v>
      </c>
      <c r="AB924">
        <v>0</v>
      </c>
      <c r="AC924">
        <v>0</v>
      </c>
      <c r="AD924">
        <v>0</v>
      </c>
      <c r="AE924">
        <v>0</v>
      </c>
      <c r="AF924">
        <v>0</v>
      </c>
      <c r="AG924">
        <v>0</v>
      </c>
      <c r="AH924">
        <v>0</v>
      </c>
      <c r="AI924">
        <v>0</v>
      </c>
      <c r="AJ924">
        <v>0</v>
      </c>
      <c r="AK924">
        <v>0</v>
      </c>
      <c r="AL924">
        <v>0</v>
      </c>
      <c r="AM924">
        <v>23.59</v>
      </c>
      <c r="AN924">
        <v>0</v>
      </c>
      <c r="AO924">
        <v>0</v>
      </c>
      <c r="AP924">
        <v>0</v>
      </c>
      <c r="AQ924">
        <v>0</v>
      </c>
      <c r="AR924">
        <v>0</v>
      </c>
      <c r="AS924">
        <v>0</v>
      </c>
      <c r="AT924">
        <v>0</v>
      </c>
      <c r="AU924">
        <v>0</v>
      </c>
      <c r="AV924">
        <v>0</v>
      </c>
      <c r="AW924">
        <v>0</v>
      </c>
      <c r="AX924">
        <v>0</v>
      </c>
      <c r="AY924">
        <v>0</v>
      </c>
      <c r="AZ924">
        <v>0</v>
      </c>
      <c r="BA924">
        <v>0</v>
      </c>
      <c r="BB924">
        <v>0</v>
      </c>
      <c r="BC924">
        <v>0</v>
      </c>
      <c r="BD924">
        <v>0</v>
      </c>
      <c r="BE924">
        <v>0</v>
      </c>
      <c r="BF924">
        <v>0</v>
      </c>
      <c r="BG924">
        <v>0</v>
      </c>
      <c r="BH924">
        <v>1</v>
      </c>
      <c r="BI924">
        <v>4.0999999999999996</v>
      </c>
      <c r="BJ924">
        <v>5.0999999999999996</v>
      </c>
      <c r="BK924">
        <v>5.5</v>
      </c>
      <c r="BL924" s="4">
        <v>138.68</v>
      </c>
      <c r="BM924" s="4">
        <v>20.8</v>
      </c>
      <c r="BN924" s="4">
        <v>159.47999999999999</v>
      </c>
      <c r="BO924" s="4">
        <v>159.47999999999999</v>
      </c>
      <c r="BQ924" t="s">
        <v>147</v>
      </c>
      <c r="BR924" t="s">
        <v>84</v>
      </c>
      <c r="BS924" s="3">
        <v>43809</v>
      </c>
      <c r="BT924" s="5">
        <v>0.31388888888888888</v>
      </c>
      <c r="BU924" t="s">
        <v>111</v>
      </c>
      <c r="BV924" t="s">
        <v>86</v>
      </c>
      <c r="BY924">
        <v>25455.64</v>
      </c>
      <c r="CA924" t="s">
        <v>112</v>
      </c>
      <c r="CC924" t="s">
        <v>91</v>
      </c>
      <c r="CD924">
        <v>7405</v>
      </c>
      <c r="CE924" t="s">
        <v>96</v>
      </c>
      <c r="CF924" s="3">
        <v>43810</v>
      </c>
      <c r="CI924">
        <v>1</v>
      </c>
      <c r="CJ924">
        <v>1</v>
      </c>
      <c r="CK924">
        <v>21</v>
      </c>
      <c r="CL924" t="s">
        <v>89</v>
      </c>
    </row>
    <row r="925" spans="1:90">
      <c r="A925" t="s">
        <v>72</v>
      </c>
      <c r="B925" t="s">
        <v>73</v>
      </c>
      <c r="C925" t="s">
        <v>74</v>
      </c>
      <c r="E925" t="str">
        <f>"FES1162727313"</f>
        <v>FES1162727313</v>
      </c>
      <c r="F925" s="3">
        <v>43808</v>
      </c>
      <c r="G925">
        <v>202006</v>
      </c>
      <c r="H925" t="s">
        <v>75</v>
      </c>
      <c r="I925" t="s">
        <v>76</v>
      </c>
      <c r="J925" t="s">
        <v>77</v>
      </c>
      <c r="K925" t="s">
        <v>78</v>
      </c>
      <c r="L925" t="s">
        <v>201</v>
      </c>
      <c r="M925" t="s">
        <v>202</v>
      </c>
      <c r="N925" t="s">
        <v>511</v>
      </c>
      <c r="O925" t="s">
        <v>82</v>
      </c>
      <c r="P925" t="str">
        <f>"2170720793                    "</f>
        <v xml:space="preserve">2170720793                    </v>
      </c>
      <c r="Q925">
        <v>0</v>
      </c>
      <c r="R925">
        <v>0</v>
      </c>
      <c r="S925">
        <v>0</v>
      </c>
      <c r="T925">
        <v>0</v>
      </c>
      <c r="U925">
        <v>0</v>
      </c>
      <c r="V925">
        <v>0</v>
      </c>
      <c r="W925">
        <v>0</v>
      </c>
      <c r="X925">
        <v>0</v>
      </c>
      <c r="Y925">
        <v>0</v>
      </c>
      <c r="Z925">
        <v>0</v>
      </c>
      <c r="AA925">
        <v>0</v>
      </c>
      <c r="AB925">
        <v>0</v>
      </c>
      <c r="AC925">
        <v>0</v>
      </c>
      <c r="AD925">
        <v>0</v>
      </c>
      <c r="AE925">
        <v>0</v>
      </c>
      <c r="AF925">
        <v>0</v>
      </c>
      <c r="AG925">
        <v>0</v>
      </c>
      <c r="AH925">
        <v>0</v>
      </c>
      <c r="AI925">
        <v>0</v>
      </c>
      <c r="AJ925">
        <v>0</v>
      </c>
      <c r="AK925">
        <v>0</v>
      </c>
      <c r="AL925">
        <v>0</v>
      </c>
      <c r="AM925">
        <v>8.58</v>
      </c>
      <c r="AN925">
        <v>0</v>
      </c>
      <c r="AO925">
        <v>0</v>
      </c>
      <c r="AP925">
        <v>0</v>
      </c>
      <c r="AQ925">
        <v>0</v>
      </c>
      <c r="AR925">
        <v>0</v>
      </c>
      <c r="AS925">
        <v>0</v>
      </c>
      <c r="AT925">
        <v>0</v>
      </c>
      <c r="AU925">
        <v>0</v>
      </c>
      <c r="AV925">
        <v>0</v>
      </c>
      <c r="AW925">
        <v>0</v>
      </c>
      <c r="AX925">
        <v>0</v>
      </c>
      <c r="AY925">
        <v>0</v>
      </c>
      <c r="AZ925">
        <v>0</v>
      </c>
      <c r="BA925">
        <v>0</v>
      </c>
      <c r="BB925">
        <v>0</v>
      </c>
      <c r="BC925">
        <v>0</v>
      </c>
      <c r="BD925">
        <v>0</v>
      </c>
      <c r="BE925">
        <v>0</v>
      </c>
      <c r="BF925">
        <v>0</v>
      </c>
      <c r="BG925">
        <v>0</v>
      </c>
      <c r="BH925">
        <v>1</v>
      </c>
      <c r="BI925">
        <v>1</v>
      </c>
      <c r="BJ925">
        <v>0.2</v>
      </c>
      <c r="BK925">
        <v>1</v>
      </c>
      <c r="BL925" s="4">
        <v>50.45</v>
      </c>
      <c r="BM925" s="4">
        <v>7.57</v>
      </c>
      <c r="BN925" s="4">
        <v>58.02</v>
      </c>
      <c r="BO925" s="4">
        <v>58.02</v>
      </c>
      <c r="BQ925" t="s">
        <v>93</v>
      </c>
      <c r="BR925" t="s">
        <v>84</v>
      </c>
      <c r="BS925" s="3">
        <v>43809</v>
      </c>
      <c r="BT925" s="5">
        <v>0.3527777777777778</v>
      </c>
      <c r="BU925" t="s">
        <v>512</v>
      </c>
      <c r="BV925" t="s">
        <v>86</v>
      </c>
      <c r="BY925">
        <v>1200</v>
      </c>
      <c r="CA925" t="s">
        <v>288</v>
      </c>
      <c r="CC925" t="s">
        <v>202</v>
      </c>
      <c r="CD925">
        <v>3610</v>
      </c>
      <c r="CE925" t="s">
        <v>88</v>
      </c>
      <c r="CF925" s="3">
        <v>43809</v>
      </c>
      <c r="CI925">
        <v>1</v>
      </c>
      <c r="CJ925">
        <v>1</v>
      </c>
      <c r="CK925">
        <v>21</v>
      </c>
      <c r="CL925" t="s">
        <v>89</v>
      </c>
    </row>
    <row r="926" spans="1:90">
      <c r="A926" t="s">
        <v>72</v>
      </c>
      <c r="B926" t="s">
        <v>73</v>
      </c>
      <c r="C926" t="s">
        <v>74</v>
      </c>
      <c r="E926" t="str">
        <f>"FES1162726360"</f>
        <v>FES1162726360</v>
      </c>
      <c r="F926" s="3">
        <v>43808</v>
      </c>
      <c r="G926">
        <v>202006</v>
      </c>
      <c r="H926" t="s">
        <v>75</v>
      </c>
      <c r="I926" t="s">
        <v>76</v>
      </c>
      <c r="J926" t="s">
        <v>77</v>
      </c>
      <c r="K926" t="s">
        <v>78</v>
      </c>
      <c r="L926" t="s">
        <v>75</v>
      </c>
      <c r="M926" t="s">
        <v>76</v>
      </c>
      <c r="N926" t="s">
        <v>312</v>
      </c>
      <c r="O926" t="s">
        <v>82</v>
      </c>
      <c r="P926" t="str">
        <f>"2170717961                    "</f>
        <v xml:space="preserve">2170717961                    </v>
      </c>
      <c r="Q926">
        <v>0</v>
      </c>
      <c r="R926">
        <v>0</v>
      </c>
      <c r="S926">
        <v>0</v>
      </c>
      <c r="T926">
        <v>0</v>
      </c>
      <c r="U926">
        <v>0</v>
      </c>
      <c r="V926">
        <v>0</v>
      </c>
      <c r="W926">
        <v>0</v>
      </c>
      <c r="X926">
        <v>0</v>
      </c>
      <c r="Y926">
        <v>0</v>
      </c>
      <c r="Z926">
        <v>0</v>
      </c>
      <c r="AA926">
        <v>0</v>
      </c>
      <c r="AB926">
        <v>0</v>
      </c>
      <c r="AC926">
        <v>0</v>
      </c>
      <c r="AD926">
        <v>0</v>
      </c>
      <c r="AE926">
        <v>0</v>
      </c>
      <c r="AF926">
        <v>0</v>
      </c>
      <c r="AG926">
        <v>0</v>
      </c>
      <c r="AH926">
        <v>0</v>
      </c>
      <c r="AI926">
        <v>0</v>
      </c>
      <c r="AJ926">
        <v>0</v>
      </c>
      <c r="AK926">
        <v>0</v>
      </c>
      <c r="AL926">
        <v>0</v>
      </c>
      <c r="AM926">
        <v>17.96</v>
      </c>
      <c r="AN926">
        <v>0</v>
      </c>
      <c r="AO926">
        <v>0</v>
      </c>
      <c r="AP926">
        <v>0</v>
      </c>
      <c r="AQ926">
        <v>0</v>
      </c>
      <c r="AR926">
        <v>0</v>
      </c>
      <c r="AS926">
        <v>0</v>
      </c>
      <c r="AT926">
        <v>0</v>
      </c>
      <c r="AU926">
        <v>0</v>
      </c>
      <c r="AV926">
        <v>0</v>
      </c>
      <c r="AW926">
        <v>0</v>
      </c>
      <c r="AX926">
        <v>0</v>
      </c>
      <c r="AY926">
        <v>0</v>
      </c>
      <c r="AZ926">
        <v>0</v>
      </c>
      <c r="BA926">
        <v>0</v>
      </c>
      <c r="BB926">
        <v>0</v>
      </c>
      <c r="BC926">
        <v>0</v>
      </c>
      <c r="BD926">
        <v>0</v>
      </c>
      <c r="BE926">
        <v>0</v>
      </c>
      <c r="BF926">
        <v>0</v>
      </c>
      <c r="BG926">
        <v>0</v>
      </c>
      <c r="BH926">
        <v>1</v>
      </c>
      <c r="BI926">
        <v>9</v>
      </c>
      <c r="BJ926">
        <v>4.0999999999999996</v>
      </c>
      <c r="BK926">
        <v>9</v>
      </c>
      <c r="BL926" s="4">
        <v>105.55</v>
      </c>
      <c r="BM926" s="4">
        <v>15.83</v>
      </c>
      <c r="BN926" s="4">
        <v>121.38</v>
      </c>
      <c r="BO926" s="4">
        <v>121.38</v>
      </c>
      <c r="BQ926" t="s">
        <v>147</v>
      </c>
      <c r="BR926" t="s">
        <v>84</v>
      </c>
      <c r="BS926" s="3">
        <v>43809</v>
      </c>
      <c r="BT926" s="5">
        <v>0.50694444444444442</v>
      </c>
      <c r="BU926" t="s">
        <v>1462</v>
      </c>
      <c r="BV926" t="s">
        <v>89</v>
      </c>
      <c r="BW926" t="s">
        <v>228</v>
      </c>
      <c r="BX926" t="s">
        <v>229</v>
      </c>
      <c r="BY926">
        <v>20358</v>
      </c>
      <c r="CA926" t="s">
        <v>314</v>
      </c>
      <c r="CC926" t="s">
        <v>76</v>
      </c>
      <c r="CD926">
        <v>1609</v>
      </c>
      <c r="CE926" t="s">
        <v>96</v>
      </c>
      <c r="CF926" s="3">
        <v>43810</v>
      </c>
      <c r="CI926">
        <v>1</v>
      </c>
      <c r="CJ926">
        <v>1</v>
      </c>
      <c r="CK926">
        <v>22</v>
      </c>
      <c r="CL926" t="s">
        <v>89</v>
      </c>
    </row>
    <row r="927" spans="1:90">
      <c r="A927" t="s">
        <v>72</v>
      </c>
      <c r="B927" t="s">
        <v>73</v>
      </c>
      <c r="C927" t="s">
        <v>74</v>
      </c>
      <c r="E927" t="str">
        <f>"FES1162727274"</f>
        <v>FES1162727274</v>
      </c>
      <c r="F927" s="3">
        <v>43808</v>
      </c>
      <c r="G927">
        <v>202006</v>
      </c>
      <c r="H927" t="s">
        <v>75</v>
      </c>
      <c r="I927" t="s">
        <v>76</v>
      </c>
      <c r="J927" t="s">
        <v>77</v>
      </c>
      <c r="K927" t="s">
        <v>78</v>
      </c>
      <c r="L927" t="s">
        <v>332</v>
      </c>
      <c r="M927" t="s">
        <v>333</v>
      </c>
      <c r="N927" t="s">
        <v>701</v>
      </c>
      <c r="O927" t="s">
        <v>82</v>
      </c>
      <c r="P927" t="str">
        <f>"2170710766                    "</f>
        <v xml:space="preserve">2170710766                    </v>
      </c>
      <c r="Q927">
        <v>0</v>
      </c>
      <c r="R927">
        <v>0</v>
      </c>
      <c r="S927">
        <v>0</v>
      </c>
      <c r="T927">
        <v>0</v>
      </c>
      <c r="U927">
        <v>0</v>
      </c>
      <c r="V927">
        <v>0</v>
      </c>
      <c r="W927">
        <v>0</v>
      </c>
      <c r="X927">
        <v>0</v>
      </c>
      <c r="Y927">
        <v>0</v>
      </c>
      <c r="Z927">
        <v>0</v>
      </c>
      <c r="AA927">
        <v>0</v>
      </c>
      <c r="AB927">
        <v>0</v>
      </c>
      <c r="AC927">
        <v>0</v>
      </c>
      <c r="AD927">
        <v>0</v>
      </c>
      <c r="AE927">
        <v>0</v>
      </c>
      <c r="AF927">
        <v>0</v>
      </c>
      <c r="AG927">
        <v>0</v>
      </c>
      <c r="AH927">
        <v>0</v>
      </c>
      <c r="AI927">
        <v>0</v>
      </c>
      <c r="AJ927">
        <v>0</v>
      </c>
      <c r="AK927">
        <v>0</v>
      </c>
      <c r="AL927">
        <v>0</v>
      </c>
      <c r="AM927">
        <v>8.31</v>
      </c>
      <c r="AN927">
        <v>0</v>
      </c>
      <c r="AO927">
        <v>0</v>
      </c>
      <c r="AP927">
        <v>0</v>
      </c>
      <c r="AQ927">
        <v>0</v>
      </c>
      <c r="AR927">
        <v>0</v>
      </c>
      <c r="AS927">
        <v>0</v>
      </c>
      <c r="AT927">
        <v>0</v>
      </c>
      <c r="AU927">
        <v>0</v>
      </c>
      <c r="AV927">
        <v>0</v>
      </c>
      <c r="AW927">
        <v>0</v>
      </c>
      <c r="AX927">
        <v>0</v>
      </c>
      <c r="AY927">
        <v>0</v>
      </c>
      <c r="AZ927">
        <v>0</v>
      </c>
      <c r="BA927">
        <v>0</v>
      </c>
      <c r="BB927">
        <v>0</v>
      </c>
      <c r="BC927">
        <v>0</v>
      </c>
      <c r="BD927">
        <v>0</v>
      </c>
      <c r="BE927">
        <v>0</v>
      </c>
      <c r="BF927">
        <v>0</v>
      </c>
      <c r="BG927">
        <v>0</v>
      </c>
      <c r="BH927">
        <v>1</v>
      </c>
      <c r="BI927">
        <v>2.9</v>
      </c>
      <c r="BJ927">
        <v>1.3</v>
      </c>
      <c r="BK927">
        <v>3</v>
      </c>
      <c r="BL927" s="4">
        <v>48.86</v>
      </c>
      <c r="BM927" s="4">
        <v>7.33</v>
      </c>
      <c r="BN927" s="4">
        <v>56.19</v>
      </c>
      <c r="BO927" s="4">
        <v>56.19</v>
      </c>
      <c r="BQ927" t="s">
        <v>93</v>
      </c>
      <c r="BR927" t="s">
        <v>84</v>
      </c>
      <c r="BS927" s="3">
        <v>43809</v>
      </c>
      <c r="BT927" s="5">
        <v>0.38125000000000003</v>
      </c>
      <c r="BU927" t="s">
        <v>142</v>
      </c>
      <c r="BV927" t="s">
        <v>86</v>
      </c>
      <c r="BY927">
        <v>6451.14</v>
      </c>
      <c r="CC927" t="s">
        <v>333</v>
      </c>
      <c r="CD927">
        <v>2094</v>
      </c>
      <c r="CE927" t="s">
        <v>96</v>
      </c>
      <c r="CF927" s="3">
        <v>43810</v>
      </c>
      <c r="CI927">
        <v>1</v>
      </c>
      <c r="CJ927">
        <v>1</v>
      </c>
      <c r="CK927">
        <v>22</v>
      </c>
      <c r="CL927" t="s">
        <v>89</v>
      </c>
    </row>
    <row r="928" spans="1:90">
      <c r="A928" t="s">
        <v>72</v>
      </c>
      <c r="B928" t="s">
        <v>73</v>
      </c>
      <c r="C928" t="s">
        <v>74</v>
      </c>
      <c r="E928" t="str">
        <f>"FES1162727290"</f>
        <v>FES1162727290</v>
      </c>
      <c r="F928" s="3">
        <v>43808</v>
      </c>
      <c r="G928">
        <v>202006</v>
      </c>
      <c r="H928" t="s">
        <v>75</v>
      </c>
      <c r="I928" t="s">
        <v>76</v>
      </c>
      <c r="J928" t="s">
        <v>77</v>
      </c>
      <c r="K928" t="s">
        <v>78</v>
      </c>
      <c r="L928" t="s">
        <v>198</v>
      </c>
      <c r="M928" t="s">
        <v>199</v>
      </c>
      <c r="N928" t="s">
        <v>1463</v>
      </c>
      <c r="O928" t="s">
        <v>82</v>
      </c>
      <c r="P928" t="str">
        <f>"2170718117                    "</f>
        <v xml:space="preserve">2170718117                    </v>
      </c>
      <c r="Q928">
        <v>0</v>
      </c>
      <c r="R928">
        <v>0</v>
      </c>
      <c r="S928">
        <v>0</v>
      </c>
      <c r="T928">
        <v>0</v>
      </c>
      <c r="U928">
        <v>0</v>
      </c>
      <c r="V928">
        <v>0</v>
      </c>
      <c r="W928">
        <v>0</v>
      </c>
      <c r="X928">
        <v>0</v>
      </c>
      <c r="Y928">
        <v>0</v>
      </c>
      <c r="Z928">
        <v>0</v>
      </c>
      <c r="AA928">
        <v>0</v>
      </c>
      <c r="AB928">
        <v>0</v>
      </c>
      <c r="AC928">
        <v>0</v>
      </c>
      <c r="AD928">
        <v>0</v>
      </c>
      <c r="AE928">
        <v>0</v>
      </c>
      <c r="AF928">
        <v>0</v>
      </c>
      <c r="AG928">
        <v>0</v>
      </c>
      <c r="AH928">
        <v>0</v>
      </c>
      <c r="AI928">
        <v>0</v>
      </c>
      <c r="AJ928">
        <v>0</v>
      </c>
      <c r="AK928">
        <v>0</v>
      </c>
      <c r="AL928">
        <v>0</v>
      </c>
      <c r="AM928">
        <v>8.58</v>
      </c>
      <c r="AN928">
        <v>0</v>
      </c>
      <c r="AO928">
        <v>0</v>
      </c>
      <c r="AP928">
        <v>0</v>
      </c>
      <c r="AQ928">
        <v>0</v>
      </c>
      <c r="AR928">
        <v>0</v>
      </c>
      <c r="AS928">
        <v>0</v>
      </c>
      <c r="AT928">
        <v>0</v>
      </c>
      <c r="AU928">
        <v>0</v>
      </c>
      <c r="AV928">
        <v>0</v>
      </c>
      <c r="AW928">
        <v>0</v>
      </c>
      <c r="AX928">
        <v>0</v>
      </c>
      <c r="AY928">
        <v>0</v>
      </c>
      <c r="AZ928">
        <v>0</v>
      </c>
      <c r="BA928">
        <v>0</v>
      </c>
      <c r="BB928">
        <v>0</v>
      </c>
      <c r="BC928">
        <v>0</v>
      </c>
      <c r="BD928">
        <v>0</v>
      </c>
      <c r="BE928">
        <v>0</v>
      </c>
      <c r="BF928">
        <v>0</v>
      </c>
      <c r="BG928">
        <v>0</v>
      </c>
      <c r="BH928">
        <v>1</v>
      </c>
      <c r="BI928">
        <v>2</v>
      </c>
      <c r="BJ928">
        <v>1.5</v>
      </c>
      <c r="BK928">
        <v>2</v>
      </c>
      <c r="BL928" s="4">
        <v>50.45</v>
      </c>
      <c r="BM928" s="4">
        <v>7.57</v>
      </c>
      <c r="BN928" s="4">
        <v>58.02</v>
      </c>
      <c r="BO928" s="4">
        <v>58.02</v>
      </c>
      <c r="BQ928" t="s">
        <v>1464</v>
      </c>
      <c r="BR928" t="s">
        <v>84</v>
      </c>
      <c r="BS928" s="3">
        <v>43811</v>
      </c>
      <c r="BT928" s="5">
        <v>0.4069444444444445</v>
      </c>
      <c r="BU928" t="s">
        <v>1465</v>
      </c>
      <c r="BV928" t="s">
        <v>89</v>
      </c>
      <c r="BW928" t="s">
        <v>1466</v>
      </c>
      <c r="BX928" t="s">
        <v>1163</v>
      </c>
      <c r="BY928">
        <v>7540</v>
      </c>
      <c r="CA928" t="s">
        <v>941</v>
      </c>
      <c r="CC928" t="s">
        <v>199</v>
      </c>
      <c r="CD928">
        <v>4052</v>
      </c>
      <c r="CE928" t="s">
        <v>96</v>
      </c>
      <c r="CF928" s="3">
        <v>43812</v>
      </c>
      <c r="CI928">
        <v>1</v>
      </c>
      <c r="CJ928">
        <v>3</v>
      </c>
      <c r="CK928">
        <v>21</v>
      </c>
      <c r="CL928" t="s">
        <v>89</v>
      </c>
    </row>
    <row r="929" spans="1:90">
      <c r="A929" t="s">
        <v>72</v>
      </c>
      <c r="B929" t="s">
        <v>73</v>
      </c>
      <c r="C929" t="s">
        <v>74</v>
      </c>
      <c r="E929" t="str">
        <f>"FES1162727295"</f>
        <v>FES1162727295</v>
      </c>
      <c r="F929" s="3">
        <v>43808</v>
      </c>
      <c r="G929">
        <v>202006</v>
      </c>
      <c r="H929" t="s">
        <v>75</v>
      </c>
      <c r="I929" t="s">
        <v>76</v>
      </c>
      <c r="J929" t="s">
        <v>77</v>
      </c>
      <c r="K929" t="s">
        <v>78</v>
      </c>
      <c r="L929" t="s">
        <v>201</v>
      </c>
      <c r="M929" t="s">
        <v>202</v>
      </c>
      <c r="N929" t="s">
        <v>335</v>
      </c>
      <c r="O929" t="s">
        <v>82</v>
      </c>
      <c r="P929" t="str">
        <f>"2170719325                    "</f>
        <v xml:space="preserve">2170719325                    </v>
      </c>
      <c r="Q929">
        <v>0</v>
      </c>
      <c r="R929">
        <v>0</v>
      </c>
      <c r="S929">
        <v>0</v>
      </c>
      <c r="T929">
        <v>0</v>
      </c>
      <c r="U929">
        <v>0</v>
      </c>
      <c r="V929">
        <v>0</v>
      </c>
      <c r="W929">
        <v>0</v>
      </c>
      <c r="X929">
        <v>0</v>
      </c>
      <c r="Y929">
        <v>0</v>
      </c>
      <c r="Z929">
        <v>0</v>
      </c>
      <c r="AA929">
        <v>0</v>
      </c>
      <c r="AB929">
        <v>0</v>
      </c>
      <c r="AC929">
        <v>0</v>
      </c>
      <c r="AD929">
        <v>0</v>
      </c>
      <c r="AE929">
        <v>0</v>
      </c>
      <c r="AF929">
        <v>0</v>
      </c>
      <c r="AG929">
        <v>0</v>
      </c>
      <c r="AH929">
        <v>0</v>
      </c>
      <c r="AI929">
        <v>0</v>
      </c>
      <c r="AJ929">
        <v>0</v>
      </c>
      <c r="AK929">
        <v>0</v>
      </c>
      <c r="AL929">
        <v>0</v>
      </c>
      <c r="AM929">
        <v>8.58</v>
      </c>
      <c r="AN929">
        <v>0</v>
      </c>
      <c r="AO929">
        <v>0</v>
      </c>
      <c r="AP929">
        <v>0</v>
      </c>
      <c r="AQ929">
        <v>0</v>
      </c>
      <c r="AR929">
        <v>0</v>
      </c>
      <c r="AS929">
        <v>0</v>
      </c>
      <c r="AT929">
        <v>0</v>
      </c>
      <c r="AU929">
        <v>0</v>
      </c>
      <c r="AV929">
        <v>0</v>
      </c>
      <c r="AW929">
        <v>0</v>
      </c>
      <c r="AX929">
        <v>0</v>
      </c>
      <c r="AY929">
        <v>0</v>
      </c>
      <c r="AZ929">
        <v>0</v>
      </c>
      <c r="BA929">
        <v>0</v>
      </c>
      <c r="BB929">
        <v>0</v>
      </c>
      <c r="BC929">
        <v>0</v>
      </c>
      <c r="BD929">
        <v>0</v>
      </c>
      <c r="BE929">
        <v>0</v>
      </c>
      <c r="BF929">
        <v>0</v>
      </c>
      <c r="BG929">
        <v>0</v>
      </c>
      <c r="BH929">
        <v>1</v>
      </c>
      <c r="BI929">
        <v>1</v>
      </c>
      <c r="BJ929">
        <v>0.2</v>
      </c>
      <c r="BK929">
        <v>1</v>
      </c>
      <c r="BL929" s="4">
        <v>50.45</v>
      </c>
      <c r="BM929" s="4">
        <v>7.57</v>
      </c>
      <c r="BN929" s="4">
        <v>58.02</v>
      </c>
      <c r="BO929" s="4">
        <v>58.02</v>
      </c>
      <c r="BQ929" t="s">
        <v>147</v>
      </c>
      <c r="BR929" t="s">
        <v>84</v>
      </c>
      <c r="BS929" s="3">
        <v>43809</v>
      </c>
      <c r="BT929" s="5">
        <v>0.39930555555555558</v>
      </c>
      <c r="BU929" t="s">
        <v>1269</v>
      </c>
      <c r="BV929" t="s">
        <v>86</v>
      </c>
      <c r="BY929">
        <v>1200</v>
      </c>
      <c r="CA929" t="s">
        <v>288</v>
      </c>
      <c r="CC929" t="s">
        <v>202</v>
      </c>
      <c r="CD929">
        <v>3600</v>
      </c>
      <c r="CE929" t="s">
        <v>88</v>
      </c>
      <c r="CF929" s="3">
        <v>43809</v>
      </c>
      <c r="CI929">
        <v>1</v>
      </c>
      <c r="CJ929">
        <v>1</v>
      </c>
      <c r="CK929">
        <v>21</v>
      </c>
      <c r="CL929" t="s">
        <v>89</v>
      </c>
    </row>
    <row r="930" spans="1:90">
      <c r="A930" t="s">
        <v>72</v>
      </c>
      <c r="B930" t="s">
        <v>73</v>
      </c>
      <c r="C930" t="s">
        <v>74</v>
      </c>
      <c r="E930" t="str">
        <f>"FES1162727280"</f>
        <v>FES1162727280</v>
      </c>
      <c r="F930" s="3">
        <v>43808</v>
      </c>
      <c r="G930">
        <v>202006</v>
      </c>
      <c r="H930" t="s">
        <v>75</v>
      </c>
      <c r="I930" t="s">
        <v>76</v>
      </c>
      <c r="J930" t="s">
        <v>77</v>
      </c>
      <c r="K930" t="s">
        <v>78</v>
      </c>
      <c r="L930" t="s">
        <v>198</v>
      </c>
      <c r="M930" t="s">
        <v>199</v>
      </c>
      <c r="N930" t="s">
        <v>280</v>
      </c>
      <c r="O930" t="s">
        <v>82</v>
      </c>
      <c r="P930" t="str">
        <f>"2170720775                    "</f>
        <v xml:space="preserve">2170720775                    </v>
      </c>
      <c r="Q930">
        <v>0</v>
      </c>
      <c r="R930">
        <v>0</v>
      </c>
      <c r="S930">
        <v>0</v>
      </c>
      <c r="T930">
        <v>0</v>
      </c>
      <c r="U930">
        <v>0</v>
      </c>
      <c r="V930">
        <v>0</v>
      </c>
      <c r="W930">
        <v>0</v>
      </c>
      <c r="X930">
        <v>0</v>
      </c>
      <c r="Y930">
        <v>0</v>
      </c>
      <c r="Z930">
        <v>0</v>
      </c>
      <c r="AA930">
        <v>0</v>
      </c>
      <c r="AB930">
        <v>0</v>
      </c>
      <c r="AC930">
        <v>0</v>
      </c>
      <c r="AD930">
        <v>0</v>
      </c>
      <c r="AE930">
        <v>0</v>
      </c>
      <c r="AF930">
        <v>0</v>
      </c>
      <c r="AG930">
        <v>0</v>
      </c>
      <c r="AH930">
        <v>0</v>
      </c>
      <c r="AI930">
        <v>0</v>
      </c>
      <c r="AJ930">
        <v>0</v>
      </c>
      <c r="AK930">
        <v>0</v>
      </c>
      <c r="AL930">
        <v>0</v>
      </c>
      <c r="AM930">
        <v>8.58</v>
      </c>
      <c r="AN930">
        <v>0</v>
      </c>
      <c r="AO930">
        <v>0</v>
      </c>
      <c r="AP930">
        <v>0</v>
      </c>
      <c r="AQ930">
        <v>0</v>
      </c>
      <c r="AR930">
        <v>0</v>
      </c>
      <c r="AS930">
        <v>0</v>
      </c>
      <c r="AT930">
        <v>0</v>
      </c>
      <c r="AU930">
        <v>0</v>
      </c>
      <c r="AV930">
        <v>0</v>
      </c>
      <c r="AW930">
        <v>0</v>
      </c>
      <c r="AX930">
        <v>0</v>
      </c>
      <c r="AY930">
        <v>0</v>
      </c>
      <c r="AZ930">
        <v>0</v>
      </c>
      <c r="BA930">
        <v>0</v>
      </c>
      <c r="BB930">
        <v>0</v>
      </c>
      <c r="BC930">
        <v>0</v>
      </c>
      <c r="BD930">
        <v>0</v>
      </c>
      <c r="BE930">
        <v>0</v>
      </c>
      <c r="BF930">
        <v>0</v>
      </c>
      <c r="BG930">
        <v>0</v>
      </c>
      <c r="BH930">
        <v>1</v>
      </c>
      <c r="BI930">
        <v>1</v>
      </c>
      <c r="BJ930">
        <v>0.2</v>
      </c>
      <c r="BK930">
        <v>1</v>
      </c>
      <c r="BL930" s="4">
        <v>50.45</v>
      </c>
      <c r="BM930" s="4">
        <v>7.57</v>
      </c>
      <c r="BN930" s="4">
        <v>58.02</v>
      </c>
      <c r="BO930" s="4">
        <v>58.02</v>
      </c>
      <c r="BQ930" t="s">
        <v>147</v>
      </c>
      <c r="BR930" t="s">
        <v>84</v>
      </c>
      <c r="BS930" s="3">
        <v>43809</v>
      </c>
      <c r="BT930" s="5">
        <v>0.33055555555555555</v>
      </c>
      <c r="BU930" t="s">
        <v>1422</v>
      </c>
      <c r="BV930" t="s">
        <v>86</v>
      </c>
      <c r="BY930">
        <v>1200</v>
      </c>
      <c r="CA930" t="s">
        <v>281</v>
      </c>
      <c r="CC930" t="s">
        <v>199</v>
      </c>
      <c r="CD930">
        <v>4001</v>
      </c>
      <c r="CE930" t="s">
        <v>88</v>
      </c>
      <c r="CF930" s="3">
        <v>43809</v>
      </c>
      <c r="CI930">
        <v>1</v>
      </c>
      <c r="CJ930">
        <v>1</v>
      </c>
      <c r="CK930">
        <v>21</v>
      </c>
      <c r="CL930" t="s">
        <v>89</v>
      </c>
    </row>
    <row r="931" spans="1:90">
      <c r="A931" t="s">
        <v>72</v>
      </c>
      <c r="B931" t="s">
        <v>73</v>
      </c>
      <c r="C931" t="s">
        <v>74</v>
      </c>
      <c r="E931" t="str">
        <f>"FES1162727081"</f>
        <v>FES1162727081</v>
      </c>
      <c r="F931" s="3">
        <v>43808</v>
      </c>
      <c r="G931">
        <v>202006</v>
      </c>
      <c r="H931" t="s">
        <v>75</v>
      </c>
      <c r="I931" t="s">
        <v>76</v>
      </c>
      <c r="J931" t="s">
        <v>77</v>
      </c>
      <c r="K931" t="s">
        <v>78</v>
      </c>
      <c r="L931" t="s">
        <v>430</v>
      </c>
      <c r="M931" t="s">
        <v>431</v>
      </c>
      <c r="N931" t="s">
        <v>1467</v>
      </c>
      <c r="O931" t="s">
        <v>82</v>
      </c>
      <c r="P931" t="str">
        <f>"2170718643                    "</f>
        <v xml:space="preserve">2170718643                    </v>
      </c>
      <c r="Q931">
        <v>0</v>
      </c>
      <c r="R931">
        <v>0</v>
      </c>
      <c r="S931">
        <v>0</v>
      </c>
      <c r="T931">
        <v>0</v>
      </c>
      <c r="U931">
        <v>0</v>
      </c>
      <c r="V931">
        <v>0</v>
      </c>
      <c r="W931">
        <v>0</v>
      </c>
      <c r="X931">
        <v>0</v>
      </c>
      <c r="Y931">
        <v>0</v>
      </c>
      <c r="Z931">
        <v>0</v>
      </c>
      <c r="AA931">
        <v>0</v>
      </c>
      <c r="AB931">
        <v>0</v>
      </c>
      <c r="AC931">
        <v>0</v>
      </c>
      <c r="AD931">
        <v>0</v>
      </c>
      <c r="AE931">
        <v>0</v>
      </c>
      <c r="AF931">
        <v>0</v>
      </c>
      <c r="AG931">
        <v>0</v>
      </c>
      <c r="AH931">
        <v>0</v>
      </c>
      <c r="AI931">
        <v>0</v>
      </c>
      <c r="AJ931">
        <v>0</v>
      </c>
      <c r="AK931">
        <v>0</v>
      </c>
      <c r="AL931">
        <v>0</v>
      </c>
      <c r="AM931">
        <v>12.07</v>
      </c>
      <c r="AN931">
        <v>0</v>
      </c>
      <c r="AO931">
        <v>0</v>
      </c>
      <c r="AP931">
        <v>0</v>
      </c>
      <c r="AQ931">
        <v>0</v>
      </c>
      <c r="AR931">
        <v>0</v>
      </c>
      <c r="AS931">
        <v>0</v>
      </c>
      <c r="AT931">
        <v>0</v>
      </c>
      <c r="AU931">
        <v>0</v>
      </c>
      <c r="AV931">
        <v>0</v>
      </c>
      <c r="AW931">
        <v>0</v>
      </c>
      <c r="AX931">
        <v>0</v>
      </c>
      <c r="AY931">
        <v>0</v>
      </c>
      <c r="AZ931">
        <v>0</v>
      </c>
      <c r="BA931">
        <v>0</v>
      </c>
      <c r="BB931">
        <v>0</v>
      </c>
      <c r="BC931">
        <v>0</v>
      </c>
      <c r="BD931">
        <v>0</v>
      </c>
      <c r="BE931">
        <v>0</v>
      </c>
      <c r="BF931">
        <v>0</v>
      </c>
      <c r="BG931">
        <v>0</v>
      </c>
      <c r="BH931">
        <v>1</v>
      </c>
      <c r="BI931">
        <v>0.8</v>
      </c>
      <c r="BJ931">
        <v>1.1000000000000001</v>
      </c>
      <c r="BK931">
        <v>1.5</v>
      </c>
      <c r="BL931" s="4">
        <v>70.95</v>
      </c>
      <c r="BM931" s="4">
        <v>10.64</v>
      </c>
      <c r="BN931" s="4">
        <v>81.59</v>
      </c>
      <c r="BO931" s="4">
        <v>81.59</v>
      </c>
      <c r="BQ931" t="s">
        <v>93</v>
      </c>
      <c r="BR931" t="s">
        <v>84</v>
      </c>
      <c r="BS931" s="3">
        <v>43809</v>
      </c>
      <c r="BT931" s="5">
        <v>0.41805555555555557</v>
      </c>
      <c r="BU931" t="s">
        <v>442</v>
      </c>
      <c r="BV931" t="s">
        <v>86</v>
      </c>
      <c r="BY931">
        <v>5404.35</v>
      </c>
      <c r="CA931" t="s">
        <v>434</v>
      </c>
      <c r="CC931" t="s">
        <v>431</v>
      </c>
      <c r="CD931">
        <v>250</v>
      </c>
      <c r="CE931" t="s">
        <v>96</v>
      </c>
      <c r="CF931" s="3">
        <v>43811</v>
      </c>
      <c r="CI931">
        <v>1</v>
      </c>
      <c r="CJ931">
        <v>1</v>
      </c>
      <c r="CK931">
        <v>24</v>
      </c>
      <c r="CL931" t="s">
        <v>89</v>
      </c>
    </row>
    <row r="932" spans="1:90">
      <c r="A932" t="s">
        <v>72</v>
      </c>
      <c r="B932" t="s">
        <v>73</v>
      </c>
      <c r="C932" t="s">
        <v>74</v>
      </c>
      <c r="E932" t="str">
        <f>"FES1162727319"</f>
        <v>FES1162727319</v>
      </c>
      <c r="F932" s="3">
        <v>43808</v>
      </c>
      <c r="G932">
        <v>202006</v>
      </c>
      <c r="H932" t="s">
        <v>75</v>
      </c>
      <c r="I932" t="s">
        <v>76</v>
      </c>
      <c r="J932" t="s">
        <v>77</v>
      </c>
      <c r="K932" t="s">
        <v>78</v>
      </c>
      <c r="L932" t="s">
        <v>75</v>
      </c>
      <c r="M932" t="s">
        <v>76</v>
      </c>
      <c r="N932" t="s">
        <v>703</v>
      </c>
      <c r="O932" t="s">
        <v>82</v>
      </c>
      <c r="P932" t="str">
        <f>"217071762                     "</f>
        <v xml:space="preserve">217071762                     </v>
      </c>
      <c r="Q932">
        <v>0</v>
      </c>
      <c r="R932">
        <v>0</v>
      </c>
      <c r="S932">
        <v>0</v>
      </c>
      <c r="T932">
        <v>0</v>
      </c>
      <c r="U932">
        <v>0</v>
      </c>
      <c r="V932">
        <v>0</v>
      </c>
      <c r="W932">
        <v>0</v>
      </c>
      <c r="X932">
        <v>0</v>
      </c>
      <c r="Y932">
        <v>0</v>
      </c>
      <c r="Z932">
        <v>0</v>
      </c>
      <c r="AA932">
        <v>0</v>
      </c>
      <c r="AB932">
        <v>0</v>
      </c>
      <c r="AC932">
        <v>0</v>
      </c>
      <c r="AD932">
        <v>0</v>
      </c>
      <c r="AE932">
        <v>0</v>
      </c>
      <c r="AF932">
        <v>0</v>
      </c>
      <c r="AG932">
        <v>0</v>
      </c>
      <c r="AH932">
        <v>0</v>
      </c>
      <c r="AI932">
        <v>0</v>
      </c>
      <c r="AJ932">
        <v>0</v>
      </c>
      <c r="AK932">
        <v>0</v>
      </c>
      <c r="AL932">
        <v>0</v>
      </c>
      <c r="AM932">
        <v>6.71</v>
      </c>
      <c r="AN932">
        <v>0</v>
      </c>
      <c r="AO932">
        <v>0</v>
      </c>
      <c r="AP932">
        <v>0</v>
      </c>
      <c r="AQ932">
        <v>0</v>
      </c>
      <c r="AR932">
        <v>0</v>
      </c>
      <c r="AS932">
        <v>0</v>
      </c>
      <c r="AT932">
        <v>0</v>
      </c>
      <c r="AU932">
        <v>0</v>
      </c>
      <c r="AV932">
        <v>0</v>
      </c>
      <c r="AW932">
        <v>0</v>
      </c>
      <c r="AX932">
        <v>0</v>
      </c>
      <c r="AY932">
        <v>0</v>
      </c>
      <c r="AZ932">
        <v>0</v>
      </c>
      <c r="BA932">
        <v>0</v>
      </c>
      <c r="BB932">
        <v>0</v>
      </c>
      <c r="BC932">
        <v>0</v>
      </c>
      <c r="BD932">
        <v>0</v>
      </c>
      <c r="BE932">
        <v>0</v>
      </c>
      <c r="BF932">
        <v>0</v>
      </c>
      <c r="BG932">
        <v>0</v>
      </c>
      <c r="BH932">
        <v>1</v>
      </c>
      <c r="BI932">
        <v>2</v>
      </c>
      <c r="BJ932">
        <v>1.5</v>
      </c>
      <c r="BK932">
        <v>2</v>
      </c>
      <c r="BL932" s="4">
        <v>39.42</v>
      </c>
      <c r="BM932" s="4">
        <v>5.91</v>
      </c>
      <c r="BN932" s="4">
        <v>45.33</v>
      </c>
      <c r="BO932" s="4">
        <v>45.33</v>
      </c>
      <c r="BQ932" t="s">
        <v>93</v>
      </c>
      <c r="BR932" t="s">
        <v>84</v>
      </c>
      <c r="BS932" s="3">
        <v>43809</v>
      </c>
      <c r="BT932" s="5">
        <v>0.30208333333333331</v>
      </c>
      <c r="BU932" t="s">
        <v>1468</v>
      </c>
      <c r="BV932" t="s">
        <v>86</v>
      </c>
      <c r="BY932">
        <v>7540</v>
      </c>
      <c r="CA932" t="s">
        <v>320</v>
      </c>
      <c r="CC932" t="s">
        <v>76</v>
      </c>
      <c r="CD932">
        <v>1665</v>
      </c>
      <c r="CE932" t="s">
        <v>96</v>
      </c>
      <c r="CF932" s="3">
        <v>43810</v>
      </c>
      <c r="CI932">
        <v>1</v>
      </c>
      <c r="CJ932">
        <v>1</v>
      </c>
      <c r="CK932">
        <v>22</v>
      </c>
      <c r="CL932" t="s">
        <v>89</v>
      </c>
    </row>
    <row r="933" spans="1:90">
      <c r="A933" t="s">
        <v>72</v>
      </c>
      <c r="B933" t="s">
        <v>73</v>
      </c>
      <c r="C933" t="s">
        <v>74</v>
      </c>
      <c r="E933" t="str">
        <f>"FES1162727301"</f>
        <v>FES1162727301</v>
      </c>
      <c r="F933" s="3">
        <v>43808</v>
      </c>
      <c r="G933">
        <v>202006</v>
      </c>
      <c r="H933" t="s">
        <v>75</v>
      </c>
      <c r="I933" t="s">
        <v>76</v>
      </c>
      <c r="J933" t="s">
        <v>77</v>
      </c>
      <c r="K933" t="s">
        <v>78</v>
      </c>
      <c r="L933" t="s">
        <v>201</v>
      </c>
      <c r="M933" t="s">
        <v>202</v>
      </c>
      <c r="N933" t="s">
        <v>511</v>
      </c>
      <c r="O933" t="s">
        <v>82</v>
      </c>
      <c r="P933" t="str">
        <f>"2170720592                    "</f>
        <v xml:space="preserve">2170720592                    </v>
      </c>
      <c r="Q933">
        <v>0</v>
      </c>
      <c r="R933">
        <v>0</v>
      </c>
      <c r="S933">
        <v>0</v>
      </c>
      <c r="T933">
        <v>0</v>
      </c>
      <c r="U933">
        <v>0</v>
      </c>
      <c r="V933">
        <v>0</v>
      </c>
      <c r="W933">
        <v>0</v>
      </c>
      <c r="X933">
        <v>0</v>
      </c>
      <c r="Y933">
        <v>0</v>
      </c>
      <c r="Z933">
        <v>0</v>
      </c>
      <c r="AA933">
        <v>0</v>
      </c>
      <c r="AB933">
        <v>0</v>
      </c>
      <c r="AC933">
        <v>0</v>
      </c>
      <c r="AD933">
        <v>0</v>
      </c>
      <c r="AE933">
        <v>0</v>
      </c>
      <c r="AF933">
        <v>0</v>
      </c>
      <c r="AG933">
        <v>0</v>
      </c>
      <c r="AH933">
        <v>0</v>
      </c>
      <c r="AI933">
        <v>0</v>
      </c>
      <c r="AJ933">
        <v>0</v>
      </c>
      <c r="AK933">
        <v>0</v>
      </c>
      <c r="AL933">
        <v>0</v>
      </c>
      <c r="AM933">
        <v>8.58</v>
      </c>
      <c r="AN933">
        <v>0</v>
      </c>
      <c r="AO933">
        <v>0</v>
      </c>
      <c r="AP933">
        <v>0</v>
      </c>
      <c r="AQ933">
        <v>0</v>
      </c>
      <c r="AR933">
        <v>0</v>
      </c>
      <c r="AS933">
        <v>0</v>
      </c>
      <c r="AT933">
        <v>0</v>
      </c>
      <c r="AU933">
        <v>0</v>
      </c>
      <c r="AV933">
        <v>0</v>
      </c>
      <c r="AW933">
        <v>0</v>
      </c>
      <c r="AX933">
        <v>0</v>
      </c>
      <c r="AY933">
        <v>0</v>
      </c>
      <c r="AZ933">
        <v>0</v>
      </c>
      <c r="BA933">
        <v>0</v>
      </c>
      <c r="BB933">
        <v>0</v>
      </c>
      <c r="BC933">
        <v>0</v>
      </c>
      <c r="BD933">
        <v>0</v>
      </c>
      <c r="BE933">
        <v>0</v>
      </c>
      <c r="BF933">
        <v>0</v>
      </c>
      <c r="BG933">
        <v>0</v>
      </c>
      <c r="BH933">
        <v>1</v>
      </c>
      <c r="BI933">
        <v>1</v>
      </c>
      <c r="BJ933">
        <v>0.2</v>
      </c>
      <c r="BK933">
        <v>1</v>
      </c>
      <c r="BL933" s="4">
        <v>50.45</v>
      </c>
      <c r="BM933" s="4">
        <v>7.57</v>
      </c>
      <c r="BN933" s="4">
        <v>58.02</v>
      </c>
      <c r="BO933" s="4">
        <v>58.02</v>
      </c>
      <c r="BQ933" t="s">
        <v>93</v>
      </c>
      <c r="BR933" t="s">
        <v>84</v>
      </c>
      <c r="BS933" s="3">
        <v>43809</v>
      </c>
      <c r="BT933" s="5">
        <v>0.3527777777777778</v>
      </c>
      <c r="BU933" t="s">
        <v>512</v>
      </c>
      <c r="BV933" t="s">
        <v>86</v>
      </c>
      <c r="BY933">
        <v>1200</v>
      </c>
      <c r="CA933" t="s">
        <v>288</v>
      </c>
      <c r="CC933" t="s">
        <v>202</v>
      </c>
      <c r="CD933">
        <v>3610</v>
      </c>
      <c r="CE933" t="s">
        <v>88</v>
      </c>
      <c r="CF933" s="3">
        <v>43809</v>
      </c>
      <c r="CI933">
        <v>1</v>
      </c>
      <c r="CJ933">
        <v>1</v>
      </c>
      <c r="CK933">
        <v>21</v>
      </c>
      <c r="CL933" t="s">
        <v>89</v>
      </c>
    </row>
    <row r="934" spans="1:90">
      <c r="A934" t="s">
        <v>72</v>
      </c>
      <c r="B934" t="s">
        <v>73</v>
      </c>
      <c r="C934" t="s">
        <v>74</v>
      </c>
      <c r="E934" t="str">
        <f>"FES1162727314"</f>
        <v>FES1162727314</v>
      </c>
      <c r="F934" s="3">
        <v>43808</v>
      </c>
      <c r="G934">
        <v>202006</v>
      </c>
      <c r="H934" t="s">
        <v>75</v>
      </c>
      <c r="I934" t="s">
        <v>76</v>
      </c>
      <c r="J934" t="s">
        <v>77</v>
      </c>
      <c r="K934" t="s">
        <v>78</v>
      </c>
      <c r="L934" t="s">
        <v>79</v>
      </c>
      <c r="M934" t="s">
        <v>80</v>
      </c>
      <c r="N934" t="s">
        <v>129</v>
      </c>
      <c r="O934" t="s">
        <v>82</v>
      </c>
      <c r="P934" t="str">
        <f>"2170720794                    "</f>
        <v xml:space="preserve">2170720794                    </v>
      </c>
      <c r="Q934">
        <v>0</v>
      </c>
      <c r="R934">
        <v>0</v>
      </c>
      <c r="S934">
        <v>0</v>
      </c>
      <c r="T934">
        <v>0</v>
      </c>
      <c r="U934">
        <v>0</v>
      </c>
      <c r="V934">
        <v>0</v>
      </c>
      <c r="W934">
        <v>0</v>
      </c>
      <c r="X934">
        <v>0</v>
      </c>
      <c r="Y934">
        <v>0</v>
      </c>
      <c r="Z934">
        <v>0</v>
      </c>
      <c r="AA934">
        <v>0</v>
      </c>
      <c r="AB934">
        <v>0</v>
      </c>
      <c r="AC934">
        <v>0</v>
      </c>
      <c r="AD934">
        <v>0</v>
      </c>
      <c r="AE934">
        <v>0</v>
      </c>
      <c r="AF934">
        <v>0</v>
      </c>
      <c r="AG934">
        <v>0</v>
      </c>
      <c r="AH934">
        <v>0</v>
      </c>
      <c r="AI934">
        <v>0</v>
      </c>
      <c r="AJ934">
        <v>0</v>
      </c>
      <c r="AK934">
        <v>0</v>
      </c>
      <c r="AL934">
        <v>0</v>
      </c>
      <c r="AM934">
        <v>49.33</v>
      </c>
      <c r="AN934">
        <v>0</v>
      </c>
      <c r="AO934">
        <v>0</v>
      </c>
      <c r="AP934">
        <v>0</v>
      </c>
      <c r="AQ934">
        <v>0</v>
      </c>
      <c r="AR934">
        <v>0</v>
      </c>
      <c r="AS934">
        <v>0</v>
      </c>
      <c r="AT934">
        <v>0</v>
      </c>
      <c r="AU934">
        <v>0</v>
      </c>
      <c r="AV934">
        <v>0</v>
      </c>
      <c r="AW934">
        <v>0</v>
      </c>
      <c r="AX934">
        <v>0</v>
      </c>
      <c r="AY934">
        <v>0</v>
      </c>
      <c r="AZ934">
        <v>0</v>
      </c>
      <c r="BA934">
        <v>0</v>
      </c>
      <c r="BB934">
        <v>0</v>
      </c>
      <c r="BC934">
        <v>0</v>
      </c>
      <c r="BD934">
        <v>0</v>
      </c>
      <c r="BE934">
        <v>0</v>
      </c>
      <c r="BF934">
        <v>0</v>
      </c>
      <c r="BG934">
        <v>0</v>
      </c>
      <c r="BH934">
        <v>1</v>
      </c>
      <c r="BI934">
        <v>11.4</v>
      </c>
      <c r="BJ934">
        <v>3</v>
      </c>
      <c r="BK934">
        <v>11.5</v>
      </c>
      <c r="BL934" s="4">
        <v>289.94</v>
      </c>
      <c r="BM934" s="4">
        <v>43.49</v>
      </c>
      <c r="BN934" s="4">
        <v>333.43</v>
      </c>
      <c r="BO934" s="4">
        <v>333.43</v>
      </c>
      <c r="BQ934" t="s">
        <v>147</v>
      </c>
      <c r="BR934" t="s">
        <v>84</v>
      </c>
      <c r="BS934" s="3">
        <v>43809</v>
      </c>
      <c r="BT934" s="5">
        <v>0.3979166666666667</v>
      </c>
      <c r="BU934" t="s">
        <v>130</v>
      </c>
      <c r="BV934" t="s">
        <v>86</v>
      </c>
      <c r="BY934">
        <v>15173.86</v>
      </c>
      <c r="CA934" t="s">
        <v>131</v>
      </c>
      <c r="CC934" t="s">
        <v>80</v>
      </c>
      <c r="CD934">
        <v>6001</v>
      </c>
      <c r="CE934" t="s">
        <v>96</v>
      </c>
      <c r="CF934" s="3">
        <v>43810</v>
      </c>
      <c r="CI934">
        <v>1</v>
      </c>
      <c r="CJ934">
        <v>1</v>
      </c>
      <c r="CK934">
        <v>21</v>
      </c>
      <c r="CL934" t="s">
        <v>89</v>
      </c>
    </row>
    <row r="935" spans="1:90">
      <c r="A935" t="s">
        <v>72</v>
      </c>
      <c r="B935" t="s">
        <v>73</v>
      </c>
      <c r="C935" t="s">
        <v>74</v>
      </c>
      <c r="E935" t="str">
        <f>"FES1162727292"</f>
        <v>FES1162727292</v>
      </c>
      <c r="F935" s="3">
        <v>43808</v>
      </c>
      <c r="G935">
        <v>202006</v>
      </c>
      <c r="H935" t="s">
        <v>75</v>
      </c>
      <c r="I935" t="s">
        <v>76</v>
      </c>
      <c r="J935" t="s">
        <v>77</v>
      </c>
      <c r="K935" t="s">
        <v>78</v>
      </c>
      <c r="L935" t="s">
        <v>201</v>
      </c>
      <c r="M935" t="s">
        <v>202</v>
      </c>
      <c r="N935" t="s">
        <v>1469</v>
      </c>
      <c r="O935" t="s">
        <v>82</v>
      </c>
      <c r="P935" t="str">
        <f>"2170718408                    "</f>
        <v xml:space="preserve">2170718408                    </v>
      </c>
      <c r="Q935">
        <v>0</v>
      </c>
      <c r="R935">
        <v>0</v>
      </c>
      <c r="S935">
        <v>0</v>
      </c>
      <c r="T935">
        <v>0</v>
      </c>
      <c r="U935">
        <v>0</v>
      </c>
      <c r="V935">
        <v>0</v>
      </c>
      <c r="W935">
        <v>0</v>
      </c>
      <c r="X935">
        <v>0</v>
      </c>
      <c r="Y935">
        <v>0</v>
      </c>
      <c r="Z935">
        <v>0</v>
      </c>
      <c r="AA935">
        <v>0</v>
      </c>
      <c r="AB935">
        <v>0</v>
      </c>
      <c r="AC935">
        <v>0</v>
      </c>
      <c r="AD935">
        <v>0</v>
      </c>
      <c r="AE935">
        <v>0</v>
      </c>
      <c r="AF935">
        <v>0</v>
      </c>
      <c r="AG935">
        <v>0</v>
      </c>
      <c r="AH935">
        <v>0</v>
      </c>
      <c r="AI935">
        <v>0</v>
      </c>
      <c r="AJ935">
        <v>0</v>
      </c>
      <c r="AK935">
        <v>0</v>
      </c>
      <c r="AL935">
        <v>0</v>
      </c>
      <c r="AM935">
        <v>8.58</v>
      </c>
      <c r="AN935">
        <v>0</v>
      </c>
      <c r="AO935">
        <v>0</v>
      </c>
      <c r="AP935">
        <v>0</v>
      </c>
      <c r="AQ935">
        <v>0</v>
      </c>
      <c r="AR935">
        <v>0</v>
      </c>
      <c r="AS935">
        <v>0</v>
      </c>
      <c r="AT935">
        <v>0</v>
      </c>
      <c r="AU935">
        <v>0</v>
      </c>
      <c r="AV935">
        <v>0</v>
      </c>
      <c r="AW935">
        <v>0</v>
      </c>
      <c r="AX935">
        <v>0</v>
      </c>
      <c r="AY935">
        <v>0</v>
      </c>
      <c r="AZ935">
        <v>0</v>
      </c>
      <c r="BA935">
        <v>0</v>
      </c>
      <c r="BB935">
        <v>0</v>
      </c>
      <c r="BC935">
        <v>0</v>
      </c>
      <c r="BD935">
        <v>0</v>
      </c>
      <c r="BE935">
        <v>0</v>
      </c>
      <c r="BF935">
        <v>0</v>
      </c>
      <c r="BG935">
        <v>0</v>
      </c>
      <c r="BH935">
        <v>1</v>
      </c>
      <c r="BI935">
        <v>1</v>
      </c>
      <c r="BJ935">
        <v>0.2</v>
      </c>
      <c r="BK935">
        <v>1</v>
      </c>
      <c r="BL935" s="4">
        <v>50.45</v>
      </c>
      <c r="BM935" s="4">
        <v>7.57</v>
      </c>
      <c r="BN935" s="4">
        <v>58.02</v>
      </c>
      <c r="BO935" s="4">
        <v>58.02</v>
      </c>
      <c r="BQ935" t="s">
        <v>93</v>
      </c>
      <c r="BR935" t="s">
        <v>84</v>
      </c>
      <c r="BS935" s="3">
        <v>43809</v>
      </c>
      <c r="BT935" s="5">
        <v>0.37777777777777777</v>
      </c>
      <c r="BU935" t="s">
        <v>1470</v>
      </c>
      <c r="BV935" t="s">
        <v>86</v>
      </c>
      <c r="BY935">
        <v>1200</v>
      </c>
      <c r="CA935" t="s">
        <v>205</v>
      </c>
      <c r="CC935" t="s">
        <v>202</v>
      </c>
      <c r="CD935">
        <v>3610</v>
      </c>
      <c r="CE935" t="s">
        <v>88</v>
      </c>
      <c r="CF935" s="3">
        <v>43809</v>
      </c>
      <c r="CI935">
        <v>1</v>
      </c>
      <c r="CJ935">
        <v>1</v>
      </c>
      <c r="CK935">
        <v>21</v>
      </c>
      <c r="CL935" t="s">
        <v>89</v>
      </c>
    </row>
    <row r="936" spans="1:90">
      <c r="A936" t="s">
        <v>72</v>
      </c>
      <c r="B936" t="s">
        <v>73</v>
      </c>
      <c r="C936" t="s">
        <v>74</v>
      </c>
      <c r="E936" t="str">
        <f>"FES1162727246"</f>
        <v>FES1162727246</v>
      </c>
      <c r="F936" s="3">
        <v>43808</v>
      </c>
      <c r="G936">
        <v>202006</v>
      </c>
      <c r="H936" t="s">
        <v>75</v>
      </c>
      <c r="I936" t="s">
        <v>76</v>
      </c>
      <c r="J936" t="s">
        <v>77</v>
      </c>
      <c r="K936" t="s">
        <v>78</v>
      </c>
      <c r="L936" t="s">
        <v>632</v>
      </c>
      <c r="M936" t="s">
        <v>633</v>
      </c>
      <c r="N936" t="s">
        <v>1471</v>
      </c>
      <c r="O936" t="s">
        <v>82</v>
      </c>
      <c r="P936" t="str">
        <f>"2170720737                    "</f>
        <v xml:space="preserve">2170720737                    </v>
      </c>
      <c r="Q936">
        <v>0</v>
      </c>
      <c r="R936">
        <v>0</v>
      </c>
      <c r="S936">
        <v>0</v>
      </c>
      <c r="T936">
        <v>0</v>
      </c>
      <c r="U936">
        <v>0</v>
      </c>
      <c r="V936">
        <v>0</v>
      </c>
      <c r="W936">
        <v>0</v>
      </c>
      <c r="X936">
        <v>0</v>
      </c>
      <c r="Y936">
        <v>0</v>
      </c>
      <c r="Z936">
        <v>0</v>
      </c>
      <c r="AA936">
        <v>0</v>
      </c>
      <c r="AB936">
        <v>0</v>
      </c>
      <c r="AC936">
        <v>0</v>
      </c>
      <c r="AD936">
        <v>0</v>
      </c>
      <c r="AE936">
        <v>0</v>
      </c>
      <c r="AF936">
        <v>0</v>
      </c>
      <c r="AG936">
        <v>0</v>
      </c>
      <c r="AH936">
        <v>0</v>
      </c>
      <c r="AI936">
        <v>0</v>
      </c>
      <c r="AJ936">
        <v>0</v>
      </c>
      <c r="AK936">
        <v>0</v>
      </c>
      <c r="AL936">
        <v>0</v>
      </c>
      <c r="AM936">
        <v>6.71</v>
      </c>
      <c r="AN936">
        <v>0</v>
      </c>
      <c r="AO936">
        <v>0</v>
      </c>
      <c r="AP936">
        <v>0</v>
      </c>
      <c r="AQ936">
        <v>0</v>
      </c>
      <c r="AR936">
        <v>0</v>
      </c>
      <c r="AS936">
        <v>0</v>
      </c>
      <c r="AT936">
        <v>0</v>
      </c>
      <c r="AU936">
        <v>0</v>
      </c>
      <c r="AV936">
        <v>0</v>
      </c>
      <c r="AW936">
        <v>0</v>
      </c>
      <c r="AX936">
        <v>0</v>
      </c>
      <c r="AY936">
        <v>0</v>
      </c>
      <c r="AZ936">
        <v>0</v>
      </c>
      <c r="BA936">
        <v>0</v>
      </c>
      <c r="BB936">
        <v>0</v>
      </c>
      <c r="BC936">
        <v>0</v>
      </c>
      <c r="BD936">
        <v>0</v>
      </c>
      <c r="BE936">
        <v>0</v>
      </c>
      <c r="BF936">
        <v>0</v>
      </c>
      <c r="BG936">
        <v>0</v>
      </c>
      <c r="BH936">
        <v>1</v>
      </c>
      <c r="BI936">
        <v>2</v>
      </c>
      <c r="BJ936">
        <v>0.2</v>
      </c>
      <c r="BK936">
        <v>2</v>
      </c>
      <c r="BL936" s="4">
        <v>39.42</v>
      </c>
      <c r="BM936" s="4">
        <v>5.91</v>
      </c>
      <c r="BN936" s="4">
        <v>45.33</v>
      </c>
      <c r="BO936" s="4">
        <v>45.33</v>
      </c>
      <c r="BQ936" t="s">
        <v>1472</v>
      </c>
      <c r="BR936" t="s">
        <v>84</v>
      </c>
      <c r="BS936" s="3">
        <v>43809</v>
      </c>
      <c r="BT936" s="5">
        <v>0.34791666666666665</v>
      </c>
      <c r="BU936" t="s">
        <v>1473</v>
      </c>
      <c r="BV936" t="s">
        <v>86</v>
      </c>
      <c r="BY936">
        <v>1200</v>
      </c>
      <c r="CA936" t="s">
        <v>344</v>
      </c>
      <c r="CC936" t="s">
        <v>633</v>
      </c>
      <c r="CD936">
        <v>1451</v>
      </c>
      <c r="CE936" t="s">
        <v>88</v>
      </c>
      <c r="CF936" s="3">
        <v>43810</v>
      </c>
      <c r="CI936">
        <v>1</v>
      </c>
      <c r="CJ936">
        <v>1</v>
      </c>
      <c r="CK936">
        <v>22</v>
      </c>
      <c r="CL936" t="s">
        <v>89</v>
      </c>
    </row>
    <row r="937" spans="1:90">
      <c r="A937" t="s">
        <v>72</v>
      </c>
      <c r="B937" t="s">
        <v>73</v>
      </c>
      <c r="C937" t="s">
        <v>74</v>
      </c>
      <c r="E937" t="str">
        <f>"FES1162727182"</f>
        <v>FES1162727182</v>
      </c>
      <c r="F937" s="3">
        <v>43808</v>
      </c>
      <c r="G937">
        <v>202006</v>
      </c>
      <c r="H937" t="s">
        <v>75</v>
      </c>
      <c r="I937" t="s">
        <v>76</v>
      </c>
      <c r="J937" t="s">
        <v>77</v>
      </c>
      <c r="K937" t="s">
        <v>78</v>
      </c>
      <c r="L937" t="s">
        <v>714</v>
      </c>
      <c r="M937" t="s">
        <v>715</v>
      </c>
      <c r="N937" t="s">
        <v>146</v>
      </c>
      <c r="O937" t="s">
        <v>82</v>
      </c>
      <c r="P937" t="str">
        <f>"2170720657                    "</f>
        <v xml:space="preserve">2170720657                    </v>
      </c>
      <c r="Q937">
        <v>0</v>
      </c>
      <c r="R937">
        <v>0</v>
      </c>
      <c r="S937">
        <v>0</v>
      </c>
      <c r="T937">
        <v>0</v>
      </c>
      <c r="U937">
        <v>0</v>
      </c>
      <c r="V937">
        <v>0</v>
      </c>
      <c r="W937">
        <v>0</v>
      </c>
      <c r="X937">
        <v>0</v>
      </c>
      <c r="Y937">
        <v>0</v>
      </c>
      <c r="Z937">
        <v>0</v>
      </c>
      <c r="AA937">
        <v>0</v>
      </c>
      <c r="AB937">
        <v>0</v>
      </c>
      <c r="AC937">
        <v>0</v>
      </c>
      <c r="AD937">
        <v>0</v>
      </c>
      <c r="AE937">
        <v>0</v>
      </c>
      <c r="AF937">
        <v>0</v>
      </c>
      <c r="AG937">
        <v>0</v>
      </c>
      <c r="AH937">
        <v>0</v>
      </c>
      <c r="AI937">
        <v>0</v>
      </c>
      <c r="AJ937">
        <v>0</v>
      </c>
      <c r="AK937">
        <v>0</v>
      </c>
      <c r="AL937">
        <v>0</v>
      </c>
      <c r="AM937">
        <v>6.71</v>
      </c>
      <c r="AN937">
        <v>0</v>
      </c>
      <c r="AO937">
        <v>0</v>
      </c>
      <c r="AP937">
        <v>0</v>
      </c>
      <c r="AQ937">
        <v>0</v>
      </c>
      <c r="AR937">
        <v>0</v>
      </c>
      <c r="AS937">
        <v>0</v>
      </c>
      <c r="AT937">
        <v>0</v>
      </c>
      <c r="AU937">
        <v>0</v>
      </c>
      <c r="AV937">
        <v>0</v>
      </c>
      <c r="AW937">
        <v>0</v>
      </c>
      <c r="AX937">
        <v>0</v>
      </c>
      <c r="AY937">
        <v>0</v>
      </c>
      <c r="AZ937">
        <v>0</v>
      </c>
      <c r="BA937">
        <v>0</v>
      </c>
      <c r="BB937">
        <v>0</v>
      </c>
      <c r="BC937">
        <v>0</v>
      </c>
      <c r="BD937">
        <v>0</v>
      </c>
      <c r="BE937">
        <v>0</v>
      </c>
      <c r="BF937">
        <v>0</v>
      </c>
      <c r="BG937">
        <v>0</v>
      </c>
      <c r="BH937">
        <v>1</v>
      </c>
      <c r="BI937">
        <v>1</v>
      </c>
      <c r="BJ937">
        <v>0.2</v>
      </c>
      <c r="BK937">
        <v>1</v>
      </c>
      <c r="BL937" s="4">
        <v>39.42</v>
      </c>
      <c r="BM937" s="4">
        <v>5.91</v>
      </c>
      <c r="BN937" s="4">
        <v>45.33</v>
      </c>
      <c r="BO937" s="4">
        <v>45.33</v>
      </c>
      <c r="BQ937" t="s">
        <v>147</v>
      </c>
      <c r="BR937" t="s">
        <v>84</v>
      </c>
      <c r="BS937" s="3">
        <v>43809</v>
      </c>
      <c r="BT937" s="5">
        <v>0.4375</v>
      </c>
      <c r="BU937" t="s">
        <v>1474</v>
      </c>
      <c r="BV937" t="s">
        <v>86</v>
      </c>
      <c r="BY937">
        <v>1200</v>
      </c>
      <c r="CC937" t="s">
        <v>715</v>
      </c>
      <c r="CD937">
        <v>1559</v>
      </c>
      <c r="CE937" t="s">
        <v>88</v>
      </c>
      <c r="CF937" s="3">
        <v>43810</v>
      </c>
      <c r="CI937">
        <v>1</v>
      </c>
      <c r="CJ937">
        <v>1</v>
      </c>
      <c r="CK937">
        <v>22</v>
      </c>
      <c r="CL937" t="s">
        <v>89</v>
      </c>
    </row>
    <row r="938" spans="1:90">
      <c r="A938" t="s">
        <v>72</v>
      </c>
      <c r="B938" t="s">
        <v>73</v>
      </c>
      <c r="C938" t="s">
        <v>74</v>
      </c>
      <c r="E938" t="str">
        <f>"FES1162727141"</f>
        <v>FES1162727141</v>
      </c>
      <c r="F938" s="3">
        <v>43808</v>
      </c>
      <c r="G938">
        <v>202006</v>
      </c>
      <c r="H938" t="s">
        <v>75</v>
      </c>
      <c r="I938" t="s">
        <v>76</v>
      </c>
      <c r="J938" t="s">
        <v>77</v>
      </c>
      <c r="K938" t="s">
        <v>78</v>
      </c>
      <c r="L938" t="s">
        <v>75</v>
      </c>
      <c r="M938" t="s">
        <v>76</v>
      </c>
      <c r="N938" t="s">
        <v>305</v>
      </c>
      <c r="O938" t="s">
        <v>82</v>
      </c>
      <c r="P938" t="str">
        <f>"2170720610                    "</f>
        <v xml:space="preserve">2170720610                    </v>
      </c>
      <c r="Q938">
        <v>0</v>
      </c>
      <c r="R938">
        <v>0</v>
      </c>
      <c r="S938">
        <v>0</v>
      </c>
      <c r="T938">
        <v>0</v>
      </c>
      <c r="U938">
        <v>0</v>
      </c>
      <c r="V938">
        <v>0</v>
      </c>
      <c r="W938">
        <v>0</v>
      </c>
      <c r="X938">
        <v>0</v>
      </c>
      <c r="Y938">
        <v>0</v>
      </c>
      <c r="Z938">
        <v>0</v>
      </c>
      <c r="AA938">
        <v>0</v>
      </c>
      <c r="AB938">
        <v>0</v>
      </c>
      <c r="AC938">
        <v>0</v>
      </c>
      <c r="AD938">
        <v>0</v>
      </c>
      <c r="AE938">
        <v>0</v>
      </c>
      <c r="AF938">
        <v>0</v>
      </c>
      <c r="AG938">
        <v>0</v>
      </c>
      <c r="AH938">
        <v>0</v>
      </c>
      <c r="AI938">
        <v>0</v>
      </c>
      <c r="AJ938">
        <v>0</v>
      </c>
      <c r="AK938">
        <v>0</v>
      </c>
      <c r="AL938">
        <v>0</v>
      </c>
      <c r="AM938">
        <v>6.71</v>
      </c>
      <c r="AN938">
        <v>0</v>
      </c>
      <c r="AO938">
        <v>0</v>
      </c>
      <c r="AP938">
        <v>0</v>
      </c>
      <c r="AQ938">
        <v>0</v>
      </c>
      <c r="AR938">
        <v>0</v>
      </c>
      <c r="AS938">
        <v>0</v>
      </c>
      <c r="AT938">
        <v>0</v>
      </c>
      <c r="AU938">
        <v>0</v>
      </c>
      <c r="AV938">
        <v>0</v>
      </c>
      <c r="AW938">
        <v>0</v>
      </c>
      <c r="AX938">
        <v>0</v>
      </c>
      <c r="AY938">
        <v>0</v>
      </c>
      <c r="AZ938">
        <v>0</v>
      </c>
      <c r="BA938">
        <v>0</v>
      </c>
      <c r="BB938">
        <v>0</v>
      </c>
      <c r="BC938">
        <v>0</v>
      </c>
      <c r="BD938">
        <v>0</v>
      </c>
      <c r="BE938">
        <v>0</v>
      </c>
      <c r="BF938">
        <v>0</v>
      </c>
      <c r="BG938">
        <v>0</v>
      </c>
      <c r="BH938">
        <v>1</v>
      </c>
      <c r="BI938">
        <v>1</v>
      </c>
      <c r="BJ938">
        <v>0.2</v>
      </c>
      <c r="BK938">
        <v>1</v>
      </c>
      <c r="BL938" s="4">
        <v>39.42</v>
      </c>
      <c r="BM938" s="4">
        <v>5.91</v>
      </c>
      <c r="BN938" s="4">
        <v>45.33</v>
      </c>
      <c r="BO938" s="4">
        <v>45.33</v>
      </c>
      <c r="BQ938" t="s">
        <v>147</v>
      </c>
      <c r="BR938" t="s">
        <v>84</v>
      </c>
      <c r="BS938" s="3">
        <v>43809</v>
      </c>
      <c r="BT938" s="5">
        <v>0.3215277777777778</v>
      </c>
      <c r="BU938" t="s">
        <v>1379</v>
      </c>
      <c r="BV938" t="s">
        <v>86</v>
      </c>
      <c r="BY938">
        <v>1200</v>
      </c>
      <c r="CA938" t="s">
        <v>307</v>
      </c>
      <c r="CC938" t="s">
        <v>76</v>
      </c>
      <c r="CD938">
        <v>1645</v>
      </c>
      <c r="CE938" t="s">
        <v>88</v>
      </c>
      <c r="CF938" s="3">
        <v>43810</v>
      </c>
      <c r="CI938">
        <v>1</v>
      </c>
      <c r="CJ938">
        <v>1</v>
      </c>
      <c r="CK938">
        <v>22</v>
      </c>
      <c r="CL938" t="s">
        <v>89</v>
      </c>
    </row>
    <row r="939" spans="1:90">
      <c r="A939" t="s">
        <v>72</v>
      </c>
      <c r="B939" t="s">
        <v>73</v>
      </c>
      <c r="C939" t="s">
        <v>74</v>
      </c>
      <c r="E939" t="str">
        <f>"FES1162727133"</f>
        <v>FES1162727133</v>
      </c>
      <c r="F939" s="3">
        <v>43808</v>
      </c>
      <c r="G939">
        <v>202006</v>
      </c>
      <c r="H939" t="s">
        <v>75</v>
      </c>
      <c r="I939" t="s">
        <v>76</v>
      </c>
      <c r="J939" t="s">
        <v>77</v>
      </c>
      <c r="K939" t="s">
        <v>78</v>
      </c>
      <c r="L939" t="s">
        <v>169</v>
      </c>
      <c r="M939" t="s">
        <v>170</v>
      </c>
      <c r="N939" t="s">
        <v>772</v>
      </c>
      <c r="O939" t="s">
        <v>82</v>
      </c>
      <c r="P939" t="str">
        <f>"2170720601                    "</f>
        <v xml:space="preserve">2170720601                    </v>
      </c>
      <c r="Q939">
        <v>0</v>
      </c>
      <c r="R939">
        <v>0</v>
      </c>
      <c r="S939">
        <v>0</v>
      </c>
      <c r="T939">
        <v>0</v>
      </c>
      <c r="U939">
        <v>0</v>
      </c>
      <c r="V939">
        <v>0</v>
      </c>
      <c r="W939">
        <v>0</v>
      </c>
      <c r="X939">
        <v>0</v>
      </c>
      <c r="Y939">
        <v>0</v>
      </c>
      <c r="Z939">
        <v>0</v>
      </c>
      <c r="AA939">
        <v>0</v>
      </c>
      <c r="AB939">
        <v>0</v>
      </c>
      <c r="AC939">
        <v>0</v>
      </c>
      <c r="AD939">
        <v>0</v>
      </c>
      <c r="AE939">
        <v>0</v>
      </c>
      <c r="AF939">
        <v>0</v>
      </c>
      <c r="AG939">
        <v>0</v>
      </c>
      <c r="AH939">
        <v>0</v>
      </c>
      <c r="AI939">
        <v>0</v>
      </c>
      <c r="AJ939">
        <v>0</v>
      </c>
      <c r="AK939">
        <v>0</v>
      </c>
      <c r="AL939">
        <v>0</v>
      </c>
      <c r="AM939">
        <v>6.71</v>
      </c>
      <c r="AN939">
        <v>0</v>
      </c>
      <c r="AO939">
        <v>0</v>
      </c>
      <c r="AP939">
        <v>0</v>
      </c>
      <c r="AQ939">
        <v>0</v>
      </c>
      <c r="AR939">
        <v>0</v>
      </c>
      <c r="AS939">
        <v>0</v>
      </c>
      <c r="AT939">
        <v>0</v>
      </c>
      <c r="AU939">
        <v>0</v>
      </c>
      <c r="AV939">
        <v>0</v>
      </c>
      <c r="AW939">
        <v>0</v>
      </c>
      <c r="AX939">
        <v>0</v>
      </c>
      <c r="AY939">
        <v>0</v>
      </c>
      <c r="AZ939">
        <v>0</v>
      </c>
      <c r="BA939">
        <v>0</v>
      </c>
      <c r="BB939">
        <v>0</v>
      </c>
      <c r="BC939">
        <v>0</v>
      </c>
      <c r="BD939">
        <v>0</v>
      </c>
      <c r="BE939">
        <v>0</v>
      </c>
      <c r="BF939">
        <v>0</v>
      </c>
      <c r="BG939">
        <v>0</v>
      </c>
      <c r="BH939">
        <v>1</v>
      </c>
      <c r="BI939">
        <v>1</v>
      </c>
      <c r="BJ939">
        <v>0.2</v>
      </c>
      <c r="BK939">
        <v>1</v>
      </c>
      <c r="BL939" s="4">
        <v>39.42</v>
      </c>
      <c r="BM939" s="4">
        <v>5.91</v>
      </c>
      <c r="BN939" s="4">
        <v>45.33</v>
      </c>
      <c r="BO939" s="4">
        <v>45.33</v>
      </c>
      <c r="BQ939" t="s">
        <v>147</v>
      </c>
      <c r="BR939" t="s">
        <v>84</v>
      </c>
      <c r="BS939" s="3">
        <v>43809</v>
      </c>
      <c r="BT939" s="5">
        <v>0.4375</v>
      </c>
      <c r="BU939" t="s">
        <v>638</v>
      </c>
      <c r="BV939" t="s">
        <v>86</v>
      </c>
      <c r="BY939">
        <v>1200</v>
      </c>
      <c r="CC939" t="s">
        <v>170</v>
      </c>
      <c r="CD939">
        <v>1459</v>
      </c>
      <c r="CE939" t="s">
        <v>88</v>
      </c>
      <c r="CF939" s="3">
        <v>43810</v>
      </c>
      <c r="CI939">
        <v>1</v>
      </c>
      <c r="CJ939">
        <v>1</v>
      </c>
      <c r="CK939">
        <v>22</v>
      </c>
      <c r="CL939" t="s">
        <v>89</v>
      </c>
    </row>
    <row r="940" spans="1:90">
      <c r="A940" t="s">
        <v>72</v>
      </c>
      <c r="B940" t="s">
        <v>73</v>
      </c>
      <c r="C940" t="s">
        <v>74</v>
      </c>
      <c r="E940" t="str">
        <f>"FES1162727270"</f>
        <v>FES1162727270</v>
      </c>
      <c r="F940" s="3">
        <v>43808</v>
      </c>
      <c r="G940">
        <v>202006</v>
      </c>
      <c r="H940" t="s">
        <v>75</v>
      </c>
      <c r="I940" t="s">
        <v>76</v>
      </c>
      <c r="J940" t="s">
        <v>77</v>
      </c>
      <c r="K940" t="s">
        <v>78</v>
      </c>
      <c r="L940" t="s">
        <v>151</v>
      </c>
      <c r="M940" t="s">
        <v>102</v>
      </c>
      <c r="N940" t="s">
        <v>1411</v>
      </c>
      <c r="O940" t="s">
        <v>82</v>
      </c>
      <c r="P940" t="str">
        <f>"2170720763                    "</f>
        <v xml:space="preserve">2170720763                    </v>
      </c>
      <c r="Q940">
        <v>0</v>
      </c>
      <c r="R940">
        <v>0</v>
      </c>
      <c r="S940">
        <v>0</v>
      </c>
      <c r="T940">
        <v>0</v>
      </c>
      <c r="U940">
        <v>0</v>
      </c>
      <c r="V940">
        <v>0</v>
      </c>
      <c r="W940">
        <v>0</v>
      </c>
      <c r="X940">
        <v>0</v>
      </c>
      <c r="Y940">
        <v>0</v>
      </c>
      <c r="Z940">
        <v>0</v>
      </c>
      <c r="AA940">
        <v>0</v>
      </c>
      <c r="AB940">
        <v>0</v>
      </c>
      <c r="AC940">
        <v>0</v>
      </c>
      <c r="AD940">
        <v>0</v>
      </c>
      <c r="AE940">
        <v>0</v>
      </c>
      <c r="AF940">
        <v>0</v>
      </c>
      <c r="AG940">
        <v>0</v>
      </c>
      <c r="AH940">
        <v>0</v>
      </c>
      <c r="AI940">
        <v>0</v>
      </c>
      <c r="AJ940">
        <v>0</v>
      </c>
      <c r="AK940">
        <v>0</v>
      </c>
      <c r="AL940">
        <v>0</v>
      </c>
      <c r="AM940">
        <v>8.58</v>
      </c>
      <c r="AN940">
        <v>0</v>
      </c>
      <c r="AO940">
        <v>0</v>
      </c>
      <c r="AP940">
        <v>0</v>
      </c>
      <c r="AQ940">
        <v>0</v>
      </c>
      <c r="AR940">
        <v>0</v>
      </c>
      <c r="AS940">
        <v>0</v>
      </c>
      <c r="AT940">
        <v>0</v>
      </c>
      <c r="AU940">
        <v>0</v>
      </c>
      <c r="AV940">
        <v>0</v>
      </c>
      <c r="AW940">
        <v>0</v>
      </c>
      <c r="AX940">
        <v>0</v>
      </c>
      <c r="AY940">
        <v>0</v>
      </c>
      <c r="AZ940">
        <v>0</v>
      </c>
      <c r="BA940">
        <v>0</v>
      </c>
      <c r="BB940">
        <v>0</v>
      </c>
      <c r="BC940">
        <v>0</v>
      </c>
      <c r="BD940">
        <v>0</v>
      </c>
      <c r="BE940">
        <v>0</v>
      </c>
      <c r="BF940">
        <v>0</v>
      </c>
      <c r="BG940">
        <v>0</v>
      </c>
      <c r="BH940">
        <v>1</v>
      </c>
      <c r="BI940">
        <v>1</v>
      </c>
      <c r="BJ940">
        <v>0.2</v>
      </c>
      <c r="BK940">
        <v>1</v>
      </c>
      <c r="BL940" s="4">
        <v>50.45</v>
      </c>
      <c r="BM940" s="4">
        <v>7.57</v>
      </c>
      <c r="BN940" s="4">
        <v>58.02</v>
      </c>
      <c r="BO940" s="4">
        <v>58.02</v>
      </c>
      <c r="BR940" t="s">
        <v>84</v>
      </c>
      <c r="BS940" s="3">
        <v>43809</v>
      </c>
      <c r="BT940" s="5">
        <v>0.46527777777777773</v>
      </c>
      <c r="BU940" t="s">
        <v>1412</v>
      </c>
      <c r="BV940" t="s">
        <v>89</v>
      </c>
      <c r="BW940" t="s">
        <v>149</v>
      </c>
      <c r="BX940" t="s">
        <v>785</v>
      </c>
      <c r="BY940">
        <v>1200</v>
      </c>
      <c r="CA940" t="s">
        <v>328</v>
      </c>
      <c r="CC940" t="s">
        <v>102</v>
      </c>
      <c r="CD940">
        <v>184</v>
      </c>
      <c r="CE940" t="s">
        <v>88</v>
      </c>
      <c r="CF940" s="3">
        <v>43810</v>
      </c>
      <c r="CI940">
        <v>1</v>
      </c>
      <c r="CJ940">
        <v>1</v>
      </c>
      <c r="CK940">
        <v>21</v>
      </c>
      <c r="CL940" t="s">
        <v>89</v>
      </c>
    </row>
    <row r="941" spans="1:90">
      <c r="A941" t="s">
        <v>72</v>
      </c>
      <c r="B941" t="s">
        <v>73</v>
      </c>
      <c r="C941" t="s">
        <v>74</v>
      </c>
      <c r="E941" t="str">
        <f>"FES1162727282"</f>
        <v>FES1162727282</v>
      </c>
      <c r="F941" s="3">
        <v>43808</v>
      </c>
      <c r="G941">
        <v>202006</v>
      </c>
      <c r="H941" t="s">
        <v>75</v>
      </c>
      <c r="I941" t="s">
        <v>76</v>
      </c>
      <c r="J941" t="s">
        <v>77</v>
      </c>
      <c r="K941" t="s">
        <v>78</v>
      </c>
      <c r="L941" t="s">
        <v>350</v>
      </c>
      <c r="M941" t="s">
        <v>351</v>
      </c>
      <c r="N941" t="s">
        <v>1060</v>
      </c>
      <c r="O941" t="s">
        <v>82</v>
      </c>
      <c r="P941" t="str">
        <f>"2170720776                    "</f>
        <v xml:space="preserve">2170720776                    </v>
      </c>
      <c r="Q941">
        <v>0</v>
      </c>
      <c r="R941">
        <v>0</v>
      </c>
      <c r="S941">
        <v>0</v>
      </c>
      <c r="T941">
        <v>0</v>
      </c>
      <c r="U941">
        <v>0</v>
      </c>
      <c r="V941">
        <v>0</v>
      </c>
      <c r="W941">
        <v>0</v>
      </c>
      <c r="X941">
        <v>0</v>
      </c>
      <c r="Y941">
        <v>0</v>
      </c>
      <c r="Z941">
        <v>0</v>
      </c>
      <c r="AA941">
        <v>0</v>
      </c>
      <c r="AB941">
        <v>0</v>
      </c>
      <c r="AC941">
        <v>0</v>
      </c>
      <c r="AD941">
        <v>0</v>
      </c>
      <c r="AE941">
        <v>0</v>
      </c>
      <c r="AF941">
        <v>0</v>
      </c>
      <c r="AG941">
        <v>0</v>
      </c>
      <c r="AH941">
        <v>0</v>
      </c>
      <c r="AI941">
        <v>0</v>
      </c>
      <c r="AJ941">
        <v>0</v>
      </c>
      <c r="AK941">
        <v>0</v>
      </c>
      <c r="AL941">
        <v>0</v>
      </c>
      <c r="AM941">
        <v>6.71</v>
      </c>
      <c r="AN941">
        <v>0</v>
      </c>
      <c r="AO941">
        <v>0</v>
      </c>
      <c r="AP941">
        <v>0</v>
      </c>
      <c r="AQ941">
        <v>0</v>
      </c>
      <c r="AR941">
        <v>0</v>
      </c>
      <c r="AS941">
        <v>0</v>
      </c>
      <c r="AT941">
        <v>0</v>
      </c>
      <c r="AU941">
        <v>0</v>
      </c>
      <c r="AV941">
        <v>0</v>
      </c>
      <c r="AW941">
        <v>0</v>
      </c>
      <c r="AX941">
        <v>0</v>
      </c>
      <c r="AY941">
        <v>0</v>
      </c>
      <c r="AZ941">
        <v>0</v>
      </c>
      <c r="BA941">
        <v>0</v>
      </c>
      <c r="BB941">
        <v>0</v>
      </c>
      <c r="BC941">
        <v>0</v>
      </c>
      <c r="BD941">
        <v>0</v>
      </c>
      <c r="BE941">
        <v>0</v>
      </c>
      <c r="BF941">
        <v>0</v>
      </c>
      <c r="BG941">
        <v>0</v>
      </c>
      <c r="BH941">
        <v>1</v>
      </c>
      <c r="BI941">
        <v>1</v>
      </c>
      <c r="BJ941">
        <v>0.2</v>
      </c>
      <c r="BK941">
        <v>1</v>
      </c>
      <c r="BL941" s="4">
        <v>39.42</v>
      </c>
      <c r="BM941" s="4">
        <v>5.91</v>
      </c>
      <c r="BN941" s="4">
        <v>45.33</v>
      </c>
      <c r="BO941" s="4">
        <v>45.33</v>
      </c>
      <c r="BR941" t="s">
        <v>84</v>
      </c>
      <c r="BS941" s="3">
        <v>43809</v>
      </c>
      <c r="BT941" s="5">
        <v>0.3125</v>
      </c>
      <c r="BU941" t="s">
        <v>1475</v>
      </c>
      <c r="BV941" t="s">
        <v>86</v>
      </c>
      <c r="BY941">
        <v>1200</v>
      </c>
      <c r="CA941" t="s">
        <v>344</v>
      </c>
      <c r="CC941" t="s">
        <v>351</v>
      </c>
      <c r="CD941">
        <v>1500</v>
      </c>
      <c r="CE941" t="s">
        <v>88</v>
      </c>
      <c r="CF941" s="3">
        <v>43811</v>
      </c>
      <c r="CI941">
        <v>1</v>
      </c>
      <c r="CJ941">
        <v>1</v>
      </c>
      <c r="CK941">
        <v>22</v>
      </c>
      <c r="CL941" t="s">
        <v>89</v>
      </c>
    </row>
    <row r="942" spans="1:90">
      <c r="A942" t="s">
        <v>72</v>
      </c>
      <c r="B942" t="s">
        <v>73</v>
      </c>
      <c r="C942" t="s">
        <v>74</v>
      </c>
      <c r="E942" t="str">
        <f>"FES1162727351"</f>
        <v>FES1162727351</v>
      </c>
      <c r="F942" s="3">
        <v>43808</v>
      </c>
      <c r="G942">
        <v>202006</v>
      </c>
      <c r="H942" t="s">
        <v>75</v>
      </c>
      <c r="I942" t="s">
        <v>76</v>
      </c>
      <c r="J942" t="s">
        <v>77</v>
      </c>
      <c r="K942" t="s">
        <v>78</v>
      </c>
      <c r="L942" t="s">
        <v>90</v>
      </c>
      <c r="M942" t="s">
        <v>91</v>
      </c>
      <c r="N942" t="s">
        <v>110</v>
      </c>
      <c r="O942" t="s">
        <v>82</v>
      </c>
      <c r="P942" t="str">
        <f>"2170720830                    "</f>
        <v xml:space="preserve">2170720830                    </v>
      </c>
      <c r="Q942">
        <v>0</v>
      </c>
      <c r="R942">
        <v>0</v>
      </c>
      <c r="S942">
        <v>0</v>
      </c>
      <c r="T942">
        <v>0</v>
      </c>
      <c r="U942">
        <v>0</v>
      </c>
      <c r="V942">
        <v>0</v>
      </c>
      <c r="W942">
        <v>0</v>
      </c>
      <c r="X942">
        <v>0</v>
      </c>
      <c r="Y942">
        <v>0</v>
      </c>
      <c r="Z942">
        <v>0</v>
      </c>
      <c r="AA942">
        <v>0</v>
      </c>
      <c r="AB942">
        <v>0</v>
      </c>
      <c r="AC942">
        <v>0</v>
      </c>
      <c r="AD942">
        <v>0</v>
      </c>
      <c r="AE942">
        <v>0</v>
      </c>
      <c r="AF942">
        <v>0</v>
      </c>
      <c r="AG942">
        <v>0</v>
      </c>
      <c r="AH942">
        <v>0</v>
      </c>
      <c r="AI942">
        <v>0</v>
      </c>
      <c r="AJ942">
        <v>0</v>
      </c>
      <c r="AK942">
        <v>0</v>
      </c>
      <c r="AL942">
        <v>0</v>
      </c>
      <c r="AM942">
        <v>8.58</v>
      </c>
      <c r="AN942">
        <v>0</v>
      </c>
      <c r="AO942">
        <v>0</v>
      </c>
      <c r="AP942">
        <v>0</v>
      </c>
      <c r="AQ942">
        <v>0</v>
      </c>
      <c r="AR942">
        <v>0</v>
      </c>
      <c r="AS942">
        <v>0</v>
      </c>
      <c r="AT942">
        <v>0</v>
      </c>
      <c r="AU942">
        <v>0</v>
      </c>
      <c r="AV942">
        <v>0</v>
      </c>
      <c r="AW942">
        <v>0</v>
      </c>
      <c r="AX942">
        <v>0</v>
      </c>
      <c r="AY942">
        <v>0</v>
      </c>
      <c r="AZ942">
        <v>0</v>
      </c>
      <c r="BA942">
        <v>0</v>
      </c>
      <c r="BB942">
        <v>0</v>
      </c>
      <c r="BC942">
        <v>0</v>
      </c>
      <c r="BD942">
        <v>0</v>
      </c>
      <c r="BE942">
        <v>0</v>
      </c>
      <c r="BF942">
        <v>0</v>
      </c>
      <c r="BG942">
        <v>0</v>
      </c>
      <c r="BH942">
        <v>1</v>
      </c>
      <c r="BI942">
        <v>1</v>
      </c>
      <c r="BJ942">
        <v>0.2</v>
      </c>
      <c r="BK942">
        <v>1</v>
      </c>
      <c r="BL942" s="4">
        <v>50.45</v>
      </c>
      <c r="BM942" s="4">
        <v>7.57</v>
      </c>
      <c r="BN942" s="4">
        <v>58.02</v>
      </c>
      <c r="BO942" s="4">
        <v>58.02</v>
      </c>
      <c r="BQ942" t="s">
        <v>147</v>
      </c>
      <c r="BR942" t="s">
        <v>84</v>
      </c>
      <c r="BS942" s="3">
        <v>43809</v>
      </c>
      <c r="BT942" s="5">
        <v>0.31319444444444444</v>
      </c>
      <c r="BU942" t="s">
        <v>111</v>
      </c>
      <c r="BV942" t="s">
        <v>86</v>
      </c>
      <c r="BY942">
        <v>1200</v>
      </c>
      <c r="CA942" t="s">
        <v>112</v>
      </c>
      <c r="CC942" t="s">
        <v>91</v>
      </c>
      <c r="CD942">
        <v>7405</v>
      </c>
      <c r="CE942" t="s">
        <v>88</v>
      </c>
      <c r="CF942" s="3">
        <v>43810</v>
      </c>
      <c r="CI942">
        <v>1</v>
      </c>
      <c r="CJ942">
        <v>1</v>
      </c>
      <c r="CK942">
        <v>21</v>
      </c>
      <c r="CL942" t="s">
        <v>89</v>
      </c>
    </row>
    <row r="943" spans="1:90">
      <c r="A943" t="s">
        <v>72</v>
      </c>
      <c r="B943" t="s">
        <v>73</v>
      </c>
      <c r="C943" t="s">
        <v>74</v>
      </c>
      <c r="E943" t="str">
        <f>"FES1162727279"</f>
        <v>FES1162727279</v>
      </c>
      <c r="F943" s="3">
        <v>43808</v>
      </c>
      <c r="G943">
        <v>202006</v>
      </c>
      <c r="H943" t="s">
        <v>75</v>
      </c>
      <c r="I943" t="s">
        <v>76</v>
      </c>
      <c r="J943" t="s">
        <v>77</v>
      </c>
      <c r="K943" t="s">
        <v>78</v>
      </c>
      <c r="L943" t="s">
        <v>151</v>
      </c>
      <c r="M943" t="s">
        <v>102</v>
      </c>
      <c r="N943" t="s">
        <v>1221</v>
      </c>
      <c r="O943" t="s">
        <v>82</v>
      </c>
      <c r="P943" t="str">
        <f>"2170720774                    "</f>
        <v xml:space="preserve">2170720774                    </v>
      </c>
      <c r="Q943">
        <v>0</v>
      </c>
      <c r="R943">
        <v>0</v>
      </c>
      <c r="S943">
        <v>0</v>
      </c>
      <c r="T943">
        <v>0</v>
      </c>
      <c r="U943">
        <v>0</v>
      </c>
      <c r="V943">
        <v>0</v>
      </c>
      <c r="W943">
        <v>0</v>
      </c>
      <c r="X943">
        <v>0</v>
      </c>
      <c r="Y943">
        <v>0</v>
      </c>
      <c r="Z943">
        <v>0</v>
      </c>
      <c r="AA943">
        <v>0</v>
      </c>
      <c r="AB943">
        <v>0</v>
      </c>
      <c r="AC943">
        <v>0</v>
      </c>
      <c r="AD943">
        <v>0</v>
      </c>
      <c r="AE943">
        <v>0</v>
      </c>
      <c r="AF943">
        <v>0</v>
      </c>
      <c r="AG943">
        <v>0</v>
      </c>
      <c r="AH943">
        <v>0</v>
      </c>
      <c r="AI943">
        <v>0</v>
      </c>
      <c r="AJ943">
        <v>0</v>
      </c>
      <c r="AK943">
        <v>0</v>
      </c>
      <c r="AL943">
        <v>0</v>
      </c>
      <c r="AM943">
        <v>8.58</v>
      </c>
      <c r="AN943">
        <v>0</v>
      </c>
      <c r="AO943">
        <v>0</v>
      </c>
      <c r="AP943">
        <v>0</v>
      </c>
      <c r="AQ943">
        <v>0</v>
      </c>
      <c r="AR943">
        <v>0</v>
      </c>
      <c r="AS943">
        <v>0</v>
      </c>
      <c r="AT943">
        <v>0</v>
      </c>
      <c r="AU943">
        <v>0</v>
      </c>
      <c r="AV943">
        <v>0</v>
      </c>
      <c r="AW943">
        <v>0</v>
      </c>
      <c r="AX943">
        <v>0</v>
      </c>
      <c r="AY943">
        <v>0</v>
      </c>
      <c r="AZ943">
        <v>0</v>
      </c>
      <c r="BA943">
        <v>0</v>
      </c>
      <c r="BB943">
        <v>0</v>
      </c>
      <c r="BC943">
        <v>0</v>
      </c>
      <c r="BD943">
        <v>0</v>
      </c>
      <c r="BE943">
        <v>0</v>
      </c>
      <c r="BF943">
        <v>0</v>
      </c>
      <c r="BG943">
        <v>0</v>
      </c>
      <c r="BH943">
        <v>1</v>
      </c>
      <c r="BI943">
        <v>1.4</v>
      </c>
      <c r="BJ943">
        <v>0.2</v>
      </c>
      <c r="BK943">
        <v>1.5</v>
      </c>
      <c r="BL943" s="4">
        <v>50.45</v>
      </c>
      <c r="BM943" s="4">
        <v>7.57</v>
      </c>
      <c r="BN943" s="4">
        <v>58.02</v>
      </c>
      <c r="BO943" s="4">
        <v>58.02</v>
      </c>
      <c r="BQ943" t="s">
        <v>135</v>
      </c>
      <c r="BR943" t="s">
        <v>84</v>
      </c>
      <c r="BS943" s="3">
        <v>43809</v>
      </c>
      <c r="BT943" s="5">
        <v>0.45833333333333331</v>
      </c>
      <c r="BU943" t="s">
        <v>1476</v>
      </c>
      <c r="BV943" t="s">
        <v>86</v>
      </c>
      <c r="BY943">
        <v>1200</v>
      </c>
      <c r="CA943" t="s">
        <v>1477</v>
      </c>
      <c r="CC943" t="s">
        <v>102</v>
      </c>
      <c r="CD943">
        <v>186</v>
      </c>
      <c r="CE943" t="s">
        <v>88</v>
      </c>
      <c r="CF943" s="3">
        <v>43810</v>
      </c>
      <c r="CI943">
        <v>1</v>
      </c>
      <c r="CJ943">
        <v>1</v>
      </c>
      <c r="CK943">
        <v>21</v>
      </c>
      <c r="CL943" t="s">
        <v>89</v>
      </c>
    </row>
    <row r="944" spans="1:90">
      <c r="A944" t="s">
        <v>72</v>
      </c>
      <c r="B944" t="s">
        <v>73</v>
      </c>
      <c r="C944" t="s">
        <v>74</v>
      </c>
      <c r="E944" t="str">
        <f>"FES1162727325"</f>
        <v>FES1162727325</v>
      </c>
      <c r="F944" s="3">
        <v>43808</v>
      </c>
      <c r="G944">
        <v>202006</v>
      </c>
      <c r="H944" t="s">
        <v>75</v>
      </c>
      <c r="I944" t="s">
        <v>76</v>
      </c>
      <c r="J944" t="s">
        <v>77</v>
      </c>
      <c r="K944" t="s">
        <v>78</v>
      </c>
      <c r="L944" t="s">
        <v>1478</v>
      </c>
      <c r="M944" t="s">
        <v>1479</v>
      </c>
      <c r="N944" t="s">
        <v>1480</v>
      </c>
      <c r="O944" t="s">
        <v>82</v>
      </c>
      <c r="P944" t="str">
        <f>"2170720790                    "</f>
        <v xml:space="preserve">2170720790                    </v>
      </c>
      <c r="Q944">
        <v>0</v>
      </c>
      <c r="R944">
        <v>0</v>
      </c>
      <c r="S944">
        <v>0</v>
      </c>
      <c r="T944">
        <v>0</v>
      </c>
      <c r="U944">
        <v>0</v>
      </c>
      <c r="V944">
        <v>0</v>
      </c>
      <c r="W944">
        <v>0</v>
      </c>
      <c r="X944">
        <v>0</v>
      </c>
      <c r="Y944">
        <v>0</v>
      </c>
      <c r="Z944">
        <v>0</v>
      </c>
      <c r="AA944">
        <v>0</v>
      </c>
      <c r="AB944">
        <v>0</v>
      </c>
      <c r="AC944">
        <v>0</v>
      </c>
      <c r="AD944">
        <v>0</v>
      </c>
      <c r="AE944">
        <v>0</v>
      </c>
      <c r="AF944">
        <v>0</v>
      </c>
      <c r="AG944">
        <v>0</v>
      </c>
      <c r="AH944">
        <v>0</v>
      </c>
      <c r="AI944">
        <v>0</v>
      </c>
      <c r="AJ944">
        <v>0</v>
      </c>
      <c r="AK944">
        <v>0</v>
      </c>
      <c r="AL944">
        <v>0</v>
      </c>
      <c r="AM944">
        <v>6.71</v>
      </c>
      <c r="AN944">
        <v>0</v>
      </c>
      <c r="AO944">
        <v>0</v>
      </c>
      <c r="AP944">
        <v>0</v>
      </c>
      <c r="AQ944">
        <v>0</v>
      </c>
      <c r="AR944">
        <v>0</v>
      </c>
      <c r="AS944">
        <v>0</v>
      </c>
      <c r="AT944">
        <v>0</v>
      </c>
      <c r="AU944">
        <v>0</v>
      </c>
      <c r="AV944">
        <v>0</v>
      </c>
      <c r="AW944">
        <v>0</v>
      </c>
      <c r="AX944">
        <v>0</v>
      </c>
      <c r="AY944">
        <v>0</v>
      </c>
      <c r="AZ944">
        <v>0</v>
      </c>
      <c r="BA944">
        <v>0</v>
      </c>
      <c r="BB944">
        <v>0</v>
      </c>
      <c r="BC944">
        <v>0</v>
      </c>
      <c r="BD944">
        <v>0</v>
      </c>
      <c r="BE944">
        <v>0</v>
      </c>
      <c r="BF944">
        <v>0</v>
      </c>
      <c r="BG944">
        <v>0</v>
      </c>
      <c r="BH944">
        <v>1</v>
      </c>
      <c r="BI944">
        <v>1</v>
      </c>
      <c r="BJ944">
        <v>0.2</v>
      </c>
      <c r="BK944">
        <v>1</v>
      </c>
      <c r="BL944" s="4">
        <v>39.42</v>
      </c>
      <c r="BM944" s="4">
        <v>5.91</v>
      </c>
      <c r="BN944" s="4">
        <v>45.33</v>
      </c>
      <c r="BO944" s="4">
        <v>45.33</v>
      </c>
      <c r="BR944" t="s">
        <v>84</v>
      </c>
      <c r="BS944" s="3">
        <v>43809</v>
      </c>
      <c r="BT944" s="5">
        <v>0.33333333333333331</v>
      </c>
      <c r="BU944" t="s">
        <v>1481</v>
      </c>
      <c r="BV944" t="s">
        <v>86</v>
      </c>
      <c r="BY944">
        <v>1200</v>
      </c>
      <c r="CA944" t="s">
        <v>1482</v>
      </c>
      <c r="CC944" t="s">
        <v>1479</v>
      </c>
      <c r="CD944">
        <v>2146</v>
      </c>
      <c r="CE944" t="s">
        <v>88</v>
      </c>
      <c r="CF944" s="3">
        <v>43810</v>
      </c>
      <c r="CI944">
        <v>1</v>
      </c>
      <c r="CJ944">
        <v>1</v>
      </c>
      <c r="CK944">
        <v>22</v>
      </c>
      <c r="CL944" t="s">
        <v>89</v>
      </c>
    </row>
    <row r="945" spans="1:90">
      <c r="A945" t="s">
        <v>72</v>
      </c>
      <c r="B945" t="s">
        <v>73</v>
      </c>
      <c r="C945" t="s">
        <v>74</v>
      </c>
      <c r="E945" t="str">
        <f>"FES1162727136"</f>
        <v>FES1162727136</v>
      </c>
      <c r="F945" s="3">
        <v>43808</v>
      </c>
      <c r="G945">
        <v>202006</v>
      </c>
      <c r="H945" t="s">
        <v>75</v>
      </c>
      <c r="I945" t="s">
        <v>76</v>
      </c>
      <c r="J945" t="s">
        <v>77</v>
      </c>
      <c r="K945" t="s">
        <v>78</v>
      </c>
      <c r="L945" t="s">
        <v>138</v>
      </c>
      <c r="M945" t="s">
        <v>139</v>
      </c>
      <c r="N945" t="s">
        <v>1483</v>
      </c>
      <c r="O945" t="s">
        <v>82</v>
      </c>
      <c r="P945" t="str">
        <f>"2170720605                    "</f>
        <v xml:space="preserve">2170720605                    </v>
      </c>
      <c r="Q945">
        <v>0</v>
      </c>
      <c r="R945">
        <v>0</v>
      </c>
      <c r="S945">
        <v>0</v>
      </c>
      <c r="T945">
        <v>0</v>
      </c>
      <c r="U945">
        <v>0</v>
      </c>
      <c r="V945">
        <v>0</v>
      </c>
      <c r="W945">
        <v>0</v>
      </c>
      <c r="X945">
        <v>0</v>
      </c>
      <c r="Y945">
        <v>0</v>
      </c>
      <c r="Z945">
        <v>0</v>
      </c>
      <c r="AA945">
        <v>0</v>
      </c>
      <c r="AB945">
        <v>0</v>
      </c>
      <c r="AC945">
        <v>0</v>
      </c>
      <c r="AD945">
        <v>0</v>
      </c>
      <c r="AE945">
        <v>0</v>
      </c>
      <c r="AF945">
        <v>0</v>
      </c>
      <c r="AG945">
        <v>0</v>
      </c>
      <c r="AH945">
        <v>0</v>
      </c>
      <c r="AI945">
        <v>0</v>
      </c>
      <c r="AJ945">
        <v>0</v>
      </c>
      <c r="AK945">
        <v>0</v>
      </c>
      <c r="AL945">
        <v>0</v>
      </c>
      <c r="AM945">
        <v>6.71</v>
      </c>
      <c r="AN945">
        <v>0</v>
      </c>
      <c r="AO945">
        <v>0</v>
      </c>
      <c r="AP945">
        <v>0</v>
      </c>
      <c r="AQ945">
        <v>0</v>
      </c>
      <c r="AR945">
        <v>0</v>
      </c>
      <c r="AS945">
        <v>0</v>
      </c>
      <c r="AT945">
        <v>0</v>
      </c>
      <c r="AU945">
        <v>0</v>
      </c>
      <c r="AV945">
        <v>0</v>
      </c>
      <c r="AW945">
        <v>0</v>
      </c>
      <c r="AX945">
        <v>0</v>
      </c>
      <c r="AY945">
        <v>0</v>
      </c>
      <c r="AZ945">
        <v>0</v>
      </c>
      <c r="BA945">
        <v>0</v>
      </c>
      <c r="BB945">
        <v>0</v>
      </c>
      <c r="BC945">
        <v>0</v>
      </c>
      <c r="BD945">
        <v>0</v>
      </c>
      <c r="BE945">
        <v>0</v>
      </c>
      <c r="BF945">
        <v>0</v>
      </c>
      <c r="BG945">
        <v>0</v>
      </c>
      <c r="BH945">
        <v>1</v>
      </c>
      <c r="BI945">
        <v>1</v>
      </c>
      <c r="BJ945">
        <v>0.2</v>
      </c>
      <c r="BK945">
        <v>1</v>
      </c>
      <c r="BL945" s="4">
        <v>39.42</v>
      </c>
      <c r="BM945" s="4">
        <v>5.91</v>
      </c>
      <c r="BN945" s="4">
        <v>45.33</v>
      </c>
      <c r="BO945" s="4">
        <v>45.33</v>
      </c>
      <c r="BQ945" t="s">
        <v>1484</v>
      </c>
      <c r="BR945" t="s">
        <v>84</v>
      </c>
      <c r="BS945" s="3">
        <v>43809</v>
      </c>
      <c r="BT945" s="5">
        <v>0.4375</v>
      </c>
      <c r="BU945" t="s">
        <v>1179</v>
      </c>
      <c r="BV945" t="s">
        <v>86</v>
      </c>
      <c r="BY945">
        <v>1200</v>
      </c>
      <c r="CC945" t="s">
        <v>139</v>
      </c>
      <c r="CD945">
        <v>1422</v>
      </c>
      <c r="CE945" t="s">
        <v>88</v>
      </c>
      <c r="CF945" s="3">
        <v>43810</v>
      </c>
      <c r="CI945">
        <v>1</v>
      </c>
      <c r="CJ945">
        <v>1</v>
      </c>
      <c r="CK945">
        <v>22</v>
      </c>
      <c r="CL945" t="s">
        <v>89</v>
      </c>
    </row>
    <row r="946" spans="1:90">
      <c r="A946" t="s">
        <v>72</v>
      </c>
      <c r="B946" t="s">
        <v>73</v>
      </c>
      <c r="C946" t="s">
        <v>74</v>
      </c>
      <c r="E946" t="str">
        <f>"FES1162727297"</f>
        <v>FES1162727297</v>
      </c>
      <c r="F946" s="3">
        <v>43808</v>
      </c>
      <c r="G946">
        <v>202006</v>
      </c>
      <c r="H946" t="s">
        <v>75</v>
      </c>
      <c r="I946" t="s">
        <v>76</v>
      </c>
      <c r="J946" t="s">
        <v>77</v>
      </c>
      <c r="K946" t="s">
        <v>78</v>
      </c>
      <c r="L946" t="s">
        <v>446</v>
      </c>
      <c r="M946" t="s">
        <v>447</v>
      </c>
      <c r="N946" t="s">
        <v>448</v>
      </c>
      <c r="O946" t="s">
        <v>82</v>
      </c>
      <c r="P946" t="str">
        <f>"2170719781                    "</f>
        <v xml:space="preserve">2170719781                    </v>
      </c>
      <c r="Q946">
        <v>0</v>
      </c>
      <c r="R946">
        <v>0</v>
      </c>
      <c r="S946">
        <v>0</v>
      </c>
      <c r="T946">
        <v>0</v>
      </c>
      <c r="U946">
        <v>0</v>
      </c>
      <c r="V946">
        <v>0</v>
      </c>
      <c r="W946">
        <v>0</v>
      </c>
      <c r="X946">
        <v>0</v>
      </c>
      <c r="Y946">
        <v>0</v>
      </c>
      <c r="Z946">
        <v>0</v>
      </c>
      <c r="AA946">
        <v>0</v>
      </c>
      <c r="AB946">
        <v>0</v>
      </c>
      <c r="AC946">
        <v>0</v>
      </c>
      <c r="AD946">
        <v>0</v>
      </c>
      <c r="AE946">
        <v>0</v>
      </c>
      <c r="AF946">
        <v>0</v>
      </c>
      <c r="AG946">
        <v>0</v>
      </c>
      <c r="AH946">
        <v>0</v>
      </c>
      <c r="AI946">
        <v>0</v>
      </c>
      <c r="AJ946">
        <v>0</v>
      </c>
      <c r="AK946">
        <v>0</v>
      </c>
      <c r="AL946">
        <v>0</v>
      </c>
      <c r="AM946">
        <v>8.58</v>
      </c>
      <c r="AN946">
        <v>0</v>
      </c>
      <c r="AO946">
        <v>0</v>
      </c>
      <c r="AP946">
        <v>0</v>
      </c>
      <c r="AQ946">
        <v>0</v>
      </c>
      <c r="AR946">
        <v>0</v>
      </c>
      <c r="AS946">
        <v>0</v>
      </c>
      <c r="AT946">
        <v>0</v>
      </c>
      <c r="AU946">
        <v>0</v>
      </c>
      <c r="AV946">
        <v>0</v>
      </c>
      <c r="AW946">
        <v>0</v>
      </c>
      <c r="AX946">
        <v>0</v>
      </c>
      <c r="AY946">
        <v>0</v>
      </c>
      <c r="AZ946">
        <v>0</v>
      </c>
      <c r="BA946">
        <v>0</v>
      </c>
      <c r="BB946">
        <v>0</v>
      </c>
      <c r="BC946">
        <v>0</v>
      </c>
      <c r="BD946">
        <v>0</v>
      </c>
      <c r="BE946">
        <v>0</v>
      </c>
      <c r="BF946">
        <v>0</v>
      </c>
      <c r="BG946">
        <v>0</v>
      </c>
      <c r="BH946">
        <v>1</v>
      </c>
      <c r="BI946">
        <v>2</v>
      </c>
      <c r="BJ946">
        <v>1.1000000000000001</v>
      </c>
      <c r="BK946">
        <v>2</v>
      </c>
      <c r="BL946" s="4">
        <v>50.45</v>
      </c>
      <c r="BM946" s="4">
        <v>7.57</v>
      </c>
      <c r="BN946" s="4">
        <v>58.02</v>
      </c>
      <c r="BO946" s="4">
        <v>58.02</v>
      </c>
      <c r="BQ946" t="s">
        <v>256</v>
      </c>
      <c r="BR946" t="s">
        <v>84</v>
      </c>
      <c r="BS946" s="3">
        <v>43809</v>
      </c>
      <c r="BT946" s="5">
        <v>0.42083333333333334</v>
      </c>
      <c r="BU946" t="s">
        <v>1425</v>
      </c>
      <c r="BV946" t="s">
        <v>86</v>
      </c>
      <c r="BY946">
        <v>5320</v>
      </c>
      <c r="CA946" t="s">
        <v>270</v>
      </c>
      <c r="CC946" t="s">
        <v>447</v>
      </c>
      <c r="CD946">
        <v>4113</v>
      </c>
      <c r="CE946" t="s">
        <v>96</v>
      </c>
      <c r="CF946" s="3">
        <v>43810</v>
      </c>
      <c r="CI946">
        <v>1</v>
      </c>
      <c r="CJ946">
        <v>1</v>
      </c>
      <c r="CK946">
        <v>21</v>
      </c>
      <c r="CL946" t="s">
        <v>89</v>
      </c>
    </row>
    <row r="947" spans="1:90">
      <c r="A947" t="s">
        <v>72</v>
      </c>
      <c r="B947" t="s">
        <v>73</v>
      </c>
      <c r="C947" t="s">
        <v>74</v>
      </c>
      <c r="E947" t="str">
        <f>"FES1162727317"</f>
        <v>FES1162727317</v>
      </c>
      <c r="F947" s="3">
        <v>43808</v>
      </c>
      <c r="G947">
        <v>202006</v>
      </c>
      <c r="H947" t="s">
        <v>75</v>
      </c>
      <c r="I947" t="s">
        <v>76</v>
      </c>
      <c r="J947" t="s">
        <v>77</v>
      </c>
      <c r="K947" t="s">
        <v>78</v>
      </c>
      <c r="L947" t="s">
        <v>404</v>
      </c>
      <c r="M947" t="s">
        <v>405</v>
      </c>
      <c r="N947" t="s">
        <v>1382</v>
      </c>
      <c r="O947" t="s">
        <v>82</v>
      </c>
      <c r="P947" t="str">
        <f>"2170720797                    "</f>
        <v xml:space="preserve">2170720797                    </v>
      </c>
      <c r="Q947">
        <v>0</v>
      </c>
      <c r="R947">
        <v>0</v>
      </c>
      <c r="S947">
        <v>0</v>
      </c>
      <c r="T947">
        <v>0</v>
      </c>
      <c r="U947">
        <v>0</v>
      </c>
      <c r="V947">
        <v>0</v>
      </c>
      <c r="W947">
        <v>0</v>
      </c>
      <c r="X947">
        <v>0</v>
      </c>
      <c r="Y947">
        <v>0</v>
      </c>
      <c r="Z947">
        <v>0</v>
      </c>
      <c r="AA947">
        <v>0</v>
      </c>
      <c r="AB947">
        <v>0</v>
      </c>
      <c r="AC947">
        <v>0</v>
      </c>
      <c r="AD947">
        <v>0</v>
      </c>
      <c r="AE947">
        <v>0</v>
      </c>
      <c r="AF947">
        <v>0</v>
      </c>
      <c r="AG947">
        <v>0</v>
      </c>
      <c r="AH947">
        <v>0</v>
      </c>
      <c r="AI947">
        <v>0</v>
      </c>
      <c r="AJ947">
        <v>0</v>
      </c>
      <c r="AK947">
        <v>0</v>
      </c>
      <c r="AL947">
        <v>0</v>
      </c>
      <c r="AM947">
        <v>19.3</v>
      </c>
      <c r="AN947">
        <v>0</v>
      </c>
      <c r="AO947">
        <v>0</v>
      </c>
      <c r="AP947">
        <v>0</v>
      </c>
      <c r="AQ947">
        <v>0</v>
      </c>
      <c r="AR947">
        <v>0</v>
      </c>
      <c r="AS947">
        <v>0</v>
      </c>
      <c r="AT947">
        <v>0</v>
      </c>
      <c r="AU947">
        <v>0</v>
      </c>
      <c r="AV947">
        <v>0</v>
      </c>
      <c r="AW947">
        <v>0</v>
      </c>
      <c r="AX947">
        <v>0</v>
      </c>
      <c r="AY947">
        <v>0</v>
      </c>
      <c r="AZ947">
        <v>0</v>
      </c>
      <c r="BA947">
        <v>0</v>
      </c>
      <c r="BB947">
        <v>0</v>
      </c>
      <c r="BC947">
        <v>0</v>
      </c>
      <c r="BD947">
        <v>0</v>
      </c>
      <c r="BE947">
        <v>0</v>
      </c>
      <c r="BF947">
        <v>0</v>
      </c>
      <c r="BG947">
        <v>0</v>
      </c>
      <c r="BH947">
        <v>1</v>
      </c>
      <c r="BI947">
        <v>4.3</v>
      </c>
      <c r="BJ947">
        <v>3.3</v>
      </c>
      <c r="BK947">
        <v>4.5</v>
      </c>
      <c r="BL947" s="4">
        <v>113.47</v>
      </c>
      <c r="BM947" s="4">
        <v>17.02</v>
      </c>
      <c r="BN947" s="4">
        <v>130.49</v>
      </c>
      <c r="BO947" s="4">
        <v>130.49</v>
      </c>
      <c r="BQ947" t="s">
        <v>1383</v>
      </c>
      <c r="BR947" t="s">
        <v>84</v>
      </c>
      <c r="BS947" s="3">
        <v>43809</v>
      </c>
      <c r="BT947" s="5">
        <v>0.36249999999999999</v>
      </c>
      <c r="BU947" t="s">
        <v>1384</v>
      </c>
      <c r="BV947" t="s">
        <v>86</v>
      </c>
      <c r="BY947">
        <v>16524</v>
      </c>
      <c r="CA947" t="s">
        <v>408</v>
      </c>
      <c r="CC947" t="s">
        <v>405</v>
      </c>
      <c r="CD947">
        <v>4026</v>
      </c>
      <c r="CE947" t="s">
        <v>96</v>
      </c>
      <c r="CF947" s="3">
        <v>43809</v>
      </c>
      <c r="CI947">
        <v>1</v>
      </c>
      <c r="CJ947">
        <v>1</v>
      </c>
      <c r="CK947">
        <v>21</v>
      </c>
      <c r="CL947" t="s">
        <v>89</v>
      </c>
    </row>
    <row r="948" spans="1:90">
      <c r="A948" t="s">
        <v>72</v>
      </c>
      <c r="B948" t="s">
        <v>73</v>
      </c>
      <c r="C948" t="s">
        <v>74</v>
      </c>
      <c r="E948" t="str">
        <f>"FES1162727277"</f>
        <v>FES1162727277</v>
      </c>
      <c r="F948" s="3">
        <v>43808</v>
      </c>
      <c r="G948">
        <v>202006</v>
      </c>
      <c r="H948" t="s">
        <v>75</v>
      </c>
      <c r="I948" t="s">
        <v>76</v>
      </c>
      <c r="J948" t="s">
        <v>77</v>
      </c>
      <c r="K948" t="s">
        <v>78</v>
      </c>
      <c r="L948" t="s">
        <v>332</v>
      </c>
      <c r="M948" t="s">
        <v>333</v>
      </c>
      <c r="N948" t="s">
        <v>1485</v>
      </c>
      <c r="O948" t="s">
        <v>82</v>
      </c>
      <c r="P948" t="str">
        <f>"2170720771                    "</f>
        <v xml:space="preserve">2170720771                    </v>
      </c>
      <c r="Q948">
        <v>0</v>
      </c>
      <c r="R948">
        <v>0</v>
      </c>
      <c r="S948">
        <v>0</v>
      </c>
      <c r="T948">
        <v>0</v>
      </c>
      <c r="U948">
        <v>0</v>
      </c>
      <c r="V948">
        <v>0</v>
      </c>
      <c r="W948">
        <v>0</v>
      </c>
      <c r="X948">
        <v>0</v>
      </c>
      <c r="Y948">
        <v>0</v>
      </c>
      <c r="Z948">
        <v>0</v>
      </c>
      <c r="AA948">
        <v>0</v>
      </c>
      <c r="AB948">
        <v>0</v>
      </c>
      <c r="AC948">
        <v>0</v>
      </c>
      <c r="AD948">
        <v>0</v>
      </c>
      <c r="AE948">
        <v>0</v>
      </c>
      <c r="AF948">
        <v>0</v>
      </c>
      <c r="AG948">
        <v>0</v>
      </c>
      <c r="AH948">
        <v>0</v>
      </c>
      <c r="AI948">
        <v>0</v>
      </c>
      <c r="AJ948">
        <v>0</v>
      </c>
      <c r="AK948">
        <v>0</v>
      </c>
      <c r="AL948">
        <v>0</v>
      </c>
      <c r="AM948">
        <v>6.71</v>
      </c>
      <c r="AN948">
        <v>0</v>
      </c>
      <c r="AO948">
        <v>0</v>
      </c>
      <c r="AP948">
        <v>0</v>
      </c>
      <c r="AQ948">
        <v>0</v>
      </c>
      <c r="AR948">
        <v>0</v>
      </c>
      <c r="AS948">
        <v>0</v>
      </c>
      <c r="AT948">
        <v>0</v>
      </c>
      <c r="AU948">
        <v>0</v>
      </c>
      <c r="AV948">
        <v>0</v>
      </c>
      <c r="AW948">
        <v>0</v>
      </c>
      <c r="AX948">
        <v>0</v>
      </c>
      <c r="AY948">
        <v>0</v>
      </c>
      <c r="AZ948">
        <v>0</v>
      </c>
      <c r="BA948">
        <v>0</v>
      </c>
      <c r="BB948">
        <v>0</v>
      </c>
      <c r="BC948">
        <v>0</v>
      </c>
      <c r="BD948">
        <v>0</v>
      </c>
      <c r="BE948">
        <v>0</v>
      </c>
      <c r="BF948">
        <v>0</v>
      </c>
      <c r="BG948">
        <v>0</v>
      </c>
      <c r="BH948">
        <v>1</v>
      </c>
      <c r="BI948">
        <v>1</v>
      </c>
      <c r="BJ948">
        <v>0.2</v>
      </c>
      <c r="BK948">
        <v>1</v>
      </c>
      <c r="BL948" s="4">
        <v>39.42</v>
      </c>
      <c r="BM948" s="4">
        <v>5.91</v>
      </c>
      <c r="BN948" s="4">
        <v>45.33</v>
      </c>
      <c r="BO948" s="4">
        <v>45.33</v>
      </c>
      <c r="BQ948" t="s">
        <v>93</v>
      </c>
      <c r="BR948" t="s">
        <v>84</v>
      </c>
      <c r="BS948" s="3">
        <v>43809</v>
      </c>
      <c r="BT948" s="5">
        <v>0.38263888888888892</v>
      </c>
      <c r="BU948" t="s">
        <v>1327</v>
      </c>
      <c r="BV948" t="s">
        <v>86</v>
      </c>
      <c r="BY948">
        <v>1200</v>
      </c>
      <c r="CC948" t="s">
        <v>333</v>
      </c>
      <c r="CD948">
        <v>2094</v>
      </c>
      <c r="CE948" t="s">
        <v>88</v>
      </c>
      <c r="CF948" s="3">
        <v>43810</v>
      </c>
      <c r="CI948">
        <v>1</v>
      </c>
      <c r="CJ948">
        <v>1</v>
      </c>
      <c r="CK948">
        <v>22</v>
      </c>
      <c r="CL948" t="s">
        <v>89</v>
      </c>
    </row>
    <row r="949" spans="1:90">
      <c r="A949" t="s">
        <v>72</v>
      </c>
      <c r="B949" t="s">
        <v>73</v>
      </c>
      <c r="C949" t="s">
        <v>74</v>
      </c>
      <c r="E949" t="str">
        <f>"FES1162727322"</f>
        <v>FES1162727322</v>
      </c>
      <c r="F949" s="3">
        <v>43808</v>
      </c>
      <c r="G949">
        <v>202006</v>
      </c>
      <c r="H949" t="s">
        <v>75</v>
      </c>
      <c r="I949" t="s">
        <v>76</v>
      </c>
      <c r="J949" t="s">
        <v>77</v>
      </c>
      <c r="K949" t="s">
        <v>78</v>
      </c>
      <c r="L949" t="s">
        <v>79</v>
      </c>
      <c r="M949" t="s">
        <v>80</v>
      </c>
      <c r="N949" t="s">
        <v>1486</v>
      </c>
      <c r="O949" t="s">
        <v>82</v>
      </c>
      <c r="P949" t="str">
        <f>"2170718440                    "</f>
        <v xml:space="preserve">2170718440                    </v>
      </c>
      <c r="Q949">
        <v>0</v>
      </c>
      <c r="R949">
        <v>0</v>
      </c>
      <c r="S949">
        <v>0</v>
      </c>
      <c r="T949">
        <v>0</v>
      </c>
      <c r="U949">
        <v>0</v>
      </c>
      <c r="V949">
        <v>0</v>
      </c>
      <c r="W949">
        <v>0</v>
      </c>
      <c r="X949">
        <v>0</v>
      </c>
      <c r="Y949">
        <v>0</v>
      </c>
      <c r="Z949">
        <v>0</v>
      </c>
      <c r="AA949">
        <v>0</v>
      </c>
      <c r="AB949">
        <v>0</v>
      </c>
      <c r="AC949">
        <v>0</v>
      </c>
      <c r="AD949">
        <v>0</v>
      </c>
      <c r="AE949">
        <v>0</v>
      </c>
      <c r="AF949">
        <v>0</v>
      </c>
      <c r="AG949">
        <v>0</v>
      </c>
      <c r="AH949">
        <v>0</v>
      </c>
      <c r="AI949">
        <v>0</v>
      </c>
      <c r="AJ949">
        <v>0</v>
      </c>
      <c r="AK949">
        <v>0</v>
      </c>
      <c r="AL949">
        <v>0</v>
      </c>
      <c r="AM949">
        <v>8.58</v>
      </c>
      <c r="AN949">
        <v>0</v>
      </c>
      <c r="AO949">
        <v>0</v>
      </c>
      <c r="AP949">
        <v>0</v>
      </c>
      <c r="AQ949">
        <v>0</v>
      </c>
      <c r="AR949">
        <v>0</v>
      </c>
      <c r="AS949">
        <v>0</v>
      </c>
      <c r="AT949">
        <v>0</v>
      </c>
      <c r="AU949">
        <v>0</v>
      </c>
      <c r="AV949">
        <v>0</v>
      </c>
      <c r="AW949">
        <v>0</v>
      </c>
      <c r="AX949">
        <v>0</v>
      </c>
      <c r="AY949">
        <v>0</v>
      </c>
      <c r="AZ949">
        <v>0</v>
      </c>
      <c r="BA949">
        <v>0</v>
      </c>
      <c r="BB949">
        <v>0</v>
      </c>
      <c r="BC949">
        <v>0</v>
      </c>
      <c r="BD949">
        <v>0</v>
      </c>
      <c r="BE949">
        <v>0</v>
      </c>
      <c r="BF949">
        <v>0</v>
      </c>
      <c r="BG949">
        <v>0</v>
      </c>
      <c r="BH949">
        <v>1</v>
      </c>
      <c r="BI949">
        <v>1.8</v>
      </c>
      <c r="BJ949">
        <v>1.5</v>
      </c>
      <c r="BK949">
        <v>2</v>
      </c>
      <c r="BL949" s="4">
        <v>50.45</v>
      </c>
      <c r="BM949" s="4">
        <v>7.57</v>
      </c>
      <c r="BN949" s="4">
        <v>58.02</v>
      </c>
      <c r="BO949" s="4">
        <v>58.02</v>
      </c>
      <c r="BQ949" t="s">
        <v>147</v>
      </c>
      <c r="BR949" t="s">
        <v>84</v>
      </c>
      <c r="BS949" s="3">
        <v>43809</v>
      </c>
      <c r="BT949" s="5">
        <v>0.43611111111111112</v>
      </c>
      <c r="BU949" t="s">
        <v>1049</v>
      </c>
      <c r="BV949" t="s">
        <v>86</v>
      </c>
      <c r="BY949">
        <v>7306.82</v>
      </c>
      <c r="CA949" t="s">
        <v>131</v>
      </c>
      <c r="CC949" t="s">
        <v>80</v>
      </c>
      <c r="CD949">
        <v>6001</v>
      </c>
      <c r="CE949" t="s">
        <v>116</v>
      </c>
      <c r="CF949" s="3">
        <v>43810</v>
      </c>
      <c r="CI949">
        <v>1</v>
      </c>
      <c r="CJ949">
        <v>1</v>
      </c>
      <c r="CK949">
        <v>21</v>
      </c>
      <c r="CL949" t="s">
        <v>89</v>
      </c>
    </row>
    <row r="950" spans="1:90">
      <c r="A950" t="s">
        <v>72</v>
      </c>
      <c r="B950" t="s">
        <v>73</v>
      </c>
      <c r="C950" t="s">
        <v>74</v>
      </c>
      <c r="E950" t="str">
        <f>"FES1162727328"</f>
        <v>FES1162727328</v>
      </c>
      <c r="F950" s="3">
        <v>43808</v>
      </c>
      <c r="G950">
        <v>202006</v>
      </c>
      <c r="H950" t="s">
        <v>75</v>
      </c>
      <c r="I950" t="s">
        <v>76</v>
      </c>
      <c r="J950" t="s">
        <v>77</v>
      </c>
      <c r="K950" t="s">
        <v>78</v>
      </c>
      <c r="L950" t="s">
        <v>164</v>
      </c>
      <c r="M950" t="s">
        <v>165</v>
      </c>
      <c r="N950" t="s">
        <v>1086</v>
      </c>
      <c r="O950" t="s">
        <v>82</v>
      </c>
      <c r="P950" t="str">
        <f>"2170720808                    "</f>
        <v xml:space="preserve">2170720808                    </v>
      </c>
      <c r="Q950">
        <v>0</v>
      </c>
      <c r="R950">
        <v>0</v>
      </c>
      <c r="S950">
        <v>0</v>
      </c>
      <c r="T950">
        <v>0</v>
      </c>
      <c r="U950">
        <v>0</v>
      </c>
      <c r="V950">
        <v>0</v>
      </c>
      <c r="W950">
        <v>0</v>
      </c>
      <c r="X950">
        <v>0</v>
      </c>
      <c r="Y950">
        <v>0</v>
      </c>
      <c r="Z950">
        <v>0</v>
      </c>
      <c r="AA950">
        <v>0</v>
      </c>
      <c r="AB950">
        <v>0</v>
      </c>
      <c r="AC950">
        <v>0</v>
      </c>
      <c r="AD950">
        <v>0</v>
      </c>
      <c r="AE950">
        <v>0</v>
      </c>
      <c r="AF950">
        <v>0</v>
      </c>
      <c r="AG950">
        <v>0</v>
      </c>
      <c r="AH950">
        <v>0</v>
      </c>
      <c r="AI950">
        <v>0</v>
      </c>
      <c r="AJ950">
        <v>0</v>
      </c>
      <c r="AK950">
        <v>0</v>
      </c>
      <c r="AL950">
        <v>0</v>
      </c>
      <c r="AM950">
        <v>8.58</v>
      </c>
      <c r="AN950">
        <v>0</v>
      </c>
      <c r="AO950">
        <v>0</v>
      </c>
      <c r="AP950">
        <v>0</v>
      </c>
      <c r="AQ950">
        <v>0</v>
      </c>
      <c r="AR950">
        <v>0</v>
      </c>
      <c r="AS950">
        <v>0</v>
      </c>
      <c r="AT950">
        <v>0</v>
      </c>
      <c r="AU950">
        <v>0</v>
      </c>
      <c r="AV950">
        <v>0</v>
      </c>
      <c r="AW950">
        <v>0</v>
      </c>
      <c r="AX950">
        <v>0</v>
      </c>
      <c r="AY950">
        <v>0</v>
      </c>
      <c r="AZ950">
        <v>0</v>
      </c>
      <c r="BA950">
        <v>0</v>
      </c>
      <c r="BB950">
        <v>0</v>
      </c>
      <c r="BC950">
        <v>0</v>
      </c>
      <c r="BD950">
        <v>0</v>
      </c>
      <c r="BE950">
        <v>0</v>
      </c>
      <c r="BF950">
        <v>0</v>
      </c>
      <c r="BG950">
        <v>0</v>
      </c>
      <c r="BH950">
        <v>1</v>
      </c>
      <c r="BI950">
        <v>1</v>
      </c>
      <c r="BJ950">
        <v>0.2</v>
      </c>
      <c r="BK950">
        <v>1</v>
      </c>
      <c r="BL950" s="4">
        <v>50.45</v>
      </c>
      <c r="BM950" s="4">
        <v>7.57</v>
      </c>
      <c r="BN950" s="4">
        <v>58.02</v>
      </c>
      <c r="BO950" s="4">
        <v>58.02</v>
      </c>
      <c r="BQ950" t="s">
        <v>147</v>
      </c>
      <c r="BR950" t="s">
        <v>84</v>
      </c>
      <c r="BS950" s="3">
        <v>43809</v>
      </c>
      <c r="BT950" s="5">
        <v>0.40277777777777773</v>
      </c>
      <c r="BU950" t="s">
        <v>1442</v>
      </c>
      <c r="BV950" t="s">
        <v>86</v>
      </c>
      <c r="BY950">
        <v>1200</v>
      </c>
      <c r="CA950" t="s">
        <v>371</v>
      </c>
      <c r="CC950" t="s">
        <v>165</v>
      </c>
      <c r="CD950">
        <v>5200</v>
      </c>
      <c r="CE950" t="s">
        <v>88</v>
      </c>
      <c r="CF950" s="3">
        <v>43810</v>
      </c>
      <c r="CI950">
        <v>1</v>
      </c>
      <c r="CJ950">
        <v>1</v>
      </c>
      <c r="CK950">
        <v>21</v>
      </c>
      <c r="CL950" t="s">
        <v>89</v>
      </c>
    </row>
    <row r="951" spans="1:90">
      <c r="A951" t="s">
        <v>72</v>
      </c>
      <c r="B951" t="s">
        <v>73</v>
      </c>
      <c r="C951" t="s">
        <v>74</v>
      </c>
      <c r="E951" t="str">
        <f>"FES1162727305"</f>
        <v>FES1162727305</v>
      </c>
      <c r="F951" s="3">
        <v>43808</v>
      </c>
      <c r="G951">
        <v>202006</v>
      </c>
      <c r="H951" t="s">
        <v>75</v>
      </c>
      <c r="I951" t="s">
        <v>76</v>
      </c>
      <c r="J951" t="s">
        <v>77</v>
      </c>
      <c r="K951" t="s">
        <v>78</v>
      </c>
      <c r="L951" t="s">
        <v>79</v>
      </c>
      <c r="M951" t="s">
        <v>80</v>
      </c>
      <c r="N951" t="s">
        <v>97</v>
      </c>
      <c r="O951" t="s">
        <v>82</v>
      </c>
      <c r="P951" t="str">
        <f>"2170720745                    "</f>
        <v xml:space="preserve">2170720745                    </v>
      </c>
      <c r="Q951">
        <v>0</v>
      </c>
      <c r="R951">
        <v>0</v>
      </c>
      <c r="S951">
        <v>0</v>
      </c>
      <c r="T951">
        <v>0</v>
      </c>
      <c r="U951">
        <v>0</v>
      </c>
      <c r="V951">
        <v>0</v>
      </c>
      <c r="W951">
        <v>0</v>
      </c>
      <c r="X951">
        <v>0</v>
      </c>
      <c r="Y951">
        <v>0</v>
      </c>
      <c r="Z951">
        <v>0</v>
      </c>
      <c r="AA951">
        <v>0</v>
      </c>
      <c r="AB951">
        <v>0</v>
      </c>
      <c r="AC951">
        <v>0</v>
      </c>
      <c r="AD951">
        <v>0</v>
      </c>
      <c r="AE951">
        <v>0</v>
      </c>
      <c r="AF951">
        <v>0</v>
      </c>
      <c r="AG951">
        <v>0</v>
      </c>
      <c r="AH951">
        <v>0</v>
      </c>
      <c r="AI951">
        <v>0</v>
      </c>
      <c r="AJ951">
        <v>0</v>
      </c>
      <c r="AK951">
        <v>0</v>
      </c>
      <c r="AL951">
        <v>0</v>
      </c>
      <c r="AM951">
        <v>8.58</v>
      </c>
      <c r="AN951">
        <v>0</v>
      </c>
      <c r="AO951">
        <v>0</v>
      </c>
      <c r="AP951">
        <v>0</v>
      </c>
      <c r="AQ951">
        <v>0</v>
      </c>
      <c r="AR951">
        <v>0</v>
      </c>
      <c r="AS951">
        <v>0</v>
      </c>
      <c r="AT951">
        <v>0</v>
      </c>
      <c r="AU951">
        <v>0</v>
      </c>
      <c r="AV951">
        <v>0</v>
      </c>
      <c r="AW951">
        <v>0</v>
      </c>
      <c r="AX951">
        <v>0</v>
      </c>
      <c r="AY951">
        <v>0</v>
      </c>
      <c r="AZ951">
        <v>0</v>
      </c>
      <c r="BA951">
        <v>0</v>
      </c>
      <c r="BB951">
        <v>0</v>
      </c>
      <c r="BC951">
        <v>0</v>
      </c>
      <c r="BD951">
        <v>0</v>
      </c>
      <c r="BE951">
        <v>0</v>
      </c>
      <c r="BF951">
        <v>0</v>
      </c>
      <c r="BG951">
        <v>0</v>
      </c>
      <c r="BH951">
        <v>1</v>
      </c>
      <c r="BI951">
        <v>1</v>
      </c>
      <c r="BJ951">
        <v>0.2</v>
      </c>
      <c r="BK951">
        <v>1</v>
      </c>
      <c r="BL951" s="4">
        <v>50.45</v>
      </c>
      <c r="BM951" s="4">
        <v>7.57</v>
      </c>
      <c r="BN951" s="4">
        <v>58.02</v>
      </c>
      <c r="BO951" s="4">
        <v>58.02</v>
      </c>
      <c r="BQ951" t="s">
        <v>93</v>
      </c>
      <c r="BR951" t="s">
        <v>84</v>
      </c>
      <c r="BS951" s="3">
        <v>43809</v>
      </c>
      <c r="BT951" s="5">
        <v>0.33333333333333331</v>
      </c>
      <c r="BU951" t="s">
        <v>98</v>
      </c>
      <c r="BV951" t="s">
        <v>86</v>
      </c>
      <c r="BY951">
        <v>1200</v>
      </c>
      <c r="CA951" t="s">
        <v>99</v>
      </c>
      <c r="CC951" t="s">
        <v>80</v>
      </c>
      <c r="CD951">
        <v>6001</v>
      </c>
      <c r="CE951" t="s">
        <v>88</v>
      </c>
      <c r="CF951" s="3">
        <v>43810</v>
      </c>
      <c r="CI951">
        <v>1</v>
      </c>
      <c r="CJ951">
        <v>1</v>
      </c>
      <c r="CK951">
        <v>21</v>
      </c>
      <c r="CL951" t="s">
        <v>89</v>
      </c>
    </row>
    <row r="952" spans="1:90">
      <c r="A952" t="s">
        <v>72</v>
      </c>
      <c r="B952" t="s">
        <v>73</v>
      </c>
      <c r="C952" t="s">
        <v>74</v>
      </c>
      <c r="E952" t="str">
        <f>"FES1162727359"</f>
        <v>FES1162727359</v>
      </c>
      <c r="F952" s="3">
        <v>43808</v>
      </c>
      <c r="G952">
        <v>202006</v>
      </c>
      <c r="H952" t="s">
        <v>75</v>
      </c>
      <c r="I952" t="s">
        <v>76</v>
      </c>
      <c r="J952" t="s">
        <v>77</v>
      </c>
      <c r="K952" t="s">
        <v>78</v>
      </c>
      <c r="L952" t="s">
        <v>79</v>
      </c>
      <c r="M952" t="s">
        <v>80</v>
      </c>
      <c r="N952" t="s">
        <v>129</v>
      </c>
      <c r="O952" t="s">
        <v>82</v>
      </c>
      <c r="P952" t="str">
        <f>"2170720840                    "</f>
        <v xml:space="preserve">2170720840                    </v>
      </c>
      <c r="Q952">
        <v>0</v>
      </c>
      <c r="R952">
        <v>0</v>
      </c>
      <c r="S952">
        <v>0</v>
      </c>
      <c r="T952">
        <v>0</v>
      </c>
      <c r="U952">
        <v>0</v>
      </c>
      <c r="V952">
        <v>0</v>
      </c>
      <c r="W952">
        <v>0</v>
      </c>
      <c r="X952">
        <v>0</v>
      </c>
      <c r="Y952">
        <v>0</v>
      </c>
      <c r="Z952">
        <v>0</v>
      </c>
      <c r="AA952">
        <v>0</v>
      </c>
      <c r="AB952">
        <v>0</v>
      </c>
      <c r="AC952">
        <v>0</v>
      </c>
      <c r="AD952">
        <v>0</v>
      </c>
      <c r="AE952">
        <v>0</v>
      </c>
      <c r="AF952">
        <v>0</v>
      </c>
      <c r="AG952">
        <v>0</v>
      </c>
      <c r="AH952">
        <v>0</v>
      </c>
      <c r="AI952">
        <v>0</v>
      </c>
      <c r="AJ952">
        <v>0</v>
      </c>
      <c r="AK952">
        <v>0</v>
      </c>
      <c r="AL952">
        <v>0</v>
      </c>
      <c r="AM952">
        <v>55.76</v>
      </c>
      <c r="AN952">
        <v>0</v>
      </c>
      <c r="AO952">
        <v>0</v>
      </c>
      <c r="AP952">
        <v>0</v>
      </c>
      <c r="AQ952">
        <v>0</v>
      </c>
      <c r="AR952">
        <v>0</v>
      </c>
      <c r="AS952">
        <v>0</v>
      </c>
      <c r="AT952">
        <v>0</v>
      </c>
      <c r="AU952">
        <v>0</v>
      </c>
      <c r="AV952">
        <v>0</v>
      </c>
      <c r="AW952">
        <v>0</v>
      </c>
      <c r="AX952">
        <v>0</v>
      </c>
      <c r="AY952">
        <v>0</v>
      </c>
      <c r="AZ952">
        <v>0</v>
      </c>
      <c r="BA952">
        <v>0</v>
      </c>
      <c r="BB952">
        <v>0</v>
      </c>
      <c r="BC952">
        <v>0</v>
      </c>
      <c r="BD952">
        <v>0</v>
      </c>
      <c r="BE952">
        <v>0</v>
      </c>
      <c r="BF952">
        <v>0</v>
      </c>
      <c r="BG952">
        <v>0</v>
      </c>
      <c r="BH952">
        <v>2</v>
      </c>
      <c r="BI952">
        <v>12.9</v>
      </c>
      <c r="BJ952">
        <v>8.1999999999999993</v>
      </c>
      <c r="BK952">
        <v>13</v>
      </c>
      <c r="BL952" s="4">
        <v>327.75</v>
      </c>
      <c r="BM952" s="4">
        <v>49.16</v>
      </c>
      <c r="BN952" s="4">
        <v>376.91</v>
      </c>
      <c r="BO952" s="4">
        <v>376.91</v>
      </c>
      <c r="BQ952" t="s">
        <v>147</v>
      </c>
      <c r="BR952" t="s">
        <v>84</v>
      </c>
      <c r="BS952" s="3">
        <v>43809</v>
      </c>
      <c r="BT952" s="5">
        <v>0.3979166666666667</v>
      </c>
      <c r="BU952" t="s">
        <v>130</v>
      </c>
      <c r="BV952" t="s">
        <v>86</v>
      </c>
      <c r="BY952">
        <v>41151.4</v>
      </c>
      <c r="CA952" t="s">
        <v>131</v>
      </c>
      <c r="CC952" t="s">
        <v>80</v>
      </c>
      <c r="CD952">
        <v>6001</v>
      </c>
      <c r="CE952" t="s">
        <v>413</v>
      </c>
      <c r="CF952" s="3">
        <v>43810</v>
      </c>
      <c r="CI952">
        <v>1</v>
      </c>
      <c r="CJ952">
        <v>1</v>
      </c>
      <c r="CK952">
        <v>21</v>
      </c>
      <c r="CL952" t="s">
        <v>89</v>
      </c>
    </row>
    <row r="953" spans="1:90">
      <c r="A953" t="s">
        <v>72</v>
      </c>
      <c r="B953" t="s">
        <v>73</v>
      </c>
      <c r="C953" t="s">
        <v>74</v>
      </c>
      <c r="E953" t="str">
        <f>"FES1162727350"</f>
        <v>FES1162727350</v>
      </c>
      <c r="F953" s="3">
        <v>43808</v>
      </c>
      <c r="G953">
        <v>202006</v>
      </c>
      <c r="H953" t="s">
        <v>75</v>
      </c>
      <c r="I953" t="s">
        <v>76</v>
      </c>
      <c r="J953" t="s">
        <v>77</v>
      </c>
      <c r="K953" t="s">
        <v>78</v>
      </c>
      <c r="L953" t="s">
        <v>164</v>
      </c>
      <c r="M953" t="s">
        <v>165</v>
      </c>
      <c r="N953" t="s">
        <v>263</v>
      </c>
      <c r="O953" t="s">
        <v>82</v>
      </c>
      <c r="P953" t="str">
        <f>"21707107829                   "</f>
        <v xml:space="preserve">21707107829                   </v>
      </c>
      <c r="Q953">
        <v>0</v>
      </c>
      <c r="R953">
        <v>0</v>
      </c>
      <c r="S953">
        <v>0</v>
      </c>
      <c r="T953">
        <v>0</v>
      </c>
      <c r="U953">
        <v>0</v>
      </c>
      <c r="V953">
        <v>0</v>
      </c>
      <c r="W953">
        <v>0</v>
      </c>
      <c r="X953">
        <v>0</v>
      </c>
      <c r="Y953">
        <v>0</v>
      </c>
      <c r="Z953">
        <v>0</v>
      </c>
      <c r="AA953">
        <v>0</v>
      </c>
      <c r="AB953">
        <v>0</v>
      </c>
      <c r="AC953">
        <v>0</v>
      </c>
      <c r="AD953">
        <v>0</v>
      </c>
      <c r="AE953">
        <v>0</v>
      </c>
      <c r="AF953">
        <v>0</v>
      </c>
      <c r="AG953">
        <v>0</v>
      </c>
      <c r="AH953">
        <v>0</v>
      </c>
      <c r="AI953">
        <v>0</v>
      </c>
      <c r="AJ953">
        <v>0</v>
      </c>
      <c r="AK953">
        <v>0</v>
      </c>
      <c r="AL953">
        <v>0</v>
      </c>
      <c r="AM953">
        <v>15.02</v>
      </c>
      <c r="AN953">
        <v>0</v>
      </c>
      <c r="AO953">
        <v>0</v>
      </c>
      <c r="AP953">
        <v>0</v>
      </c>
      <c r="AQ953">
        <v>0</v>
      </c>
      <c r="AR953">
        <v>0</v>
      </c>
      <c r="AS953">
        <v>0</v>
      </c>
      <c r="AT953">
        <v>0</v>
      </c>
      <c r="AU953">
        <v>0</v>
      </c>
      <c r="AV953">
        <v>0</v>
      </c>
      <c r="AW953">
        <v>0</v>
      </c>
      <c r="AX953">
        <v>0</v>
      </c>
      <c r="AY953">
        <v>0</v>
      </c>
      <c r="AZ953">
        <v>0</v>
      </c>
      <c r="BA953">
        <v>0</v>
      </c>
      <c r="BB953">
        <v>0</v>
      </c>
      <c r="BC953">
        <v>0</v>
      </c>
      <c r="BD953">
        <v>0</v>
      </c>
      <c r="BE953">
        <v>0</v>
      </c>
      <c r="BF953">
        <v>0</v>
      </c>
      <c r="BG953">
        <v>0</v>
      </c>
      <c r="BH953">
        <v>1</v>
      </c>
      <c r="BI953">
        <v>2.9</v>
      </c>
      <c r="BJ953">
        <v>3.3</v>
      </c>
      <c r="BK953">
        <v>3.5</v>
      </c>
      <c r="BL953" s="4">
        <v>88.27</v>
      </c>
      <c r="BM953" s="4">
        <v>13.24</v>
      </c>
      <c r="BN953" s="4">
        <v>101.51</v>
      </c>
      <c r="BO953" s="4">
        <v>101.51</v>
      </c>
      <c r="BQ953" t="s">
        <v>147</v>
      </c>
      <c r="BR953" t="s">
        <v>84</v>
      </c>
      <c r="BS953" s="3">
        <v>43809</v>
      </c>
      <c r="BT953" s="5">
        <v>0.37777777777777777</v>
      </c>
      <c r="BU953" t="s">
        <v>1012</v>
      </c>
      <c r="BV953" t="s">
        <v>86</v>
      </c>
      <c r="BY953">
        <v>16430.14</v>
      </c>
      <c r="CA953" t="s">
        <v>371</v>
      </c>
      <c r="CC953" t="s">
        <v>165</v>
      </c>
      <c r="CD953">
        <v>5201</v>
      </c>
      <c r="CE953" t="s">
        <v>96</v>
      </c>
      <c r="CF953" s="3">
        <v>43810</v>
      </c>
      <c r="CI953">
        <v>1</v>
      </c>
      <c r="CJ953">
        <v>1</v>
      </c>
      <c r="CK953">
        <v>21</v>
      </c>
      <c r="CL953" t="s">
        <v>89</v>
      </c>
    </row>
    <row r="954" spans="1:90">
      <c r="A954" t="s">
        <v>72</v>
      </c>
      <c r="B954" t="s">
        <v>73</v>
      </c>
      <c r="C954" t="s">
        <v>74</v>
      </c>
      <c r="E954" t="str">
        <f>"FES1162727323"</f>
        <v>FES1162727323</v>
      </c>
      <c r="F954" s="3">
        <v>43808</v>
      </c>
      <c r="G954">
        <v>202006</v>
      </c>
      <c r="H954" t="s">
        <v>75</v>
      </c>
      <c r="I954" t="s">
        <v>76</v>
      </c>
      <c r="J954" t="s">
        <v>77</v>
      </c>
      <c r="K954" t="s">
        <v>78</v>
      </c>
      <c r="L954" t="s">
        <v>451</v>
      </c>
      <c r="M954" t="s">
        <v>452</v>
      </c>
      <c r="N954" t="s">
        <v>453</v>
      </c>
      <c r="O954" t="s">
        <v>82</v>
      </c>
      <c r="P954" t="str">
        <f>"217070801                     "</f>
        <v xml:space="preserve">217070801                     </v>
      </c>
      <c r="Q954">
        <v>0</v>
      </c>
      <c r="R954">
        <v>0</v>
      </c>
      <c r="S954">
        <v>0</v>
      </c>
      <c r="T954">
        <v>0</v>
      </c>
      <c r="U954">
        <v>0</v>
      </c>
      <c r="V954">
        <v>0</v>
      </c>
      <c r="W954">
        <v>0</v>
      </c>
      <c r="X954">
        <v>0</v>
      </c>
      <c r="Y954">
        <v>0</v>
      </c>
      <c r="Z954">
        <v>0</v>
      </c>
      <c r="AA954">
        <v>0</v>
      </c>
      <c r="AB954">
        <v>0</v>
      </c>
      <c r="AC954">
        <v>0</v>
      </c>
      <c r="AD954">
        <v>0</v>
      </c>
      <c r="AE954">
        <v>0</v>
      </c>
      <c r="AF954">
        <v>0</v>
      </c>
      <c r="AG954">
        <v>0</v>
      </c>
      <c r="AH954">
        <v>0</v>
      </c>
      <c r="AI954">
        <v>0</v>
      </c>
      <c r="AJ954">
        <v>0</v>
      </c>
      <c r="AK954">
        <v>0</v>
      </c>
      <c r="AL954">
        <v>0</v>
      </c>
      <c r="AM954">
        <v>34.31</v>
      </c>
      <c r="AN954">
        <v>0</v>
      </c>
      <c r="AO954">
        <v>0</v>
      </c>
      <c r="AP954">
        <v>0</v>
      </c>
      <c r="AQ954">
        <v>0</v>
      </c>
      <c r="AR954">
        <v>0</v>
      </c>
      <c r="AS954">
        <v>0</v>
      </c>
      <c r="AT954">
        <v>0</v>
      </c>
      <c r="AU954">
        <v>0</v>
      </c>
      <c r="AV954">
        <v>0</v>
      </c>
      <c r="AW954">
        <v>0</v>
      </c>
      <c r="AX954">
        <v>0</v>
      </c>
      <c r="AY954">
        <v>0</v>
      </c>
      <c r="AZ954">
        <v>0</v>
      </c>
      <c r="BA954">
        <v>0</v>
      </c>
      <c r="BB954">
        <v>0</v>
      </c>
      <c r="BC954">
        <v>0</v>
      </c>
      <c r="BD954">
        <v>0</v>
      </c>
      <c r="BE954">
        <v>0</v>
      </c>
      <c r="BF954">
        <v>0</v>
      </c>
      <c r="BG954">
        <v>0</v>
      </c>
      <c r="BH954">
        <v>1</v>
      </c>
      <c r="BI954">
        <v>7.6</v>
      </c>
      <c r="BJ954">
        <v>2.7</v>
      </c>
      <c r="BK954">
        <v>8</v>
      </c>
      <c r="BL954" s="4">
        <v>201.7</v>
      </c>
      <c r="BM954" s="4">
        <v>30.26</v>
      </c>
      <c r="BN954" s="4">
        <v>231.96</v>
      </c>
      <c r="BO954" s="4">
        <v>231.96</v>
      </c>
      <c r="BQ954" t="s">
        <v>147</v>
      </c>
      <c r="BR954" t="s">
        <v>84</v>
      </c>
      <c r="BS954" s="3">
        <v>43810</v>
      </c>
      <c r="BT954" s="5">
        <v>0.61111111111111105</v>
      </c>
      <c r="BU954" t="s">
        <v>454</v>
      </c>
      <c r="BV954" t="s">
        <v>86</v>
      </c>
      <c r="BY954">
        <v>13589.58</v>
      </c>
      <c r="CA954" t="s">
        <v>225</v>
      </c>
      <c r="CC954" t="s">
        <v>452</v>
      </c>
      <c r="CD954">
        <v>3760</v>
      </c>
      <c r="CE954" t="s">
        <v>116</v>
      </c>
      <c r="CF954" s="3">
        <v>43811</v>
      </c>
      <c r="CI954">
        <v>4</v>
      </c>
      <c r="CJ954">
        <v>2</v>
      </c>
      <c r="CK954">
        <v>21</v>
      </c>
      <c r="CL954" t="s">
        <v>89</v>
      </c>
    </row>
    <row r="955" spans="1:90">
      <c r="A955" t="s">
        <v>72</v>
      </c>
      <c r="B955" t="s">
        <v>73</v>
      </c>
      <c r="C955" t="s">
        <v>74</v>
      </c>
      <c r="E955" t="str">
        <f>"FES1162727304"</f>
        <v>FES1162727304</v>
      </c>
      <c r="F955" s="3">
        <v>43808</v>
      </c>
      <c r="G955">
        <v>202006</v>
      </c>
      <c r="H955" t="s">
        <v>75</v>
      </c>
      <c r="I955" t="s">
        <v>76</v>
      </c>
      <c r="J955" t="s">
        <v>77</v>
      </c>
      <c r="K955" t="s">
        <v>78</v>
      </c>
      <c r="L955" t="s">
        <v>79</v>
      </c>
      <c r="M955" t="s">
        <v>80</v>
      </c>
      <c r="N955" t="s">
        <v>97</v>
      </c>
      <c r="O955" t="s">
        <v>82</v>
      </c>
      <c r="P955" t="str">
        <f>"2170720733                    "</f>
        <v xml:space="preserve">2170720733                    </v>
      </c>
      <c r="Q955">
        <v>0</v>
      </c>
      <c r="R955">
        <v>0</v>
      </c>
      <c r="S955">
        <v>0</v>
      </c>
      <c r="T955">
        <v>0</v>
      </c>
      <c r="U955">
        <v>0</v>
      </c>
      <c r="V955">
        <v>0</v>
      </c>
      <c r="W955">
        <v>0</v>
      </c>
      <c r="X955">
        <v>0</v>
      </c>
      <c r="Y955">
        <v>0</v>
      </c>
      <c r="Z955">
        <v>0</v>
      </c>
      <c r="AA955">
        <v>0</v>
      </c>
      <c r="AB955">
        <v>0</v>
      </c>
      <c r="AC955">
        <v>0</v>
      </c>
      <c r="AD955">
        <v>0</v>
      </c>
      <c r="AE955">
        <v>0</v>
      </c>
      <c r="AF955">
        <v>0</v>
      </c>
      <c r="AG955">
        <v>0</v>
      </c>
      <c r="AH955">
        <v>0</v>
      </c>
      <c r="AI955">
        <v>0</v>
      </c>
      <c r="AJ955">
        <v>0</v>
      </c>
      <c r="AK955">
        <v>0</v>
      </c>
      <c r="AL955">
        <v>0</v>
      </c>
      <c r="AM955">
        <v>8.58</v>
      </c>
      <c r="AN955">
        <v>0</v>
      </c>
      <c r="AO955">
        <v>0</v>
      </c>
      <c r="AP955">
        <v>0</v>
      </c>
      <c r="AQ955">
        <v>0</v>
      </c>
      <c r="AR955">
        <v>0</v>
      </c>
      <c r="AS955">
        <v>0</v>
      </c>
      <c r="AT955">
        <v>0</v>
      </c>
      <c r="AU955">
        <v>0</v>
      </c>
      <c r="AV955">
        <v>0</v>
      </c>
      <c r="AW955">
        <v>0</v>
      </c>
      <c r="AX955">
        <v>0</v>
      </c>
      <c r="AY955">
        <v>0</v>
      </c>
      <c r="AZ955">
        <v>0</v>
      </c>
      <c r="BA955">
        <v>0</v>
      </c>
      <c r="BB955">
        <v>0</v>
      </c>
      <c r="BC955">
        <v>0</v>
      </c>
      <c r="BD955">
        <v>0</v>
      </c>
      <c r="BE955">
        <v>0</v>
      </c>
      <c r="BF955">
        <v>0</v>
      </c>
      <c r="BG955">
        <v>0</v>
      </c>
      <c r="BH955">
        <v>1</v>
      </c>
      <c r="BI955">
        <v>1</v>
      </c>
      <c r="BJ955">
        <v>0.2</v>
      </c>
      <c r="BK955">
        <v>1</v>
      </c>
      <c r="BL955" s="4">
        <v>50.45</v>
      </c>
      <c r="BM955" s="4">
        <v>7.57</v>
      </c>
      <c r="BN955" s="4">
        <v>58.02</v>
      </c>
      <c r="BO955" s="4">
        <v>58.02</v>
      </c>
      <c r="BQ955" t="s">
        <v>93</v>
      </c>
      <c r="BR955" t="s">
        <v>84</v>
      </c>
      <c r="BS955" s="3">
        <v>43809</v>
      </c>
      <c r="BT955" s="5">
        <v>0.33333333333333331</v>
      </c>
      <c r="BU955" t="s">
        <v>98</v>
      </c>
      <c r="BV955" t="s">
        <v>86</v>
      </c>
      <c r="BY955">
        <v>1200</v>
      </c>
      <c r="CA955" t="s">
        <v>99</v>
      </c>
      <c r="CC955" t="s">
        <v>80</v>
      </c>
      <c r="CD955">
        <v>6001</v>
      </c>
      <c r="CE955" t="s">
        <v>88</v>
      </c>
      <c r="CF955" s="3">
        <v>43810</v>
      </c>
      <c r="CI955">
        <v>1</v>
      </c>
      <c r="CJ955">
        <v>1</v>
      </c>
      <c r="CK955">
        <v>21</v>
      </c>
      <c r="CL955" t="s">
        <v>89</v>
      </c>
    </row>
    <row r="956" spans="1:90">
      <c r="A956" t="s">
        <v>72</v>
      </c>
      <c r="B956" t="s">
        <v>73</v>
      </c>
      <c r="C956" t="s">
        <v>74</v>
      </c>
      <c r="E956" t="str">
        <f>"FES1162727320"</f>
        <v>FES1162727320</v>
      </c>
      <c r="F956" s="3">
        <v>43808</v>
      </c>
      <c r="G956">
        <v>202006</v>
      </c>
      <c r="H956" t="s">
        <v>75</v>
      </c>
      <c r="I956" t="s">
        <v>76</v>
      </c>
      <c r="J956" t="s">
        <v>77</v>
      </c>
      <c r="K956" t="s">
        <v>78</v>
      </c>
      <c r="L956" t="s">
        <v>164</v>
      </c>
      <c r="M956" t="s">
        <v>165</v>
      </c>
      <c r="N956" t="s">
        <v>369</v>
      </c>
      <c r="O956" t="s">
        <v>82</v>
      </c>
      <c r="P956" t="str">
        <f>"2170720799                    "</f>
        <v xml:space="preserve">2170720799                    </v>
      </c>
      <c r="Q956">
        <v>0</v>
      </c>
      <c r="R956">
        <v>0</v>
      </c>
      <c r="S956">
        <v>0</v>
      </c>
      <c r="T956">
        <v>0</v>
      </c>
      <c r="U956">
        <v>0</v>
      </c>
      <c r="V956">
        <v>0</v>
      </c>
      <c r="W956">
        <v>0</v>
      </c>
      <c r="X956">
        <v>0</v>
      </c>
      <c r="Y956">
        <v>0</v>
      </c>
      <c r="Z956">
        <v>0</v>
      </c>
      <c r="AA956">
        <v>0</v>
      </c>
      <c r="AB956">
        <v>0</v>
      </c>
      <c r="AC956">
        <v>0</v>
      </c>
      <c r="AD956">
        <v>0</v>
      </c>
      <c r="AE956">
        <v>0</v>
      </c>
      <c r="AF956">
        <v>0</v>
      </c>
      <c r="AG956">
        <v>0</v>
      </c>
      <c r="AH956">
        <v>0</v>
      </c>
      <c r="AI956">
        <v>0</v>
      </c>
      <c r="AJ956">
        <v>0</v>
      </c>
      <c r="AK956">
        <v>0</v>
      </c>
      <c r="AL956">
        <v>0</v>
      </c>
      <c r="AM956">
        <v>8.58</v>
      </c>
      <c r="AN956">
        <v>0</v>
      </c>
      <c r="AO956">
        <v>0</v>
      </c>
      <c r="AP956">
        <v>0</v>
      </c>
      <c r="AQ956">
        <v>0</v>
      </c>
      <c r="AR956">
        <v>0</v>
      </c>
      <c r="AS956">
        <v>0</v>
      </c>
      <c r="AT956">
        <v>0</v>
      </c>
      <c r="AU956">
        <v>0</v>
      </c>
      <c r="AV956">
        <v>0</v>
      </c>
      <c r="AW956">
        <v>0</v>
      </c>
      <c r="AX956">
        <v>0</v>
      </c>
      <c r="AY956">
        <v>0</v>
      </c>
      <c r="AZ956">
        <v>0</v>
      </c>
      <c r="BA956">
        <v>0</v>
      </c>
      <c r="BB956">
        <v>0</v>
      </c>
      <c r="BC956">
        <v>0</v>
      </c>
      <c r="BD956">
        <v>0</v>
      </c>
      <c r="BE956">
        <v>0</v>
      </c>
      <c r="BF956">
        <v>0</v>
      </c>
      <c r="BG956">
        <v>0</v>
      </c>
      <c r="BH956">
        <v>1</v>
      </c>
      <c r="BI956">
        <v>1</v>
      </c>
      <c r="BJ956">
        <v>0.2</v>
      </c>
      <c r="BK956">
        <v>1</v>
      </c>
      <c r="BL956" s="4">
        <v>50.45</v>
      </c>
      <c r="BM956" s="4">
        <v>7.57</v>
      </c>
      <c r="BN956" s="4">
        <v>58.02</v>
      </c>
      <c r="BO956" s="4">
        <v>58.02</v>
      </c>
      <c r="BQ956" t="s">
        <v>93</v>
      </c>
      <c r="BR956" t="s">
        <v>84</v>
      </c>
      <c r="BS956" s="3">
        <v>43809</v>
      </c>
      <c r="BT956" s="5">
        <v>0.38750000000000001</v>
      </c>
      <c r="BU956" t="s">
        <v>370</v>
      </c>
      <c r="BV956" t="s">
        <v>86</v>
      </c>
      <c r="BY956">
        <v>1200</v>
      </c>
      <c r="CA956" t="s">
        <v>371</v>
      </c>
      <c r="CC956" t="s">
        <v>165</v>
      </c>
      <c r="CD956">
        <v>5201</v>
      </c>
      <c r="CE956" t="s">
        <v>88</v>
      </c>
      <c r="CF956" s="3">
        <v>43810</v>
      </c>
      <c r="CI956">
        <v>1</v>
      </c>
      <c r="CJ956">
        <v>1</v>
      </c>
      <c r="CK956">
        <v>21</v>
      </c>
      <c r="CL956" t="s">
        <v>89</v>
      </c>
    </row>
    <row r="957" spans="1:90">
      <c r="A957" t="s">
        <v>72</v>
      </c>
      <c r="B957" t="s">
        <v>73</v>
      </c>
      <c r="C957" t="s">
        <v>74</v>
      </c>
      <c r="E957" t="str">
        <f>"FES1162727296"</f>
        <v>FES1162727296</v>
      </c>
      <c r="F957" s="3">
        <v>43808</v>
      </c>
      <c r="G957">
        <v>202006</v>
      </c>
      <c r="H957" t="s">
        <v>75</v>
      </c>
      <c r="I957" t="s">
        <v>76</v>
      </c>
      <c r="J957" t="s">
        <v>77</v>
      </c>
      <c r="K957" t="s">
        <v>78</v>
      </c>
      <c r="L957" t="s">
        <v>221</v>
      </c>
      <c r="M957" t="s">
        <v>222</v>
      </c>
      <c r="N957" t="s">
        <v>1487</v>
      </c>
      <c r="O957" t="s">
        <v>82</v>
      </c>
      <c r="P957" t="str">
        <f>"2170717652                    "</f>
        <v xml:space="preserve">2170717652                    </v>
      </c>
      <c r="Q957">
        <v>0</v>
      </c>
      <c r="R957">
        <v>0</v>
      </c>
      <c r="S957">
        <v>0</v>
      </c>
      <c r="T957">
        <v>0</v>
      </c>
      <c r="U957">
        <v>0</v>
      </c>
      <c r="V957">
        <v>0</v>
      </c>
      <c r="W957">
        <v>0</v>
      </c>
      <c r="X957">
        <v>0</v>
      </c>
      <c r="Y957">
        <v>0</v>
      </c>
      <c r="Z957">
        <v>0</v>
      </c>
      <c r="AA957">
        <v>0</v>
      </c>
      <c r="AB957">
        <v>0</v>
      </c>
      <c r="AC957">
        <v>0</v>
      </c>
      <c r="AD957">
        <v>0</v>
      </c>
      <c r="AE957">
        <v>0</v>
      </c>
      <c r="AF957">
        <v>0</v>
      </c>
      <c r="AG957">
        <v>0</v>
      </c>
      <c r="AH957">
        <v>0</v>
      </c>
      <c r="AI957">
        <v>0</v>
      </c>
      <c r="AJ957">
        <v>0</v>
      </c>
      <c r="AK957">
        <v>0</v>
      </c>
      <c r="AL957">
        <v>0</v>
      </c>
      <c r="AM957">
        <v>15.02</v>
      </c>
      <c r="AN957">
        <v>0</v>
      </c>
      <c r="AO957">
        <v>0</v>
      </c>
      <c r="AP957">
        <v>0</v>
      </c>
      <c r="AQ957">
        <v>0</v>
      </c>
      <c r="AR957">
        <v>0</v>
      </c>
      <c r="AS957">
        <v>0</v>
      </c>
      <c r="AT957">
        <v>0</v>
      </c>
      <c r="AU957">
        <v>0</v>
      </c>
      <c r="AV957">
        <v>0</v>
      </c>
      <c r="AW957">
        <v>0</v>
      </c>
      <c r="AX957">
        <v>0</v>
      </c>
      <c r="AY957">
        <v>0</v>
      </c>
      <c r="AZ957">
        <v>0</v>
      </c>
      <c r="BA957">
        <v>0</v>
      </c>
      <c r="BB957">
        <v>0</v>
      </c>
      <c r="BC957">
        <v>0</v>
      </c>
      <c r="BD957">
        <v>0</v>
      </c>
      <c r="BE957">
        <v>0</v>
      </c>
      <c r="BF957">
        <v>0</v>
      </c>
      <c r="BG957">
        <v>0</v>
      </c>
      <c r="BH957">
        <v>1</v>
      </c>
      <c r="BI957">
        <v>3.3</v>
      </c>
      <c r="BJ957">
        <v>2.1</v>
      </c>
      <c r="BK957">
        <v>3.5</v>
      </c>
      <c r="BL957" s="4">
        <v>88.27</v>
      </c>
      <c r="BM957" s="4">
        <v>13.24</v>
      </c>
      <c r="BN957" s="4">
        <v>101.51</v>
      </c>
      <c r="BO957" s="4">
        <v>101.51</v>
      </c>
      <c r="BQ957" t="s">
        <v>93</v>
      </c>
      <c r="BR957" t="s">
        <v>84</v>
      </c>
      <c r="BS957" s="3">
        <v>43809</v>
      </c>
      <c r="BT957" s="5">
        <v>0.43055555555555558</v>
      </c>
      <c r="BU957" t="s">
        <v>484</v>
      </c>
      <c r="BV957" t="s">
        <v>86</v>
      </c>
      <c r="BY957">
        <v>10371.870000000001</v>
      </c>
      <c r="CA957" t="s">
        <v>1488</v>
      </c>
      <c r="CC957" t="s">
        <v>222</v>
      </c>
      <c r="CD957">
        <v>3201</v>
      </c>
      <c r="CE957" t="s">
        <v>116</v>
      </c>
      <c r="CF957" s="3">
        <v>43812</v>
      </c>
      <c r="CI957">
        <v>1</v>
      </c>
      <c r="CJ957">
        <v>1</v>
      </c>
      <c r="CK957">
        <v>21</v>
      </c>
      <c r="CL957" t="s">
        <v>89</v>
      </c>
    </row>
    <row r="958" spans="1:90">
      <c r="A958" t="s">
        <v>72</v>
      </c>
      <c r="B958" t="s">
        <v>73</v>
      </c>
      <c r="C958" t="s">
        <v>74</v>
      </c>
      <c r="E958" t="str">
        <f>"FES1162727288"</f>
        <v>FES1162727288</v>
      </c>
      <c r="F958" s="3">
        <v>43808</v>
      </c>
      <c r="G958">
        <v>202006</v>
      </c>
      <c r="H958" t="s">
        <v>75</v>
      </c>
      <c r="I958" t="s">
        <v>76</v>
      </c>
      <c r="J958" t="s">
        <v>77</v>
      </c>
      <c r="K958" t="s">
        <v>78</v>
      </c>
      <c r="L958" t="s">
        <v>213</v>
      </c>
      <c r="M958" t="s">
        <v>214</v>
      </c>
      <c r="N958" t="s">
        <v>303</v>
      </c>
      <c r="O958" t="s">
        <v>82</v>
      </c>
      <c r="P958" t="str">
        <f>"2170716756                    "</f>
        <v xml:space="preserve">2170716756                    </v>
      </c>
      <c r="Q958">
        <v>0</v>
      </c>
      <c r="R958">
        <v>0</v>
      </c>
      <c r="S958">
        <v>0</v>
      </c>
      <c r="T958">
        <v>0</v>
      </c>
      <c r="U958">
        <v>0</v>
      </c>
      <c r="V958">
        <v>0</v>
      </c>
      <c r="W958">
        <v>0</v>
      </c>
      <c r="X958">
        <v>0</v>
      </c>
      <c r="Y958">
        <v>0</v>
      </c>
      <c r="Z958">
        <v>0</v>
      </c>
      <c r="AA958">
        <v>0</v>
      </c>
      <c r="AB958">
        <v>0</v>
      </c>
      <c r="AC958">
        <v>0</v>
      </c>
      <c r="AD958">
        <v>0</v>
      </c>
      <c r="AE958">
        <v>0</v>
      </c>
      <c r="AF958">
        <v>0</v>
      </c>
      <c r="AG958">
        <v>0</v>
      </c>
      <c r="AH958">
        <v>0</v>
      </c>
      <c r="AI958">
        <v>0</v>
      </c>
      <c r="AJ958">
        <v>0</v>
      </c>
      <c r="AK958">
        <v>0</v>
      </c>
      <c r="AL958">
        <v>0</v>
      </c>
      <c r="AM958">
        <v>8.58</v>
      </c>
      <c r="AN958">
        <v>0</v>
      </c>
      <c r="AO958">
        <v>0</v>
      </c>
      <c r="AP958">
        <v>0</v>
      </c>
      <c r="AQ958">
        <v>0</v>
      </c>
      <c r="AR958">
        <v>0</v>
      </c>
      <c r="AS958">
        <v>0</v>
      </c>
      <c r="AT958">
        <v>0</v>
      </c>
      <c r="AU958">
        <v>0</v>
      </c>
      <c r="AV958">
        <v>0</v>
      </c>
      <c r="AW958">
        <v>0</v>
      </c>
      <c r="AX958">
        <v>0</v>
      </c>
      <c r="AY958">
        <v>0</v>
      </c>
      <c r="AZ958">
        <v>0</v>
      </c>
      <c r="BA958">
        <v>0</v>
      </c>
      <c r="BB958">
        <v>0</v>
      </c>
      <c r="BC958">
        <v>0</v>
      </c>
      <c r="BD958">
        <v>0</v>
      </c>
      <c r="BE958">
        <v>0</v>
      </c>
      <c r="BF958">
        <v>0</v>
      </c>
      <c r="BG958">
        <v>0</v>
      </c>
      <c r="BH958">
        <v>1</v>
      </c>
      <c r="BI958">
        <v>1</v>
      </c>
      <c r="BJ958">
        <v>0.2</v>
      </c>
      <c r="BK958">
        <v>1</v>
      </c>
      <c r="BL958" s="4">
        <v>50.45</v>
      </c>
      <c r="BM958" s="4">
        <v>7.57</v>
      </c>
      <c r="BN958" s="4">
        <v>58.02</v>
      </c>
      <c r="BO958" s="4">
        <v>58.02</v>
      </c>
      <c r="BQ958" t="s">
        <v>147</v>
      </c>
      <c r="BR958" t="s">
        <v>84</v>
      </c>
      <c r="BS958" s="3">
        <v>43809</v>
      </c>
      <c r="BT958" s="5">
        <v>0.3298611111111111</v>
      </c>
      <c r="BU958" t="s">
        <v>1489</v>
      </c>
      <c r="BV958" t="s">
        <v>86</v>
      </c>
      <c r="BY958">
        <v>1200</v>
      </c>
      <c r="CC958" t="s">
        <v>214</v>
      </c>
      <c r="CD958">
        <v>6230</v>
      </c>
      <c r="CE958" t="s">
        <v>88</v>
      </c>
      <c r="CF958" s="3">
        <v>43810</v>
      </c>
      <c r="CI958">
        <v>1</v>
      </c>
      <c r="CJ958">
        <v>1</v>
      </c>
      <c r="CK958">
        <v>21</v>
      </c>
      <c r="CL958" t="s">
        <v>89</v>
      </c>
    </row>
    <row r="959" spans="1:90">
      <c r="A959" t="s">
        <v>72</v>
      </c>
      <c r="B959" t="s">
        <v>73</v>
      </c>
      <c r="C959" t="s">
        <v>74</v>
      </c>
      <c r="E959" t="str">
        <f>"FES1162727373"</f>
        <v>FES1162727373</v>
      </c>
      <c r="F959" s="3">
        <v>43808</v>
      </c>
      <c r="G959">
        <v>202006</v>
      </c>
      <c r="H959" t="s">
        <v>75</v>
      </c>
      <c r="I959" t="s">
        <v>76</v>
      </c>
      <c r="J959" t="s">
        <v>77</v>
      </c>
      <c r="K959" t="s">
        <v>78</v>
      </c>
      <c r="L959" t="s">
        <v>164</v>
      </c>
      <c r="M959" t="s">
        <v>165</v>
      </c>
      <c r="N959" t="s">
        <v>263</v>
      </c>
      <c r="O959" t="s">
        <v>82</v>
      </c>
      <c r="P959" t="str">
        <f>"2170720858                    "</f>
        <v xml:space="preserve">2170720858                    </v>
      </c>
      <c r="Q959">
        <v>0</v>
      </c>
      <c r="R959">
        <v>0</v>
      </c>
      <c r="S959">
        <v>0</v>
      </c>
      <c r="T959">
        <v>0</v>
      </c>
      <c r="U959">
        <v>0</v>
      </c>
      <c r="V959">
        <v>0</v>
      </c>
      <c r="W959">
        <v>0</v>
      </c>
      <c r="X959">
        <v>0</v>
      </c>
      <c r="Y959">
        <v>0</v>
      </c>
      <c r="Z959">
        <v>0</v>
      </c>
      <c r="AA959">
        <v>0</v>
      </c>
      <c r="AB959">
        <v>0</v>
      </c>
      <c r="AC959">
        <v>0</v>
      </c>
      <c r="AD959">
        <v>0</v>
      </c>
      <c r="AE959">
        <v>0</v>
      </c>
      <c r="AF959">
        <v>0</v>
      </c>
      <c r="AG959">
        <v>0</v>
      </c>
      <c r="AH959">
        <v>0</v>
      </c>
      <c r="AI959">
        <v>0</v>
      </c>
      <c r="AJ959">
        <v>0</v>
      </c>
      <c r="AK959">
        <v>0</v>
      </c>
      <c r="AL959">
        <v>0</v>
      </c>
      <c r="AM959">
        <v>8.58</v>
      </c>
      <c r="AN959">
        <v>0</v>
      </c>
      <c r="AO959">
        <v>0</v>
      </c>
      <c r="AP959">
        <v>0</v>
      </c>
      <c r="AQ959">
        <v>0</v>
      </c>
      <c r="AR959">
        <v>0</v>
      </c>
      <c r="AS959">
        <v>0</v>
      </c>
      <c r="AT959">
        <v>0</v>
      </c>
      <c r="AU959">
        <v>0</v>
      </c>
      <c r="AV959">
        <v>0</v>
      </c>
      <c r="AW959">
        <v>0</v>
      </c>
      <c r="AX959">
        <v>0</v>
      </c>
      <c r="AY959">
        <v>0</v>
      </c>
      <c r="AZ959">
        <v>0</v>
      </c>
      <c r="BA959">
        <v>0</v>
      </c>
      <c r="BB959">
        <v>0</v>
      </c>
      <c r="BC959">
        <v>0</v>
      </c>
      <c r="BD959">
        <v>0</v>
      </c>
      <c r="BE959">
        <v>0</v>
      </c>
      <c r="BF959">
        <v>0</v>
      </c>
      <c r="BG959">
        <v>0</v>
      </c>
      <c r="BH959">
        <v>1</v>
      </c>
      <c r="BI959">
        <v>1</v>
      </c>
      <c r="BJ959">
        <v>0.2</v>
      </c>
      <c r="BK959">
        <v>1</v>
      </c>
      <c r="BL959" s="4">
        <v>50.45</v>
      </c>
      <c r="BM959" s="4">
        <v>7.57</v>
      </c>
      <c r="BN959" s="4">
        <v>58.02</v>
      </c>
      <c r="BO959" s="4">
        <v>58.02</v>
      </c>
      <c r="BQ959" t="s">
        <v>147</v>
      </c>
      <c r="BR959" t="s">
        <v>84</v>
      </c>
      <c r="BS959" s="3">
        <v>43809</v>
      </c>
      <c r="BT959" s="5">
        <v>0.37777777777777777</v>
      </c>
      <c r="BU959" t="s">
        <v>1012</v>
      </c>
      <c r="BV959" t="s">
        <v>86</v>
      </c>
      <c r="BY959">
        <v>1200</v>
      </c>
      <c r="CA959" t="s">
        <v>371</v>
      </c>
      <c r="CC959" t="s">
        <v>165</v>
      </c>
      <c r="CD959">
        <v>5201</v>
      </c>
      <c r="CE959" t="s">
        <v>88</v>
      </c>
      <c r="CF959" s="3">
        <v>43810</v>
      </c>
      <c r="CI959">
        <v>1</v>
      </c>
      <c r="CJ959">
        <v>1</v>
      </c>
      <c r="CK959">
        <v>21</v>
      </c>
      <c r="CL959" t="s">
        <v>89</v>
      </c>
    </row>
    <row r="960" spans="1:90">
      <c r="A960" t="s">
        <v>72</v>
      </c>
      <c r="B960" t="s">
        <v>73</v>
      </c>
      <c r="C960" t="s">
        <v>74</v>
      </c>
      <c r="E960" t="str">
        <f>"FES1162727340"</f>
        <v>FES1162727340</v>
      </c>
      <c r="F960" s="3">
        <v>43808</v>
      </c>
      <c r="G960">
        <v>202006</v>
      </c>
      <c r="H960" t="s">
        <v>75</v>
      </c>
      <c r="I960" t="s">
        <v>76</v>
      </c>
      <c r="J960" t="s">
        <v>77</v>
      </c>
      <c r="K960" t="s">
        <v>78</v>
      </c>
      <c r="L960" t="s">
        <v>258</v>
      </c>
      <c r="M960" t="s">
        <v>259</v>
      </c>
      <c r="N960" t="s">
        <v>820</v>
      </c>
      <c r="O960" t="s">
        <v>82</v>
      </c>
      <c r="P960" t="str">
        <f>"2170712273                    "</f>
        <v xml:space="preserve">2170712273                    </v>
      </c>
      <c r="Q960">
        <v>0</v>
      </c>
      <c r="R960">
        <v>0</v>
      </c>
      <c r="S960">
        <v>0</v>
      </c>
      <c r="T960">
        <v>0</v>
      </c>
      <c r="U960">
        <v>0</v>
      </c>
      <c r="V960">
        <v>0</v>
      </c>
      <c r="W960">
        <v>0</v>
      </c>
      <c r="X960">
        <v>0</v>
      </c>
      <c r="Y960">
        <v>0</v>
      </c>
      <c r="Z960">
        <v>0</v>
      </c>
      <c r="AA960">
        <v>0</v>
      </c>
      <c r="AB960">
        <v>0</v>
      </c>
      <c r="AC960">
        <v>0</v>
      </c>
      <c r="AD960">
        <v>0</v>
      </c>
      <c r="AE960">
        <v>0</v>
      </c>
      <c r="AF960">
        <v>0</v>
      </c>
      <c r="AG960">
        <v>0</v>
      </c>
      <c r="AH960">
        <v>0</v>
      </c>
      <c r="AI960">
        <v>0</v>
      </c>
      <c r="AJ960">
        <v>0</v>
      </c>
      <c r="AK960">
        <v>0</v>
      </c>
      <c r="AL960">
        <v>0</v>
      </c>
      <c r="AM960">
        <v>62.19</v>
      </c>
      <c r="AN960">
        <v>0</v>
      </c>
      <c r="AO960">
        <v>0</v>
      </c>
      <c r="AP960">
        <v>0</v>
      </c>
      <c r="AQ960">
        <v>0</v>
      </c>
      <c r="AR960">
        <v>0</v>
      </c>
      <c r="AS960">
        <v>0</v>
      </c>
      <c r="AT960">
        <v>0</v>
      </c>
      <c r="AU960">
        <v>0</v>
      </c>
      <c r="AV960">
        <v>0</v>
      </c>
      <c r="AW960">
        <v>0</v>
      </c>
      <c r="AX960">
        <v>0</v>
      </c>
      <c r="AY960">
        <v>0</v>
      </c>
      <c r="AZ960">
        <v>0</v>
      </c>
      <c r="BA960">
        <v>0</v>
      </c>
      <c r="BB960">
        <v>0</v>
      </c>
      <c r="BC960">
        <v>0</v>
      </c>
      <c r="BD960">
        <v>0</v>
      </c>
      <c r="BE960">
        <v>0</v>
      </c>
      <c r="BF960">
        <v>0</v>
      </c>
      <c r="BG960">
        <v>0</v>
      </c>
      <c r="BH960">
        <v>1</v>
      </c>
      <c r="BI960">
        <v>14.3</v>
      </c>
      <c r="BJ960">
        <v>5.6</v>
      </c>
      <c r="BK960">
        <v>14.5</v>
      </c>
      <c r="BL960" s="4">
        <v>365.56</v>
      </c>
      <c r="BM960" s="4">
        <v>54.83</v>
      </c>
      <c r="BN960" s="4">
        <v>420.39</v>
      </c>
      <c r="BO960" s="4">
        <v>420.39</v>
      </c>
      <c r="BQ960" t="s">
        <v>93</v>
      </c>
      <c r="BR960" t="s">
        <v>84</v>
      </c>
      <c r="BS960" s="3">
        <v>43809</v>
      </c>
      <c r="BT960" s="5">
        <v>0.39583333333333331</v>
      </c>
      <c r="BU960" t="s">
        <v>1490</v>
      </c>
      <c r="BV960" t="s">
        <v>86</v>
      </c>
      <c r="BY960">
        <v>27985.82</v>
      </c>
      <c r="CA960" t="s">
        <v>262</v>
      </c>
      <c r="CC960" t="s">
        <v>259</v>
      </c>
      <c r="CD960">
        <v>7600</v>
      </c>
      <c r="CE960" t="s">
        <v>116</v>
      </c>
      <c r="CF960" s="3">
        <v>43810</v>
      </c>
      <c r="CI960">
        <v>1</v>
      </c>
      <c r="CJ960">
        <v>1</v>
      </c>
      <c r="CK960">
        <v>21</v>
      </c>
      <c r="CL960" t="s">
        <v>89</v>
      </c>
    </row>
    <row r="961" spans="1:90">
      <c r="A961" t="s">
        <v>72</v>
      </c>
      <c r="B961" t="s">
        <v>73</v>
      </c>
      <c r="C961" t="s">
        <v>74</v>
      </c>
      <c r="E961" t="str">
        <f>"FES1162727286"</f>
        <v>FES1162727286</v>
      </c>
      <c r="F961" s="3">
        <v>43808</v>
      </c>
      <c r="G961">
        <v>202006</v>
      </c>
      <c r="H961" t="s">
        <v>75</v>
      </c>
      <c r="I961" t="s">
        <v>76</v>
      </c>
      <c r="J961" t="s">
        <v>77</v>
      </c>
      <c r="K961" t="s">
        <v>78</v>
      </c>
      <c r="L961" t="s">
        <v>332</v>
      </c>
      <c r="M961" t="s">
        <v>333</v>
      </c>
      <c r="N961" t="s">
        <v>956</v>
      </c>
      <c r="O961" t="s">
        <v>82</v>
      </c>
      <c r="P961" t="str">
        <f>"2170720782                    "</f>
        <v xml:space="preserve">2170720782                    </v>
      </c>
      <c r="Q961">
        <v>0</v>
      </c>
      <c r="R961">
        <v>0</v>
      </c>
      <c r="S961">
        <v>0</v>
      </c>
      <c r="T961">
        <v>0</v>
      </c>
      <c r="U961">
        <v>0</v>
      </c>
      <c r="V961">
        <v>0</v>
      </c>
      <c r="W961">
        <v>0</v>
      </c>
      <c r="X961">
        <v>0</v>
      </c>
      <c r="Y961">
        <v>0</v>
      </c>
      <c r="Z961">
        <v>0</v>
      </c>
      <c r="AA961">
        <v>0</v>
      </c>
      <c r="AB961">
        <v>0</v>
      </c>
      <c r="AC961">
        <v>0</v>
      </c>
      <c r="AD961">
        <v>0</v>
      </c>
      <c r="AE961">
        <v>0</v>
      </c>
      <c r="AF961">
        <v>0</v>
      </c>
      <c r="AG961">
        <v>0</v>
      </c>
      <c r="AH961">
        <v>0</v>
      </c>
      <c r="AI961">
        <v>0</v>
      </c>
      <c r="AJ961">
        <v>0</v>
      </c>
      <c r="AK961">
        <v>0</v>
      </c>
      <c r="AL961">
        <v>0</v>
      </c>
      <c r="AM961">
        <v>16.350000000000001</v>
      </c>
      <c r="AN961">
        <v>0</v>
      </c>
      <c r="AO961">
        <v>0</v>
      </c>
      <c r="AP961">
        <v>0</v>
      </c>
      <c r="AQ961">
        <v>0</v>
      </c>
      <c r="AR961">
        <v>0</v>
      </c>
      <c r="AS961">
        <v>0</v>
      </c>
      <c r="AT961">
        <v>0</v>
      </c>
      <c r="AU961">
        <v>0</v>
      </c>
      <c r="AV961">
        <v>0</v>
      </c>
      <c r="AW961">
        <v>0</v>
      </c>
      <c r="AX961">
        <v>0</v>
      </c>
      <c r="AY961">
        <v>0</v>
      </c>
      <c r="AZ961">
        <v>0</v>
      </c>
      <c r="BA961">
        <v>0</v>
      </c>
      <c r="BB961">
        <v>0</v>
      </c>
      <c r="BC961">
        <v>0</v>
      </c>
      <c r="BD961">
        <v>0</v>
      </c>
      <c r="BE961">
        <v>0</v>
      </c>
      <c r="BF961">
        <v>0</v>
      </c>
      <c r="BG961">
        <v>0</v>
      </c>
      <c r="BH961">
        <v>1</v>
      </c>
      <c r="BI961">
        <v>3.2</v>
      </c>
      <c r="BJ961">
        <v>7.9</v>
      </c>
      <c r="BK961">
        <v>8</v>
      </c>
      <c r="BL961" s="4">
        <v>96.1</v>
      </c>
      <c r="BM961" s="4">
        <v>14.42</v>
      </c>
      <c r="BN961" s="4">
        <v>110.52</v>
      </c>
      <c r="BO961" s="4">
        <v>110.52</v>
      </c>
      <c r="BQ961" t="s">
        <v>957</v>
      </c>
      <c r="BR961" t="s">
        <v>84</v>
      </c>
      <c r="BS961" s="3">
        <v>43809</v>
      </c>
      <c r="BT961" s="5">
        <v>0.33333333333333331</v>
      </c>
      <c r="BU961" t="s">
        <v>1491</v>
      </c>
      <c r="BV961" t="s">
        <v>86</v>
      </c>
      <c r="BY961">
        <v>39499.74</v>
      </c>
      <c r="CC961" t="s">
        <v>333</v>
      </c>
      <c r="CD961">
        <v>2090</v>
      </c>
      <c r="CE961" t="s">
        <v>96</v>
      </c>
      <c r="CF961" s="3">
        <v>43811</v>
      </c>
      <c r="CI961">
        <v>1</v>
      </c>
      <c r="CJ961">
        <v>1</v>
      </c>
      <c r="CK961">
        <v>22</v>
      </c>
      <c r="CL961" t="s">
        <v>89</v>
      </c>
    </row>
    <row r="962" spans="1:90">
      <c r="A962" t="s">
        <v>72</v>
      </c>
      <c r="B962" t="s">
        <v>73</v>
      </c>
      <c r="C962" t="s">
        <v>74</v>
      </c>
      <c r="E962" t="str">
        <f>"FES1162727283"</f>
        <v>FES1162727283</v>
      </c>
      <c r="F962" s="3">
        <v>43808</v>
      </c>
      <c r="G962">
        <v>202006</v>
      </c>
      <c r="H962" t="s">
        <v>75</v>
      </c>
      <c r="I962" t="s">
        <v>76</v>
      </c>
      <c r="J962" t="s">
        <v>77</v>
      </c>
      <c r="K962" t="s">
        <v>78</v>
      </c>
      <c r="L962" t="s">
        <v>138</v>
      </c>
      <c r="M962" t="s">
        <v>139</v>
      </c>
      <c r="N962" t="s">
        <v>1492</v>
      </c>
      <c r="O962" t="s">
        <v>82</v>
      </c>
      <c r="P962" t="str">
        <f>"21707120779                   "</f>
        <v xml:space="preserve">21707120779                   </v>
      </c>
      <c r="Q962">
        <v>0</v>
      </c>
      <c r="R962">
        <v>0</v>
      </c>
      <c r="S962">
        <v>0</v>
      </c>
      <c r="T962">
        <v>0</v>
      </c>
      <c r="U962">
        <v>0</v>
      </c>
      <c r="V962">
        <v>0</v>
      </c>
      <c r="W962">
        <v>0</v>
      </c>
      <c r="X962">
        <v>0</v>
      </c>
      <c r="Y962">
        <v>0</v>
      </c>
      <c r="Z962">
        <v>0</v>
      </c>
      <c r="AA962">
        <v>0</v>
      </c>
      <c r="AB962">
        <v>0</v>
      </c>
      <c r="AC962">
        <v>0</v>
      </c>
      <c r="AD962">
        <v>0</v>
      </c>
      <c r="AE962">
        <v>0</v>
      </c>
      <c r="AF962">
        <v>0</v>
      </c>
      <c r="AG962">
        <v>0</v>
      </c>
      <c r="AH962">
        <v>0</v>
      </c>
      <c r="AI962">
        <v>0</v>
      </c>
      <c r="AJ962">
        <v>0</v>
      </c>
      <c r="AK962">
        <v>0</v>
      </c>
      <c r="AL962">
        <v>0</v>
      </c>
      <c r="AM962">
        <v>17.96</v>
      </c>
      <c r="AN962">
        <v>0</v>
      </c>
      <c r="AO962">
        <v>0</v>
      </c>
      <c r="AP962">
        <v>0</v>
      </c>
      <c r="AQ962">
        <v>0</v>
      </c>
      <c r="AR962">
        <v>0</v>
      </c>
      <c r="AS962">
        <v>0</v>
      </c>
      <c r="AT962">
        <v>0</v>
      </c>
      <c r="AU962">
        <v>0</v>
      </c>
      <c r="AV962">
        <v>0</v>
      </c>
      <c r="AW962">
        <v>0</v>
      </c>
      <c r="AX962">
        <v>0</v>
      </c>
      <c r="AY962">
        <v>0</v>
      </c>
      <c r="AZ962">
        <v>0</v>
      </c>
      <c r="BA962">
        <v>0</v>
      </c>
      <c r="BB962">
        <v>0</v>
      </c>
      <c r="BC962">
        <v>0</v>
      </c>
      <c r="BD962">
        <v>0</v>
      </c>
      <c r="BE962">
        <v>0</v>
      </c>
      <c r="BF962">
        <v>0</v>
      </c>
      <c r="BG962">
        <v>0</v>
      </c>
      <c r="BH962">
        <v>1</v>
      </c>
      <c r="BI962">
        <v>6.3</v>
      </c>
      <c r="BJ962">
        <v>8.6</v>
      </c>
      <c r="BK962">
        <v>9</v>
      </c>
      <c r="BL962" s="4">
        <v>105.55</v>
      </c>
      <c r="BM962" s="4">
        <v>15.83</v>
      </c>
      <c r="BN962" s="4">
        <v>121.38</v>
      </c>
      <c r="BO962" s="4">
        <v>121.38</v>
      </c>
      <c r="BQ962" t="s">
        <v>147</v>
      </c>
      <c r="BR962" t="s">
        <v>84</v>
      </c>
      <c r="BS962" s="3">
        <v>43809</v>
      </c>
      <c r="BT962" s="5">
        <v>0.46388888888888885</v>
      </c>
      <c r="BU962" t="s">
        <v>1493</v>
      </c>
      <c r="BV962" t="s">
        <v>89</v>
      </c>
      <c r="BW962" t="s">
        <v>228</v>
      </c>
      <c r="BX962" t="s">
        <v>229</v>
      </c>
      <c r="BY962">
        <v>42844.03</v>
      </c>
      <c r="CA962" t="s">
        <v>314</v>
      </c>
      <c r="CC962" t="s">
        <v>139</v>
      </c>
      <c r="CD962">
        <v>1406</v>
      </c>
      <c r="CE962" t="s">
        <v>96</v>
      </c>
      <c r="CF962" s="3">
        <v>43810</v>
      </c>
      <c r="CI962">
        <v>1</v>
      </c>
      <c r="CJ962">
        <v>1</v>
      </c>
      <c r="CK962">
        <v>22</v>
      </c>
      <c r="CL962" t="s">
        <v>89</v>
      </c>
    </row>
    <row r="963" spans="1:90">
      <c r="A963" t="s">
        <v>72</v>
      </c>
      <c r="B963" t="s">
        <v>73</v>
      </c>
      <c r="C963" t="s">
        <v>74</v>
      </c>
      <c r="E963" t="str">
        <f>"FES1162727310"</f>
        <v>FES1162727310</v>
      </c>
      <c r="F963" s="3">
        <v>43808</v>
      </c>
      <c r="G963">
        <v>202006</v>
      </c>
      <c r="H963" t="s">
        <v>75</v>
      </c>
      <c r="I963" t="s">
        <v>76</v>
      </c>
      <c r="J963" t="s">
        <v>77</v>
      </c>
      <c r="K963" t="s">
        <v>78</v>
      </c>
      <c r="L963" t="s">
        <v>332</v>
      </c>
      <c r="M963" t="s">
        <v>333</v>
      </c>
      <c r="N963" t="s">
        <v>701</v>
      </c>
      <c r="O963" t="s">
        <v>82</v>
      </c>
      <c r="P963" t="str">
        <f>"21707120879                   "</f>
        <v xml:space="preserve">21707120879                   </v>
      </c>
      <c r="Q963">
        <v>0</v>
      </c>
      <c r="R963">
        <v>0</v>
      </c>
      <c r="S963">
        <v>0</v>
      </c>
      <c r="T963">
        <v>0</v>
      </c>
      <c r="U963">
        <v>0</v>
      </c>
      <c r="V963">
        <v>0</v>
      </c>
      <c r="W963">
        <v>0</v>
      </c>
      <c r="X963">
        <v>0</v>
      </c>
      <c r="Y963">
        <v>0</v>
      </c>
      <c r="Z963">
        <v>0</v>
      </c>
      <c r="AA963">
        <v>0</v>
      </c>
      <c r="AB963">
        <v>0</v>
      </c>
      <c r="AC963">
        <v>0</v>
      </c>
      <c r="AD963">
        <v>0</v>
      </c>
      <c r="AE963">
        <v>0</v>
      </c>
      <c r="AF963">
        <v>0</v>
      </c>
      <c r="AG963">
        <v>0</v>
      </c>
      <c r="AH963">
        <v>0</v>
      </c>
      <c r="AI963">
        <v>0</v>
      </c>
      <c r="AJ963">
        <v>0</v>
      </c>
      <c r="AK963">
        <v>0</v>
      </c>
      <c r="AL963">
        <v>0</v>
      </c>
      <c r="AM963">
        <v>7.51</v>
      </c>
      <c r="AN963">
        <v>0</v>
      </c>
      <c r="AO963">
        <v>0</v>
      </c>
      <c r="AP963">
        <v>0</v>
      </c>
      <c r="AQ963">
        <v>0</v>
      </c>
      <c r="AR963">
        <v>0</v>
      </c>
      <c r="AS963">
        <v>0</v>
      </c>
      <c r="AT963">
        <v>0</v>
      </c>
      <c r="AU963">
        <v>0</v>
      </c>
      <c r="AV963">
        <v>0</v>
      </c>
      <c r="AW963">
        <v>0</v>
      </c>
      <c r="AX963">
        <v>0</v>
      </c>
      <c r="AY963">
        <v>0</v>
      </c>
      <c r="AZ963">
        <v>0</v>
      </c>
      <c r="BA963">
        <v>0</v>
      </c>
      <c r="BB963">
        <v>0</v>
      </c>
      <c r="BC963">
        <v>0</v>
      </c>
      <c r="BD963">
        <v>0</v>
      </c>
      <c r="BE963">
        <v>0</v>
      </c>
      <c r="BF963">
        <v>0</v>
      </c>
      <c r="BG963">
        <v>0</v>
      </c>
      <c r="BH963">
        <v>1</v>
      </c>
      <c r="BI963">
        <v>2.5</v>
      </c>
      <c r="BJ963">
        <v>1.2</v>
      </c>
      <c r="BK963">
        <v>2.5</v>
      </c>
      <c r="BL963" s="4">
        <v>44.14</v>
      </c>
      <c r="BM963" s="4">
        <v>6.62</v>
      </c>
      <c r="BN963" s="4">
        <v>50.76</v>
      </c>
      <c r="BO963" s="4">
        <v>50.76</v>
      </c>
      <c r="BQ963" t="s">
        <v>93</v>
      </c>
      <c r="BR963" t="s">
        <v>84</v>
      </c>
      <c r="BS963" s="3">
        <v>43809</v>
      </c>
      <c r="BT963" s="5">
        <v>0.38194444444444442</v>
      </c>
      <c r="BU963" t="s">
        <v>1327</v>
      </c>
      <c r="BV963" t="s">
        <v>86</v>
      </c>
      <c r="BY963">
        <v>5926.4</v>
      </c>
      <c r="CC963" t="s">
        <v>333</v>
      </c>
      <c r="CD963">
        <v>2094</v>
      </c>
      <c r="CE963" t="s">
        <v>116</v>
      </c>
      <c r="CF963" s="3">
        <v>43810</v>
      </c>
      <c r="CI963">
        <v>1</v>
      </c>
      <c r="CJ963">
        <v>1</v>
      </c>
      <c r="CK963">
        <v>22</v>
      </c>
      <c r="CL963" t="s">
        <v>89</v>
      </c>
    </row>
    <row r="964" spans="1:90">
      <c r="A964" t="s">
        <v>72</v>
      </c>
      <c r="B964" t="s">
        <v>73</v>
      </c>
      <c r="C964" t="s">
        <v>74</v>
      </c>
      <c r="E964" t="str">
        <f>"FES1162727312"</f>
        <v>FES1162727312</v>
      </c>
      <c r="F964" s="3">
        <v>43808</v>
      </c>
      <c r="G964">
        <v>202006</v>
      </c>
      <c r="H964" t="s">
        <v>75</v>
      </c>
      <c r="I964" t="s">
        <v>76</v>
      </c>
      <c r="J964" t="s">
        <v>77</v>
      </c>
      <c r="K964" t="s">
        <v>78</v>
      </c>
      <c r="L964" t="s">
        <v>75</v>
      </c>
      <c r="M964" t="s">
        <v>76</v>
      </c>
      <c r="N964" t="s">
        <v>1494</v>
      </c>
      <c r="O964" t="s">
        <v>82</v>
      </c>
      <c r="P964" t="str">
        <f>"21707120791                   "</f>
        <v xml:space="preserve">21707120791                   </v>
      </c>
      <c r="Q964">
        <v>0</v>
      </c>
      <c r="R964">
        <v>0</v>
      </c>
      <c r="S964">
        <v>0</v>
      </c>
      <c r="T964">
        <v>0</v>
      </c>
      <c r="U964">
        <v>0</v>
      </c>
      <c r="V964">
        <v>0</v>
      </c>
      <c r="W964">
        <v>0</v>
      </c>
      <c r="X964">
        <v>0</v>
      </c>
      <c r="Y964">
        <v>0</v>
      </c>
      <c r="Z964">
        <v>0</v>
      </c>
      <c r="AA964">
        <v>0</v>
      </c>
      <c r="AB964">
        <v>0</v>
      </c>
      <c r="AC964">
        <v>0</v>
      </c>
      <c r="AD964">
        <v>0</v>
      </c>
      <c r="AE964">
        <v>0</v>
      </c>
      <c r="AF964">
        <v>0</v>
      </c>
      <c r="AG964">
        <v>0</v>
      </c>
      <c r="AH964">
        <v>0</v>
      </c>
      <c r="AI964">
        <v>0</v>
      </c>
      <c r="AJ964">
        <v>0</v>
      </c>
      <c r="AK964">
        <v>0</v>
      </c>
      <c r="AL964">
        <v>0</v>
      </c>
      <c r="AM964">
        <v>9.92</v>
      </c>
      <c r="AN964">
        <v>0</v>
      </c>
      <c r="AO964">
        <v>0</v>
      </c>
      <c r="AP964">
        <v>0</v>
      </c>
      <c r="AQ964">
        <v>0</v>
      </c>
      <c r="AR964">
        <v>0</v>
      </c>
      <c r="AS964">
        <v>0</v>
      </c>
      <c r="AT964">
        <v>0</v>
      </c>
      <c r="AU964">
        <v>0</v>
      </c>
      <c r="AV964">
        <v>0</v>
      </c>
      <c r="AW964">
        <v>0</v>
      </c>
      <c r="AX964">
        <v>0</v>
      </c>
      <c r="AY964">
        <v>0</v>
      </c>
      <c r="AZ964">
        <v>0</v>
      </c>
      <c r="BA964">
        <v>0</v>
      </c>
      <c r="BB964">
        <v>0</v>
      </c>
      <c r="BC964">
        <v>0</v>
      </c>
      <c r="BD964">
        <v>0</v>
      </c>
      <c r="BE964">
        <v>0</v>
      </c>
      <c r="BF964">
        <v>0</v>
      </c>
      <c r="BG964">
        <v>0</v>
      </c>
      <c r="BH964">
        <v>1</v>
      </c>
      <c r="BI964">
        <v>3.6</v>
      </c>
      <c r="BJ964">
        <v>1.2</v>
      </c>
      <c r="BK964">
        <v>4</v>
      </c>
      <c r="BL964" s="4">
        <v>58.31</v>
      </c>
      <c r="BM964" s="4">
        <v>8.75</v>
      </c>
      <c r="BN964" s="4">
        <v>67.06</v>
      </c>
      <c r="BO964" s="4">
        <v>67.06</v>
      </c>
      <c r="BQ964" t="s">
        <v>1495</v>
      </c>
      <c r="BR964" t="s">
        <v>84</v>
      </c>
      <c r="BS964" s="3">
        <v>43809</v>
      </c>
      <c r="BT964" s="5">
        <v>0.42708333333333331</v>
      </c>
      <c r="BU964" t="s">
        <v>1496</v>
      </c>
      <c r="BV964" t="s">
        <v>86</v>
      </c>
      <c r="BY964">
        <v>5924.36</v>
      </c>
      <c r="CA964" t="s">
        <v>661</v>
      </c>
      <c r="CC964" t="s">
        <v>76</v>
      </c>
      <c r="CD964">
        <v>1609</v>
      </c>
      <c r="CE964" t="s">
        <v>96</v>
      </c>
      <c r="CF964" s="3">
        <v>43811</v>
      </c>
      <c r="CI964">
        <v>1</v>
      </c>
      <c r="CJ964">
        <v>1</v>
      </c>
      <c r="CK964">
        <v>22</v>
      </c>
      <c r="CL964" t="s">
        <v>89</v>
      </c>
    </row>
    <row r="965" spans="1:90">
      <c r="A965" t="s">
        <v>72</v>
      </c>
      <c r="B965" t="s">
        <v>73</v>
      </c>
      <c r="C965" t="s">
        <v>74</v>
      </c>
      <c r="E965" t="str">
        <f>"009935712078"</f>
        <v>009935712078</v>
      </c>
      <c r="F965" s="3">
        <v>43808</v>
      </c>
      <c r="G965">
        <v>202006</v>
      </c>
      <c r="H965" t="s">
        <v>75</v>
      </c>
      <c r="I965" t="s">
        <v>76</v>
      </c>
      <c r="J965" t="s">
        <v>77</v>
      </c>
      <c r="K965" t="s">
        <v>78</v>
      </c>
      <c r="L965" t="s">
        <v>1497</v>
      </c>
      <c r="M965" t="s">
        <v>1498</v>
      </c>
      <c r="N965" t="s">
        <v>471</v>
      </c>
      <c r="O965" t="s">
        <v>82</v>
      </c>
      <c r="P965" t="str">
        <f>"1162725917                    "</f>
        <v xml:space="preserve">1162725917                    </v>
      </c>
      <c r="Q965">
        <v>0</v>
      </c>
      <c r="R965">
        <v>0</v>
      </c>
      <c r="S965">
        <v>0</v>
      </c>
      <c r="T965">
        <v>0</v>
      </c>
      <c r="U965">
        <v>0</v>
      </c>
      <c r="V965">
        <v>0</v>
      </c>
      <c r="W965">
        <v>0</v>
      </c>
      <c r="X965">
        <v>0</v>
      </c>
      <c r="Y965">
        <v>0</v>
      </c>
      <c r="Z965">
        <v>0</v>
      </c>
      <c r="AA965">
        <v>0</v>
      </c>
      <c r="AB965">
        <v>0</v>
      </c>
      <c r="AC965">
        <v>0</v>
      </c>
      <c r="AD965">
        <v>0</v>
      </c>
      <c r="AE965">
        <v>0</v>
      </c>
      <c r="AF965">
        <v>0</v>
      </c>
      <c r="AG965">
        <v>0</v>
      </c>
      <c r="AH965">
        <v>0</v>
      </c>
      <c r="AI965">
        <v>0</v>
      </c>
      <c r="AJ965">
        <v>0</v>
      </c>
      <c r="AK965">
        <v>0</v>
      </c>
      <c r="AL965">
        <v>0</v>
      </c>
      <c r="AM965">
        <v>12.07</v>
      </c>
      <c r="AN965">
        <v>0</v>
      </c>
      <c r="AO965">
        <v>0</v>
      </c>
      <c r="AP965">
        <v>0</v>
      </c>
      <c r="AQ965">
        <v>0</v>
      </c>
      <c r="AR965">
        <v>0</v>
      </c>
      <c r="AS965">
        <v>0</v>
      </c>
      <c r="AT965">
        <v>0</v>
      </c>
      <c r="AU965">
        <v>0</v>
      </c>
      <c r="AV965">
        <v>0</v>
      </c>
      <c r="AW965">
        <v>0</v>
      </c>
      <c r="AX965">
        <v>0</v>
      </c>
      <c r="AY965">
        <v>0</v>
      </c>
      <c r="AZ965">
        <v>0</v>
      </c>
      <c r="BA965">
        <v>0</v>
      </c>
      <c r="BB965">
        <v>0</v>
      </c>
      <c r="BC965">
        <v>0</v>
      </c>
      <c r="BD965">
        <v>0</v>
      </c>
      <c r="BE965">
        <v>0</v>
      </c>
      <c r="BF965">
        <v>0</v>
      </c>
      <c r="BG965">
        <v>0</v>
      </c>
      <c r="BH965">
        <v>1</v>
      </c>
      <c r="BI965">
        <v>1</v>
      </c>
      <c r="BJ965">
        <v>0.2</v>
      </c>
      <c r="BK965">
        <v>1</v>
      </c>
      <c r="BL965" s="4">
        <v>70.95</v>
      </c>
      <c r="BM965" s="4">
        <v>10.64</v>
      </c>
      <c r="BN965" s="4">
        <v>81.59</v>
      </c>
      <c r="BO965" s="4">
        <v>81.59</v>
      </c>
      <c r="BQ965" t="s">
        <v>147</v>
      </c>
      <c r="BR965" t="s">
        <v>84</v>
      </c>
      <c r="BS965" s="3">
        <v>43809</v>
      </c>
      <c r="BT965" s="5">
        <v>0.56944444444444442</v>
      </c>
      <c r="BU965" t="s">
        <v>1499</v>
      </c>
      <c r="BV965" t="s">
        <v>86</v>
      </c>
      <c r="BY965">
        <v>1200</v>
      </c>
      <c r="CC965" t="s">
        <v>1498</v>
      </c>
      <c r="CD965">
        <v>407</v>
      </c>
      <c r="CE965" t="s">
        <v>88</v>
      </c>
      <c r="CI965">
        <v>1</v>
      </c>
      <c r="CJ965">
        <v>1</v>
      </c>
      <c r="CK965">
        <v>24</v>
      </c>
      <c r="CL965" t="s">
        <v>89</v>
      </c>
    </row>
    <row r="966" spans="1:90">
      <c r="A966" t="s">
        <v>72</v>
      </c>
      <c r="B966" t="s">
        <v>73</v>
      </c>
      <c r="C966" t="s">
        <v>74</v>
      </c>
      <c r="E966" t="str">
        <f>"FES1162727388"</f>
        <v>FES1162727388</v>
      </c>
      <c r="F966" s="3">
        <v>43808</v>
      </c>
      <c r="G966">
        <v>202006</v>
      </c>
      <c r="H966" t="s">
        <v>75</v>
      </c>
      <c r="I966" t="s">
        <v>76</v>
      </c>
      <c r="J966" t="s">
        <v>77</v>
      </c>
      <c r="K966" t="s">
        <v>78</v>
      </c>
      <c r="L966" t="s">
        <v>396</v>
      </c>
      <c r="M966" t="s">
        <v>397</v>
      </c>
      <c r="N966" t="s">
        <v>913</v>
      </c>
      <c r="O966" t="s">
        <v>82</v>
      </c>
      <c r="P966" t="str">
        <f>"21707102876                   "</f>
        <v xml:space="preserve">21707102876                   </v>
      </c>
      <c r="Q966">
        <v>0</v>
      </c>
      <c r="R966">
        <v>0</v>
      </c>
      <c r="S966">
        <v>0</v>
      </c>
      <c r="T966">
        <v>0</v>
      </c>
      <c r="U966">
        <v>0</v>
      </c>
      <c r="V966">
        <v>0</v>
      </c>
      <c r="W966">
        <v>0</v>
      </c>
      <c r="X966">
        <v>0</v>
      </c>
      <c r="Y966">
        <v>0</v>
      </c>
      <c r="Z966">
        <v>0</v>
      </c>
      <c r="AA966">
        <v>0</v>
      </c>
      <c r="AB966">
        <v>0</v>
      </c>
      <c r="AC966">
        <v>0</v>
      </c>
      <c r="AD966">
        <v>0</v>
      </c>
      <c r="AE966">
        <v>0</v>
      </c>
      <c r="AF966">
        <v>0</v>
      </c>
      <c r="AG966">
        <v>0</v>
      </c>
      <c r="AH966">
        <v>0</v>
      </c>
      <c r="AI966">
        <v>0</v>
      </c>
      <c r="AJ966">
        <v>0</v>
      </c>
      <c r="AK966">
        <v>0</v>
      </c>
      <c r="AL966">
        <v>0</v>
      </c>
      <c r="AM966">
        <v>35.409999999999997</v>
      </c>
      <c r="AN966">
        <v>0</v>
      </c>
      <c r="AO966">
        <v>0</v>
      </c>
      <c r="AP966">
        <v>0</v>
      </c>
      <c r="AQ966">
        <v>0</v>
      </c>
      <c r="AR966">
        <v>0</v>
      </c>
      <c r="AS966">
        <v>0</v>
      </c>
      <c r="AT966">
        <v>0</v>
      </c>
      <c r="AU966">
        <v>0</v>
      </c>
      <c r="AV966">
        <v>0</v>
      </c>
      <c r="AW966">
        <v>0</v>
      </c>
      <c r="AX966">
        <v>0</v>
      </c>
      <c r="AY966">
        <v>0</v>
      </c>
      <c r="AZ966">
        <v>0</v>
      </c>
      <c r="BA966">
        <v>0</v>
      </c>
      <c r="BB966">
        <v>0</v>
      </c>
      <c r="BC966">
        <v>0</v>
      </c>
      <c r="BD966">
        <v>0</v>
      </c>
      <c r="BE966">
        <v>0</v>
      </c>
      <c r="BF966">
        <v>0</v>
      </c>
      <c r="BG966">
        <v>0</v>
      </c>
      <c r="BH966">
        <v>1</v>
      </c>
      <c r="BI966">
        <v>4.4000000000000004</v>
      </c>
      <c r="BJ966">
        <v>1.3</v>
      </c>
      <c r="BK966">
        <v>4.5</v>
      </c>
      <c r="BL966" s="4">
        <v>208.13</v>
      </c>
      <c r="BM966" s="4">
        <v>31.22</v>
      </c>
      <c r="BN966" s="4">
        <v>239.35</v>
      </c>
      <c r="BO966" s="4">
        <v>239.35</v>
      </c>
      <c r="BQ966" t="s">
        <v>147</v>
      </c>
      <c r="BR966" t="s">
        <v>84</v>
      </c>
      <c r="BS966" s="3">
        <v>43809</v>
      </c>
      <c r="BT966" s="5">
        <v>0.53819444444444442</v>
      </c>
      <c r="BU966" t="s">
        <v>1500</v>
      </c>
      <c r="BV966" t="s">
        <v>86</v>
      </c>
      <c r="BY966">
        <v>6632.4</v>
      </c>
      <c r="CA966" t="s">
        <v>400</v>
      </c>
      <c r="CC966" t="s">
        <v>397</v>
      </c>
      <c r="CD966">
        <v>7130</v>
      </c>
      <c r="CE966" t="s">
        <v>96</v>
      </c>
      <c r="CF966" s="3">
        <v>43810</v>
      </c>
      <c r="CI966">
        <v>1</v>
      </c>
      <c r="CJ966">
        <v>1</v>
      </c>
      <c r="CK966">
        <v>23</v>
      </c>
      <c r="CL966" t="s">
        <v>89</v>
      </c>
    </row>
    <row r="967" spans="1:90">
      <c r="A967" t="s">
        <v>72</v>
      </c>
      <c r="B967" t="s">
        <v>73</v>
      </c>
      <c r="C967" t="s">
        <v>74</v>
      </c>
      <c r="E967" t="str">
        <f>"FES1162727285"</f>
        <v>FES1162727285</v>
      </c>
      <c r="F967" s="3">
        <v>43808</v>
      </c>
      <c r="G967">
        <v>202006</v>
      </c>
      <c r="H967" t="s">
        <v>75</v>
      </c>
      <c r="I967" t="s">
        <v>76</v>
      </c>
      <c r="J967" t="s">
        <v>77</v>
      </c>
      <c r="K967" t="s">
        <v>78</v>
      </c>
      <c r="L967" t="s">
        <v>75</v>
      </c>
      <c r="M967" t="s">
        <v>76</v>
      </c>
      <c r="N967" t="s">
        <v>312</v>
      </c>
      <c r="O967" t="s">
        <v>82</v>
      </c>
      <c r="P967" t="str">
        <f>"2170710778                    "</f>
        <v xml:space="preserve">2170710778                    </v>
      </c>
      <c r="Q967">
        <v>0</v>
      </c>
      <c r="R967">
        <v>0</v>
      </c>
      <c r="S967">
        <v>0</v>
      </c>
      <c r="T967">
        <v>0</v>
      </c>
      <c r="U967">
        <v>0</v>
      </c>
      <c r="V967">
        <v>0</v>
      </c>
      <c r="W967">
        <v>0</v>
      </c>
      <c r="X967">
        <v>0</v>
      </c>
      <c r="Y967">
        <v>0</v>
      </c>
      <c r="Z967">
        <v>0</v>
      </c>
      <c r="AA967">
        <v>0</v>
      </c>
      <c r="AB967">
        <v>0</v>
      </c>
      <c r="AC967">
        <v>0</v>
      </c>
      <c r="AD967">
        <v>0</v>
      </c>
      <c r="AE967">
        <v>0</v>
      </c>
      <c r="AF967">
        <v>0</v>
      </c>
      <c r="AG967">
        <v>0</v>
      </c>
      <c r="AH967">
        <v>0</v>
      </c>
      <c r="AI967">
        <v>0</v>
      </c>
      <c r="AJ967">
        <v>0</v>
      </c>
      <c r="AK967">
        <v>0</v>
      </c>
      <c r="AL967">
        <v>0</v>
      </c>
      <c r="AM967">
        <v>17.96</v>
      </c>
      <c r="AN967">
        <v>0</v>
      </c>
      <c r="AO967">
        <v>0</v>
      </c>
      <c r="AP967">
        <v>0</v>
      </c>
      <c r="AQ967">
        <v>0</v>
      </c>
      <c r="AR967">
        <v>0</v>
      </c>
      <c r="AS967">
        <v>0</v>
      </c>
      <c r="AT967">
        <v>0</v>
      </c>
      <c r="AU967">
        <v>0</v>
      </c>
      <c r="AV967">
        <v>0</v>
      </c>
      <c r="AW967">
        <v>0</v>
      </c>
      <c r="AX967">
        <v>0</v>
      </c>
      <c r="AY967">
        <v>0</v>
      </c>
      <c r="AZ967">
        <v>0</v>
      </c>
      <c r="BA967">
        <v>0</v>
      </c>
      <c r="BB967">
        <v>0</v>
      </c>
      <c r="BC967">
        <v>0</v>
      </c>
      <c r="BD967">
        <v>0</v>
      </c>
      <c r="BE967">
        <v>0</v>
      </c>
      <c r="BF967">
        <v>0</v>
      </c>
      <c r="BG967">
        <v>0</v>
      </c>
      <c r="BH967">
        <v>1</v>
      </c>
      <c r="BI967">
        <v>5.5</v>
      </c>
      <c r="BJ967">
        <v>9</v>
      </c>
      <c r="BK967">
        <v>9</v>
      </c>
      <c r="BL967" s="4">
        <v>105.55</v>
      </c>
      <c r="BM967" s="4">
        <v>15.83</v>
      </c>
      <c r="BN967" s="4">
        <v>121.38</v>
      </c>
      <c r="BO967" s="4">
        <v>121.38</v>
      </c>
      <c r="BQ967" t="s">
        <v>147</v>
      </c>
      <c r="BR967" t="s">
        <v>84</v>
      </c>
      <c r="BS967" s="3">
        <v>43809</v>
      </c>
      <c r="BT967" s="5">
        <v>0.50694444444444442</v>
      </c>
      <c r="BU967" t="s">
        <v>1462</v>
      </c>
      <c r="BV967" t="s">
        <v>89</v>
      </c>
      <c r="BW967" t="s">
        <v>228</v>
      </c>
      <c r="BX967" t="s">
        <v>229</v>
      </c>
      <c r="BY967">
        <v>44887.77</v>
      </c>
      <c r="CA967" t="s">
        <v>314</v>
      </c>
      <c r="CC967" t="s">
        <v>76</v>
      </c>
      <c r="CD967">
        <v>1609</v>
      </c>
      <c r="CE967" t="s">
        <v>96</v>
      </c>
      <c r="CF967" s="3">
        <v>43810</v>
      </c>
      <c r="CI967">
        <v>1</v>
      </c>
      <c r="CJ967">
        <v>1</v>
      </c>
      <c r="CK967">
        <v>22</v>
      </c>
      <c r="CL967" t="s">
        <v>89</v>
      </c>
    </row>
    <row r="968" spans="1:90">
      <c r="A968" t="s">
        <v>72</v>
      </c>
      <c r="B968" t="s">
        <v>73</v>
      </c>
      <c r="C968" t="s">
        <v>74</v>
      </c>
      <c r="E968" t="str">
        <f>"FES1162727383"</f>
        <v>FES1162727383</v>
      </c>
      <c r="F968" s="3">
        <v>43808</v>
      </c>
      <c r="G968">
        <v>202006</v>
      </c>
      <c r="H968" t="s">
        <v>75</v>
      </c>
      <c r="I968" t="s">
        <v>76</v>
      </c>
      <c r="J968" t="s">
        <v>77</v>
      </c>
      <c r="K968" t="s">
        <v>78</v>
      </c>
      <c r="L968" t="s">
        <v>90</v>
      </c>
      <c r="M968" t="s">
        <v>91</v>
      </c>
      <c r="N968" t="s">
        <v>110</v>
      </c>
      <c r="O968" t="s">
        <v>82</v>
      </c>
      <c r="P968" t="str">
        <f>"217071868                     "</f>
        <v xml:space="preserve">217071868                     </v>
      </c>
      <c r="Q968">
        <v>0</v>
      </c>
      <c r="R968">
        <v>0</v>
      </c>
      <c r="S968">
        <v>0</v>
      </c>
      <c r="T968">
        <v>0</v>
      </c>
      <c r="U968">
        <v>0</v>
      </c>
      <c r="V968">
        <v>0</v>
      </c>
      <c r="W968">
        <v>0</v>
      </c>
      <c r="X968">
        <v>0</v>
      </c>
      <c r="Y968">
        <v>0</v>
      </c>
      <c r="Z968">
        <v>0</v>
      </c>
      <c r="AA968">
        <v>0</v>
      </c>
      <c r="AB968">
        <v>0</v>
      </c>
      <c r="AC968">
        <v>0</v>
      </c>
      <c r="AD968">
        <v>0</v>
      </c>
      <c r="AE968">
        <v>0</v>
      </c>
      <c r="AF968">
        <v>0</v>
      </c>
      <c r="AG968">
        <v>0</v>
      </c>
      <c r="AH968">
        <v>0</v>
      </c>
      <c r="AI968">
        <v>0</v>
      </c>
      <c r="AJ968">
        <v>0</v>
      </c>
      <c r="AK968">
        <v>0</v>
      </c>
      <c r="AL968">
        <v>0</v>
      </c>
      <c r="AM968">
        <v>8.58</v>
      </c>
      <c r="AN968">
        <v>0</v>
      </c>
      <c r="AO968">
        <v>0</v>
      </c>
      <c r="AP968">
        <v>0</v>
      </c>
      <c r="AQ968">
        <v>0</v>
      </c>
      <c r="AR968">
        <v>0</v>
      </c>
      <c r="AS968">
        <v>0</v>
      </c>
      <c r="AT968">
        <v>0</v>
      </c>
      <c r="AU968">
        <v>0</v>
      </c>
      <c r="AV968">
        <v>0</v>
      </c>
      <c r="AW968">
        <v>0</v>
      </c>
      <c r="AX968">
        <v>0</v>
      </c>
      <c r="AY968">
        <v>0</v>
      </c>
      <c r="AZ968">
        <v>0</v>
      </c>
      <c r="BA968">
        <v>0</v>
      </c>
      <c r="BB968">
        <v>0</v>
      </c>
      <c r="BC968">
        <v>0</v>
      </c>
      <c r="BD968">
        <v>0</v>
      </c>
      <c r="BE968">
        <v>0</v>
      </c>
      <c r="BF968">
        <v>0</v>
      </c>
      <c r="BG968">
        <v>0</v>
      </c>
      <c r="BH968">
        <v>1</v>
      </c>
      <c r="BI968">
        <v>0.8</v>
      </c>
      <c r="BJ968">
        <v>1</v>
      </c>
      <c r="BK968">
        <v>1</v>
      </c>
      <c r="BL968" s="4">
        <v>50.45</v>
      </c>
      <c r="BM968" s="4">
        <v>7.57</v>
      </c>
      <c r="BN968" s="4">
        <v>58.02</v>
      </c>
      <c r="BO968" s="4">
        <v>58.02</v>
      </c>
      <c r="BQ968" t="s">
        <v>147</v>
      </c>
      <c r="BR968" t="s">
        <v>84</v>
      </c>
      <c r="BS968" s="3">
        <v>43809</v>
      </c>
      <c r="BT968" s="5">
        <v>0.31319444444444444</v>
      </c>
      <c r="BU968" t="s">
        <v>111</v>
      </c>
      <c r="BV968" t="s">
        <v>86</v>
      </c>
      <c r="BY968">
        <v>4772.9799999999996</v>
      </c>
      <c r="CA968" t="s">
        <v>112</v>
      </c>
      <c r="CC968" t="s">
        <v>91</v>
      </c>
      <c r="CD968">
        <v>7405</v>
      </c>
      <c r="CE968" t="s">
        <v>96</v>
      </c>
      <c r="CF968" s="3">
        <v>43810</v>
      </c>
      <c r="CI968">
        <v>1</v>
      </c>
      <c r="CJ968">
        <v>1</v>
      </c>
      <c r="CK968">
        <v>21</v>
      </c>
      <c r="CL968" t="s">
        <v>89</v>
      </c>
    </row>
    <row r="969" spans="1:90">
      <c r="A969" t="s">
        <v>72</v>
      </c>
      <c r="B969" t="s">
        <v>73</v>
      </c>
      <c r="C969" t="s">
        <v>74</v>
      </c>
      <c r="E969" t="str">
        <f>"FES1162727371"</f>
        <v>FES1162727371</v>
      </c>
      <c r="F969" s="3">
        <v>43808</v>
      </c>
      <c r="G969">
        <v>202006</v>
      </c>
      <c r="H969" t="s">
        <v>75</v>
      </c>
      <c r="I969" t="s">
        <v>76</v>
      </c>
      <c r="J969" t="s">
        <v>77</v>
      </c>
      <c r="K969" t="s">
        <v>78</v>
      </c>
      <c r="L969" t="s">
        <v>186</v>
      </c>
      <c r="M969" t="s">
        <v>187</v>
      </c>
      <c r="N969" t="s">
        <v>188</v>
      </c>
      <c r="O969" t="s">
        <v>82</v>
      </c>
      <c r="P969" t="str">
        <f>"2170710854                    "</f>
        <v xml:space="preserve">2170710854                    </v>
      </c>
      <c r="Q969">
        <v>0</v>
      </c>
      <c r="R969">
        <v>0</v>
      </c>
      <c r="S969">
        <v>0</v>
      </c>
      <c r="T969">
        <v>0</v>
      </c>
      <c r="U969">
        <v>0</v>
      </c>
      <c r="V969">
        <v>0</v>
      </c>
      <c r="W969">
        <v>0</v>
      </c>
      <c r="X969">
        <v>0</v>
      </c>
      <c r="Y969">
        <v>0</v>
      </c>
      <c r="Z969">
        <v>0</v>
      </c>
      <c r="AA969">
        <v>0</v>
      </c>
      <c r="AB969">
        <v>0</v>
      </c>
      <c r="AC969">
        <v>0</v>
      </c>
      <c r="AD969">
        <v>0</v>
      </c>
      <c r="AE969">
        <v>0</v>
      </c>
      <c r="AF969">
        <v>0</v>
      </c>
      <c r="AG969">
        <v>0</v>
      </c>
      <c r="AH969">
        <v>0</v>
      </c>
      <c r="AI969">
        <v>0</v>
      </c>
      <c r="AJ969">
        <v>0</v>
      </c>
      <c r="AK969">
        <v>0</v>
      </c>
      <c r="AL969">
        <v>0</v>
      </c>
      <c r="AM969">
        <v>16.63</v>
      </c>
      <c r="AN969">
        <v>0</v>
      </c>
      <c r="AO969">
        <v>0</v>
      </c>
      <c r="AP969">
        <v>0</v>
      </c>
      <c r="AQ969">
        <v>0</v>
      </c>
      <c r="AR969">
        <v>0</v>
      </c>
      <c r="AS969">
        <v>0</v>
      </c>
      <c r="AT969">
        <v>0</v>
      </c>
      <c r="AU969">
        <v>0</v>
      </c>
      <c r="AV969">
        <v>0</v>
      </c>
      <c r="AW969">
        <v>0</v>
      </c>
      <c r="AX969">
        <v>0</v>
      </c>
      <c r="AY969">
        <v>0</v>
      </c>
      <c r="AZ969">
        <v>0</v>
      </c>
      <c r="BA969">
        <v>0</v>
      </c>
      <c r="BB969">
        <v>0</v>
      </c>
      <c r="BC969">
        <v>0</v>
      </c>
      <c r="BD969">
        <v>0</v>
      </c>
      <c r="BE969">
        <v>0</v>
      </c>
      <c r="BF969">
        <v>0</v>
      </c>
      <c r="BG969">
        <v>0</v>
      </c>
      <c r="BH969">
        <v>1</v>
      </c>
      <c r="BI969">
        <v>2</v>
      </c>
      <c r="BJ969">
        <v>1.1000000000000001</v>
      </c>
      <c r="BK969">
        <v>2</v>
      </c>
      <c r="BL969" s="4">
        <v>97.75</v>
      </c>
      <c r="BM969" s="4">
        <v>14.66</v>
      </c>
      <c r="BN969" s="4">
        <v>112.41</v>
      </c>
      <c r="BO969" s="4">
        <v>112.41</v>
      </c>
      <c r="BQ969" t="s">
        <v>93</v>
      </c>
      <c r="BR969" t="s">
        <v>84</v>
      </c>
      <c r="BS969" s="3">
        <v>43810</v>
      </c>
      <c r="BT969" s="5">
        <v>0.3659722222222222</v>
      </c>
      <c r="BU969" t="s">
        <v>1501</v>
      </c>
      <c r="BV969" t="s">
        <v>86</v>
      </c>
      <c r="BY969">
        <v>5320</v>
      </c>
      <c r="CA969" t="s">
        <v>190</v>
      </c>
      <c r="CC969" t="s">
        <v>187</v>
      </c>
      <c r="CD969">
        <v>6849</v>
      </c>
      <c r="CE969" t="s">
        <v>96</v>
      </c>
      <c r="CF969" s="3">
        <v>43811</v>
      </c>
      <c r="CI969">
        <v>3</v>
      </c>
      <c r="CJ969">
        <v>2</v>
      </c>
      <c r="CK969">
        <v>23</v>
      </c>
      <c r="CL969" t="s">
        <v>89</v>
      </c>
    </row>
    <row r="970" spans="1:90">
      <c r="A970" t="s">
        <v>72</v>
      </c>
      <c r="B970" t="s">
        <v>73</v>
      </c>
      <c r="C970" t="s">
        <v>74</v>
      </c>
      <c r="E970" t="str">
        <f>"FES1162727429"</f>
        <v>FES1162727429</v>
      </c>
      <c r="F970" s="3">
        <v>43808</v>
      </c>
      <c r="G970">
        <v>202006</v>
      </c>
      <c r="H970" t="s">
        <v>75</v>
      </c>
      <c r="I970" t="s">
        <v>76</v>
      </c>
      <c r="J970" t="s">
        <v>77</v>
      </c>
      <c r="K970" t="s">
        <v>78</v>
      </c>
      <c r="L970" t="s">
        <v>201</v>
      </c>
      <c r="M970" t="s">
        <v>202</v>
      </c>
      <c r="N970" t="s">
        <v>203</v>
      </c>
      <c r="O970" t="s">
        <v>82</v>
      </c>
      <c r="P970" t="str">
        <f>"2170720918                    "</f>
        <v xml:space="preserve">2170720918                    </v>
      </c>
      <c r="Q970">
        <v>0</v>
      </c>
      <c r="R970">
        <v>0</v>
      </c>
      <c r="S970">
        <v>0</v>
      </c>
      <c r="T970">
        <v>0</v>
      </c>
      <c r="U970">
        <v>0</v>
      </c>
      <c r="V970">
        <v>0</v>
      </c>
      <c r="W970">
        <v>0</v>
      </c>
      <c r="X970">
        <v>0</v>
      </c>
      <c r="Y970">
        <v>0</v>
      </c>
      <c r="Z970">
        <v>0</v>
      </c>
      <c r="AA970">
        <v>0</v>
      </c>
      <c r="AB970">
        <v>0</v>
      </c>
      <c r="AC970">
        <v>0</v>
      </c>
      <c r="AD970">
        <v>0</v>
      </c>
      <c r="AE970">
        <v>0</v>
      </c>
      <c r="AF970">
        <v>0</v>
      </c>
      <c r="AG970">
        <v>0</v>
      </c>
      <c r="AH970">
        <v>0</v>
      </c>
      <c r="AI970">
        <v>0</v>
      </c>
      <c r="AJ970">
        <v>0</v>
      </c>
      <c r="AK970">
        <v>0</v>
      </c>
      <c r="AL970">
        <v>0</v>
      </c>
      <c r="AM970">
        <v>8.58</v>
      </c>
      <c r="AN970">
        <v>0</v>
      </c>
      <c r="AO970">
        <v>0</v>
      </c>
      <c r="AP970">
        <v>0</v>
      </c>
      <c r="AQ970">
        <v>0</v>
      </c>
      <c r="AR970">
        <v>0</v>
      </c>
      <c r="AS970">
        <v>0</v>
      </c>
      <c r="AT970">
        <v>0</v>
      </c>
      <c r="AU970">
        <v>0</v>
      </c>
      <c r="AV970">
        <v>0</v>
      </c>
      <c r="AW970">
        <v>0</v>
      </c>
      <c r="AX970">
        <v>0</v>
      </c>
      <c r="AY970">
        <v>0</v>
      </c>
      <c r="AZ970">
        <v>0</v>
      </c>
      <c r="BA970">
        <v>0</v>
      </c>
      <c r="BB970">
        <v>0</v>
      </c>
      <c r="BC970">
        <v>0</v>
      </c>
      <c r="BD970">
        <v>0</v>
      </c>
      <c r="BE970">
        <v>0</v>
      </c>
      <c r="BF970">
        <v>0</v>
      </c>
      <c r="BG970">
        <v>0</v>
      </c>
      <c r="BH970">
        <v>1</v>
      </c>
      <c r="BI970">
        <v>1</v>
      </c>
      <c r="BJ970">
        <v>0.2</v>
      </c>
      <c r="BK970">
        <v>1</v>
      </c>
      <c r="BL970" s="4">
        <v>50.45</v>
      </c>
      <c r="BM970" s="4">
        <v>7.57</v>
      </c>
      <c r="BN970" s="4">
        <v>58.02</v>
      </c>
      <c r="BO970" s="4">
        <v>58.02</v>
      </c>
      <c r="BQ970" t="s">
        <v>147</v>
      </c>
      <c r="BR970" t="s">
        <v>84</v>
      </c>
      <c r="BS970" s="3">
        <v>43809</v>
      </c>
      <c r="BT970" s="5">
        <v>0.32430555555555557</v>
      </c>
      <c r="BU970" t="s">
        <v>204</v>
      </c>
      <c r="BV970" t="s">
        <v>86</v>
      </c>
      <c r="BY970">
        <v>1200</v>
      </c>
      <c r="CA970" t="s">
        <v>205</v>
      </c>
      <c r="CC970" t="s">
        <v>202</v>
      </c>
      <c r="CD970">
        <v>3610</v>
      </c>
      <c r="CE970" t="s">
        <v>88</v>
      </c>
      <c r="CF970" s="3">
        <v>43809</v>
      </c>
      <c r="CI970">
        <v>1</v>
      </c>
      <c r="CJ970">
        <v>1</v>
      </c>
      <c r="CK970">
        <v>21</v>
      </c>
      <c r="CL970" t="s">
        <v>89</v>
      </c>
    </row>
    <row r="971" spans="1:90">
      <c r="A971" t="s">
        <v>72</v>
      </c>
      <c r="B971" t="s">
        <v>73</v>
      </c>
      <c r="C971" t="s">
        <v>74</v>
      </c>
      <c r="E971" t="str">
        <f>"FES1162727392"</f>
        <v>FES1162727392</v>
      </c>
      <c r="F971" s="3">
        <v>43808</v>
      </c>
      <c r="G971">
        <v>202006</v>
      </c>
      <c r="H971" t="s">
        <v>75</v>
      </c>
      <c r="I971" t="s">
        <v>76</v>
      </c>
      <c r="J971" t="s">
        <v>77</v>
      </c>
      <c r="K971" t="s">
        <v>78</v>
      </c>
      <c r="L971" t="s">
        <v>164</v>
      </c>
      <c r="M971" t="s">
        <v>165</v>
      </c>
      <c r="N971" t="s">
        <v>263</v>
      </c>
      <c r="O971" t="s">
        <v>82</v>
      </c>
      <c r="P971" t="str">
        <f>"2170720882                    "</f>
        <v xml:space="preserve">2170720882                    </v>
      </c>
      <c r="Q971">
        <v>0</v>
      </c>
      <c r="R971">
        <v>0</v>
      </c>
      <c r="S971">
        <v>0</v>
      </c>
      <c r="T971">
        <v>0</v>
      </c>
      <c r="U971">
        <v>0</v>
      </c>
      <c r="V971">
        <v>0</v>
      </c>
      <c r="W971">
        <v>0</v>
      </c>
      <c r="X971">
        <v>0</v>
      </c>
      <c r="Y971">
        <v>0</v>
      </c>
      <c r="Z971">
        <v>0</v>
      </c>
      <c r="AA971">
        <v>0</v>
      </c>
      <c r="AB971">
        <v>0</v>
      </c>
      <c r="AC971">
        <v>0</v>
      </c>
      <c r="AD971">
        <v>0</v>
      </c>
      <c r="AE971">
        <v>0</v>
      </c>
      <c r="AF971">
        <v>0</v>
      </c>
      <c r="AG971">
        <v>0</v>
      </c>
      <c r="AH971">
        <v>0</v>
      </c>
      <c r="AI971">
        <v>0</v>
      </c>
      <c r="AJ971">
        <v>0</v>
      </c>
      <c r="AK971">
        <v>0</v>
      </c>
      <c r="AL971">
        <v>0</v>
      </c>
      <c r="AM971">
        <v>34.31</v>
      </c>
      <c r="AN971">
        <v>0</v>
      </c>
      <c r="AO971">
        <v>0</v>
      </c>
      <c r="AP971">
        <v>0</v>
      </c>
      <c r="AQ971">
        <v>0</v>
      </c>
      <c r="AR971">
        <v>0</v>
      </c>
      <c r="AS971">
        <v>0</v>
      </c>
      <c r="AT971">
        <v>0</v>
      </c>
      <c r="AU971">
        <v>0</v>
      </c>
      <c r="AV971">
        <v>0</v>
      </c>
      <c r="AW971">
        <v>0</v>
      </c>
      <c r="AX971">
        <v>0</v>
      </c>
      <c r="AY971">
        <v>0</v>
      </c>
      <c r="AZ971">
        <v>0</v>
      </c>
      <c r="BA971">
        <v>0</v>
      </c>
      <c r="BB971">
        <v>0</v>
      </c>
      <c r="BC971">
        <v>0</v>
      </c>
      <c r="BD971">
        <v>0</v>
      </c>
      <c r="BE971">
        <v>0</v>
      </c>
      <c r="BF971">
        <v>0</v>
      </c>
      <c r="BG971">
        <v>0</v>
      </c>
      <c r="BH971">
        <v>1</v>
      </c>
      <c r="BI971">
        <v>8</v>
      </c>
      <c r="BJ971">
        <v>8</v>
      </c>
      <c r="BK971">
        <v>8</v>
      </c>
      <c r="BL971" s="4">
        <v>201.7</v>
      </c>
      <c r="BM971" s="4">
        <v>30.26</v>
      </c>
      <c r="BN971" s="4">
        <v>231.96</v>
      </c>
      <c r="BO971" s="4">
        <v>231.96</v>
      </c>
      <c r="BQ971" t="s">
        <v>147</v>
      </c>
      <c r="BR971" t="s">
        <v>84</v>
      </c>
      <c r="BS971" s="3">
        <v>43809</v>
      </c>
      <c r="BT971" s="5">
        <v>0.37777777777777777</v>
      </c>
      <c r="BU971" t="s">
        <v>1012</v>
      </c>
      <c r="BV971" t="s">
        <v>86</v>
      </c>
      <c r="BY971">
        <v>39967.279999999999</v>
      </c>
      <c r="CA971" t="s">
        <v>371</v>
      </c>
      <c r="CC971" t="s">
        <v>165</v>
      </c>
      <c r="CD971">
        <v>5201</v>
      </c>
      <c r="CE971" t="s">
        <v>96</v>
      </c>
      <c r="CF971" s="3">
        <v>43810</v>
      </c>
      <c r="CI971">
        <v>1</v>
      </c>
      <c r="CJ971">
        <v>1</v>
      </c>
      <c r="CK971">
        <v>21</v>
      </c>
      <c r="CL971" t="s">
        <v>89</v>
      </c>
    </row>
    <row r="972" spans="1:90">
      <c r="A972" t="s">
        <v>72</v>
      </c>
      <c r="B972" t="s">
        <v>73</v>
      </c>
      <c r="C972" t="s">
        <v>74</v>
      </c>
      <c r="E972" t="str">
        <f>"FES1162727343"</f>
        <v>FES1162727343</v>
      </c>
      <c r="F972" s="3">
        <v>43808</v>
      </c>
      <c r="G972">
        <v>202006</v>
      </c>
      <c r="H972" t="s">
        <v>75</v>
      </c>
      <c r="I972" t="s">
        <v>76</v>
      </c>
      <c r="J972" t="s">
        <v>77</v>
      </c>
      <c r="K972" t="s">
        <v>78</v>
      </c>
      <c r="L972" t="s">
        <v>164</v>
      </c>
      <c r="M972" t="s">
        <v>165</v>
      </c>
      <c r="N972" t="s">
        <v>658</v>
      </c>
      <c r="O972" t="s">
        <v>82</v>
      </c>
      <c r="P972" t="str">
        <f>"2170720126                    "</f>
        <v xml:space="preserve">2170720126                    </v>
      </c>
      <c r="Q972">
        <v>0</v>
      </c>
      <c r="R972">
        <v>0</v>
      </c>
      <c r="S972">
        <v>0</v>
      </c>
      <c r="T972">
        <v>0</v>
      </c>
      <c r="U972">
        <v>0</v>
      </c>
      <c r="V972">
        <v>0</v>
      </c>
      <c r="W972">
        <v>0</v>
      </c>
      <c r="X972">
        <v>0</v>
      </c>
      <c r="Y972">
        <v>0</v>
      </c>
      <c r="Z972">
        <v>0</v>
      </c>
      <c r="AA972">
        <v>0</v>
      </c>
      <c r="AB972">
        <v>0</v>
      </c>
      <c r="AC972">
        <v>0</v>
      </c>
      <c r="AD972">
        <v>0</v>
      </c>
      <c r="AE972">
        <v>0</v>
      </c>
      <c r="AF972">
        <v>0</v>
      </c>
      <c r="AG972">
        <v>0</v>
      </c>
      <c r="AH972">
        <v>0</v>
      </c>
      <c r="AI972">
        <v>0</v>
      </c>
      <c r="AJ972">
        <v>0</v>
      </c>
      <c r="AK972">
        <v>0</v>
      </c>
      <c r="AL972">
        <v>0</v>
      </c>
      <c r="AM972">
        <v>38.6</v>
      </c>
      <c r="AN972">
        <v>0</v>
      </c>
      <c r="AO972">
        <v>0</v>
      </c>
      <c r="AP972">
        <v>0</v>
      </c>
      <c r="AQ972">
        <v>0</v>
      </c>
      <c r="AR972">
        <v>0</v>
      </c>
      <c r="AS972">
        <v>0</v>
      </c>
      <c r="AT972">
        <v>0</v>
      </c>
      <c r="AU972">
        <v>0</v>
      </c>
      <c r="AV972">
        <v>0</v>
      </c>
      <c r="AW972">
        <v>0</v>
      </c>
      <c r="AX972">
        <v>0</v>
      </c>
      <c r="AY972">
        <v>0</v>
      </c>
      <c r="AZ972">
        <v>0</v>
      </c>
      <c r="BA972">
        <v>0</v>
      </c>
      <c r="BB972">
        <v>0</v>
      </c>
      <c r="BC972">
        <v>0</v>
      </c>
      <c r="BD972">
        <v>0</v>
      </c>
      <c r="BE972">
        <v>0</v>
      </c>
      <c r="BF972">
        <v>0</v>
      </c>
      <c r="BG972">
        <v>0</v>
      </c>
      <c r="BH972">
        <v>1</v>
      </c>
      <c r="BI972">
        <v>4.0999999999999996</v>
      </c>
      <c r="BJ972">
        <v>8.9</v>
      </c>
      <c r="BK972">
        <v>9</v>
      </c>
      <c r="BL972" s="4">
        <v>226.91</v>
      </c>
      <c r="BM972" s="4">
        <v>34.04</v>
      </c>
      <c r="BN972" s="4">
        <v>260.95</v>
      </c>
      <c r="BO972" s="4">
        <v>260.95</v>
      </c>
      <c r="BR972" t="s">
        <v>84</v>
      </c>
      <c r="BS972" s="3">
        <v>43809</v>
      </c>
      <c r="BT972" s="5">
        <v>0.41666666666666669</v>
      </c>
      <c r="BU972" t="s">
        <v>1502</v>
      </c>
      <c r="BV972" t="s">
        <v>86</v>
      </c>
      <c r="BY972">
        <v>44661.01</v>
      </c>
      <c r="CC972" t="s">
        <v>165</v>
      </c>
      <c r="CD972">
        <v>5200</v>
      </c>
      <c r="CE972" t="s">
        <v>96</v>
      </c>
      <c r="CF972" s="3">
        <v>43811</v>
      </c>
      <c r="CI972">
        <v>1</v>
      </c>
      <c r="CJ972">
        <v>1</v>
      </c>
      <c r="CK972">
        <v>21</v>
      </c>
      <c r="CL972" t="s">
        <v>89</v>
      </c>
    </row>
    <row r="973" spans="1:90">
      <c r="A973" t="s">
        <v>72</v>
      </c>
      <c r="B973" t="s">
        <v>73</v>
      </c>
      <c r="C973" t="s">
        <v>74</v>
      </c>
      <c r="E973" t="str">
        <f>"FES1162727398"</f>
        <v>FES1162727398</v>
      </c>
      <c r="F973" s="3">
        <v>43808</v>
      </c>
      <c r="G973">
        <v>202006</v>
      </c>
      <c r="H973" t="s">
        <v>75</v>
      </c>
      <c r="I973" t="s">
        <v>76</v>
      </c>
      <c r="J973" t="s">
        <v>77</v>
      </c>
      <c r="K973" t="s">
        <v>78</v>
      </c>
      <c r="L973" t="s">
        <v>79</v>
      </c>
      <c r="M973" t="s">
        <v>80</v>
      </c>
      <c r="N973" t="s">
        <v>834</v>
      </c>
      <c r="O973" t="s">
        <v>82</v>
      </c>
      <c r="P973" t="str">
        <f>"2170710890                    "</f>
        <v xml:space="preserve">2170710890                    </v>
      </c>
      <c r="Q973">
        <v>0</v>
      </c>
      <c r="R973">
        <v>0</v>
      </c>
      <c r="S973">
        <v>0</v>
      </c>
      <c r="T973">
        <v>0</v>
      </c>
      <c r="U973">
        <v>0</v>
      </c>
      <c r="V973">
        <v>0</v>
      </c>
      <c r="W973">
        <v>0</v>
      </c>
      <c r="X973">
        <v>0</v>
      </c>
      <c r="Y973">
        <v>0</v>
      </c>
      <c r="Z973">
        <v>0</v>
      </c>
      <c r="AA973">
        <v>0</v>
      </c>
      <c r="AB973">
        <v>0</v>
      </c>
      <c r="AC973">
        <v>0</v>
      </c>
      <c r="AD973">
        <v>0</v>
      </c>
      <c r="AE973">
        <v>0</v>
      </c>
      <c r="AF973">
        <v>0</v>
      </c>
      <c r="AG973">
        <v>0</v>
      </c>
      <c r="AH973">
        <v>0</v>
      </c>
      <c r="AI973">
        <v>0</v>
      </c>
      <c r="AJ973">
        <v>0</v>
      </c>
      <c r="AK973">
        <v>0</v>
      </c>
      <c r="AL973">
        <v>0</v>
      </c>
      <c r="AM973">
        <v>15.02</v>
      </c>
      <c r="AN973">
        <v>0</v>
      </c>
      <c r="AO973">
        <v>0</v>
      </c>
      <c r="AP973">
        <v>0</v>
      </c>
      <c r="AQ973">
        <v>0</v>
      </c>
      <c r="AR973">
        <v>0</v>
      </c>
      <c r="AS973">
        <v>0</v>
      </c>
      <c r="AT973">
        <v>0</v>
      </c>
      <c r="AU973">
        <v>0</v>
      </c>
      <c r="AV973">
        <v>0</v>
      </c>
      <c r="AW973">
        <v>0</v>
      </c>
      <c r="AX973">
        <v>0</v>
      </c>
      <c r="AY973">
        <v>0</v>
      </c>
      <c r="AZ973">
        <v>0</v>
      </c>
      <c r="BA973">
        <v>0</v>
      </c>
      <c r="BB973">
        <v>0</v>
      </c>
      <c r="BC973">
        <v>0</v>
      </c>
      <c r="BD973">
        <v>0</v>
      </c>
      <c r="BE973">
        <v>0</v>
      </c>
      <c r="BF973">
        <v>0</v>
      </c>
      <c r="BG973">
        <v>0</v>
      </c>
      <c r="BH973">
        <v>1</v>
      </c>
      <c r="BI973">
        <v>1.9</v>
      </c>
      <c r="BJ973">
        <v>3.4</v>
      </c>
      <c r="BK973">
        <v>3.5</v>
      </c>
      <c r="BL973" s="4">
        <v>88.27</v>
      </c>
      <c r="BM973" s="4">
        <v>13.24</v>
      </c>
      <c r="BN973" s="4">
        <v>101.51</v>
      </c>
      <c r="BO973" s="4">
        <v>101.51</v>
      </c>
      <c r="BQ973" t="s">
        <v>835</v>
      </c>
      <c r="BR973" t="s">
        <v>84</v>
      </c>
      <c r="BS973" s="3">
        <v>43809</v>
      </c>
      <c r="BT973" s="5">
        <v>0.33402777777777781</v>
      </c>
      <c r="BU973" t="s">
        <v>836</v>
      </c>
      <c r="BV973" t="s">
        <v>86</v>
      </c>
      <c r="BY973">
        <v>16867.87</v>
      </c>
      <c r="CA973" t="s">
        <v>185</v>
      </c>
      <c r="CC973" t="s">
        <v>80</v>
      </c>
      <c r="CD973">
        <v>6001</v>
      </c>
      <c r="CE973" t="s">
        <v>96</v>
      </c>
      <c r="CF973" s="3">
        <v>43810</v>
      </c>
      <c r="CI973">
        <v>1</v>
      </c>
      <c r="CJ973">
        <v>1</v>
      </c>
      <c r="CK973">
        <v>21</v>
      </c>
      <c r="CL973" t="s">
        <v>89</v>
      </c>
    </row>
    <row r="974" spans="1:90">
      <c r="A974" t="s">
        <v>72</v>
      </c>
      <c r="B974" t="s">
        <v>73</v>
      </c>
      <c r="C974" t="s">
        <v>74</v>
      </c>
      <c r="E974" t="str">
        <f>"FES1162727396"</f>
        <v>FES1162727396</v>
      </c>
      <c r="F974" s="3">
        <v>43808</v>
      </c>
      <c r="G974">
        <v>202006</v>
      </c>
      <c r="H974" t="s">
        <v>75</v>
      </c>
      <c r="I974" t="s">
        <v>76</v>
      </c>
      <c r="J974" t="s">
        <v>77</v>
      </c>
      <c r="K974" t="s">
        <v>78</v>
      </c>
      <c r="L974" t="s">
        <v>361</v>
      </c>
      <c r="M974" t="s">
        <v>362</v>
      </c>
      <c r="N974" t="s">
        <v>634</v>
      </c>
      <c r="O974" t="s">
        <v>82</v>
      </c>
      <c r="P974" t="str">
        <f>"217070889                     "</f>
        <v xml:space="preserve">217070889                     </v>
      </c>
      <c r="Q974">
        <v>0</v>
      </c>
      <c r="R974">
        <v>0</v>
      </c>
      <c r="S974">
        <v>0</v>
      </c>
      <c r="T974">
        <v>0</v>
      </c>
      <c r="U974">
        <v>0</v>
      </c>
      <c r="V974">
        <v>0</v>
      </c>
      <c r="W974">
        <v>0</v>
      </c>
      <c r="X974">
        <v>0</v>
      </c>
      <c r="Y974">
        <v>0</v>
      </c>
      <c r="Z974">
        <v>0</v>
      </c>
      <c r="AA974">
        <v>0</v>
      </c>
      <c r="AB974">
        <v>0</v>
      </c>
      <c r="AC974">
        <v>0</v>
      </c>
      <c r="AD974">
        <v>0</v>
      </c>
      <c r="AE974">
        <v>0</v>
      </c>
      <c r="AF974">
        <v>0</v>
      </c>
      <c r="AG974">
        <v>0</v>
      </c>
      <c r="AH974">
        <v>0</v>
      </c>
      <c r="AI974">
        <v>0</v>
      </c>
      <c r="AJ974">
        <v>0</v>
      </c>
      <c r="AK974">
        <v>0</v>
      </c>
      <c r="AL974">
        <v>0</v>
      </c>
      <c r="AM974">
        <v>23.59</v>
      </c>
      <c r="AN974">
        <v>0</v>
      </c>
      <c r="AO974">
        <v>0</v>
      </c>
      <c r="AP974">
        <v>0</v>
      </c>
      <c r="AQ974">
        <v>0</v>
      </c>
      <c r="AR974">
        <v>0</v>
      </c>
      <c r="AS974">
        <v>0</v>
      </c>
      <c r="AT974">
        <v>0</v>
      </c>
      <c r="AU974">
        <v>0</v>
      </c>
      <c r="AV974">
        <v>0</v>
      </c>
      <c r="AW974">
        <v>0</v>
      </c>
      <c r="AX974">
        <v>0</v>
      </c>
      <c r="AY974">
        <v>0</v>
      </c>
      <c r="AZ974">
        <v>0</v>
      </c>
      <c r="BA974">
        <v>0</v>
      </c>
      <c r="BB974">
        <v>0</v>
      </c>
      <c r="BC974">
        <v>0</v>
      </c>
      <c r="BD974">
        <v>0</v>
      </c>
      <c r="BE974">
        <v>0</v>
      </c>
      <c r="BF974">
        <v>0</v>
      </c>
      <c r="BG974">
        <v>0</v>
      </c>
      <c r="BH974">
        <v>1</v>
      </c>
      <c r="BI974">
        <v>2.6</v>
      </c>
      <c r="BJ974">
        <v>5.3</v>
      </c>
      <c r="BK974">
        <v>5.5</v>
      </c>
      <c r="BL974" s="4">
        <v>138.68</v>
      </c>
      <c r="BM974" s="4">
        <v>20.8</v>
      </c>
      <c r="BN974" s="4">
        <v>159.47999999999999</v>
      </c>
      <c r="BO974" s="4">
        <v>159.47999999999999</v>
      </c>
      <c r="BQ974" t="s">
        <v>147</v>
      </c>
      <c r="BR974" t="s">
        <v>84</v>
      </c>
      <c r="BS974" s="3">
        <v>43809</v>
      </c>
      <c r="BT974" s="5">
        <v>0.43194444444444446</v>
      </c>
      <c r="BU974" t="s">
        <v>1503</v>
      </c>
      <c r="BV974" t="s">
        <v>86</v>
      </c>
      <c r="BY974">
        <v>26497.73</v>
      </c>
      <c r="CA974" t="s">
        <v>185</v>
      </c>
      <c r="CC974" t="s">
        <v>362</v>
      </c>
      <c r="CD974">
        <v>6220</v>
      </c>
      <c r="CE974" t="s">
        <v>116</v>
      </c>
      <c r="CF974" s="3">
        <v>43810</v>
      </c>
      <c r="CI974">
        <v>1</v>
      </c>
      <c r="CJ974">
        <v>1</v>
      </c>
      <c r="CK974">
        <v>21</v>
      </c>
      <c r="CL974" t="s">
        <v>89</v>
      </c>
    </row>
    <row r="975" spans="1:90">
      <c r="A975" t="s">
        <v>72</v>
      </c>
      <c r="B975" t="s">
        <v>73</v>
      </c>
      <c r="C975" t="s">
        <v>74</v>
      </c>
      <c r="E975" t="str">
        <f>"FES1162727326"</f>
        <v>FES1162727326</v>
      </c>
      <c r="F975" s="3">
        <v>43808</v>
      </c>
      <c r="G975">
        <v>202006</v>
      </c>
      <c r="H975" t="s">
        <v>75</v>
      </c>
      <c r="I975" t="s">
        <v>76</v>
      </c>
      <c r="J975" t="s">
        <v>77</v>
      </c>
      <c r="K975" t="s">
        <v>78</v>
      </c>
      <c r="L975" t="s">
        <v>169</v>
      </c>
      <c r="M975" t="s">
        <v>170</v>
      </c>
      <c r="N975" t="s">
        <v>1504</v>
      </c>
      <c r="O975" t="s">
        <v>82</v>
      </c>
      <c r="P975" t="str">
        <f>"2170720805                    "</f>
        <v xml:space="preserve">2170720805                    </v>
      </c>
      <c r="Q975">
        <v>0</v>
      </c>
      <c r="R975">
        <v>0</v>
      </c>
      <c r="S975">
        <v>0</v>
      </c>
      <c r="T975">
        <v>0</v>
      </c>
      <c r="U975">
        <v>0</v>
      </c>
      <c r="V975">
        <v>0</v>
      </c>
      <c r="W975">
        <v>0</v>
      </c>
      <c r="X975">
        <v>0</v>
      </c>
      <c r="Y975">
        <v>0</v>
      </c>
      <c r="Z975">
        <v>0</v>
      </c>
      <c r="AA975">
        <v>0</v>
      </c>
      <c r="AB975">
        <v>0</v>
      </c>
      <c r="AC975">
        <v>0</v>
      </c>
      <c r="AD975">
        <v>0</v>
      </c>
      <c r="AE975">
        <v>0</v>
      </c>
      <c r="AF975">
        <v>0</v>
      </c>
      <c r="AG975">
        <v>0</v>
      </c>
      <c r="AH975">
        <v>0</v>
      </c>
      <c r="AI975">
        <v>0</v>
      </c>
      <c r="AJ975">
        <v>0</v>
      </c>
      <c r="AK975">
        <v>0</v>
      </c>
      <c r="AL975">
        <v>0</v>
      </c>
      <c r="AM975">
        <v>9.92</v>
      </c>
      <c r="AN975">
        <v>0</v>
      </c>
      <c r="AO975">
        <v>0</v>
      </c>
      <c r="AP975">
        <v>0</v>
      </c>
      <c r="AQ975">
        <v>0</v>
      </c>
      <c r="AR975">
        <v>0</v>
      </c>
      <c r="AS975">
        <v>0</v>
      </c>
      <c r="AT975">
        <v>0</v>
      </c>
      <c r="AU975">
        <v>0</v>
      </c>
      <c r="AV975">
        <v>0</v>
      </c>
      <c r="AW975">
        <v>0</v>
      </c>
      <c r="AX975">
        <v>0</v>
      </c>
      <c r="AY975">
        <v>0</v>
      </c>
      <c r="AZ975">
        <v>0</v>
      </c>
      <c r="BA975">
        <v>0</v>
      </c>
      <c r="BB975">
        <v>0</v>
      </c>
      <c r="BC975">
        <v>0</v>
      </c>
      <c r="BD975">
        <v>0</v>
      </c>
      <c r="BE975">
        <v>0</v>
      </c>
      <c r="BF975">
        <v>0</v>
      </c>
      <c r="BG975">
        <v>0</v>
      </c>
      <c r="BH975">
        <v>1</v>
      </c>
      <c r="BI975">
        <v>3.6</v>
      </c>
      <c r="BJ975">
        <v>0.2</v>
      </c>
      <c r="BK975">
        <v>4</v>
      </c>
      <c r="BL975" s="4">
        <v>58.31</v>
      </c>
      <c r="BM975" s="4">
        <v>8.75</v>
      </c>
      <c r="BN975" s="4">
        <v>67.06</v>
      </c>
      <c r="BO975" s="4">
        <v>67.06</v>
      </c>
      <c r="BQ975" t="s">
        <v>147</v>
      </c>
      <c r="BR975" t="s">
        <v>84</v>
      </c>
      <c r="BS975" s="3">
        <v>43809</v>
      </c>
      <c r="BT975" s="5">
        <v>0.27708333333333335</v>
      </c>
      <c r="BU975" t="s">
        <v>1505</v>
      </c>
      <c r="BV975" t="s">
        <v>86</v>
      </c>
      <c r="BY975">
        <v>1200</v>
      </c>
      <c r="CA975" t="s">
        <v>174</v>
      </c>
      <c r="CC975" t="s">
        <v>170</v>
      </c>
      <c r="CD975">
        <v>1459</v>
      </c>
      <c r="CE975" t="s">
        <v>88</v>
      </c>
      <c r="CI975">
        <v>1</v>
      </c>
      <c r="CJ975">
        <v>1</v>
      </c>
      <c r="CK975">
        <v>22</v>
      </c>
      <c r="CL975" t="s">
        <v>89</v>
      </c>
    </row>
    <row r="976" spans="1:90">
      <c r="A976" t="s">
        <v>72</v>
      </c>
      <c r="B976" t="s">
        <v>73</v>
      </c>
      <c r="C976" t="s">
        <v>74</v>
      </c>
      <c r="E976" t="str">
        <f>"FES1162727263"</f>
        <v>FES1162727263</v>
      </c>
      <c r="F976" s="3">
        <v>43808</v>
      </c>
      <c r="G976">
        <v>202006</v>
      </c>
      <c r="H976" t="s">
        <v>75</v>
      </c>
      <c r="I976" t="s">
        <v>76</v>
      </c>
      <c r="J976" t="s">
        <v>77</v>
      </c>
      <c r="K976" t="s">
        <v>78</v>
      </c>
      <c r="L976" t="s">
        <v>714</v>
      </c>
      <c r="M976" t="s">
        <v>715</v>
      </c>
      <c r="N976" t="s">
        <v>1506</v>
      </c>
      <c r="O976" t="s">
        <v>82</v>
      </c>
      <c r="P976" t="str">
        <f>"2170720754                    "</f>
        <v xml:space="preserve">2170720754                    </v>
      </c>
      <c r="Q976">
        <v>0</v>
      </c>
      <c r="R976">
        <v>0</v>
      </c>
      <c r="S976">
        <v>0</v>
      </c>
      <c r="T976">
        <v>0</v>
      </c>
      <c r="U976">
        <v>0</v>
      </c>
      <c r="V976">
        <v>0</v>
      </c>
      <c r="W976">
        <v>0</v>
      </c>
      <c r="X976">
        <v>0</v>
      </c>
      <c r="Y976">
        <v>0</v>
      </c>
      <c r="Z976">
        <v>0</v>
      </c>
      <c r="AA976">
        <v>0</v>
      </c>
      <c r="AB976">
        <v>0</v>
      </c>
      <c r="AC976">
        <v>0</v>
      </c>
      <c r="AD976">
        <v>0</v>
      </c>
      <c r="AE976">
        <v>0</v>
      </c>
      <c r="AF976">
        <v>0</v>
      </c>
      <c r="AG976">
        <v>0</v>
      </c>
      <c r="AH976">
        <v>0</v>
      </c>
      <c r="AI976">
        <v>0</v>
      </c>
      <c r="AJ976">
        <v>0</v>
      </c>
      <c r="AK976">
        <v>0</v>
      </c>
      <c r="AL976">
        <v>0</v>
      </c>
      <c r="AM976">
        <v>6.71</v>
      </c>
      <c r="AN976">
        <v>0</v>
      </c>
      <c r="AO976">
        <v>0</v>
      </c>
      <c r="AP976">
        <v>0</v>
      </c>
      <c r="AQ976">
        <v>0</v>
      </c>
      <c r="AR976">
        <v>0</v>
      </c>
      <c r="AS976">
        <v>0</v>
      </c>
      <c r="AT976">
        <v>0</v>
      </c>
      <c r="AU976">
        <v>0</v>
      </c>
      <c r="AV976">
        <v>0</v>
      </c>
      <c r="AW976">
        <v>0</v>
      </c>
      <c r="AX976">
        <v>0</v>
      </c>
      <c r="AY976">
        <v>0</v>
      </c>
      <c r="AZ976">
        <v>0</v>
      </c>
      <c r="BA976">
        <v>0</v>
      </c>
      <c r="BB976">
        <v>0</v>
      </c>
      <c r="BC976">
        <v>0</v>
      </c>
      <c r="BD976">
        <v>0</v>
      </c>
      <c r="BE976">
        <v>0</v>
      </c>
      <c r="BF976">
        <v>0</v>
      </c>
      <c r="BG976">
        <v>0</v>
      </c>
      <c r="BH976">
        <v>1</v>
      </c>
      <c r="BI976">
        <v>1</v>
      </c>
      <c r="BJ976">
        <v>0.2</v>
      </c>
      <c r="BK976">
        <v>1</v>
      </c>
      <c r="BL976" s="4">
        <v>39.42</v>
      </c>
      <c r="BM976" s="4">
        <v>5.91</v>
      </c>
      <c r="BN976" s="4">
        <v>45.33</v>
      </c>
      <c r="BO976" s="4">
        <v>45.33</v>
      </c>
      <c r="BQ976" t="s">
        <v>1507</v>
      </c>
      <c r="BR976" t="s">
        <v>84</v>
      </c>
      <c r="BS976" s="3">
        <v>43809</v>
      </c>
      <c r="BT976" s="5">
        <v>0.33333333333333331</v>
      </c>
      <c r="BU976" t="s">
        <v>1508</v>
      </c>
      <c r="BV976" t="s">
        <v>86</v>
      </c>
      <c r="BY976">
        <v>1200</v>
      </c>
      <c r="CA976" t="s">
        <v>1408</v>
      </c>
      <c r="CC976" t="s">
        <v>715</v>
      </c>
      <c r="CD976">
        <v>1559</v>
      </c>
      <c r="CE976" t="s">
        <v>88</v>
      </c>
      <c r="CF976" s="3">
        <v>43810</v>
      </c>
      <c r="CI976">
        <v>1</v>
      </c>
      <c r="CJ976">
        <v>1</v>
      </c>
      <c r="CK976">
        <v>22</v>
      </c>
      <c r="CL976" t="s">
        <v>89</v>
      </c>
    </row>
    <row r="977" spans="1:90">
      <c r="A977" t="s">
        <v>72</v>
      </c>
      <c r="B977" t="s">
        <v>73</v>
      </c>
      <c r="C977" t="s">
        <v>74</v>
      </c>
      <c r="E977" t="str">
        <f>"FES1162727272"</f>
        <v>FES1162727272</v>
      </c>
      <c r="F977" s="3">
        <v>43808</v>
      </c>
      <c r="G977">
        <v>202006</v>
      </c>
      <c r="H977" t="s">
        <v>75</v>
      </c>
      <c r="I977" t="s">
        <v>76</v>
      </c>
      <c r="J977" t="s">
        <v>77</v>
      </c>
      <c r="K977" t="s">
        <v>78</v>
      </c>
      <c r="L977" t="s">
        <v>117</v>
      </c>
      <c r="M977" t="s">
        <v>118</v>
      </c>
      <c r="N977" t="s">
        <v>255</v>
      </c>
      <c r="O977" t="s">
        <v>82</v>
      </c>
      <c r="P977" t="str">
        <f>"2170720765                    "</f>
        <v xml:space="preserve">2170720765                    </v>
      </c>
      <c r="Q977">
        <v>0</v>
      </c>
      <c r="R977">
        <v>0</v>
      </c>
      <c r="S977">
        <v>0</v>
      </c>
      <c r="T977">
        <v>0</v>
      </c>
      <c r="U977">
        <v>0</v>
      </c>
      <c r="V977">
        <v>0</v>
      </c>
      <c r="W977">
        <v>0</v>
      </c>
      <c r="X977">
        <v>0</v>
      </c>
      <c r="Y977">
        <v>0</v>
      </c>
      <c r="Z977">
        <v>0</v>
      </c>
      <c r="AA977">
        <v>0</v>
      </c>
      <c r="AB977">
        <v>0</v>
      </c>
      <c r="AC977">
        <v>0</v>
      </c>
      <c r="AD977">
        <v>0</v>
      </c>
      <c r="AE977">
        <v>0</v>
      </c>
      <c r="AF977">
        <v>0</v>
      </c>
      <c r="AG977">
        <v>0</v>
      </c>
      <c r="AH977">
        <v>0</v>
      </c>
      <c r="AI977">
        <v>0</v>
      </c>
      <c r="AJ977">
        <v>0</v>
      </c>
      <c r="AK977">
        <v>0</v>
      </c>
      <c r="AL977">
        <v>0</v>
      </c>
      <c r="AM977">
        <v>6.71</v>
      </c>
      <c r="AN977">
        <v>0</v>
      </c>
      <c r="AO977">
        <v>0</v>
      </c>
      <c r="AP977">
        <v>0</v>
      </c>
      <c r="AQ977">
        <v>0</v>
      </c>
      <c r="AR977">
        <v>0</v>
      </c>
      <c r="AS977">
        <v>0</v>
      </c>
      <c r="AT977">
        <v>0</v>
      </c>
      <c r="AU977">
        <v>0</v>
      </c>
      <c r="AV977">
        <v>0</v>
      </c>
      <c r="AW977">
        <v>0</v>
      </c>
      <c r="AX977">
        <v>0</v>
      </c>
      <c r="AY977">
        <v>0</v>
      </c>
      <c r="AZ977">
        <v>0</v>
      </c>
      <c r="BA977">
        <v>0</v>
      </c>
      <c r="BB977">
        <v>0</v>
      </c>
      <c r="BC977">
        <v>0</v>
      </c>
      <c r="BD977">
        <v>0</v>
      </c>
      <c r="BE977">
        <v>0</v>
      </c>
      <c r="BF977">
        <v>0</v>
      </c>
      <c r="BG977">
        <v>0</v>
      </c>
      <c r="BH977">
        <v>1</v>
      </c>
      <c r="BI977">
        <v>1.1000000000000001</v>
      </c>
      <c r="BJ977">
        <v>0.2</v>
      </c>
      <c r="BK977">
        <v>1.5</v>
      </c>
      <c r="BL977" s="4">
        <v>39.42</v>
      </c>
      <c r="BM977" s="4">
        <v>5.91</v>
      </c>
      <c r="BN977" s="4">
        <v>45.33</v>
      </c>
      <c r="BO977" s="4">
        <v>45.33</v>
      </c>
      <c r="BQ977" t="s">
        <v>256</v>
      </c>
      <c r="BR977" t="s">
        <v>84</v>
      </c>
      <c r="BS977" s="3">
        <v>43809</v>
      </c>
      <c r="BT977" s="5">
        <v>0.34861111111111115</v>
      </c>
      <c r="BU977" t="s">
        <v>1509</v>
      </c>
      <c r="BV977" t="s">
        <v>86</v>
      </c>
      <c r="BY977">
        <v>1200</v>
      </c>
      <c r="CA977" t="s">
        <v>1510</v>
      </c>
      <c r="CC977" t="s">
        <v>118</v>
      </c>
      <c r="CD977">
        <v>1540</v>
      </c>
      <c r="CE977" t="s">
        <v>88</v>
      </c>
      <c r="CF977" s="3">
        <v>43810</v>
      </c>
      <c r="CI977">
        <v>1</v>
      </c>
      <c r="CJ977">
        <v>1</v>
      </c>
      <c r="CK977">
        <v>22</v>
      </c>
      <c r="CL977" t="s">
        <v>89</v>
      </c>
    </row>
    <row r="978" spans="1:90">
      <c r="A978" t="s">
        <v>72</v>
      </c>
      <c r="B978" t="s">
        <v>73</v>
      </c>
      <c r="C978" t="s">
        <v>74</v>
      </c>
      <c r="E978" t="str">
        <f>"FES1162727407"</f>
        <v>FES1162727407</v>
      </c>
      <c r="F978" s="3">
        <v>43808</v>
      </c>
      <c r="G978">
        <v>202006</v>
      </c>
      <c r="H978" t="s">
        <v>75</v>
      </c>
      <c r="I978" t="s">
        <v>76</v>
      </c>
      <c r="J978" t="s">
        <v>77</v>
      </c>
      <c r="K978" t="s">
        <v>78</v>
      </c>
      <c r="L978" t="s">
        <v>151</v>
      </c>
      <c r="M978" t="s">
        <v>102</v>
      </c>
      <c r="N978" t="s">
        <v>1180</v>
      </c>
      <c r="O978" t="s">
        <v>82</v>
      </c>
      <c r="P978" t="str">
        <f>"2170720900                    "</f>
        <v xml:space="preserve">2170720900                    </v>
      </c>
      <c r="Q978">
        <v>0</v>
      </c>
      <c r="R978">
        <v>0</v>
      </c>
      <c r="S978">
        <v>0</v>
      </c>
      <c r="T978">
        <v>0</v>
      </c>
      <c r="U978">
        <v>0</v>
      </c>
      <c r="V978">
        <v>0</v>
      </c>
      <c r="W978">
        <v>0</v>
      </c>
      <c r="X978">
        <v>0</v>
      </c>
      <c r="Y978">
        <v>0</v>
      </c>
      <c r="Z978">
        <v>0</v>
      </c>
      <c r="AA978">
        <v>0</v>
      </c>
      <c r="AB978">
        <v>0</v>
      </c>
      <c r="AC978">
        <v>0</v>
      </c>
      <c r="AD978">
        <v>0</v>
      </c>
      <c r="AE978">
        <v>0</v>
      </c>
      <c r="AF978">
        <v>0</v>
      </c>
      <c r="AG978">
        <v>0</v>
      </c>
      <c r="AH978">
        <v>0</v>
      </c>
      <c r="AI978">
        <v>0</v>
      </c>
      <c r="AJ978">
        <v>0</v>
      </c>
      <c r="AK978">
        <v>0</v>
      </c>
      <c r="AL978">
        <v>0</v>
      </c>
      <c r="AM978">
        <v>8.58</v>
      </c>
      <c r="AN978">
        <v>0</v>
      </c>
      <c r="AO978">
        <v>0</v>
      </c>
      <c r="AP978">
        <v>0</v>
      </c>
      <c r="AQ978">
        <v>0</v>
      </c>
      <c r="AR978">
        <v>0</v>
      </c>
      <c r="AS978">
        <v>0</v>
      </c>
      <c r="AT978">
        <v>0</v>
      </c>
      <c r="AU978">
        <v>0</v>
      </c>
      <c r="AV978">
        <v>0</v>
      </c>
      <c r="AW978">
        <v>0</v>
      </c>
      <c r="AX978">
        <v>0</v>
      </c>
      <c r="AY978">
        <v>0</v>
      </c>
      <c r="AZ978">
        <v>0</v>
      </c>
      <c r="BA978">
        <v>0</v>
      </c>
      <c r="BB978">
        <v>0</v>
      </c>
      <c r="BC978">
        <v>0</v>
      </c>
      <c r="BD978">
        <v>0</v>
      </c>
      <c r="BE978">
        <v>0</v>
      </c>
      <c r="BF978">
        <v>0</v>
      </c>
      <c r="BG978">
        <v>0</v>
      </c>
      <c r="BH978">
        <v>1</v>
      </c>
      <c r="BI978">
        <v>1</v>
      </c>
      <c r="BJ978">
        <v>0.2</v>
      </c>
      <c r="BK978">
        <v>1</v>
      </c>
      <c r="BL978" s="4">
        <v>50.45</v>
      </c>
      <c r="BM978" s="4">
        <v>7.57</v>
      </c>
      <c r="BN978" s="4">
        <v>58.02</v>
      </c>
      <c r="BO978" s="4">
        <v>58.02</v>
      </c>
      <c r="BQ978" t="s">
        <v>1181</v>
      </c>
      <c r="BR978" t="s">
        <v>84</v>
      </c>
      <c r="BS978" s="3">
        <v>43809</v>
      </c>
      <c r="BT978" s="5">
        <v>0.3611111111111111</v>
      </c>
      <c r="BU978" t="s">
        <v>1179</v>
      </c>
      <c r="BV978" t="s">
        <v>86</v>
      </c>
      <c r="BY978">
        <v>1200</v>
      </c>
      <c r="CA978" t="s">
        <v>328</v>
      </c>
      <c r="CC978" t="s">
        <v>102</v>
      </c>
      <c r="CD978">
        <v>184</v>
      </c>
      <c r="CE978" t="s">
        <v>88</v>
      </c>
      <c r="CF978" s="3">
        <v>43810</v>
      </c>
      <c r="CI978">
        <v>1</v>
      </c>
      <c r="CJ978">
        <v>1</v>
      </c>
      <c r="CK978">
        <v>21</v>
      </c>
      <c r="CL978" t="s">
        <v>89</v>
      </c>
    </row>
    <row r="979" spans="1:90">
      <c r="A979" t="s">
        <v>72</v>
      </c>
      <c r="B979" t="s">
        <v>73</v>
      </c>
      <c r="C979" t="s">
        <v>74</v>
      </c>
      <c r="E979" t="str">
        <f>"FES2170720770"</f>
        <v>FES2170720770</v>
      </c>
      <c r="F979" s="3">
        <v>43808</v>
      </c>
      <c r="G979">
        <v>202006</v>
      </c>
      <c r="H979" t="s">
        <v>75</v>
      </c>
      <c r="I979" t="s">
        <v>76</v>
      </c>
      <c r="J979" t="s">
        <v>77</v>
      </c>
      <c r="K979" t="s">
        <v>78</v>
      </c>
      <c r="L979" t="s">
        <v>75</v>
      </c>
      <c r="M979" t="s">
        <v>76</v>
      </c>
      <c r="N979" t="s">
        <v>194</v>
      </c>
      <c r="O979" t="s">
        <v>82</v>
      </c>
      <c r="P979" t="str">
        <f>"2170720770                    "</f>
        <v xml:space="preserve">2170720770                    </v>
      </c>
      <c r="Q979">
        <v>0</v>
      </c>
      <c r="R979">
        <v>0</v>
      </c>
      <c r="S979">
        <v>0</v>
      </c>
      <c r="T979">
        <v>0</v>
      </c>
      <c r="U979">
        <v>0</v>
      </c>
      <c r="V979">
        <v>0</v>
      </c>
      <c r="W979">
        <v>0</v>
      </c>
      <c r="X979">
        <v>0</v>
      </c>
      <c r="Y979">
        <v>0</v>
      </c>
      <c r="Z979">
        <v>0</v>
      </c>
      <c r="AA979">
        <v>0</v>
      </c>
      <c r="AB979">
        <v>0</v>
      </c>
      <c r="AC979">
        <v>0</v>
      </c>
      <c r="AD979">
        <v>0</v>
      </c>
      <c r="AE979">
        <v>0</v>
      </c>
      <c r="AF979">
        <v>0</v>
      </c>
      <c r="AG979">
        <v>0</v>
      </c>
      <c r="AH979">
        <v>0</v>
      </c>
      <c r="AI979">
        <v>0</v>
      </c>
      <c r="AJ979">
        <v>0</v>
      </c>
      <c r="AK979">
        <v>0</v>
      </c>
      <c r="AL979">
        <v>0</v>
      </c>
      <c r="AM979">
        <v>6.71</v>
      </c>
      <c r="AN979">
        <v>0</v>
      </c>
      <c r="AO979">
        <v>0</v>
      </c>
      <c r="AP979">
        <v>0</v>
      </c>
      <c r="AQ979">
        <v>0</v>
      </c>
      <c r="AR979">
        <v>0</v>
      </c>
      <c r="AS979">
        <v>0</v>
      </c>
      <c r="AT979">
        <v>0</v>
      </c>
      <c r="AU979">
        <v>0</v>
      </c>
      <c r="AV979">
        <v>0</v>
      </c>
      <c r="AW979">
        <v>0</v>
      </c>
      <c r="AX979">
        <v>0</v>
      </c>
      <c r="AY979">
        <v>0</v>
      </c>
      <c r="AZ979">
        <v>0</v>
      </c>
      <c r="BA979">
        <v>0</v>
      </c>
      <c r="BB979">
        <v>0</v>
      </c>
      <c r="BC979">
        <v>0</v>
      </c>
      <c r="BD979">
        <v>0</v>
      </c>
      <c r="BE979">
        <v>0</v>
      </c>
      <c r="BF979">
        <v>0</v>
      </c>
      <c r="BG979">
        <v>0</v>
      </c>
      <c r="BH979">
        <v>1</v>
      </c>
      <c r="BI979">
        <v>1</v>
      </c>
      <c r="BJ979">
        <v>0.2</v>
      </c>
      <c r="BK979">
        <v>1</v>
      </c>
      <c r="BL979" s="4">
        <v>39.42</v>
      </c>
      <c r="BM979" s="4">
        <v>5.91</v>
      </c>
      <c r="BN979" s="4">
        <v>45.33</v>
      </c>
      <c r="BO979" s="4">
        <v>45.33</v>
      </c>
      <c r="BQ979" t="s">
        <v>195</v>
      </c>
      <c r="BR979" t="s">
        <v>84</v>
      </c>
      <c r="BS979" s="3">
        <v>43809</v>
      </c>
      <c r="BT979" s="5">
        <v>0.34375</v>
      </c>
      <c r="BU979" t="s">
        <v>587</v>
      </c>
      <c r="BV979" t="s">
        <v>86</v>
      </c>
      <c r="BY979">
        <v>1200</v>
      </c>
      <c r="CA979" t="s">
        <v>588</v>
      </c>
      <c r="CC979" t="s">
        <v>76</v>
      </c>
      <c r="CD979">
        <v>1600</v>
      </c>
      <c r="CE979" t="s">
        <v>88</v>
      </c>
      <c r="CI979">
        <v>1</v>
      </c>
      <c r="CJ979">
        <v>1</v>
      </c>
      <c r="CK979">
        <v>22</v>
      </c>
      <c r="CL979" t="s">
        <v>89</v>
      </c>
    </row>
    <row r="980" spans="1:90">
      <c r="A980" t="s">
        <v>72</v>
      </c>
      <c r="B980" t="s">
        <v>73</v>
      </c>
      <c r="C980" t="s">
        <v>74</v>
      </c>
      <c r="E980" t="str">
        <f>"FES1162727412"</f>
        <v>FES1162727412</v>
      </c>
      <c r="F980" s="3">
        <v>43808</v>
      </c>
      <c r="G980">
        <v>202006</v>
      </c>
      <c r="H980" t="s">
        <v>75</v>
      </c>
      <c r="I980" t="s">
        <v>76</v>
      </c>
      <c r="J980" t="s">
        <v>77</v>
      </c>
      <c r="K980" t="s">
        <v>78</v>
      </c>
      <c r="L980" t="s">
        <v>151</v>
      </c>
      <c r="M980" t="s">
        <v>102</v>
      </c>
      <c r="N980" t="s">
        <v>329</v>
      </c>
      <c r="O980" t="s">
        <v>82</v>
      </c>
      <c r="P980" t="str">
        <f>"2170720904                    "</f>
        <v xml:space="preserve">2170720904                    </v>
      </c>
      <c r="Q980">
        <v>0</v>
      </c>
      <c r="R980">
        <v>0</v>
      </c>
      <c r="S980">
        <v>0</v>
      </c>
      <c r="T980">
        <v>0</v>
      </c>
      <c r="U980">
        <v>0</v>
      </c>
      <c r="V980">
        <v>0</v>
      </c>
      <c r="W980">
        <v>0</v>
      </c>
      <c r="X980">
        <v>0</v>
      </c>
      <c r="Y980">
        <v>0</v>
      </c>
      <c r="Z980">
        <v>0</v>
      </c>
      <c r="AA980">
        <v>0</v>
      </c>
      <c r="AB980">
        <v>0</v>
      </c>
      <c r="AC980">
        <v>0</v>
      </c>
      <c r="AD980">
        <v>0</v>
      </c>
      <c r="AE980">
        <v>0</v>
      </c>
      <c r="AF980">
        <v>0</v>
      </c>
      <c r="AG980">
        <v>0</v>
      </c>
      <c r="AH980">
        <v>0</v>
      </c>
      <c r="AI980">
        <v>0</v>
      </c>
      <c r="AJ980">
        <v>0</v>
      </c>
      <c r="AK980">
        <v>0</v>
      </c>
      <c r="AL980">
        <v>0</v>
      </c>
      <c r="AM980">
        <v>8.58</v>
      </c>
      <c r="AN980">
        <v>0</v>
      </c>
      <c r="AO980">
        <v>0</v>
      </c>
      <c r="AP980">
        <v>0</v>
      </c>
      <c r="AQ980">
        <v>0</v>
      </c>
      <c r="AR980">
        <v>0</v>
      </c>
      <c r="AS980">
        <v>0</v>
      </c>
      <c r="AT980">
        <v>0</v>
      </c>
      <c r="AU980">
        <v>0</v>
      </c>
      <c r="AV980">
        <v>0</v>
      </c>
      <c r="AW980">
        <v>0</v>
      </c>
      <c r="AX980">
        <v>0</v>
      </c>
      <c r="AY980">
        <v>0</v>
      </c>
      <c r="AZ980">
        <v>0</v>
      </c>
      <c r="BA980">
        <v>0</v>
      </c>
      <c r="BB980">
        <v>0</v>
      </c>
      <c r="BC980">
        <v>0</v>
      </c>
      <c r="BD980">
        <v>0</v>
      </c>
      <c r="BE980">
        <v>0</v>
      </c>
      <c r="BF980">
        <v>0</v>
      </c>
      <c r="BG980">
        <v>0</v>
      </c>
      <c r="BH980">
        <v>1</v>
      </c>
      <c r="BI980">
        <v>1</v>
      </c>
      <c r="BJ980">
        <v>0.2</v>
      </c>
      <c r="BK980">
        <v>1</v>
      </c>
      <c r="BL980" s="4">
        <v>50.45</v>
      </c>
      <c r="BM980" s="4">
        <v>7.57</v>
      </c>
      <c r="BN980" s="4">
        <v>58.02</v>
      </c>
      <c r="BO980" s="4">
        <v>58.02</v>
      </c>
      <c r="BQ980" t="s">
        <v>147</v>
      </c>
      <c r="BR980" t="s">
        <v>84</v>
      </c>
      <c r="BS980" s="3">
        <v>43809</v>
      </c>
      <c r="BT980" s="5">
        <v>0.40277777777777773</v>
      </c>
      <c r="BU980" t="s">
        <v>1410</v>
      </c>
      <c r="BV980" t="s">
        <v>86</v>
      </c>
      <c r="BY980">
        <v>1200</v>
      </c>
      <c r="CA980" t="s">
        <v>163</v>
      </c>
      <c r="CC980" t="s">
        <v>102</v>
      </c>
      <c r="CD980">
        <v>200</v>
      </c>
      <c r="CE980" t="s">
        <v>88</v>
      </c>
      <c r="CI980">
        <v>1</v>
      </c>
      <c r="CJ980">
        <v>1</v>
      </c>
      <c r="CK980">
        <v>21</v>
      </c>
      <c r="CL980" t="s">
        <v>89</v>
      </c>
    </row>
    <row r="981" spans="1:90">
      <c r="A981" t="s">
        <v>72</v>
      </c>
      <c r="B981" t="s">
        <v>73</v>
      </c>
      <c r="C981" t="s">
        <v>74</v>
      </c>
      <c r="E981" t="str">
        <f>"FES1162727353"</f>
        <v>FES1162727353</v>
      </c>
      <c r="F981" s="3">
        <v>43808</v>
      </c>
      <c r="G981">
        <v>202006</v>
      </c>
      <c r="H981" t="s">
        <v>75</v>
      </c>
      <c r="I981" t="s">
        <v>76</v>
      </c>
      <c r="J981" t="s">
        <v>77</v>
      </c>
      <c r="K981" t="s">
        <v>78</v>
      </c>
      <c r="L981" t="s">
        <v>151</v>
      </c>
      <c r="M981" t="s">
        <v>102</v>
      </c>
      <c r="N981" t="s">
        <v>736</v>
      </c>
      <c r="O981" t="s">
        <v>82</v>
      </c>
      <c r="P981" t="str">
        <f>"2170720834                    "</f>
        <v xml:space="preserve">2170720834                    </v>
      </c>
      <c r="Q981">
        <v>0</v>
      </c>
      <c r="R981">
        <v>0</v>
      </c>
      <c r="S981">
        <v>0</v>
      </c>
      <c r="T981">
        <v>0</v>
      </c>
      <c r="U981">
        <v>0</v>
      </c>
      <c r="V981">
        <v>0</v>
      </c>
      <c r="W981">
        <v>0</v>
      </c>
      <c r="X981">
        <v>0</v>
      </c>
      <c r="Y981">
        <v>0</v>
      </c>
      <c r="Z981">
        <v>0</v>
      </c>
      <c r="AA981">
        <v>0</v>
      </c>
      <c r="AB981">
        <v>0</v>
      </c>
      <c r="AC981">
        <v>0</v>
      </c>
      <c r="AD981">
        <v>0</v>
      </c>
      <c r="AE981">
        <v>0</v>
      </c>
      <c r="AF981">
        <v>0</v>
      </c>
      <c r="AG981">
        <v>0</v>
      </c>
      <c r="AH981">
        <v>0</v>
      </c>
      <c r="AI981">
        <v>0</v>
      </c>
      <c r="AJ981">
        <v>0</v>
      </c>
      <c r="AK981">
        <v>0</v>
      </c>
      <c r="AL981">
        <v>0</v>
      </c>
      <c r="AM981">
        <v>8.58</v>
      </c>
      <c r="AN981">
        <v>0</v>
      </c>
      <c r="AO981">
        <v>0</v>
      </c>
      <c r="AP981">
        <v>0</v>
      </c>
      <c r="AQ981">
        <v>0</v>
      </c>
      <c r="AR981">
        <v>0</v>
      </c>
      <c r="AS981">
        <v>0</v>
      </c>
      <c r="AT981">
        <v>0</v>
      </c>
      <c r="AU981">
        <v>0</v>
      </c>
      <c r="AV981">
        <v>0</v>
      </c>
      <c r="AW981">
        <v>0</v>
      </c>
      <c r="AX981">
        <v>0</v>
      </c>
      <c r="AY981">
        <v>0</v>
      </c>
      <c r="AZ981">
        <v>0</v>
      </c>
      <c r="BA981">
        <v>0</v>
      </c>
      <c r="BB981">
        <v>0</v>
      </c>
      <c r="BC981">
        <v>0</v>
      </c>
      <c r="BD981">
        <v>0</v>
      </c>
      <c r="BE981">
        <v>0</v>
      </c>
      <c r="BF981">
        <v>0</v>
      </c>
      <c r="BG981">
        <v>0</v>
      </c>
      <c r="BH981">
        <v>1</v>
      </c>
      <c r="BI981">
        <v>1</v>
      </c>
      <c r="BJ981">
        <v>0.2</v>
      </c>
      <c r="BK981">
        <v>1</v>
      </c>
      <c r="BL981" s="4">
        <v>50.45</v>
      </c>
      <c r="BM981" s="4">
        <v>7.57</v>
      </c>
      <c r="BN981" s="4">
        <v>58.02</v>
      </c>
      <c r="BO981" s="4">
        <v>58.02</v>
      </c>
      <c r="BQ981" t="s">
        <v>135</v>
      </c>
      <c r="BR981" t="s">
        <v>84</v>
      </c>
      <c r="BS981" s="3">
        <v>43809</v>
      </c>
      <c r="BT981" s="5">
        <v>0.38194444444444442</v>
      </c>
      <c r="BU981" t="s">
        <v>1511</v>
      </c>
      <c r="BV981" t="s">
        <v>86</v>
      </c>
      <c r="BY981">
        <v>1200</v>
      </c>
      <c r="CA981" t="s">
        <v>163</v>
      </c>
      <c r="CC981" t="s">
        <v>102</v>
      </c>
      <c r="CD981">
        <v>200</v>
      </c>
      <c r="CE981" t="s">
        <v>88</v>
      </c>
      <c r="CF981" s="3">
        <v>43810</v>
      </c>
      <c r="CI981">
        <v>1</v>
      </c>
      <c r="CJ981">
        <v>1</v>
      </c>
      <c r="CK981">
        <v>21</v>
      </c>
      <c r="CL981" t="s">
        <v>89</v>
      </c>
    </row>
    <row r="982" spans="1:90">
      <c r="A982" t="s">
        <v>72</v>
      </c>
      <c r="B982" t="s">
        <v>73</v>
      </c>
      <c r="C982" t="s">
        <v>74</v>
      </c>
      <c r="E982" t="str">
        <f>"FES1162727393"</f>
        <v>FES1162727393</v>
      </c>
      <c r="F982" s="3">
        <v>43808</v>
      </c>
      <c r="G982">
        <v>202006</v>
      </c>
      <c r="H982" t="s">
        <v>75</v>
      </c>
      <c r="I982" t="s">
        <v>76</v>
      </c>
      <c r="J982" t="s">
        <v>77</v>
      </c>
      <c r="K982" t="s">
        <v>78</v>
      </c>
      <c r="L982" t="s">
        <v>90</v>
      </c>
      <c r="M982" t="s">
        <v>91</v>
      </c>
      <c r="N982" t="s">
        <v>207</v>
      </c>
      <c r="O982" t="s">
        <v>82</v>
      </c>
      <c r="P982" t="str">
        <f>"2170720884                    "</f>
        <v xml:space="preserve">2170720884                    </v>
      </c>
      <c r="Q982">
        <v>0</v>
      </c>
      <c r="R982">
        <v>0</v>
      </c>
      <c r="S982">
        <v>0</v>
      </c>
      <c r="T982">
        <v>0</v>
      </c>
      <c r="U982">
        <v>0</v>
      </c>
      <c r="V982">
        <v>0</v>
      </c>
      <c r="W982">
        <v>0</v>
      </c>
      <c r="X982">
        <v>0</v>
      </c>
      <c r="Y982">
        <v>0</v>
      </c>
      <c r="Z982">
        <v>0</v>
      </c>
      <c r="AA982">
        <v>0</v>
      </c>
      <c r="AB982">
        <v>0</v>
      </c>
      <c r="AC982">
        <v>0</v>
      </c>
      <c r="AD982">
        <v>0</v>
      </c>
      <c r="AE982">
        <v>0</v>
      </c>
      <c r="AF982">
        <v>0</v>
      </c>
      <c r="AG982">
        <v>0</v>
      </c>
      <c r="AH982">
        <v>0</v>
      </c>
      <c r="AI982">
        <v>0</v>
      </c>
      <c r="AJ982">
        <v>0</v>
      </c>
      <c r="AK982">
        <v>0</v>
      </c>
      <c r="AL982">
        <v>0</v>
      </c>
      <c r="AM982">
        <v>23.59</v>
      </c>
      <c r="AN982">
        <v>0</v>
      </c>
      <c r="AO982">
        <v>0</v>
      </c>
      <c r="AP982">
        <v>0</v>
      </c>
      <c r="AQ982">
        <v>0</v>
      </c>
      <c r="AR982">
        <v>0</v>
      </c>
      <c r="AS982">
        <v>0</v>
      </c>
      <c r="AT982">
        <v>0</v>
      </c>
      <c r="AU982">
        <v>0</v>
      </c>
      <c r="AV982">
        <v>0</v>
      </c>
      <c r="AW982">
        <v>0</v>
      </c>
      <c r="AX982">
        <v>0</v>
      </c>
      <c r="AY982">
        <v>0</v>
      </c>
      <c r="AZ982">
        <v>0</v>
      </c>
      <c r="BA982">
        <v>0</v>
      </c>
      <c r="BB982">
        <v>0</v>
      </c>
      <c r="BC982">
        <v>0</v>
      </c>
      <c r="BD982">
        <v>0</v>
      </c>
      <c r="BE982">
        <v>0</v>
      </c>
      <c r="BF982">
        <v>0</v>
      </c>
      <c r="BG982">
        <v>0</v>
      </c>
      <c r="BH982">
        <v>1</v>
      </c>
      <c r="BI982">
        <v>5.5</v>
      </c>
      <c r="BJ982">
        <v>3.1</v>
      </c>
      <c r="BK982">
        <v>5.5</v>
      </c>
      <c r="BL982" s="4">
        <v>138.68</v>
      </c>
      <c r="BM982" s="4">
        <v>20.8</v>
      </c>
      <c r="BN982" s="4">
        <v>159.47999999999999</v>
      </c>
      <c r="BO982" s="4">
        <v>159.47999999999999</v>
      </c>
      <c r="BQ982" t="s">
        <v>147</v>
      </c>
      <c r="BR982" t="s">
        <v>84</v>
      </c>
      <c r="BS982" s="3">
        <v>43809</v>
      </c>
      <c r="BT982" s="5">
        <v>0.35486111111111113</v>
      </c>
      <c r="BU982" t="s">
        <v>349</v>
      </c>
      <c r="BV982" t="s">
        <v>86</v>
      </c>
      <c r="BY982">
        <v>15472.08</v>
      </c>
      <c r="CA982" t="s">
        <v>209</v>
      </c>
      <c r="CC982" t="s">
        <v>91</v>
      </c>
      <c r="CD982">
        <v>7441</v>
      </c>
      <c r="CE982" t="s">
        <v>96</v>
      </c>
      <c r="CF982" s="3">
        <v>43810</v>
      </c>
      <c r="CI982">
        <v>1</v>
      </c>
      <c r="CJ982">
        <v>1</v>
      </c>
      <c r="CK982">
        <v>21</v>
      </c>
      <c r="CL982" t="s">
        <v>89</v>
      </c>
    </row>
    <row r="983" spans="1:90">
      <c r="A983" t="s">
        <v>72</v>
      </c>
      <c r="B983" t="s">
        <v>73</v>
      </c>
      <c r="C983" t="s">
        <v>74</v>
      </c>
      <c r="E983" t="str">
        <f>"FES1162727430"</f>
        <v>FES1162727430</v>
      </c>
      <c r="F983" s="3">
        <v>43808</v>
      </c>
      <c r="G983">
        <v>202006</v>
      </c>
      <c r="H983" t="s">
        <v>75</v>
      </c>
      <c r="I983" t="s">
        <v>76</v>
      </c>
      <c r="J983" t="s">
        <v>77</v>
      </c>
      <c r="K983" t="s">
        <v>78</v>
      </c>
      <c r="L983" t="s">
        <v>164</v>
      </c>
      <c r="M983" t="s">
        <v>165</v>
      </c>
      <c r="N983" t="s">
        <v>1282</v>
      </c>
      <c r="O983" t="s">
        <v>82</v>
      </c>
      <c r="P983" t="str">
        <f>"2170720919                    "</f>
        <v xml:space="preserve">2170720919                    </v>
      </c>
      <c r="Q983">
        <v>0</v>
      </c>
      <c r="R983">
        <v>0</v>
      </c>
      <c r="S983">
        <v>0</v>
      </c>
      <c r="T983">
        <v>0</v>
      </c>
      <c r="U983">
        <v>0</v>
      </c>
      <c r="V983">
        <v>0</v>
      </c>
      <c r="W983">
        <v>0</v>
      </c>
      <c r="X983">
        <v>0</v>
      </c>
      <c r="Y983">
        <v>0</v>
      </c>
      <c r="Z983">
        <v>0</v>
      </c>
      <c r="AA983">
        <v>0</v>
      </c>
      <c r="AB983">
        <v>0</v>
      </c>
      <c r="AC983">
        <v>0</v>
      </c>
      <c r="AD983">
        <v>0</v>
      </c>
      <c r="AE983">
        <v>0</v>
      </c>
      <c r="AF983">
        <v>0</v>
      </c>
      <c r="AG983">
        <v>0</v>
      </c>
      <c r="AH983">
        <v>0</v>
      </c>
      <c r="AI983">
        <v>0</v>
      </c>
      <c r="AJ983">
        <v>0</v>
      </c>
      <c r="AK983">
        <v>0</v>
      </c>
      <c r="AL983">
        <v>0</v>
      </c>
      <c r="AM983">
        <v>12.87</v>
      </c>
      <c r="AN983">
        <v>0</v>
      </c>
      <c r="AO983">
        <v>0</v>
      </c>
      <c r="AP983">
        <v>0</v>
      </c>
      <c r="AQ983">
        <v>0</v>
      </c>
      <c r="AR983">
        <v>0</v>
      </c>
      <c r="AS983">
        <v>0</v>
      </c>
      <c r="AT983">
        <v>0</v>
      </c>
      <c r="AU983">
        <v>0</v>
      </c>
      <c r="AV983">
        <v>0</v>
      </c>
      <c r="AW983">
        <v>0</v>
      </c>
      <c r="AX983">
        <v>0</v>
      </c>
      <c r="AY983">
        <v>0</v>
      </c>
      <c r="AZ983">
        <v>0</v>
      </c>
      <c r="BA983">
        <v>0</v>
      </c>
      <c r="BB983">
        <v>0</v>
      </c>
      <c r="BC983">
        <v>0</v>
      </c>
      <c r="BD983">
        <v>0</v>
      </c>
      <c r="BE983">
        <v>0</v>
      </c>
      <c r="BF983">
        <v>0</v>
      </c>
      <c r="BG983">
        <v>0</v>
      </c>
      <c r="BH983">
        <v>1</v>
      </c>
      <c r="BI983">
        <v>1.4</v>
      </c>
      <c r="BJ983">
        <v>2.9</v>
      </c>
      <c r="BK983">
        <v>3</v>
      </c>
      <c r="BL983" s="4">
        <v>75.66</v>
      </c>
      <c r="BM983" s="4">
        <v>11.35</v>
      </c>
      <c r="BN983" s="4">
        <v>87.01</v>
      </c>
      <c r="BO983" s="4">
        <v>87.01</v>
      </c>
      <c r="BQ983" t="s">
        <v>1283</v>
      </c>
      <c r="BR983" t="s">
        <v>84</v>
      </c>
      <c r="BS983" s="3">
        <v>43809</v>
      </c>
      <c r="BT983" s="5">
        <v>0.40277777777777773</v>
      </c>
      <c r="BU983" t="s">
        <v>1442</v>
      </c>
      <c r="BV983" t="s">
        <v>86</v>
      </c>
      <c r="BY983">
        <v>14346.64</v>
      </c>
      <c r="CA983" t="s">
        <v>371</v>
      </c>
      <c r="CC983" t="s">
        <v>165</v>
      </c>
      <c r="CD983">
        <v>5200</v>
      </c>
      <c r="CE983" t="s">
        <v>116</v>
      </c>
      <c r="CF983" s="3">
        <v>43810</v>
      </c>
      <c r="CI983">
        <v>1</v>
      </c>
      <c r="CJ983">
        <v>1</v>
      </c>
      <c r="CK983">
        <v>21</v>
      </c>
      <c r="CL983" t="s">
        <v>89</v>
      </c>
    </row>
    <row r="984" spans="1:90">
      <c r="A984" t="s">
        <v>72</v>
      </c>
      <c r="B984" t="s">
        <v>73</v>
      </c>
      <c r="C984" t="s">
        <v>74</v>
      </c>
      <c r="E984" t="str">
        <f>"FES1162727418"</f>
        <v>FES1162727418</v>
      </c>
      <c r="F984" s="3">
        <v>43808</v>
      </c>
      <c r="G984">
        <v>202006</v>
      </c>
      <c r="H984" t="s">
        <v>75</v>
      </c>
      <c r="I984" t="s">
        <v>76</v>
      </c>
      <c r="J984" t="s">
        <v>77</v>
      </c>
      <c r="K984" t="s">
        <v>78</v>
      </c>
      <c r="L984" t="s">
        <v>361</v>
      </c>
      <c r="M984" t="s">
        <v>362</v>
      </c>
      <c r="N984" t="s">
        <v>363</v>
      </c>
      <c r="O984" t="s">
        <v>82</v>
      </c>
      <c r="P984" t="str">
        <f>"2170710908                    "</f>
        <v xml:space="preserve">2170710908                    </v>
      </c>
      <c r="Q984">
        <v>0</v>
      </c>
      <c r="R984">
        <v>0</v>
      </c>
      <c r="S984">
        <v>0</v>
      </c>
      <c r="T984">
        <v>0</v>
      </c>
      <c r="U984">
        <v>0</v>
      </c>
      <c r="V984">
        <v>0</v>
      </c>
      <c r="W984">
        <v>0</v>
      </c>
      <c r="X984">
        <v>0</v>
      </c>
      <c r="Y984">
        <v>0</v>
      </c>
      <c r="Z984">
        <v>0</v>
      </c>
      <c r="AA984">
        <v>0</v>
      </c>
      <c r="AB984">
        <v>0</v>
      </c>
      <c r="AC984">
        <v>0</v>
      </c>
      <c r="AD984">
        <v>0</v>
      </c>
      <c r="AE984">
        <v>0</v>
      </c>
      <c r="AF984">
        <v>0</v>
      </c>
      <c r="AG984">
        <v>0</v>
      </c>
      <c r="AH984">
        <v>0</v>
      </c>
      <c r="AI984">
        <v>0</v>
      </c>
      <c r="AJ984">
        <v>0</v>
      </c>
      <c r="AK984">
        <v>0</v>
      </c>
      <c r="AL984">
        <v>0</v>
      </c>
      <c r="AM984">
        <v>79.349999999999994</v>
      </c>
      <c r="AN984">
        <v>0</v>
      </c>
      <c r="AO984">
        <v>0</v>
      </c>
      <c r="AP984">
        <v>0</v>
      </c>
      <c r="AQ984">
        <v>0</v>
      </c>
      <c r="AR984">
        <v>0</v>
      </c>
      <c r="AS984">
        <v>0</v>
      </c>
      <c r="AT984">
        <v>0</v>
      </c>
      <c r="AU984">
        <v>0</v>
      </c>
      <c r="AV984">
        <v>0</v>
      </c>
      <c r="AW984">
        <v>0</v>
      </c>
      <c r="AX984">
        <v>0</v>
      </c>
      <c r="AY984">
        <v>0</v>
      </c>
      <c r="AZ984">
        <v>0</v>
      </c>
      <c r="BA984">
        <v>0</v>
      </c>
      <c r="BB984">
        <v>0</v>
      </c>
      <c r="BC984">
        <v>0</v>
      </c>
      <c r="BD984">
        <v>0</v>
      </c>
      <c r="BE984">
        <v>0</v>
      </c>
      <c r="BF984">
        <v>0</v>
      </c>
      <c r="BG984">
        <v>0</v>
      </c>
      <c r="BH984">
        <v>1</v>
      </c>
      <c r="BI984">
        <v>12.1</v>
      </c>
      <c r="BJ984">
        <v>18.3</v>
      </c>
      <c r="BK984">
        <v>18.5</v>
      </c>
      <c r="BL984" s="4">
        <v>466.4</v>
      </c>
      <c r="BM984" s="4">
        <v>69.959999999999994</v>
      </c>
      <c r="BN984" s="4">
        <v>536.36</v>
      </c>
      <c r="BO984" s="4">
        <v>536.36</v>
      </c>
      <c r="BQ984" t="s">
        <v>93</v>
      </c>
      <c r="BR984" t="s">
        <v>84</v>
      </c>
      <c r="BS984" s="3">
        <v>43809</v>
      </c>
      <c r="BT984" s="5">
        <v>0.4291666666666667</v>
      </c>
      <c r="BU984" t="s">
        <v>364</v>
      </c>
      <c r="BV984" t="s">
        <v>86</v>
      </c>
      <c r="BY984">
        <v>91339.78</v>
      </c>
      <c r="CA984" t="s">
        <v>185</v>
      </c>
      <c r="CC984" t="s">
        <v>362</v>
      </c>
      <c r="CD984">
        <v>6220</v>
      </c>
      <c r="CE984" t="s">
        <v>96</v>
      </c>
      <c r="CF984" s="3">
        <v>43810</v>
      </c>
      <c r="CI984">
        <v>1</v>
      </c>
      <c r="CJ984">
        <v>1</v>
      </c>
      <c r="CK984">
        <v>21</v>
      </c>
      <c r="CL984" t="s">
        <v>89</v>
      </c>
    </row>
    <row r="985" spans="1:90">
      <c r="A985" t="s">
        <v>72</v>
      </c>
      <c r="B985" t="s">
        <v>73</v>
      </c>
      <c r="C985" t="s">
        <v>74</v>
      </c>
      <c r="E985" t="str">
        <f>"009935712112"</f>
        <v>009935712112</v>
      </c>
      <c r="F985" s="3">
        <v>43808</v>
      </c>
      <c r="G985">
        <v>202006</v>
      </c>
      <c r="H985" t="s">
        <v>75</v>
      </c>
      <c r="I985" t="s">
        <v>76</v>
      </c>
      <c r="J985" t="s">
        <v>77</v>
      </c>
      <c r="K985" t="s">
        <v>78</v>
      </c>
      <c r="L985" t="s">
        <v>169</v>
      </c>
      <c r="M985" t="s">
        <v>170</v>
      </c>
      <c r="N985" t="s">
        <v>248</v>
      </c>
      <c r="O985" t="s">
        <v>82</v>
      </c>
      <c r="P985" t="str">
        <f>"1162724660                    "</f>
        <v xml:space="preserve">1162724660                    </v>
      </c>
      <c r="Q985">
        <v>0</v>
      </c>
      <c r="R985">
        <v>0</v>
      </c>
      <c r="S985">
        <v>0</v>
      </c>
      <c r="T985">
        <v>0</v>
      </c>
      <c r="U985">
        <v>0</v>
      </c>
      <c r="V985">
        <v>0</v>
      </c>
      <c r="W985">
        <v>0</v>
      </c>
      <c r="X985">
        <v>0</v>
      </c>
      <c r="Y985">
        <v>0</v>
      </c>
      <c r="Z985">
        <v>0</v>
      </c>
      <c r="AA985">
        <v>0</v>
      </c>
      <c r="AB985">
        <v>0</v>
      </c>
      <c r="AC985">
        <v>0</v>
      </c>
      <c r="AD985">
        <v>0</v>
      </c>
      <c r="AE985">
        <v>0</v>
      </c>
      <c r="AF985">
        <v>0</v>
      </c>
      <c r="AG985">
        <v>0</v>
      </c>
      <c r="AH985">
        <v>0</v>
      </c>
      <c r="AI985">
        <v>0</v>
      </c>
      <c r="AJ985">
        <v>0</v>
      </c>
      <c r="AK985">
        <v>0</v>
      </c>
      <c r="AL985">
        <v>0</v>
      </c>
      <c r="AM985">
        <v>8.31</v>
      </c>
      <c r="AN985">
        <v>0</v>
      </c>
      <c r="AO985">
        <v>0</v>
      </c>
      <c r="AP985">
        <v>0</v>
      </c>
      <c r="AQ985">
        <v>0</v>
      </c>
      <c r="AR985">
        <v>0</v>
      </c>
      <c r="AS985">
        <v>0</v>
      </c>
      <c r="AT985">
        <v>0</v>
      </c>
      <c r="AU985">
        <v>0</v>
      </c>
      <c r="AV985">
        <v>0</v>
      </c>
      <c r="AW985">
        <v>0</v>
      </c>
      <c r="AX985">
        <v>0</v>
      </c>
      <c r="AY985">
        <v>0</v>
      </c>
      <c r="AZ985">
        <v>0</v>
      </c>
      <c r="BA985">
        <v>0</v>
      </c>
      <c r="BB985">
        <v>0</v>
      </c>
      <c r="BC985">
        <v>0</v>
      </c>
      <c r="BD985">
        <v>0</v>
      </c>
      <c r="BE985">
        <v>0</v>
      </c>
      <c r="BF985">
        <v>0</v>
      </c>
      <c r="BG985">
        <v>0</v>
      </c>
      <c r="BH985">
        <v>1</v>
      </c>
      <c r="BI985">
        <v>2.2000000000000002</v>
      </c>
      <c r="BJ985">
        <v>2.6</v>
      </c>
      <c r="BK985">
        <v>3</v>
      </c>
      <c r="BL985" s="4">
        <v>48.86</v>
      </c>
      <c r="BM985" s="4">
        <v>7.33</v>
      </c>
      <c r="BN985" s="4">
        <v>56.19</v>
      </c>
      <c r="BO985" s="4">
        <v>56.19</v>
      </c>
      <c r="BP985" t="s">
        <v>1242</v>
      </c>
      <c r="BQ985" t="s">
        <v>147</v>
      </c>
      <c r="BR985" t="s">
        <v>84</v>
      </c>
      <c r="BS985" s="3">
        <v>43809</v>
      </c>
      <c r="BT985" s="5">
        <v>0.4375</v>
      </c>
      <c r="BU985" t="s">
        <v>1512</v>
      </c>
      <c r="BV985" t="s">
        <v>86</v>
      </c>
      <c r="BY985">
        <v>12837.51</v>
      </c>
      <c r="CC985" t="s">
        <v>170</v>
      </c>
      <c r="CD985">
        <v>1459</v>
      </c>
      <c r="CE985" t="s">
        <v>116</v>
      </c>
      <c r="CI985">
        <v>1</v>
      </c>
      <c r="CJ985">
        <v>1</v>
      </c>
      <c r="CK985">
        <v>22</v>
      </c>
      <c r="CL985" t="s">
        <v>89</v>
      </c>
    </row>
    <row r="986" spans="1:90">
      <c r="A986" t="s">
        <v>72</v>
      </c>
      <c r="B986" t="s">
        <v>73</v>
      </c>
      <c r="C986" t="s">
        <v>74</v>
      </c>
      <c r="E986" t="str">
        <f>"FES1162727352"</f>
        <v>FES1162727352</v>
      </c>
      <c r="F986" s="3">
        <v>43808</v>
      </c>
      <c r="G986">
        <v>202006</v>
      </c>
      <c r="H986" t="s">
        <v>75</v>
      </c>
      <c r="I986" t="s">
        <v>76</v>
      </c>
      <c r="J986" t="s">
        <v>77</v>
      </c>
      <c r="K986" t="s">
        <v>78</v>
      </c>
      <c r="L986" t="s">
        <v>75</v>
      </c>
      <c r="M986" t="s">
        <v>76</v>
      </c>
      <c r="N986" t="s">
        <v>1513</v>
      </c>
      <c r="O986" t="s">
        <v>82</v>
      </c>
      <c r="P986" t="str">
        <f>"21707420832                   "</f>
        <v xml:space="preserve">21707420832                   </v>
      </c>
      <c r="Q986">
        <v>0</v>
      </c>
      <c r="R986">
        <v>0</v>
      </c>
      <c r="S986">
        <v>0</v>
      </c>
      <c r="T986">
        <v>0</v>
      </c>
      <c r="U986">
        <v>0</v>
      </c>
      <c r="V986">
        <v>0</v>
      </c>
      <c r="W986">
        <v>0</v>
      </c>
      <c r="X986">
        <v>0</v>
      </c>
      <c r="Y986">
        <v>0</v>
      </c>
      <c r="Z986">
        <v>0</v>
      </c>
      <c r="AA986">
        <v>0</v>
      </c>
      <c r="AB986">
        <v>0</v>
      </c>
      <c r="AC986">
        <v>0</v>
      </c>
      <c r="AD986">
        <v>0</v>
      </c>
      <c r="AE986">
        <v>0</v>
      </c>
      <c r="AF986">
        <v>0</v>
      </c>
      <c r="AG986">
        <v>0</v>
      </c>
      <c r="AH986">
        <v>0</v>
      </c>
      <c r="AI986">
        <v>0</v>
      </c>
      <c r="AJ986">
        <v>0</v>
      </c>
      <c r="AK986">
        <v>0</v>
      </c>
      <c r="AL986">
        <v>0</v>
      </c>
      <c r="AM986">
        <v>10.72</v>
      </c>
      <c r="AN986">
        <v>0</v>
      </c>
      <c r="AO986">
        <v>0</v>
      </c>
      <c r="AP986">
        <v>0</v>
      </c>
      <c r="AQ986">
        <v>0</v>
      </c>
      <c r="AR986">
        <v>0</v>
      </c>
      <c r="AS986">
        <v>0</v>
      </c>
      <c r="AT986">
        <v>0</v>
      </c>
      <c r="AU986">
        <v>0</v>
      </c>
      <c r="AV986">
        <v>0</v>
      </c>
      <c r="AW986">
        <v>0</v>
      </c>
      <c r="AX986">
        <v>0</v>
      </c>
      <c r="AY986">
        <v>0</v>
      </c>
      <c r="AZ986">
        <v>0</v>
      </c>
      <c r="BA986">
        <v>0</v>
      </c>
      <c r="BB986">
        <v>0</v>
      </c>
      <c r="BC986">
        <v>0</v>
      </c>
      <c r="BD986">
        <v>0</v>
      </c>
      <c r="BE986">
        <v>0</v>
      </c>
      <c r="BF986">
        <v>0</v>
      </c>
      <c r="BG986">
        <v>0</v>
      </c>
      <c r="BH986">
        <v>1</v>
      </c>
      <c r="BI986">
        <v>4.0999999999999996</v>
      </c>
      <c r="BJ986">
        <v>1.2</v>
      </c>
      <c r="BK986">
        <v>4.5</v>
      </c>
      <c r="BL986" s="4">
        <v>63.03</v>
      </c>
      <c r="BM986" s="4">
        <v>9.4499999999999993</v>
      </c>
      <c r="BN986" s="4">
        <v>72.48</v>
      </c>
      <c r="BO986" s="4">
        <v>72.48</v>
      </c>
      <c r="BQ986" t="s">
        <v>147</v>
      </c>
      <c r="BR986" t="s">
        <v>84</v>
      </c>
      <c r="BS986" s="3">
        <v>43809</v>
      </c>
      <c r="BT986" s="5">
        <v>0.32361111111111113</v>
      </c>
      <c r="BU986" t="s">
        <v>1514</v>
      </c>
      <c r="BV986" t="s">
        <v>86</v>
      </c>
      <c r="BY986">
        <v>5976.79</v>
      </c>
      <c r="CA986" t="s">
        <v>155</v>
      </c>
      <c r="CC986" t="s">
        <v>76</v>
      </c>
      <c r="CD986">
        <v>1600</v>
      </c>
      <c r="CE986" t="s">
        <v>96</v>
      </c>
      <c r="CF986" s="3">
        <v>43810</v>
      </c>
      <c r="CI986">
        <v>1</v>
      </c>
      <c r="CJ986">
        <v>1</v>
      </c>
      <c r="CK986">
        <v>22</v>
      </c>
      <c r="CL986" t="s">
        <v>89</v>
      </c>
    </row>
    <row r="987" spans="1:90">
      <c r="A987" t="s">
        <v>72</v>
      </c>
      <c r="B987" t="s">
        <v>73</v>
      </c>
      <c r="C987" t="s">
        <v>74</v>
      </c>
      <c r="E987" t="str">
        <f>"FES1162727423"</f>
        <v>FES1162727423</v>
      </c>
      <c r="F987" s="3">
        <v>43808</v>
      </c>
      <c r="G987">
        <v>202006</v>
      </c>
      <c r="H987" t="s">
        <v>75</v>
      </c>
      <c r="I987" t="s">
        <v>76</v>
      </c>
      <c r="J987" t="s">
        <v>77</v>
      </c>
      <c r="K987" t="s">
        <v>78</v>
      </c>
      <c r="L987" t="s">
        <v>75</v>
      </c>
      <c r="M987" t="s">
        <v>76</v>
      </c>
      <c r="N987" t="s">
        <v>1320</v>
      </c>
      <c r="O987" t="s">
        <v>82</v>
      </c>
      <c r="P987" t="str">
        <f>"21707109481                   "</f>
        <v xml:space="preserve">21707109481                   </v>
      </c>
      <c r="Q987">
        <v>0</v>
      </c>
      <c r="R987">
        <v>0</v>
      </c>
      <c r="S987">
        <v>0</v>
      </c>
      <c r="T987">
        <v>0</v>
      </c>
      <c r="U987">
        <v>0</v>
      </c>
      <c r="V987">
        <v>0</v>
      </c>
      <c r="W987">
        <v>0</v>
      </c>
      <c r="X987">
        <v>0</v>
      </c>
      <c r="Y987">
        <v>0</v>
      </c>
      <c r="Z987">
        <v>0</v>
      </c>
      <c r="AA987">
        <v>0</v>
      </c>
      <c r="AB987">
        <v>0</v>
      </c>
      <c r="AC987">
        <v>0</v>
      </c>
      <c r="AD987">
        <v>0</v>
      </c>
      <c r="AE987">
        <v>0</v>
      </c>
      <c r="AF987">
        <v>0</v>
      </c>
      <c r="AG987">
        <v>0</v>
      </c>
      <c r="AH987">
        <v>0</v>
      </c>
      <c r="AI987">
        <v>0</v>
      </c>
      <c r="AJ987">
        <v>0</v>
      </c>
      <c r="AK987">
        <v>0</v>
      </c>
      <c r="AL987">
        <v>0</v>
      </c>
      <c r="AM987">
        <v>12.33</v>
      </c>
      <c r="AN987">
        <v>0</v>
      </c>
      <c r="AO987">
        <v>0</v>
      </c>
      <c r="AP987">
        <v>0</v>
      </c>
      <c r="AQ987">
        <v>0</v>
      </c>
      <c r="AR987">
        <v>0</v>
      </c>
      <c r="AS987">
        <v>0</v>
      </c>
      <c r="AT987">
        <v>0</v>
      </c>
      <c r="AU987">
        <v>0</v>
      </c>
      <c r="AV987">
        <v>0</v>
      </c>
      <c r="AW987">
        <v>0</v>
      </c>
      <c r="AX987">
        <v>0</v>
      </c>
      <c r="AY987">
        <v>0</v>
      </c>
      <c r="AZ987">
        <v>0</v>
      </c>
      <c r="BA987">
        <v>0</v>
      </c>
      <c r="BB987">
        <v>0</v>
      </c>
      <c r="BC987">
        <v>0</v>
      </c>
      <c r="BD987">
        <v>0</v>
      </c>
      <c r="BE987">
        <v>0</v>
      </c>
      <c r="BF987">
        <v>0</v>
      </c>
      <c r="BG987">
        <v>0</v>
      </c>
      <c r="BH987">
        <v>1</v>
      </c>
      <c r="BI987">
        <v>4.8</v>
      </c>
      <c r="BJ987">
        <v>5.2</v>
      </c>
      <c r="BK987">
        <v>5.5</v>
      </c>
      <c r="BL987" s="4">
        <v>72.48</v>
      </c>
      <c r="BM987" s="4">
        <v>10.87</v>
      </c>
      <c r="BN987" s="4">
        <v>83.35</v>
      </c>
      <c r="BO987" s="4">
        <v>83.35</v>
      </c>
      <c r="BQ987" t="s">
        <v>147</v>
      </c>
      <c r="BR987" t="s">
        <v>84</v>
      </c>
      <c r="BS987" s="3">
        <v>43809</v>
      </c>
      <c r="BT987" s="5">
        <v>0.36458333333333331</v>
      </c>
      <c r="BU987" t="s">
        <v>1515</v>
      </c>
      <c r="BV987" t="s">
        <v>86</v>
      </c>
      <c r="BY987">
        <v>25815.69</v>
      </c>
      <c r="CA987" t="s">
        <v>588</v>
      </c>
      <c r="CC987" t="s">
        <v>76</v>
      </c>
      <c r="CD987">
        <v>1600</v>
      </c>
      <c r="CE987" t="s">
        <v>116</v>
      </c>
      <c r="CF987" s="3">
        <v>43810</v>
      </c>
      <c r="CI987">
        <v>1</v>
      </c>
      <c r="CJ987">
        <v>1</v>
      </c>
      <c r="CK987">
        <v>22</v>
      </c>
      <c r="CL987" t="s">
        <v>89</v>
      </c>
    </row>
    <row r="988" spans="1:90">
      <c r="A988" t="s">
        <v>72</v>
      </c>
      <c r="B988" t="s">
        <v>73</v>
      </c>
      <c r="C988" t="s">
        <v>74</v>
      </c>
      <c r="E988" t="str">
        <f>"FES1162727380"</f>
        <v>FES1162727380</v>
      </c>
      <c r="F988" s="3">
        <v>43808</v>
      </c>
      <c r="G988">
        <v>202006</v>
      </c>
      <c r="H988" t="s">
        <v>75</v>
      </c>
      <c r="I988" t="s">
        <v>76</v>
      </c>
      <c r="J988" t="s">
        <v>77</v>
      </c>
      <c r="K988" t="s">
        <v>78</v>
      </c>
      <c r="L988" t="s">
        <v>332</v>
      </c>
      <c r="M988" t="s">
        <v>333</v>
      </c>
      <c r="N988" t="s">
        <v>701</v>
      </c>
      <c r="O988" t="s">
        <v>82</v>
      </c>
      <c r="P988" t="str">
        <f>"21707108765                   "</f>
        <v xml:space="preserve">21707108765                   </v>
      </c>
      <c r="Q988">
        <v>0</v>
      </c>
      <c r="R988">
        <v>0</v>
      </c>
      <c r="S988">
        <v>0</v>
      </c>
      <c r="T988">
        <v>0</v>
      </c>
      <c r="U988">
        <v>0</v>
      </c>
      <c r="V988">
        <v>0</v>
      </c>
      <c r="W988">
        <v>0</v>
      </c>
      <c r="X988">
        <v>0</v>
      </c>
      <c r="Y988">
        <v>0</v>
      </c>
      <c r="Z988">
        <v>0</v>
      </c>
      <c r="AA988">
        <v>0</v>
      </c>
      <c r="AB988">
        <v>0</v>
      </c>
      <c r="AC988">
        <v>0</v>
      </c>
      <c r="AD988">
        <v>0</v>
      </c>
      <c r="AE988">
        <v>0</v>
      </c>
      <c r="AF988">
        <v>0</v>
      </c>
      <c r="AG988">
        <v>0</v>
      </c>
      <c r="AH988">
        <v>0</v>
      </c>
      <c r="AI988">
        <v>0</v>
      </c>
      <c r="AJ988">
        <v>0</v>
      </c>
      <c r="AK988">
        <v>0</v>
      </c>
      <c r="AL988">
        <v>0</v>
      </c>
      <c r="AM988">
        <v>6.71</v>
      </c>
      <c r="AN988">
        <v>0</v>
      </c>
      <c r="AO988">
        <v>0</v>
      </c>
      <c r="AP988">
        <v>0</v>
      </c>
      <c r="AQ988">
        <v>0</v>
      </c>
      <c r="AR988">
        <v>0</v>
      </c>
      <c r="AS988">
        <v>0</v>
      </c>
      <c r="AT988">
        <v>0</v>
      </c>
      <c r="AU988">
        <v>0</v>
      </c>
      <c r="AV988">
        <v>0</v>
      </c>
      <c r="AW988">
        <v>0</v>
      </c>
      <c r="AX988">
        <v>0</v>
      </c>
      <c r="AY988">
        <v>0</v>
      </c>
      <c r="AZ988">
        <v>0</v>
      </c>
      <c r="BA988">
        <v>0</v>
      </c>
      <c r="BB988">
        <v>0</v>
      </c>
      <c r="BC988">
        <v>0</v>
      </c>
      <c r="BD988">
        <v>0</v>
      </c>
      <c r="BE988">
        <v>0</v>
      </c>
      <c r="BF988">
        <v>0</v>
      </c>
      <c r="BG988">
        <v>0</v>
      </c>
      <c r="BH988">
        <v>1</v>
      </c>
      <c r="BI988">
        <v>1.7</v>
      </c>
      <c r="BJ988">
        <v>1.3</v>
      </c>
      <c r="BK988">
        <v>2</v>
      </c>
      <c r="BL988" s="4">
        <v>39.42</v>
      </c>
      <c r="BM988" s="4">
        <v>5.91</v>
      </c>
      <c r="BN988" s="4">
        <v>45.33</v>
      </c>
      <c r="BO988" s="4">
        <v>45.33</v>
      </c>
      <c r="BQ988" t="s">
        <v>93</v>
      </c>
      <c r="BR988" t="s">
        <v>84</v>
      </c>
      <c r="BS988" s="3">
        <v>43809</v>
      </c>
      <c r="BT988" s="5">
        <v>0.38263888888888892</v>
      </c>
      <c r="BU988" t="s">
        <v>1327</v>
      </c>
      <c r="BV988" t="s">
        <v>86</v>
      </c>
      <c r="BY988">
        <v>6400.8</v>
      </c>
      <c r="CC988" t="s">
        <v>333</v>
      </c>
      <c r="CD988">
        <v>2094</v>
      </c>
      <c r="CE988" t="s">
        <v>116</v>
      </c>
      <c r="CF988" s="3">
        <v>43810</v>
      </c>
      <c r="CI988">
        <v>1</v>
      </c>
      <c r="CJ988">
        <v>1</v>
      </c>
      <c r="CK988">
        <v>22</v>
      </c>
      <c r="CL988" t="s">
        <v>89</v>
      </c>
    </row>
    <row r="989" spans="1:90">
      <c r="A989" t="s">
        <v>72</v>
      </c>
      <c r="B989" t="s">
        <v>73</v>
      </c>
      <c r="C989" t="s">
        <v>74</v>
      </c>
      <c r="E989" t="str">
        <f>"FES1162727298"</f>
        <v>FES1162727298</v>
      </c>
      <c r="F989" s="3">
        <v>43808</v>
      </c>
      <c r="G989">
        <v>202006</v>
      </c>
      <c r="H989" t="s">
        <v>75</v>
      </c>
      <c r="I989" t="s">
        <v>76</v>
      </c>
      <c r="J989" t="s">
        <v>77</v>
      </c>
      <c r="K989" t="s">
        <v>78</v>
      </c>
      <c r="L989" t="s">
        <v>169</v>
      </c>
      <c r="M989" t="s">
        <v>170</v>
      </c>
      <c r="N989" t="s">
        <v>772</v>
      </c>
      <c r="O989" t="s">
        <v>82</v>
      </c>
      <c r="P989" t="str">
        <f>"2170719869                    "</f>
        <v xml:space="preserve">2170719869                    </v>
      </c>
      <c r="Q989">
        <v>0</v>
      </c>
      <c r="R989">
        <v>0</v>
      </c>
      <c r="S989">
        <v>0</v>
      </c>
      <c r="T989">
        <v>0</v>
      </c>
      <c r="U989">
        <v>0</v>
      </c>
      <c r="V989">
        <v>0</v>
      </c>
      <c r="W989">
        <v>0</v>
      </c>
      <c r="X989">
        <v>0</v>
      </c>
      <c r="Y989">
        <v>0</v>
      </c>
      <c r="Z989">
        <v>0</v>
      </c>
      <c r="AA989">
        <v>0</v>
      </c>
      <c r="AB989">
        <v>0</v>
      </c>
      <c r="AC989">
        <v>0</v>
      </c>
      <c r="AD989">
        <v>0</v>
      </c>
      <c r="AE989">
        <v>0</v>
      </c>
      <c r="AF989">
        <v>0</v>
      </c>
      <c r="AG989">
        <v>0</v>
      </c>
      <c r="AH989">
        <v>0</v>
      </c>
      <c r="AI989">
        <v>0</v>
      </c>
      <c r="AJ989">
        <v>0</v>
      </c>
      <c r="AK989">
        <v>0</v>
      </c>
      <c r="AL989">
        <v>0</v>
      </c>
      <c r="AM989">
        <v>6.71</v>
      </c>
      <c r="AN989">
        <v>0</v>
      </c>
      <c r="AO989">
        <v>0</v>
      </c>
      <c r="AP989">
        <v>0</v>
      </c>
      <c r="AQ989">
        <v>0</v>
      </c>
      <c r="AR989">
        <v>0</v>
      </c>
      <c r="AS989">
        <v>0</v>
      </c>
      <c r="AT989">
        <v>0</v>
      </c>
      <c r="AU989">
        <v>0</v>
      </c>
      <c r="AV989">
        <v>0</v>
      </c>
      <c r="AW989">
        <v>0</v>
      </c>
      <c r="AX989">
        <v>0</v>
      </c>
      <c r="AY989">
        <v>0</v>
      </c>
      <c r="AZ989">
        <v>0</v>
      </c>
      <c r="BA989">
        <v>0</v>
      </c>
      <c r="BB989">
        <v>0</v>
      </c>
      <c r="BC989">
        <v>0</v>
      </c>
      <c r="BD989">
        <v>0</v>
      </c>
      <c r="BE989">
        <v>0</v>
      </c>
      <c r="BF989">
        <v>0</v>
      </c>
      <c r="BG989">
        <v>0</v>
      </c>
      <c r="BH989">
        <v>1</v>
      </c>
      <c r="BI989">
        <v>1</v>
      </c>
      <c r="BJ989">
        <v>0.2</v>
      </c>
      <c r="BK989">
        <v>1</v>
      </c>
      <c r="BL989" s="4">
        <v>39.42</v>
      </c>
      <c r="BM989" s="4">
        <v>5.91</v>
      </c>
      <c r="BN989" s="4">
        <v>45.33</v>
      </c>
      <c r="BO989" s="4">
        <v>45.33</v>
      </c>
      <c r="BQ989" t="s">
        <v>147</v>
      </c>
      <c r="BR989" t="s">
        <v>84</v>
      </c>
      <c r="BS989" s="3">
        <v>43809</v>
      </c>
      <c r="BT989" s="5">
        <v>0.4375</v>
      </c>
      <c r="BU989" t="s">
        <v>638</v>
      </c>
      <c r="BV989" t="s">
        <v>86</v>
      </c>
      <c r="BY989">
        <v>1200</v>
      </c>
      <c r="CC989" t="s">
        <v>170</v>
      </c>
      <c r="CD989">
        <v>1459</v>
      </c>
      <c r="CE989" t="s">
        <v>88</v>
      </c>
      <c r="CF989" s="3">
        <v>43810</v>
      </c>
      <c r="CI989">
        <v>1</v>
      </c>
      <c r="CJ989">
        <v>1</v>
      </c>
      <c r="CK989">
        <v>22</v>
      </c>
      <c r="CL989" t="s">
        <v>89</v>
      </c>
    </row>
    <row r="990" spans="1:90">
      <c r="A990" t="s">
        <v>72</v>
      </c>
      <c r="B990" t="s">
        <v>73</v>
      </c>
      <c r="C990" t="s">
        <v>74</v>
      </c>
      <c r="E990" t="str">
        <f>"FES1162727316"</f>
        <v>FES1162727316</v>
      </c>
      <c r="F990" s="3">
        <v>43808</v>
      </c>
      <c r="G990">
        <v>202006</v>
      </c>
      <c r="H990" t="s">
        <v>75</v>
      </c>
      <c r="I990" t="s">
        <v>76</v>
      </c>
      <c r="J990" t="s">
        <v>77</v>
      </c>
      <c r="K990" t="s">
        <v>78</v>
      </c>
      <c r="L990" t="s">
        <v>671</v>
      </c>
      <c r="M990" t="s">
        <v>672</v>
      </c>
      <c r="N990" t="s">
        <v>639</v>
      </c>
      <c r="O990" t="s">
        <v>82</v>
      </c>
      <c r="P990" t="str">
        <f>"21707120677                   "</f>
        <v xml:space="preserve">21707120677                   </v>
      </c>
      <c r="Q990">
        <v>0</v>
      </c>
      <c r="R990">
        <v>0</v>
      </c>
      <c r="S990">
        <v>0</v>
      </c>
      <c r="T990">
        <v>0</v>
      </c>
      <c r="U990">
        <v>0</v>
      </c>
      <c r="V990">
        <v>0</v>
      </c>
      <c r="W990">
        <v>0</v>
      </c>
      <c r="X990">
        <v>0</v>
      </c>
      <c r="Y990">
        <v>0</v>
      </c>
      <c r="Z990">
        <v>0</v>
      </c>
      <c r="AA990">
        <v>0</v>
      </c>
      <c r="AB990">
        <v>0</v>
      </c>
      <c r="AC990">
        <v>0</v>
      </c>
      <c r="AD990">
        <v>0</v>
      </c>
      <c r="AE990">
        <v>0</v>
      </c>
      <c r="AF990">
        <v>0</v>
      </c>
      <c r="AG990">
        <v>0</v>
      </c>
      <c r="AH990">
        <v>0</v>
      </c>
      <c r="AI990">
        <v>0</v>
      </c>
      <c r="AJ990">
        <v>0</v>
      </c>
      <c r="AK990">
        <v>0</v>
      </c>
      <c r="AL990">
        <v>0</v>
      </c>
      <c r="AM990">
        <v>24.14</v>
      </c>
      <c r="AN990">
        <v>0</v>
      </c>
      <c r="AO990">
        <v>0</v>
      </c>
      <c r="AP990">
        <v>0</v>
      </c>
      <c r="AQ990">
        <v>0</v>
      </c>
      <c r="AR990">
        <v>0</v>
      </c>
      <c r="AS990">
        <v>0</v>
      </c>
      <c r="AT990">
        <v>0</v>
      </c>
      <c r="AU990">
        <v>0</v>
      </c>
      <c r="AV990">
        <v>0</v>
      </c>
      <c r="AW990">
        <v>0</v>
      </c>
      <c r="AX990">
        <v>0</v>
      </c>
      <c r="AY990">
        <v>0</v>
      </c>
      <c r="AZ990">
        <v>0</v>
      </c>
      <c r="BA990">
        <v>0</v>
      </c>
      <c r="BB990">
        <v>0</v>
      </c>
      <c r="BC990">
        <v>0</v>
      </c>
      <c r="BD990">
        <v>0</v>
      </c>
      <c r="BE990">
        <v>0</v>
      </c>
      <c r="BF990">
        <v>0</v>
      </c>
      <c r="BG990">
        <v>0</v>
      </c>
      <c r="BH990">
        <v>1</v>
      </c>
      <c r="BI990">
        <v>2.9</v>
      </c>
      <c r="BJ990">
        <v>1.4</v>
      </c>
      <c r="BK990">
        <v>3</v>
      </c>
      <c r="BL990" s="4">
        <v>141.9</v>
      </c>
      <c r="BM990" s="4">
        <v>21.29</v>
      </c>
      <c r="BN990" s="4">
        <v>163.19</v>
      </c>
      <c r="BO990" s="4">
        <v>163.19</v>
      </c>
      <c r="BQ990" t="s">
        <v>93</v>
      </c>
      <c r="BR990" t="s">
        <v>84</v>
      </c>
      <c r="BS990" s="3">
        <v>43809</v>
      </c>
      <c r="BT990" s="5">
        <v>0.37291666666666662</v>
      </c>
      <c r="BU990" t="s">
        <v>1516</v>
      </c>
      <c r="BV990" t="s">
        <v>86</v>
      </c>
      <c r="BY990">
        <v>7015.44</v>
      </c>
      <c r="CA990" t="s">
        <v>946</v>
      </c>
      <c r="CC990" t="s">
        <v>672</v>
      </c>
      <c r="CD990">
        <v>1911</v>
      </c>
      <c r="CE990" t="s">
        <v>96</v>
      </c>
      <c r="CF990" s="3">
        <v>43810</v>
      </c>
      <c r="CI990">
        <v>1</v>
      </c>
      <c r="CJ990">
        <v>1</v>
      </c>
      <c r="CK990">
        <v>23</v>
      </c>
      <c r="CL990" t="s">
        <v>89</v>
      </c>
    </row>
    <row r="991" spans="1:90">
      <c r="A991" t="s">
        <v>72</v>
      </c>
      <c r="B991" t="s">
        <v>73</v>
      </c>
      <c r="C991" t="s">
        <v>74</v>
      </c>
      <c r="E991" t="str">
        <f>"FES1162727369"</f>
        <v>FES1162727369</v>
      </c>
      <c r="F991" s="3">
        <v>43808</v>
      </c>
      <c r="G991">
        <v>202006</v>
      </c>
      <c r="H991" t="s">
        <v>75</v>
      </c>
      <c r="I991" t="s">
        <v>76</v>
      </c>
      <c r="J991" t="s">
        <v>77</v>
      </c>
      <c r="K991" t="s">
        <v>78</v>
      </c>
      <c r="L991" t="s">
        <v>671</v>
      </c>
      <c r="M991" t="s">
        <v>672</v>
      </c>
      <c r="N991" t="s">
        <v>1417</v>
      </c>
      <c r="O991" t="s">
        <v>82</v>
      </c>
      <c r="P991" t="str">
        <f>"2170720851                    "</f>
        <v xml:space="preserve">2170720851                    </v>
      </c>
      <c r="Q991">
        <v>0</v>
      </c>
      <c r="R991">
        <v>0</v>
      </c>
      <c r="S991">
        <v>0</v>
      </c>
      <c r="T991">
        <v>0</v>
      </c>
      <c r="U991">
        <v>0</v>
      </c>
      <c r="V991">
        <v>0</v>
      </c>
      <c r="W991">
        <v>0</v>
      </c>
      <c r="X991">
        <v>0</v>
      </c>
      <c r="Y991">
        <v>0</v>
      </c>
      <c r="Z991">
        <v>0</v>
      </c>
      <c r="AA991">
        <v>0</v>
      </c>
      <c r="AB991">
        <v>0</v>
      </c>
      <c r="AC991">
        <v>0</v>
      </c>
      <c r="AD991">
        <v>0</v>
      </c>
      <c r="AE991">
        <v>0</v>
      </c>
      <c r="AF991">
        <v>0</v>
      </c>
      <c r="AG991">
        <v>0</v>
      </c>
      <c r="AH991">
        <v>0</v>
      </c>
      <c r="AI991">
        <v>0</v>
      </c>
      <c r="AJ991">
        <v>0</v>
      </c>
      <c r="AK991">
        <v>0</v>
      </c>
      <c r="AL991">
        <v>0</v>
      </c>
      <c r="AM991">
        <v>16.63</v>
      </c>
      <c r="AN991">
        <v>0</v>
      </c>
      <c r="AO991">
        <v>0</v>
      </c>
      <c r="AP991">
        <v>0</v>
      </c>
      <c r="AQ991">
        <v>0</v>
      </c>
      <c r="AR991">
        <v>0</v>
      </c>
      <c r="AS991">
        <v>0</v>
      </c>
      <c r="AT991">
        <v>0</v>
      </c>
      <c r="AU991">
        <v>0</v>
      </c>
      <c r="AV991">
        <v>0</v>
      </c>
      <c r="AW991">
        <v>0</v>
      </c>
      <c r="AX991">
        <v>0</v>
      </c>
      <c r="AY991">
        <v>0</v>
      </c>
      <c r="AZ991">
        <v>0</v>
      </c>
      <c r="BA991">
        <v>0</v>
      </c>
      <c r="BB991">
        <v>0</v>
      </c>
      <c r="BC991">
        <v>0</v>
      </c>
      <c r="BD991">
        <v>0</v>
      </c>
      <c r="BE991">
        <v>0</v>
      </c>
      <c r="BF991">
        <v>0</v>
      </c>
      <c r="BG991">
        <v>0</v>
      </c>
      <c r="BH991">
        <v>1</v>
      </c>
      <c r="BI991">
        <v>1</v>
      </c>
      <c r="BJ991">
        <v>0.2</v>
      </c>
      <c r="BK991">
        <v>1</v>
      </c>
      <c r="BL991" s="4">
        <v>97.75</v>
      </c>
      <c r="BM991" s="4">
        <v>14.66</v>
      </c>
      <c r="BN991" s="4">
        <v>112.41</v>
      </c>
      <c r="BO991" s="4">
        <v>112.41</v>
      </c>
      <c r="BQ991" t="s">
        <v>93</v>
      </c>
      <c r="BR991" t="s">
        <v>84</v>
      </c>
      <c r="BS991" s="3">
        <v>43809</v>
      </c>
      <c r="BT991" s="5">
        <v>0.35972222222222222</v>
      </c>
      <c r="BU991" t="s">
        <v>1418</v>
      </c>
      <c r="BV991" t="s">
        <v>86</v>
      </c>
      <c r="BY991">
        <v>1200</v>
      </c>
      <c r="CA991" t="s">
        <v>946</v>
      </c>
      <c r="CC991" t="s">
        <v>672</v>
      </c>
      <c r="CD991">
        <v>1900</v>
      </c>
      <c r="CE991" t="s">
        <v>88</v>
      </c>
      <c r="CF991" s="3">
        <v>43810</v>
      </c>
      <c r="CI991">
        <v>1</v>
      </c>
      <c r="CJ991">
        <v>1</v>
      </c>
      <c r="CK991">
        <v>23</v>
      </c>
      <c r="CL991" t="s">
        <v>89</v>
      </c>
    </row>
    <row r="992" spans="1:90">
      <c r="A992" t="s">
        <v>72</v>
      </c>
      <c r="B992" t="s">
        <v>73</v>
      </c>
      <c r="C992" t="s">
        <v>74</v>
      </c>
      <c r="E992" t="str">
        <f>"FES1162727402"</f>
        <v>FES1162727402</v>
      </c>
      <c r="F992" s="3">
        <v>43808</v>
      </c>
      <c r="G992">
        <v>202006</v>
      </c>
      <c r="H992" t="s">
        <v>75</v>
      </c>
      <c r="I992" t="s">
        <v>76</v>
      </c>
      <c r="J992" t="s">
        <v>77</v>
      </c>
      <c r="K992" t="s">
        <v>78</v>
      </c>
      <c r="L992" t="s">
        <v>138</v>
      </c>
      <c r="M992" t="s">
        <v>139</v>
      </c>
      <c r="N992" t="s">
        <v>226</v>
      </c>
      <c r="O992" t="s">
        <v>82</v>
      </c>
      <c r="P992" t="str">
        <f>"2170720894                    "</f>
        <v xml:space="preserve">2170720894                    </v>
      </c>
      <c r="Q992">
        <v>0</v>
      </c>
      <c r="R992">
        <v>0</v>
      </c>
      <c r="S992">
        <v>0</v>
      </c>
      <c r="T992">
        <v>0</v>
      </c>
      <c r="U992">
        <v>0</v>
      </c>
      <c r="V992">
        <v>0</v>
      </c>
      <c r="W992">
        <v>0</v>
      </c>
      <c r="X992">
        <v>0</v>
      </c>
      <c r="Y992">
        <v>0</v>
      </c>
      <c r="Z992">
        <v>0</v>
      </c>
      <c r="AA992">
        <v>0</v>
      </c>
      <c r="AB992">
        <v>0</v>
      </c>
      <c r="AC992">
        <v>0</v>
      </c>
      <c r="AD992">
        <v>0</v>
      </c>
      <c r="AE992">
        <v>0</v>
      </c>
      <c r="AF992">
        <v>0</v>
      </c>
      <c r="AG992">
        <v>0</v>
      </c>
      <c r="AH992">
        <v>0</v>
      </c>
      <c r="AI992">
        <v>0</v>
      </c>
      <c r="AJ992">
        <v>0</v>
      </c>
      <c r="AK992">
        <v>0</v>
      </c>
      <c r="AL992">
        <v>0</v>
      </c>
      <c r="AM992">
        <v>6.71</v>
      </c>
      <c r="AN992">
        <v>0</v>
      </c>
      <c r="AO992">
        <v>0</v>
      </c>
      <c r="AP992">
        <v>0</v>
      </c>
      <c r="AQ992">
        <v>0</v>
      </c>
      <c r="AR992">
        <v>0</v>
      </c>
      <c r="AS992">
        <v>0</v>
      </c>
      <c r="AT992">
        <v>0</v>
      </c>
      <c r="AU992">
        <v>0</v>
      </c>
      <c r="AV992">
        <v>0</v>
      </c>
      <c r="AW992">
        <v>0</v>
      </c>
      <c r="AX992">
        <v>0</v>
      </c>
      <c r="AY992">
        <v>0</v>
      </c>
      <c r="AZ992">
        <v>0</v>
      </c>
      <c r="BA992">
        <v>0</v>
      </c>
      <c r="BB992">
        <v>0</v>
      </c>
      <c r="BC992">
        <v>0</v>
      </c>
      <c r="BD992">
        <v>0</v>
      </c>
      <c r="BE992">
        <v>0</v>
      </c>
      <c r="BF992">
        <v>0</v>
      </c>
      <c r="BG992">
        <v>0</v>
      </c>
      <c r="BH992">
        <v>1</v>
      </c>
      <c r="BI992">
        <v>1</v>
      </c>
      <c r="BJ992">
        <v>0.2</v>
      </c>
      <c r="BK992">
        <v>1</v>
      </c>
      <c r="BL992" s="4">
        <v>39.42</v>
      </c>
      <c r="BM992" s="4">
        <v>5.91</v>
      </c>
      <c r="BN992" s="4">
        <v>45.33</v>
      </c>
      <c r="BO992" s="4">
        <v>45.33</v>
      </c>
      <c r="BQ992" t="s">
        <v>135</v>
      </c>
      <c r="BR992" t="s">
        <v>84</v>
      </c>
      <c r="BS992" s="3">
        <v>43810</v>
      </c>
      <c r="BT992" s="5">
        <v>0.39027777777777778</v>
      </c>
      <c r="BU992" t="s">
        <v>1517</v>
      </c>
      <c r="BV992" t="s">
        <v>89</v>
      </c>
      <c r="BW992" t="s">
        <v>1518</v>
      </c>
      <c r="BX992" t="s">
        <v>229</v>
      </c>
      <c r="BY992">
        <v>1200</v>
      </c>
      <c r="CA992" t="s">
        <v>230</v>
      </c>
      <c r="CC992" t="s">
        <v>139</v>
      </c>
      <c r="CD992">
        <v>1401</v>
      </c>
      <c r="CE992" t="s">
        <v>88</v>
      </c>
      <c r="CF992" s="3">
        <v>43811</v>
      </c>
      <c r="CI992">
        <v>1</v>
      </c>
      <c r="CJ992">
        <v>2</v>
      </c>
      <c r="CK992">
        <v>22</v>
      </c>
      <c r="CL992" t="s">
        <v>89</v>
      </c>
    </row>
    <row r="993" spans="1:90">
      <c r="A993" t="s">
        <v>72</v>
      </c>
      <c r="B993" t="s">
        <v>73</v>
      </c>
      <c r="C993" t="s">
        <v>74</v>
      </c>
      <c r="E993" t="str">
        <f>"FES1162727404"</f>
        <v>FES1162727404</v>
      </c>
      <c r="F993" s="3">
        <v>43808</v>
      </c>
      <c r="G993">
        <v>202006</v>
      </c>
      <c r="H993" t="s">
        <v>75</v>
      </c>
      <c r="I993" t="s">
        <v>76</v>
      </c>
      <c r="J993" t="s">
        <v>77</v>
      </c>
      <c r="K993" t="s">
        <v>78</v>
      </c>
      <c r="L993" t="s">
        <v>491</v>
      </c>
      <c r="M993" t="s">
        <v>492</v>
      </c>
      <c r="N993" t="s">
        <v>1519</v>
      </c>
      <c r="O993" t="s">
        <v>82</v>
      </c>
      <c r="P993" t="str">
        <f>"2170720896                    "</f>
        <v xml:space="preserve">2170720896                    </v>
      </c>
      <c r="Q993">
        <v>0</v>
      </c>
      <c r="R993">
        <v>0</v>
      </c>
      <c r="S993">
        <v>0</v>
      </c>
      <c r="T993">
        <v>0</v>
      </c>
      <c r="U993">
        <v>0</v>
      </c>
      <c r="V993">
        <v>0</v>
      </c>
      <c r="W993">
        <v>0</v>
      </c>
      <c r="X993">
        <v>0</v>
      </c>
      <c r="Y993">
        <v>0</v>
      </c>
      <c r="Z993">
        <v>0</v>
      </c>
      <c r="AA993">
        <v>0</v>
      </c>
      <c r="AB993">
        <v>0</v>
      </c>
      <c r="AC993">
        <v>0</v>
      </c>
      <c r="AD993">
        <v>0</v>
      </c>
      <c r="AE993">
        <v>0</v>
      </c>
      <c r="AF993">
        <v>0</v>
      </c>
      <c r="AG993">
        <v>0</v>
      </c>
      <c r="AH993">
        <v>0</v>
      </c>
      <c r="AI993">
        <v>0</v>
      </c>
      <c r="AJ993">
        <v>0</v>
      </c>
      <c r="AK993">
        <v>0</v>
      </c>
      <c r="AL993">
        <v>0</v>
      </c>
      <c r="AM993">
        <v>6.71</v>
      </c>
      <c r="AN993">
        <v>0</v>
      </c>
      <c r="AO993">
        <v>0</v>
      </c>
      <c r="AP993">
        <v>0</v>
      </c>
      <c r="AQ993">
        <v>0</v>
      </c>
      <c r="AR993">
        <v>0</v>
      </c>
      <c r="AS993">
        <v>0</v>
      </c>
      <c r="AT993">
        <v>0</v>
      </c>
      <c r="AU993">
        <v>0</v>
      </c>
      <c r="AV993">
        <v>0</v>
      </c>
      <c r="AW993">
        <v>0</v>
      </c>
      <c r="AX993">
        <v>0</v>
      </c>
      <c r="AY993">
        <v>0</v>
      </c>
      <c r="AZ993">
        <v>0</v>
      </c>
      <c r="BA993">
        <v>0</v>
      </c>
      <c r="BB993">
        <v>0</v>
      </c>
      <c r="BC993">
        <v>0</v>
      </c>
      <c r="BD993">
        <v>0</v>
      </c>
      <c r="BE993">
        <v>0</v>
      </c>
      <c r="BF993">
        <v>0</v>
      </c>
      <c r="BG993">
        <v>0</v>
      </c>
      <c r="BH993">
        <v>1</v>
      </c>
      <c r="BI993">
        <v>1</v>
      </c>
      <c r="BJ993">
        <v>0.2</v>
      </c>
      <c r="BK993">
        <v>1</v>
      </c>
      <c r="BL993" s="4">
        <v>39.42</v>
      </c>
      <c r="BM993" s="4">
        <v>5.91</v>
      </c>
      <c r="BN993" s="4">
        <v>45.33</v>
      </c>
      <c r="BO993" s="4">
        <v>45.33</v>
      </c>
      <c r="BR993" t="s">
        <v>84</v>
      </c>
      <c r="BS993" s="3">
        <v>43809</v>
      </c>
      <c r="BT993" s="5">
        <v>0.34375</v>
      </c>
      <c r="BU993" t="s">
        <v>1520</v>
      </c>
      <c r="BV993" t="s">
        <v>86</v>
      </c>
      <c r="BY993">
        <v>1200</v>
      </c>
      <c r="CA993" t="s">
        <v>1521</v>
      </c>
      <c r="CC993" t="s">
        <v>492</v>
      </c>
      <c r="CD993">
        <v>1709</v>
      </c>
      <c r="CE993" t="s">
        <v>88</v>
      </c>
      <c r="CF993" s="3">
        <v>43810</v>
      </c>
      <c r="CI993">
        <v>1</v>
      </c>
      <c r="CJ993">
        <v>1</v>
      </c>
      <c r="CK993">
        <v>22</v>
      </c>
      <c r="CL993" t="s">
        <v>89</v>
      </c>
    </row>
    <row r="994" spans="1:90">
      <c r="A994" t="s">
        <v>72</v>
      </c>
      <c r="B994" t="s">
        <v>73</v>
      </c>
      <c r="C994" t="s">
        <v>74</v>
      </c>
      <c r="E994" t="str">
        <f>"FES1162727436"</f>
        <v>FES1162727436</v>
      </c>
      <c r="F994" s="3">
        <v>43808</v>
      </c>
      <c r="G994">
        <v>202006</v>
      </c>
      <c r="H994" t="s">
        <v>75</v>
      </c>
      <c r="I994" t="s">
        <v>76</v>
      </c>
      <c r="J994" t="s">
        <v>77</v>
      </c>
      <c r="K994" t="s">
        <v>78</v>
      </c>
      <c r="L994" t="s">
        <v>164</v>
      </c>
      <c r="M994" t="s">
        <v>165</v>
      </c>
      <c r="N994" t="s">
        <v>369</v>
      </c>
      <c r="O994" t="s">
        <v>82</v>
      </c>
      <c r="P994" t="str">
        <f>"2170720926                    "</f>
        <v xml:space="preserve">2170720926                    </v>
      </c>
      <c r="Q994">
        <v>0</v>
      </c>
      <c r="R994">
        <v>0</v>
      </c>
      <c r="S994">
        <v>0</v>
      </c>
      <c r="T994">
        <v>0</v>
      </c>
      <c r="U994">
        <v>0</v>
      </c>
      <c r="V994">
        <v>0</v>
      </c>
      <c r="W994">
        <v>0</v>
      </c>
      <c r="X994">
        <v>0</v>
      </c>
      <c r="Y994">
        <v>0</v>
      </c>
      <c r="Z994">
        <v>0</v>
      </c>
      <c r="AA994">
        <v>0</v>
      </c>
      <c r="AB994">
        <v>0</v>
      </c>
      <c r="AC994">
        <v>0</v>
      </c>
      <c r="AD994">
        <v>0</v>
      </c>
      <c r="AE994">
        <v>0</v>
      </c>
      <c r="AF994">
        <v>0</v>
      </c>
      <c r="AG994">
        <v>0</v>
      </c>
      <c r="AH994">
        <v>0</v>
      </c>
      <c r="AI994">
        <v>0</v>
      </c>
      <c r="AJ994">
        <v>0</v>
      </c>
      <c r="AK994">
        <v>0</v>
      </c>
      <c r="AL994">
        <v>0</v>
      </c>
      <c r="AM994">
        <v>8.58</v>
      </c>
      <c r="AN994">
        <v>0</v>
      </c>
      <c r="AO994">
        <v>0</v>
      </c>
      <c r="AP994">
        <v>0</v>
      </c>
      <c r="AQ994">
        <v>0</v>
      </c>
      <c r="AR994">
        <v>0</v>
      </c>
      <c r="AS994">
        <v>0</v>
      </c>
      <c r="AT994">
        <v>0</v>
      </c>
      <c r="AU994">
        <v>0</v>
      </c>
      <c r="AV994">
        <v>0</v>
      </c>
      <c r="AW994">
        <v>0</v>
      </c>
      <c r="AX994">
        <v>0</v>
      </c>
      <c r="AY994">
        <v>0</v>
      </c>
      <c r="AZ994">
        <v>0</v>
      </c>
      <c r="BA994">
        <v>0</v>
      </c>
      <c r="BB994">
        <v>0</v>
      </c>
      <c r="BC994">
        <v>0</v>
      </c>
      <c r="BD994">
        <v>0</v>
      </c>
      <c r="BE994">
        <v>0</v>
      </c>
      <c r="BF994">
        <v>0</v>
      </c>
      <c r="BG994">
        <v>0</v>
      </c>
      <c r="BH994">
        <v>1</v>
      </c>
      <c r="BI994">
        <v>1</v>
      </c>
      <c r="BJ994">
        <v>0.2</v>
      </c>
      <c r="BK994">
        <v>1</v>
      </c>
      <c r="BL994" s="4">
        <v>50.45</v>
      </c>
      <c r="BM994" s="4">
        <v>7.57</v>
      </c>
      <c r="BN994" s="4">
        <v>58.02</v>
      </c>
      <c r="BO994" s="4">
        <v>58.02</v>
      </c>
      <c r="BQ994" t="s">
        <v>93</v>
      </c>
      <c r="BR994" t="s">
        <v>84</v>
      </c>
      <c r="BS994" s="3">
        <v>43809</v>
      </c>
      <c r="BT994" s="5">
        <v>0.38750000000000001</v>
      </c>
      <c r="BU994" t="s">
        <v>370</v>
      </c>
      <c r="BV994" t="s">
        <v>86</v>
      </c>
      <c r="BY994">
        <v>1200</v>
      </c>
      <c r="CA994" t="s">
        <v>371</v>
      </c>
      <c r="CC994" t="s">
        <v>165</v>
      </c>
      <c r="CD994">
        <v>5201</v>
      </c>
      <c r="CE994" t="s">
        <v>88</v>
      </c>
      <c r="CF994" s="3">
        <v>43810</v>
      </c>
      <c r="CI994">
        <v>1</v>
      </c>
      <c r="CJ994">
        <v>1</v>
      </c>
      <c r="CK994">
        <v>21</v>
      </c>
      <c r="CL994" t="s">
        <v>89</v>
      </c>
    </row>
    <row r="995" spans="1:90">
      <c r="A995" t="s">
        <v>72</v>
      </c>
      <c r="B995" t="s">
        <v>73</v>
      </c>
      <c r="C995" t="s">
        <v>74</v>
      </c>
      <c r="E995" t="str">
        <f>"FES1162727387"</f>
        <v>FES1162727387</v>
      </c>
      <c r="F995" s="3">
        <v>43808</v>
      </c>
      <c r="G995">
        <v>202006</v>
      </c>
      <c r="H995" t="s">
        <v>75</v>
      </c>
      <c r="I995" t="s">
        <v>76</v>
      </c>
      <c r="J995" t="s">
        <v>77</v>
      </c>
      <c r="K995" t="s">
        <v>78</v>
      </c>
      <c r="L995" t="s">
        <v>491</v>
      </c>
      <c r="M995" t="s">
        <v>492</v>
      </c>
      <c r="N995" t="s">
        <v>880</v>
      </c>
      <c r="O995" t="s">
        <v>82</v>
      </c>
      <c r="P995" t="str">
        <f>"2170720875                    "</f>
        <v xml:space="preserve">2170720875                    </v>
      </c>
      <c r="Q995">
        <v>0</v>
      </c>
      <c r="R995">
        <v>0</v>
      </c>
      <c r="S995">
        <v>0</v>
      </c>
      <c r="T995">
        <v>0</v>
      </c>
      <c r="U995">
        <v>0</v>
      </c>
      <c r="V995">
        <v>0</v>
      </c>
      <c r="W995">
        <v>0</v>
      </c>
      <c r="X995">
        <v>0</v>
      </c>
      <c r="Y995">
        <v>0</v>
      </c>
      <c r="Z995">
        <v>0</v>
      </c>
      <c r="AA995">
        <v>0</v>
      </c>
      <c r="AB995">
        <v>0</v>
      </c>
      <c r="AC995">
        <v>0</v>
      </c>
      <c r="AD995">
        <v>0</v>
      </c>
      <c r="AE995">
        <v>0</v>
      </c>
      <c r="AF995">
        <v>0</v>
      </c>
      <c r="AG995">
        <v>0</v>
      </c>
      <c r="AH995">
        <v>0</v>
      </c>
      <c r="AI995">
        <v>0</v>
      </c>
      <c r="AJ995">
        <v>0</v>
      </c>
      <c r="AK995">
        <v>0</v>
      </c>
      <c r="AL995">
        <v>0</v>
      </c>
      <c r="AM995">
        <v>6.71</v>
      </c>
      <c r="AN995">
        <v>0</v>
      </c>
      <c r="AO995">
        <v>0</v>
      </c>
      <c r="AP995">
        <v>0</v>
      </c>
      <c r="AQ995">
        <v>0</v>
      </c>
      <c r="AR995">
        <v>0</v>
      </c>
      <c r="AS995">
        <v>0</v>
      </c>
      <c r="AT995">
        <v>0</v>
      </c>
      <c r="AU995">
        <v>0</v>
      </c>
      <c r="AV995">
        <v>0</v>
      </c>
      <c r="AW995">
        <v>0</v>
      </c>
      <c r="AX995">
        <v>0</v>
      </c>
      <c r="AY995">
        <v>0</v>
      </c>
      <c r="AZ995">
        <v>0</v>
      </c>
      <c r="BA995">
        <v>0</v>
      </c>
      <c r="BB995">
        <v>0</v>
      </c>
      <c r="BC995">
        <v>0</v>
      </c>
      <c r="BD995">
        <v>0</v>
      </c>
      <c r="BE995">
        <v>0</v>
      </c>
      <c r="BF995">
        <v>0</v>
      </c>
      <c r="BG995">
        <v>0</v>
      </c>
      <c r="BH995">
        <v>1</v>
      </c>
      <c r="BI995">
        <v>1</v>
      </c>
      <c r="BJ995">
        <v>0.2</v>
      </c>
      <c r="BK995">
        <v>1</v>
      </c>
      <c r="BL995" s="4">
        <v>39.42</v>
      </c>
      <c r="BM995" s="4">
        <v>5.91</v>
      </c>
      <c r="BN995" s="4">
        <v>45.33</v>
      </c>
      <c r="BO995" s="4">
        <v>45.33</v>
      </c>
      <c r="BQ995" t="s">
        <v>135</v>
      </c>
      <c r="BR995" t="s">
        <v>84</v>
      </c>
      <c r="BS995" s="3">
        <v>43809</v>
      </c>
      <c r="BT995" s="5">
        <v>0.34027777777777773</v>
      </c>
      <c r="BU995" t="s">
        <v>1522</v>
      </c>
      <c r="BV995" t="s">
        <v>86</v>
      </c>
      <c r="BY995">
        <v>1200</v>
      </c>
      <c r="CA995" t="s">
        <v>1521</v>
      </c>
      <c r="CC995" t="s">
        <v>492</v>
      </c>
      <c r="CD995">
        <v>1700</v>
      </c>
      <c r="CE995" t="s">
        <v>88</v>
      </c>
      <c r="CF995" s="3">
        <v>43810</v>
      </c>
      <c r="CI995">
        <v>1</v>
      </c>
      <c r="CJ995">
        <v>1</v>
      </c>
      <c r="CK995">
        <v>22</v>
      </c>
      <c r="CL995" t="s">
        <v>89</v>
      </c>
    </row>
    <row r="996" spans="1:90">
      <c r="A996" t="s">
        <v>72</v>
      </c>
      <c r="B996" t="s">
        <v>73</v>
      </c>
      <c r="C996" t="s">
        <v>74</v>
      </c>
      <c r="E996" t="str">
        <f>"FES1162727302"</f>
        <v>FES1162727302</v>
      </c>
      <c r="F996" s="3">
        <v>43808</v>
      </c>
      <c r="G996">
        <v>202006</v>
      </c>
      <c r="H996" t="s">
        <v>75</v>
      </c>
      <c r="I996" t="s">
        <v>76</v>
      </c>
      <c r="J996" t="s">
        <v>77</v>
      </c>
      <c r="K996" t="s">
        <v>78</v>
      </c>
      <c r="L996" t="s">
        <v>138</v>
      </c>
      <c r="M996" t="s">
        <v>139</v>
      </c>
      <c r="N996" t="s">
        <v>1523</v>
      </c>
      <c r="O996" t="s">
        <v>82</v>
      </c>
      <c r="P996" t="str">
        <f>"2170720616                    "</f>
        <v xml:space="preserve">2170720616                    </v>
      </c>
      <c r="Q996">
        <v>0</v>
      </c>
      <c r="R996">
        <v>0</v>
      </c>
      <c r="S996">
        <v>0</v>
      </c>
      <c r="T996">
        <v>0</v>
      </c>
      <c r="U996">
        <v>0</v>
      </c>
      <c r="V996">
        <v>0</v>
      </c>
      <c r="W996">
        <v>0</v>
      </c>
      <c r="X996">
        <v>0</v>
      </c>
      <c r="Y996">
        <v>0</v>
      </c>
      <c r="Z996">
        <v>0</v>
      </c>
      <c r="AA996">
        <v>0</v>
      </c>
      <c r="AB996">
        <v>0</v>
      </c>
      <c r="AC996">
        <v>0</v>
      </c>
      <c r="AD996">
        <v>0</v>
      </c>
      <c r="AE996">
        <v>0</v>
      </c>
      <c r="AF996">
        <v>0</v>
      </c>
      <c r="AG996">
        <v>0</v>
      </c>
      <c r="AH996">
        <v>0</v>
      </c>
      <c r="AI996">
        <v>0</v>
      </c>
      <c r="AJ996">
        <v>0</v>
      </c>
      <c r="AK996">
        <v>0</v>
      </c>
      <c r="AL996">
        <v>0</v>
      </c>
      <c r="AM996">
        <v>6.71</v>
      </c>
      <c r="AN996">
        <v>0</v>
      </c>
      <c r="AO996">
        <v>0</v>
      </c>
      <c r="AP996">
        <v>0</v>
      </c>
      <c r="AQ996">
        <v>0</v>
      </c>
      <c r="AR996">
        <v>0</v>
      </c>
      <c r="AS996">
        <v>0</v>
      </c>
      <c r="AT996">
        <v>0</v>
      </c>
      <c r="AU996">
        <v>0</v>
      </c>
      <c r="AV996">
        <v>0</v>
      </c>
      <c r="AW996">
        <v>0</v>
      </c>
      <c r="AX996">
        <v>0</v>
      </c>
      <c r="AY996">
        <v>0</v>
      </c>
      <c r="AZ996">
        <v>0</v>
      </c>
      <c r="BA996">
        <v>0</v>
      </c>
      <c r="BB996">
        <v>0</v>
      </c>
      <c r="BC996">
        <v>0</v>
      </c>
      <c r="BD996">
        <v>0</v>
      </c>
      <c r="BE996">
        <v>0</v>
      </c>
      <c r="BF996">
        <v>0</v>
      </c>
      <c r="BG996">
        <v>0</v>
      </c>
      <c r="BH996">
        <v>1</v>
      </c>
      <c r="BI996">
        <v>1</v>
      </c>
      <c r="BJ996">
        <v>0.2</v>
      </c>
      <c r="BK996">
        <v>1</v>
      </c>
      <c r="BL996" s="4">
        <v>39.42</v>
      </c>
      <c r="BM996" s="4">
        <v>5.91</v>
      </c>
      <c r="BN996" s="4">
        <v>45.33</v>
      </c>
      <c r="BO996" s="4">
        <v>45.33</v>
      </c>
      <c r="BQ996" t="s">
        <v>1524</v>
      </c>
      <c r="BR996" t="s">
        <v>84</v>
      </c>
      <c r="BS996" s="3">
        <v>43809</v>
      </c>
      <c r="BT996" s="5">
        <v>0.4375</v>
      </c>
      <c r="BU996" t="s">
        <v>1525</v>
      </c>
      <c r="BV996" t="s">
        <v>86</v>
      </c>
      <c r="BY996">
        <v>1200</v>
      </c>
      <c r="CC996" t="s">
        <v>139</v>
      </c>
      <c r="CD996">
        <v>1422</v>
      </c>
      <c r="CE996" t="s">
        <v>88</v>
      </c>
      <c r="CF996" s="3">
        <v>43810</v>
      </c>
      <c r="CI996">
        <v>1</v>
      </c>
      <c r="CJ996">
        <v>1</v>
      </c>
      <c r="CK996">
        <v>22</v>
      </c>
      <c r="CL996" t="s">
        <v>89</v>
      </c>
    </row>
    <row r="997" spans="1:90">
      <c r="A997" t="s">
        <v>72</v>
      </c>
      <c r="B997" t="s">
        <v>73</v>
      </c>
      <c r="C997" t="s">
        <v>74</v>
      </c>
      <c r="E997" t="str">
        <f>"FES1162727363"</f>
        <v>FES1162727363</v>
      </c>
      <c r="F997" s="3">
        <v>43808</v>
      </c>
      <c r="G997">
        <v>202006</v>
      </c>
      <c r="H997" t="s">
        <v>75</v>
      </c>
      <c r="I997" t="s">
        <v>76</v>
      </c>
      <c r="J997" t="s">
        <v>77</v>
      </c>
      <c r="K997" t="s">
        <v>78</v>
      </c>
      <c r="L997" t="s">
        <v>75</v>
      </c>
      <c r="M997" t="s">
        <v>76</v>
      </c>
      <c r="N997" t="s">
        <v>770</v>
      </c>
      <c r="O997" t="s">
        <v>82</v>
      </c>
      <c r="P997" t="str">
        <f>"2170720844                    "</f>
        <v xml:space="preserve">2170720844                    </v>
      </c>
      <c r="Q997">
        <v>0</v>
      </c>
      <c r="R997">
        <v>0</v>
      </c>
      <c r="S997">
        <v>0</v>
      </c>
      <c r="T997">
        <v>0</v>
      </c>
      <c r="U997">
        <v>0</v>
      </c>
      <c r="V997">
        <v>0</v>
      </c>
      <c r="W997">
        <v>0</v>
      </c>
      <c r="X997">
        <v>0</v>
      </c>
      <c r="Y997">
        <v>0</v>
      </c>
      <c r="Z997">
        <v>0</v>
      </c>
      <c r="AA997">
        <v>0</v>
      </c>
      <c r="AB997">
        <v>0</v>
      </c>
      <c r="AC997">
        <v>0</v>
      </c>
      <c r="AD997">
        <v>0</v>
      </c>
      <c r="AE997">
        <v>0</v>
      </c>
      <c r="AF997">
        <v>0</v>
      </c>
      <c r="AG997">
        <v>0</v>
      </c>
      <c r="AH997">
        <v>0</v>
      </c>
      <c r="AI997">
        <v>0</v>
      </c>
      <c r="AJ997">
        <v>0</v>
      </c>
      <c r="AK997">
        <v>0</v>
      </c>
      <c r="AL997">
        <v>0</v>
      </c>
      <c r="AM997">
        <v>6.71</v>
      </c>
      <c r="AN997">
        <v>0</v>
      </c>
      <c r="AO997">
        <v>0</v>
      </c>
      <c r="AP997">
        <v>0</v>
      </c>
      <c r="AQ997">
        <v>0</v>
      </c>
      <c r="AR997">
        <v>0</v>
      </c>
      <c r="AS997">
        <v>0</v>
      </c>
      <c r="AT997">
        <v>0</v>
      </c>
      <c r="AU997">
        <v>0</v>
      </c>
      <c r="AV997">
        <v>0</v>
      </c>
      <c r="AW997">
        <v>0</v>
      </c>
      <c r="AX997">
        <v>0</v>
      </c>
      <c r="AY997">
        <v>0</v>
      </c>
      <c r="AZ997">
        <v>0</v>
      </c>
      <c r="BA997">
        <v>0</v>
      </c>
      <c r="BB997">
        <v>0</v>
      </c>
      <c r="BC997">
        <v>0</v>
      </c>
      <c r="BD997">
        <v>0</v>
      </c>
      <c r="BE997">
        <v>0</v>
      </c>
      <c r="BF997">
        <v>0</v>
      </c>
      <c r="BG997">
        <v>0</v>
      </c>
      <c r="BH997">
        <v>1</v>
      </c>
      <c r="BI997">
        <v>1</v>
      </c>
      <c r="BJ997">
        <v>0.2</v>
      </c>
      <c r="BK997">
        <v>1</v>
      </c>
      <c r="BL997" s="4">
        <v>39.42</v>
      </c>
      <c r="BM997" s="4">
        <v>5.91</v>
      </c>
      <c r="BN997" s="4">
        <v>45.33</v>
      </c>
      <c r="BO997" s="4">
        <v>45.33</v>
      </c>
      <c r="BQ997" t="s">
        <v>147</v>
      </c>
      <c r="BR997" t="s">
        <v>84</v>
      </c>
      <c r="BS997" s="3">
        <v>43809</v>
      </c>
      <c r="BT997" s="5">
        <v>0.3263888888888889</v>
      </c>
      <c r="BU997" t="s">
        <v>1409</v>
      </c>
      <c r="BV997" t="s">
        <v>86</v>
      </c>
      <c r="BY997">
        <v>1200</v>
      </c>
      <c r="CA997" t="s">
        <v>155</v>
      </c>
      <c r="CC997" t="s">
        <v>76</v>
      </c>
      <c r="CD997">
        <v>1601</v>
      </c>
      <c r="CE997" t="s">
        <v>88</v>
      </c>
      <c r="CF997" s="3">
        <v>43810</v>
      </c>
      <c r="CI997">
        <v>1</v>
      </c>
      <c r="CJ997">
        <v>1</v>
      </c>
      <c r="CK997">
        <v>22</v>
      </c>
      <c r="CL997" t="s">
        <v>89</v>
      </c>
    </row>
    <row r="998" spans="1:90">
      <c r="A998" t="s">
        <v>72</v>
      </c>
      <c r="B998" t="s">
        <v>73</v>
      </c>
      <c r="C998" t="s">
        <v>74</v>
      </c>
      <c r="E998" t="str">
        <f>"FES1162727433"</f>
        <v>FES1162727433</v>
      </c>
      <c r="F998" s="3">
        <v>43808</v>
      </c>
      <c r="G998">
        <v>202006</v>
      </c>
      <c r="H998" t="s">
        <v>75</v>
      </c>
      <c r="I998" t="s">
        <v>76</v>
      </c>
      <c r="J998" t="s">
        <v>77</v>
      </c>
      <c r="K998" t="s">
        <v>78</v>
      </c>
      <c r="L998" t="s">
        <v>90</v>
      </c>
      <c r="M998" t="s">
        <v>91</v>
      </c>
      <c r="N998" t="s">
        <v>219</v>
      </c>
      <c r="O998" t="s">
        <v>82</v>
      </c>
      <c r="P998" t="str">
        <f>"2170720923                    "</f>
        <v xml:space="preserve">2170720923                    </v>
      </c>
      <c r="Q998">
        <v>0</v>
      </c>
      <c r="R998">
        <v>0</v>
      </c>
      <c r="S998">
        <v>0</v>
      </c>
      <c r="T998">
        <v>0</v>
      </c>
      <c r="U998">
        <v>0</v>
      </c>
      <c r="V998">
        <v>0</v>
      </c>
      <c r="W998">
        <v>0</v>
      </c>
      <c r="X998">
        <v>0</v>
      </c>
      <c r="Y998">
        <v>0</v>
      </c>
      <c r="Z998">
        <v>0</v>
      </c>
      <c r="AA998">
        <v>0</v>
      </c>
      <c r="AB998">
        <v>0</v>
      </c>
      <c r="AC998">
        <v>0</v>
      </c>
      <c r="AD998">
        <v>0</v>
      </c>
      <c r="AE998">
        <v>0</v>
      </c>
      <c r="AF998">
        <v>0</v>
      </c>
      <c r="AG998">
        <v>0</v>
      </c>
      <c r="AH998">
        <v>0</v>
      </c>
      <c r="AI998">
        <v>0</v>
      </c>
      <c r="AJ998">
        <v>0</v>
      </c>
      <c r="AK998">
        <v>0</v>
      </c>
      <c r="AL998">
        <v>0</v>
      </c>
      <c r="AM998">
        <v>8.58</v>
      </c>
      <c r="AN998">
        <v>0</v>
      </c>
      <c r="AO998">
        <v>0</v>
      </c>
      <c r="AP998">
        <v>0</v>
      </c>
      <c r="AQ998">
        <v>0</v>
      </c>
      <c r="AR998">
        <v>0</v>
      </c>
      <c r="AS998">
        <v>0</v>
      </c>
      <c r="AT998">
        <v>0</v>
      </c>
      <c r="AU998">
        <v>0</v>
      </c>
      <c r="AV998">
        <v>0</v>
      </c>
      <c r="AW998">
        <v>0</v>
      </c>
      <c r="AX998">
        <v>0</v>
      </c>
      <c r="AY998">
        <v>0</v>
      </c>
      <c r="AZ998">
        <v>0</v>
      </c>
      <c r="BA998">
        <v>0</v>
      </c>
      <c r="BB998">
        <v>0</v>
      </c>
      <c r="BC998">
        <v>0</v>
      </c>
      <c r="BD998">
        <v>0</v>
      </c>
      <c r="BE998">
        <v>0</v>
      </c>
      <c r="BF998">
        <v>0</v>
      </c>
      <c r="BG998">
        <v>0</v>
      </c>
      <c r="BH998">
        <v>1</v>
      </c>
      <c r="BI998">
        <v>1</v>
      </c>
      <c r="BJ998">
        <v>0.2</v>
      </c>
      <c r="BK998">
        <v>1</v>
      </c>
      <c r="BL998" s="4">
        <v>50.45</v>
      </c>
      <c r="BM998" s="4">
        <v>7.57</v>
      </c>
      <c r="BN998" s="4">
        <v>58.02</v>
      </c>
      <c r="BO998" s="4">
        <v>58.02</v>
      </c>
      <c r="BQ998" t="s">
        <v>147</v>
      </c>
      <c r="BR998" t="s">
        <v>84</v>
      </c>
      <c r="BS998" s="3">
        <v>43809</v>
      </c>
      <c r="BT998" s="5">
        <v>0.3430555555555555</v>
      </c>
      <c r="BU998" t="s">
        <v>220</v>
      </c>
      <c r="BV998" t="s">
        <v>86</v>
      </c>
      <c r="BY998">
        <v>1200</v>
      </c>
      <c r="CA998" t="s">
        <v>112</v>
      </c>
      <c r="CC998" t="s">
        <v>91</v>
      </c>
      <c r="CD998">
        <v>7441</v>
      </c>
      <c r="CE998" t="s">
        <v>88</v>
      </c>
      <c r="CF998" s="3">
        <v>43810</v>
      </c>
      <c r="CI998">
        <v>1</v>
      </c>
      <c r="CJ998">
        <v>1</v>
      </c>
      <c r="CK998">
        <v>21</v>
      </c>
      <c r="CL998" t="s">
        <v>89</v>
      </c>
    </row>
    <row r="999" spans="1:90">
      <c r="A999" t="s">
        <v>72</v>
      </c>
      <c r="B999" t="s">
        <v>73</v>
      </c>
      <c r="C999" t="s">
        <v>74</v>
      </c>
      <c r="E999" t="str">
        <f>"FES1162727394"</f>
        <v>FES1162727394</v>
      </c>
      <c r="F999" s="3">
        <v>43808</v>
      </c>
      <c r="G999">
        <v>202006</v>
      </c>
      <c r="H999" t="s">
        <v>75</v>
      </c>
      <c r="I999" t="s">
        <v>76</v>
      </c>
      <c r="J999" t="s">
        <v>77</v>
      </c>
      <c r="K999" t="s">
        <v>78</v>
      </c>
      <c r="L999" t="s">
        <v>446</v>
      </c>
      <c r="M999" t="s">
        <v>447</v>
      </c>
      <c r="N999" t="s">
        <v>448</v>
      </c>
      <c r="O999" t="s">
        <v>82</v>
      </c>
      <c r="P999" t="str">
        <f>"2170720885                    "</f>
        <v xml:space="preserve">2170720885                    </v>
      </c>
      <c r="Q999">
        <v>0</v>
      </c>
      <c r="R999">
        <v>0</v>
      </c>
      <c r="S999">
        <v>0</v>
      </c>
      <c r="T999">
        <v>0</v>
      </c>
      <c r="U999">
        <v>0</v>
      </c>
      <c r="V999">
        <v>0</v>
      </c>
      <c r="W999">
        <v>0</v>
      </c>
      <c r="X999">
        <v>0</v>
      </c>
      <c r="Y999">
        <v>0</v>
      </c>
      <c r="Z999">
        <v>0</v>
      </c>
      <c r="AA999">
        <v>0</v>
      </c>
      <c r="AB999">
        <v>0</v>
      </c>
      <c r="AC999">
        <v>0</v>
      </c>
      <c r="AD999">
        <v>0</v>
      </c>
      <c r="AE999">
        <v>0</v>
      </c>
      <c r="AF999">
        <v>0</v>
      </c>
      <c r="AG999">
        <v>0</v>
      </c>
      <c r="AH999">
        <v>0</v>
      </c>
      <c r="AI999">
        <v>0</v>
      </c>
      <c r="AJ999">
        <v>0</v>
      </c>
      <c r="AK999">
        <v>0</v>
      </c>
      <c r="AL999">
        <v>0</v>
      </c>
      <c r="AM999">
        <v>8.58</v>
      </c>
      <c r="AN999">
        <v>0</v>
      </c>
      <c r="AO999">
        <v>0</v>
      </c>
      <c r="AP999">
        <v>0</v>
      </c>
      <c r="AQ999">
        <v>0</v>
      </c>
      <c r="AR999">
        <v>0</v>
      </c>
      <c r="AS999">
        <v>0</v>
      </c>
      <c r="AT999">
        <v>0</v>
      </c>
      <c r="AU999">
        <v>0</v>
      </c>
      <c r="AV999">
        <v>0</v>
      </c>
      <c r="AW999">
        <v>0</v>
      </c>
      <c r="AX999">
        <v>0</v>
      </c>
      <c r="AY999">
        <v>0</v>
      </c>
      <c r="AZ999">
        <v>0</v>
      </c>
      <c r="BA999">
        <v>0</v>
      </c>
      <c r="BB999">
        <v>0</v>
      </c>
      <c r="BC999">
        <v>0</v>
      </c>
      <c r="BD999">
        <v>0</v>
      </c>
      <c r="BE999">
        <v>0</v>
      </c>
      <c r="BF999">
        <v>0</v>
      </c>
      <c r="BG999">
        <v>0</v>
      </c>
      <c r="BH999">
        <v>1</v>
      </c>
      <c r="BI999">
        <v>1</v>
      </c>
      <c r="BJ999">
        <v>0.2</v>
      </c>
      <c r="BK999">
        <v>1</v>
      </c>
      <c r="BL999" s="4">
        <v>50.45</v>
      </c>
      <c r="BM999" s="4">
        <v>7.57</v>
      </c>
      <c r="BN999" s="4">
        <v>58.02</v>
      </c>
      <c r="BO999" s="4">
        <v>58.02</v>
      </c>
      <c r="BQ999" t="s">
        <v>256</v>
      </c>
      <c r="BR999" t="s">
        <v>84</v>
      </c>
      <c r="BS999" s="3">
        <v>43809</v>
      </c>
      <c r="BT999" s="5">
        <v>0.42083333333333334</v>
      </c>
      <c r="BU999" t="s">
        <v>1425</v>
      </c>
      <c r="BV999" t="s">
        <v>86</v>
      </c>
      <c r="BY999">
        <v>1200</v>
      </c>
      <c r="CA999" t="s">
        <v>270</v>
      </c>
      <c r="CC999" t="s">
        <v>447</v>
      </c>
      <c r="CD999">
        <v>4113</v>
      </c>
      <c r="CE999" t="s">
        <v>88</v>
      </c>
      <c r="CF999" s="3">
        <v>43810</v>
      </c>
      <c r="CI999">
        <v>1</v>
      </c>
      <c r="CJ999">
        <v>1</v>
      </c>
      <c r="CK999">
        <v>21</v>
      </c>
      <c r="CL999" t="s">
        <v>89</v>
      </c>
    </row>
    <row r="1000" spans="1:90">
      <c r="A1000" t="s">
        <v>72</v>
      </c>
      <c r="B1000" t="s">
        <v>73</v>
      </c>
      <c r="C1000" t="s">
        <v>74</v>
      </c>
      <c r="E1000" t="str">
        <f>"FES1162727475"</f>
        <v>FES1162727475</v>
      </c>
      <c r="F1000" s="3">
        <v>43808</v>
      </c>
      <c r="G1000">
        <v>202006</v>
      </c>
      <c r="H1000" t="s">
        <v>75</v>
      </c>
      <c r="I1000" t="s">
        <v>76</v>
      </c>
      <c r="J1000" t="s">
        <v>77</v>
      </c>
      <c r="K1000" t="s">
        <v>78</v>
      </c>
      <c r="L1000" t="s">
        <v>90</v>
      </c>
      <c r="M1000" t="s">
        <v>91</v>
      </c>
      <c r="N1000" t="s">
        <v>543</v>
      </c>
      <c r="O1000" t="s">
        <v>82</v>
      </c>
      <c r="P1000" t="str">
        <f>"2170720508                    "</f>
        <v xml:space="preserve">2170720508                    </v>
      </c>
      <c r="Q1000">
        <v>0</v>
      </c>
      <c r="R1000">
        <v>0</v>
      </c>
      <c r="S1000">
        <v>0</v>
      </c>
      <c r="T1000">
        <v>0</v>
      </c>
      <c r="U1000">
        <v>0</v>
      </c>
      <c r="V1000">
        <v>0</v>
      </c>
      <c r="W1000">
        <v>0</v>
      </c>
      <c r="X1000">
        <v>0</v>
      </c>
      <c r="Y1000">
        <v>0</v>
      </c>
      <c r="Z1000">
        <v>0</v>
      </c>
      <c r="AA1000">
        <v>0</v>
      </c>
      <c r="AB1000">
        <v>0</v>
      </c>
      <c r="AC1000">
        <v>0</v>
      </c>
      <c r="AD1000">
        <v>0</v>
      </c>
      <c r="AE1000">
        <v>0</v>
      </c>
      <c r="AF1000">
        <v>0</v>
      </c>
      <c r="AG1000">
        <v>0</v>
      </c>
      <c r="AH1000">
        <v>0</v>
      </c>
      <c r="AI1000">
        <v>0</v>
      </c>
      <c r="AJ1000">
        <v>0</v>
      </c>
      <c r="AK1000">
        <v>0</v>
      </c>
      <c r="AL1000">
        <v>0</v>
      </c>
      <c r="AM1000">
        <v>8.58</v>
      </c>
      <c r="AN1000">
        <v>0</v>
      </c>
      <c r="AO1000">
        <v>0</v>
      </c>
      <c r="AP1000">
        <v>0</v>
      </c>
      <c r="AQ1000">
        <v>0</v>
      </c>
      <c r="AR1000">
        <v>0</v>
      </c>
      <c r="AS1000">
        <v>0</v>
      </c>
      <c r="AT1000">
        <v>0</v>
      </c>
      <c r="AU1000">
        <v>0</v>
      </c>
      <c r="AV1000">
        <v>0</v>
      </c>
      <c r="AW1000">
        <v>0</v>
      </c>
      <c r="AX1000">
        <v>0</v>
      </c>
      <c r="AY1000">
        <v>0</v>
      </c>
      <c r="AZ1000">
        <v>0</v>
      </c>
      <c r="BA1000">
        <v>0</v>
      </c>
      <c r="BB1000">
        <v>0</v>
      </c>
      <c r="BC1000">
        <v>0</v>
      </c>
      <c r="BD1000">
        <v>0</v>
      </c>
      <c r="BE1000">
        <v>0</v>
      </c>
      <c r="BF1000">
        <v>0</v>
      </c>
      <c r="BG1000">
        <v>0</v>
      </c>
      <c r="BH1000">
        <v>1</v>
      </c>
      <c r="BI1000">
        <v>1</v>
      </c>
      <c r="BJ1000">
        <v>0.2</v>
      </c>
      <c r="BK1000">
        <v>1</v>
      </c>
      <c r="BL1000" s="4">
        <v>50.45</v>
      </c>
      <c r="BM1000" s="4">
        <v>7.57</v>
      </c>
      <c r="BN1000" s="4">
        <v>58.02</v>
      </c>
      <c r="BO1000" s="4">
        <v>58.02</v>
      </c>
      <c r="BQ1000" t="s">
        <v>544</v>
      </c>
      <c r="BR1000" t="s">
        <v>84</v>
      </c>
      <c r="BS1000" s="3">
        <v>43809</v>
      </c>
      <c r="BT1000" s="5">
        <v>0.50208333333333333</v>
      </c>
      <c r="BU1000" t="s">
        <v>769</v>
      </c>
      <c r="BV1000" t="s">
        <v>89</v>
      </c>
      <c r="BW1000" t="s">
        <v>593</v>
      </c>
      <c r="BX1000" t="s">
        <v>284</v>
      </c>
      <c r="BY1000">
        <v>1200</v>
      </c>
      <c r="CA1000" t="s">
        <v>273</v>
      </c>
      <c r="CC1000" t="s">
        <v>91</v>
      </c>
      <c r="CD1000">
        <v>8000</v>
      </c>
      <c r="CE1000" t="s">
        <v>88</v>
      </c>
      <c r="CF1000" s="3">
        <v>43810</v>
      </c>
      <c r="CI1000">
        <v>1</v>
      </c>
      <c r="CJ1000">
        <v>1</v>
      </c>
      <c r="CK1000">
        <v>21</v>
      </c>
      <c r="CL1000" t="s">
        <v>89</v>
      </c>
    </row>
    <row r="1001" spans="1:90">
      <c r="A1001" t="s">
        <v>72</v>
      </c>
      <c r="B1001" t="s">
        <v>73</v>
      </c>
      <c r="C1001" t="s">
        <v>74</v>
      </c>
      <c r="E1001" t="str">
        <f>"FES1162727505"</f>
        <v>FES1162727505</v>
      </c>
      <c r="F1001" s="3">
        <v>43809</v>
      </c>
      <c r="G1001">
        <v>202006</v>
      </c>
      <c r="H1001" t="s">
        <v>75</v>
      </c>
      <c r="I1001" t="s">
        <v>76</v>
      </c>
      <c r="J1001" t="s">
        <v>77</v>
      </c>
      <c r="K1001" t="s">
        <v>78</v>
      </c>
      <c r="L1001" t="s">
        <v>79</v>
      </c>
      <c r="M1001" t="s">
        <v>80</v>
      </c>
      <c r="N1001" t="s">
        <v>1127</v>
      </c>
      <c r="O1001" t="s">
        <v>82</v>
      </c>
      <c r="P1001" t="str">
        <f>"2170710507                    "</f>
        <v xml:space="preserve">2170710507                    </v>
      </c>
      <c r="Q1001">
        <v>0</v>
      </c>
      <c r="R1001">
        <v>0</v>
      </c>
      <c r="S1001">
        <v>0</v>
      </c>
      <c r="T1001">
        <v>0</v>
      </c>
      <c r="U1001">
        <v>0</v>
      </c>
      <c r="V1001">
        <v>0</v>
      </c>
      <c r="W1001">
        <v>0</v>
      </c>
      <c r="X1001">
        <v>0</v>
      </c>
      <c r="Y1001">
        <v>0</v>
      </c>
      <c r="Z1001">
        <v>0</v>
      </c>
      <c r="AA1001">
        <v>0</v>
      </c>
      <c r="AB1001">
        <v>0</v>
      </c>
      <c r="AC1001">
        <v>0</v>
      </c>
      <c r="AD1001">
        <v>0</v>
      </c>
      <c r="AE1001">
        <v>0</v>
      </c>
      <c r="AF1001">
        <v>0</v>
      </c>
      <c r="AG1001">
        <v>0</v>
      </c>
      <c r="AH1001">
        <v>0</v>
      </c>
      <c r="AI1001">
        <v>0</v>
      </c>
      <c r="AJ1001">
        <v>0</v>
      </c>
      <c r="AK1001">
        <v>0</v>
      </c>
      <c r="AL1001">
        <v>0</v>
      </c>
      <c r="AM1001">
        <v>8.58</v>
      </c>
      <c r="AN1001">
        <v>0</v>
      </c>
      <c r="AO1001">
        <v>0</v>
      </c>
      <c r="AP1001">
        <v>0</v>
      </c>
      <c r="AQ1001">
        <v>0</v>
      </c>
      <c r="AR1001">
        <v>0</v>
      </c>
      <c r="AS1001">
        <v>0</v>
      </c>
      <c r="AT1001">
        <v>0</v>
      </c>
      <c r="AU1001">
        <v>0</v>
      </c>
      <c r="AV1001">
        <v>0</v>
      </c>
      <c r="AW1001">
        <v>0</v>
      </c>
      <c r="AX1001">
        <v>0</v>
      </c>
      <c r="AY1001">
        <v>0</v>
      </c>
      <c r="AZ1001">
        <v>0</v>
      </c>
      <c r="BA1001">
        <v>0</v>
      </c>
      <c r="BB1001">
        <v>0</v>
      </c>
      <c r="BC1001">
        <v>0</v>
      </c>
      <c r="BD1001">
        <v>0</v>
      </c>
      <c r="BE1001">
        <v>0</v>
      </c>
      <c r="BF1001">
        <v>0</v>
      </c>
      <c r="BG1001">
        <v>0</v>
      </c>
      <c r="BH1001">
        <v>1</v>
      </c>
      <c r="BI1001">
        <v>1</v>
      </c>
      <c r="BJ1001">
        <v>0.2</v>
      </c>
      <c r="BK1001">
        <v>1</v>
      </c>
      <c r="BL1001" s="4">
        <v>50.45</v>
      </c>
      <c r="BM1001" s="4">
        <v>7.57</v>
      </c>
      <c r="BN1001" s="4">
        <v>58.02</v>
      </c>
      <c r="BO1001" s="4">
        <v>58.02</v>
      </c>
      <c r="BQ1001" t="s">
        <v>93</v>
      </c>
      <c r="BR1001" t="s">
        <v>84</v>
      </c>
      <c r="BS1001" s="3">
        <v>43810</v>
      </c>
      <c r="BT1001" s="5">
        <v>0.4145833333333333</v>
      </c>
      <c r="BU1001" t="s">
        <v>184</v>
      </c>
      <c r="BV1001" t="s">
        <v>86</v>
      </c>
      <c r="BY1001">
        <v>1200</v>
      </c>
      <c r="CA1001" t="s">
        <v>185</v>
      </c>
      <c r="CC1001" t="s">
        <v>80</v>
      </c>
      <c r="CD1001">
        <v>6001</v>
      </c>
      <c r="CE1001" t="s">
        <v>88</v>
      </c>
      <c r="CF1001" s="3">
        <v>43811</v>
      </c>
      <c r="CI1001">
        <v>1</v>
      </c>
      <c r="CJ1001">
        <v>1</v>
      </c>
      <c r="CK1001">
        <v>21</v>
      </c>
      <c r="CL1001" t="s">
        <v>89</v>
      </c>
    </row>
    <row r="1002" spans="1:90">
      <c r="A1002" t="s">
        <v>72</v>
      </c>
      <c r="B1002" t="s">
        <v>73</v>
      </c>
      <c r="C1002" t="s">
        <v>74</v>
      </c>
      <c r="E1002" t="str">
        <f>"FES1162727538"</f>
        <v>FES1162727538</v>
      </c>
      <c r="F1002" s="3">
        <v>43809</v>
      </c>
      <c r="G1002">
        <v>202006</v>
      </c>
      <c r="H1002" t="s">
        <v>75</v>
      </c>
      <c r="I1002" t="s">
        <v>76</v>
      </c>
      <c r="J1002" t="s">
        <v>77</v>
      </c>
      <c r="K1002" t="s">
        <v>78</v>
      </c>
      <c r="L1002" t="s">
        <v>498</v>
      </c>
      <c r="M1002" t="s">
        <v>499</v>
      </c>
      <c r="N1002" t="s">
        <v>500</v>
      </c>
      <c r="O1002" t="s">
        <v>82</v>
      </c>
      <c r="P1002" t="str">
        <f>"2170712101                    "</f>
        <v xml:space="preserve">2170712101                    </v>
      </c>
      <c r="Q1002">
        <v>0</v>
      </c>
      <c r="R1002">
        <v>0</v>
      </c>
      <c r="S1002">
        <v>0</v>
      </c>
      <c r="T1002">
        <v>0</v>
      </c>
      <c r="U1002">
        <v>0</v>
      </c>
      <c r="V1002">
        <v>0</v>
      </c>
      <c r="W1002">
        <v>0</v>
      </c>
      <c r="X1002">
        <v>0</v>
      </c>
      <c r="Y1002">
        <v>0</v>
      </c>
      <c r="Z1002">
        <v>0</v>
      </c>
      <c r="AA1002">
        <v>0</v>
      </c>
      <c r="AB1002">
        <v>0</v>
      </c>
      <c r="AC1002">
        <v>0</v>
      </c>
      <c r="AD1002">
        <v>0</v>
      </c>
      <c r="AE1002">
        <v>0</v>
      </c>
      <c r="AF1002">
        <v>0</v>
      </c>
      <c r="AG1002">
        <v>0</v>
      </c>
      <c r="AH1002">
        <v>0</v>
      </c>
      <c r="AI1002">
        <v>0</v>
      </c>
      <c r="AJ1002">
        <v>0</v>
      </c>
      <c r="AK1002">
        <v>0</v>
      </c>
      <c r="AL1002">
        <v>0</v>
      </c>
      <c r="AM1002">
        <v>16.63</v>
      </c>
      <c r="AN1002">
        <v>0</v>
      </c>
      <c r="AO1002">
        <v>0</v>
      </c>
      <c r="AP1002">
        <v>0</v>
      </c>
      <c r="AQ1002">
        <v>0</v>
      </c>
      <c r="AR1002">
        <v>0</v>
      </c>
      <c r="AS1002">
        <v>0</v>
      </c>
      <c r="AT1002">
        <v>0</v>
      </c>
      <c r="AU1002">
        <v>0</v>
      </c>
      <c r="AV1002">
        <v>0</v>
      </c>
      <c r="AW1002">
        <v>0</v>
      </c>
      <c r="AX1002">
        <v>0</v>
      </c>
      <c r="AY1002">
        <v>0</v>
      </c>
      <c r="AZ1002">
        <v>0</v>
      </c>
      <c r="BA1002">
        <v>0</v>
      </c>
      <c r="BB1002">
        <v>0</v>
      </c>
      <c r="BC1002">
        <v>0</v>
      </c>
      <c r="BD1002">
        <v>0</v>
      </c>
      <c r="BE1002">
        <v>0</v>
      </c>
      <c r="BF1002">
        <v>0</v>
      </c>
      <c r="BG1002">
        <v>0</v>
      </c>
      <c r="BH1002">
        <v>1</v>
      </c>
      <c r="BI1002">
        <v>1</v>
      </c>
      <c r="BJ1002">
        <v>0.2</v>
      </c>
      <c r="BK1002">
        <v>1</v>
      </c>
      <c r="BL1002" s="4">
        <v>97.75</v>
      </c>
      <c r="BM1002" s="4">
        <v>14.66</v>
      </c>
      <c r="BN1002" s="4">
        <v>112.41</v>
      </c>
      <c r="BO1002" s="4">
        <v>112.41</v>
      </c>
      <c r="BQ1002" t="s">
        <v>147</v>
      </c>
      <c r="BR1002" t="s">
        <v>84</v>
      </c>
      <c r="BS1002" s="3">
        <v>43810</v>
      </c>
      <c r="BT1002" s="5">
        <v>0.39583333333333331</v>
      </c>
      <c r="BU1002" t="s">
        <v>148</v>
      </c>
      <c r="BV1002" t="s">
        <v>86</v>
      </c>
      <c r="BY1002">
        <v>1200</v>
      </c>
      <c r="CA1002" t="s">
        <v>1413</v>
      </c>
      <c r="CC1002" t="s">
        <v>499</v>
      </c>
      <c r="CD1002">
        <v>9700</v>
      </c>
      <c r="CE1002" t="s">
        <v>88</v>
      </c>
      <c r="CF1002" s="3">
        <v>43812</v>
      </c>
      <c r="CI1002">
        <v>1</v>
      </c>
      <c r="CJ1002">
        <v>1</v>
      </c>
      <c r="CK1002">
        <v>23</v>
      </c>
      <c r="CL1002" t="s">
        <v>89</v>
      </c>
    </row>
    <row r="1003" spans="1:90">
      <c r="A1003" t="s">
        <v>72</v>
      </c>
      <c r="B1003" t="s">
        <v>73</v>
      </c>
      <c r="C1003" t="s">
        <v>74</v>
      </c>
      <c r="E1003" t="str">
        <f>"FES1162727495"</f>
        <v>FES1162727495</v>
      </c>
      <c r="F1003" s="3">
        <v>43809</v>
      </c>
      <c r="G1003">
        <v>202006</v>
      </c>
      <c r="H1003" t="s">
        <v>75</v>
      </c>
      <c r="I1003" t="s">
        <v>76</v>
      </c>
      <c r="J1003" t="s">
        <v>77</v>
      </c>
      <c r="K1003" t="s">
        <v>78</v>
      </c>
      <c r="L1003" t="s">
        <v>667</v>
      </c>
      <c r="M1003" t="s">
        <v>668</v>
      </c>
      <c r="N1003" t="s">
        <v>1526</v>
      </c>
      <c r="O1003" t="s">
        <v>82</v>
      </c>
      <c r="P1003" t="str">
        <f>"2170710980                    "</f>
        <v xml:space="preserve">2170710980                    </v>
      </c>
      <c r="Q1003">
        <v>0</v>
      </c>
      <c r="R1003">
        <v>0</v>
      </c>
      <c r="S1003">
        <v>0</v>
      </c>
      <c r="T1003">
        <v>0</v>
      </c>
      <c r="U1003">
        <v>0</v>
      </c>
      <c r="V1003">
        <v>0</v>
      </c>
      <c r="W1003">
        <v>0</v>
      </c>
      <c r="X1003">
        <v>0</v>
      </c>
      <c r="Y1003">
        <v>0</v>
      </c>
      <c r="Z1003">
        <v>0</v>
      </c>
      <c r="AA1003">
        <v>0</v>
      </c>
      <c r="AB1003">
        <v>0</v>
      </c>
      <c r="AC1003">
        <v>0</v>
      </c>
      <c r="AD1003">
        <v>0</v>
      </c>
      <c r="AE1003">
        <v>0</v>
      </c>
      <c r="AF1003">
        <v>0</v>
      </c>
      <c r="AG1003">
        <v>0</v>
      </c>
      <c r="AH1003">
        <v>0</v>
      </c>
      <c r="AI1003">
        <v>0</v>
      </c>
      <c r="AJ1003">
        <v>0</v>
      </c>
      <c r="AK1003">
        <v>0</v>
      </c>
      <c r="AL1003">
        <v>0</v>
      </c>
      <c r="AM1003">
        <v>12.07</v>
      </c>
      <c r="AN1003">
        <v>0</v>
      </c>
      <c r="AO1003">
        <v>0</v>
      </c>
      <c r="AP1003">
        <v>0</v>
      </c>
      <c r="AQ1003">
        <v>0</v>
      </c>
      <c r="AR1003">
        <v>0</v>
      </c>
      <c r="AS1003">
        <v>0</v>
      </c>
      <c r="AT1003">
        <v>0</v>
      </c>
      <c r="AU1003">
        <v>0</v>
      </c>
      <c r="AV1003">
        <v>0</v>
      </c>
      <c r="AW1003">
        <v>0</v>
      </c>
      <c r="AX1003">
        <v>0</v>
      </c>
      <c r="AY1003">
        <v>0</v>
      </c>
      <c r="AZ1003">
        <v>0</v>
      </c>
      <c r="BA1003">
        <v>0</v>
      </c>
      <c r="BB1003">
        <v>0</v>
      </c>
      <c r="BC1003">
        <v>0</v>
      </c>
      <c r="BD1003">
        <v>0</v>
      </c>
      <c r="BE1003">
        <v>0</v>
      </c>
      <c r="BF1003">
        <v>0</v>
      </c>
      <c r="BG1003">
        <v>0</v>
      </c>
      <c r="BH1003">
        <v>1</v>
      </c>
      <c r="BI1003">
        <v>1</v>
      </c>
      <c r="BJ1003">
        <v>0.2</v>
      </c>
      <c r="BK1003">
        <v>1</v>
      </c>
      <c r="BL1003" s="4">
        <v>70.95</v>
      </c>
      <c r="BM1003" s="4">
        <v>10.64</v>
      </c>
      <c r="BN1003" s="4">
        <v>81.59</v>
      </c>
      <c r="BO1003" s="4">
        <v>81.59</v>
      </c>
      <c r="BQ1003" t="s">
        <v>147</v>
      </c>
      <c r="BR1003" t="s">
        <v>84</v>
      </c>
      <c r="BS1003" s="3">
        <v>43810</v>
      </c>
      <c r="BT1003" s="5">
        <v>0.3125</v>
      </c>
      <c r="BU1003" t="s">
        <v>142</v>
      </c>
      <c r="BV1003" t="s">
        <v>86</v>
      </c>
      <c r="BY1003">
        <v>1200</v>
      </c>
      <c r="CC1003" t="s">
        <v>668</v>
      </c>
      <c r="CD1003">
        <v>1759</v>
      </c>
      <c r="CE1003" t="s">
        <v>88</v>
      </c>
      <c r="CF1003" s="3">
        <v>43811</v>
      </c>
      <c r="CI1003">
        <v>1</v>
      </c>
      <c r="CJ1003">
        <v>1</v>
      </c>
      <c r="CK1003">
        <v>24</v>
      </c>
      <c r="CL1003" t="s">
        <v>89</v>
      </c>
    </row>
    <row r="1004" spans="1:90">
      <c r="A1004" t="s">
        <v>72</v>
      </c>
      <c r="B1004" t="s">
        <v>73</v>
      </c>
      <c r="C1004" t="s">
        <v>74</v>
      </c>
      <c r="E1004" t="str">
        <f>"FES1162727530"</f>
        <v>FES1162727530</v>
      </c>
      <c r="F1004" s="3">
        <v>43809</v>
      </c>
      <c r="G1004">
        <v>202006</v>
      </c>
      <c r="H1004" t="s">
        <v>75</v>
      </c>
      <c r="I1004" t="s">
        <v>76</v>
      </c>
      <c r="J1004" t="s">
        <v>77</v>
      </c>
      <c r="K1004" t="s">
        <v>78</v>
      </c>
      <c r="L1004" t="s">
        <v>90</v>
      </c>
      <c r="M1004" t="s">
        <v>91</v>
      </c>
      <c r="N1004" t="s">
        <v>110</v>
      </c>
      <c r="O1004" t="s">
        <v>82</v>
      </c>
      <c r="P1004" t="str">
        <f>"2170712001                    "</f>
        <v xml:space="preserve">2170712001                    </v>
      </c>
      <c r="Q1004">
        <v>0</v>
      </c>
      <c r="R1004">
        <v>0</v>
      </c>
      <c r="S1004">
        <v>0</v>
      </c>
      <c r="T1004">
        <v>0</v>
      </c>
      <c r="U1004">
        <v>0</v>
      </c>
      <c r="V1004">
        <v>0</v>
      </c>
      <c r="W1004">
        <v>0</v>
      </c>
      <c r="X1004">
        <v>0</v>
      </c>
      <c r="Y1004">
        <v>0</v>
      </c>
      <c r="Z1004">
        <v>0</v>
      </c>
      <c r="AA1004">
        <v>0</v>
      </c>
      <c r="AB1004">
        <v>0</v>
      </c>
      <c r="AC1004">
        <v>0</v>
      </c>
      <c r="AD1004">
        <v>0</v>
      </c>
      <c r="AE1004">
        <v>0</v>
      </c>
      <c r="AF1004">
        <v>0</v>
      </c>
      <c r="AG1004">
        <v>0</v>
      </c>
      <c r="AH1004">
        <v>0</v>
      </c>
      <c r="AI1004">
        <v>0</v>
      </c>
      <c r="AJ1004">
        <v>0</v>
      </c>
      <c r="AK1004">
        <v>0</v>
      </c>
      <c r="AL1004">
        <v>0</v>
      </c>
      <c r="AM1004">
        <v>8.58</v>
      </c>
      <c r="AN1004">
        <v>0</v>
      </c>
      <c r="AO1004">
        <v>0</v>
      </c>
      <c r="AP1004">
        <v>0</v>
      </c>
      <c r="AQ1004">
        <v>0</v>
      </c>
      <c r="AR1004">
        <v>0</v>
      </c>
      <c r="AS1004">
        <v>0</v>
      </c>
      <c r="AT1004">
        <v>0</v>
      </c>
      <c r="AU1004">
        <v>0</v>
      </c>
      <c r="AV1004">
        <v>0</v>
      </c>
      <c r="AW1004">
        <v>0</v>
      </c>
      <c r="AX1004">
        <v>0</v>
      </c>
      <c r="AY1004">
        <v>0</v>
      </c>
      <c r="AZ1004">
        <v>0</v>
      </c>
      <c r="BA1004">
        <v>0</v>
      </c>
      <c r="BB1004">
        <v>0</v>
      </c>
      <c r="BC1004">
        <v>0</v>
      </c>
      <c r="BD1004">
        <v>0</v>
      </c>
      <c r="BE1004">
        <v>0</v>
      </c>
      <c r="BF1004">
        <v>0</v>
      </c>
      <c r="BG1004">
        <v>0</v>
      </c>
      <c r="BH1004">
        <v>1</v>
      </c>
      <c r="BI1004">
        <v>1</v>
      </c>
      <c r="BJ1004">
        <v>0.2</v>
      </c>
      <c r="BK1004">
        <v>1</v>
      </c>
      <c r="BL1004" s="4">
        <v>50.45</v>
      </c>
      <c r="BM1004" s="4">
        <v>7.57</v>
      </c>
      <c r="BN1004" s="4">
        <v>58.02</v>
      </c>
      <c r="BO1004" s="4">
        <v>58.02</v>
      </c>
      <c r="BQ1004" t="s">
        <v>147</v>
      </c>
      <c r="BR1004" t="s">
        <v>84</v>
      </c>
      <c r="BS1004" s="3">
        <v>43810</v>
      </c>
      <c r="BT1004" s="5">
        <v>0.30833333333333335</v>
      </c>
      <c r="BU1004" t="s">
        <v>1527</v>
      </c>
      <c r="BV1004" t="s">
        <v>86</v>
      </c>
      <c r="BY1004">
        <v>1200</v>
      </c>
      <c r="CA1004" t="s">
        <v>112</v>
      </c>
      <c r="CC1004" t="s">
        <v>91</v>
      </c>
      <c r="CD1004">
        <v>7405</v>
      </c>
      <c r="CE1004" t="s">
        <v>88</v>
      </c>
      <c r="CF1004" s="3">
        <v>43811</v>
      </c>
      <c r="CI1004">
        <v>1</v>
      </c>
      <c r="CJ1004">
        <v>1</v>
      </c>
      <c r="CK1004">
        <v>21</v>
      </c>
      <c r="CL1004" t="s">
        <v>89</v>
      </c>
    </row>
    <row r="1005" spans="1:90">
      <c r="A1005" t="s">
        <v>72</v>
      </c>
      <c r="B1005" t="s">
        <v>73</v>
      </c>
      <c r="C1005" t="s">
        <v>74</v>
      </c>
      <c r="E1005" t="str">
        <f>"FES1162727588"</f>
        <v>FES1162727588</v>
      </c>
      <c r="F1005" s="3">
        <v>43809</v>
      </c>
      <c r="G1005">
        <v>202006</v>
      </c>
      <c r="H1005" t="s">
        <v>75</v>
      </c>
      <c r="I1005" t="s">
        <v>76</v>
      </c>
      <c r="J1005" t="s">
        <v>77</v>
      </c>
      <c r="K1005" t="s">
        <v>78</v>
      </c>
      <c r="L1005" t="s">
        <v>75</v>
      </c>
      <c r="M1005" t="s">
        <v>76</v>
      </c>
      <c r="N1005" t="s">
        <v>312</v>
      </c>
      <c r="O1005" t="s">
        <v>82</v>
      </c>
      <c r="P1005" t="str">
        <f>"2170712073                    "</f>
        <v xml:space="preserve">2170712073                    </v>
      </c>
      <c r="Q1005">
        <v>0</v>
      </c>
      <c r="R1005">
        <v>0</v>
      </c>
      <c r="S1005">
        <v>0</v>
      </c>
      <c r="T1005">
        <v>0</v>
      </c>
      <c r="U1005">
        <v>0</v>
      </c>
      <c r="V1005">
        <v>0</v>
      </c>
      <c r="W1005">
        <v>0</v>
      </c>
      <c r="X1005">
        <v>0</v>
      </c>
      <c r="Y1005">
        <v>0</v>
      </c>
      <c r="Z1005">
        <v>0</v>
      </c>
      <c r="AA1005">
        <v>0</v>
      </c>
      <c r="AB1005">
        <v>0</v>
      </c>
      <c r="AC1005">
        <v>0</v>
      </c>
      <c r="AD1005">
        <v>0</v>
      </c>
      <c r="AE1005">
        <v>0</v>
      </c>
      <c r="AF1005">
        <v>0</v>
      </c>
      <c r="AG1005">
        <v>0</v>
      </c>
      <c r="AH1005">
        <v>0</v>
      </c>
      <c r="AI1005">
        <v>0</v>
      </c>
      <c r="AJ1005">
        <v>0</v>
      </c>
      <c r="AK1005">
        <v>0</v>
      </c>
      <c r="AL1005">
        <v>0</v>
      </c>
      <c r="AM1005">
        <v>14.74</v>
      </c>
      <c r="AN1005">
        <v>0</v>
      </c>
      <c r="AO1005">
        <v>0</v>
      </c>
      <c r="AP1005">
        <v>0</v>
      </c>
      <c r="AQ1005">
        <v>0</v>
      </c>
      <c r="AR1005">
        <v>0</v>
      </c>
      <c r="AS1005">
        <v>0</v>
      </c>
      <c r="AT1005">
        <v>0</v>
      </c>
      <c r="AU1005">
        <v>0</v>
      </c>
      <c r="AV1005">
        <v>0</v>
      </c>
      <c r="AW1005">
        <v>0</v>
      </c>
      <c r="AX1005">
        <v>0</v>
      </c>
      <c r="AY1005">
        <v>0</v>
      </c>
      <c r="AZ1005">
        <v>0</v>
      </c>
      <c r="BA1005">
        <v>0</v>
      </c>
      <c r="BB1005">
        <v>0</v>
      </c>
      <c r="BC1005">
        <v>0</v>
      </c>
      <c r="BD1005">
        <v>0</v>
      </c>
      <c r="BE1005">
        <v>0</v>
      </c>
      <c r="BF1005">
        <v>0</v>
      </c>
      <c r="BG1005">
        <v>0</v>
      </c>
      <c r="BH1005">
        <v>1</v>
      </c>
      <c r="BI1005">
        <v>3.8</v>
      </c>
      <c r="BJ1005">
        <v>6.7</v>
      </c>
      <c r="BK1005">
        <v>7</v>
      </c>
      <c r="BL1005" s="4">
        <v>86.65</v>
      </c>
      <c r="BM1005" s="4">
        <v>13</v>
      </c>
      <c r="BN1005" s="4">
        <v>99.65</v>
      </c>
      <c r="BO1005" s="4">
        <v>99.65</v>
      </c>
      <c r="BQ1005" t="s">
        <v>147</v>
      </c>
      <c r="BR1005" t="s">
        <v>84</v>
      </c>
      <c r="BS1005" s="3">
        <v>43810</v>
      </c>
      <c r="BT1005" s="5">
        <v>0.4375</v>
      </c>
      <c r="BU1005" t="s">
        <v>1154</v>
      </c>
      <c r="BV1005" t="s">
        <v>86</v>
      </c>
      <c r="BY1005">
        <v>33488.21</v>
      </c>
      <c r="CC1005" t="s">
        <v>76</v>
      </c>
      <c r="CD1005">
        <v>1609</v>
      </c>
      <c r="CE1005" t="s">
        <v>116</v>
      </c>
      <c r="CF1005" s="3">
        <v>43811</v>
      </c>
      <c r="CI1005">
        <v>1</v>
      </c>
      <c r="CJ1005">
        <v>1</v>
      </c>
      <c r="CK1005">
        <v>22</v>
      </c>
      <c r="CL1005" t="s">
        <v>89</v>
      </c>
    </row>
    <row r="1006" spans="1:90">
      <c r="A1006" t="s">
        <v>72</v>
      </c>
      <c r="B1006" t="s">
        <v>73</v>
      </c>
      <c r="C1006" t="s">
        <v>74</v>
      </c>
      <c r="E1006" t="str">
        <f>"FES1162727526"</f>
        <v>FES1162727526</v>
      </c>
      <c r="F1006" s="3">
        <v>43809</v>
      </c>
      <c r="G1006">
        <v>202006</v>
      </c>
      <c r="H1006" t="s">
        <v>75</v>
      </c>
      <c r="I1006" t="s">
        <v>76</v>
      </c>
      <c r="J1006" t="s">
        <v>77</v>
      </c>
      <c r="K1006" t="s">
        <v>78</v>
      </c>
      <c r="L1006" t="s">
        <v>169</v>
      </c>
      <c r="M1006" t="s">
        <v>170</v>
      </c>
      <c r="N1006" t="s">
        <v>890</v>
      </c>
      <c r="O1006" t="s">
        <v>82</v>
      </c>
      <c r="P1006" t="str">
        <f>"2170710997                    "</f>
        <v xml:space="preserve">2170710997                    </v>
      </c>
      <c r="Q1006">
        <v>0</v>
      </c>
      <c r="R1006">
        <v>0</v>
      </c>
      <c r="S1006">
        <v>0</v>
      </c>
      <c r="T1006">
        <v>0</v>
      </c>
      <c r="U1006">
        <v>0</v>
      </c>
      <c r="V1006">
        <v>0</v>
      </c>
      <c r="W1006">
        <v>0</v>
      </c>
      <c r="X1006">
        <v>0</v>
      </c>
      <c r="Y1006">
        <v>0</v>
      </c>
      <c r="Z1006">
        <v>0</v>
      </c>
      <c r="AA1006">
        <v>0</v>
      </c>
      <c r="AB1006">
        <v>0</v>
      </c>
      <c r="AC1006">
        <v>0</v>
      </c>
      <c r="AD1006">
        <v>0</v>
      </c>
      <c r="AE1006">
        <v>0</v>
      </c>
      <c r="AF1006">
        <v>0</v>
      </c>
      <c r="AG1006">
        <v>0</v>
      </c>
      <c r="AH1006">
        <v>0</v>
      </c>
      <c r="AI1006">
        <v>0</v>
      </c>
      <c r="AJ1006">
        <v>0</v>
      </c>
      <c r="AK1006">
        <v>0</v>
      </c>
      <c r="AL1006">
        <v>0</v>
      </c>
      <c r="AM1006">
        <v>6.71</v>
      </c>
      <c r="AN1006">
        <v>0</v>
      </c>
      <c r="AO1006">
        <v>0</v>
      </c>
      <c r="AP1006">
        <v>0</v>
      </c>
      <c r="AQ1006">
        <v>0</v>
      </c>
      <c r="AR1006">
        <v>0</v>
      </c>
      <c r="AS1006">
        <v>0</v>
      </c>
      <c r="AT1006">
        <v>0</v>
      </c>
      <c r="AU1006">
        <v>0</v>
      </c>
      <c r="AV1006">
        <v>0</v>
      </c>
      <c r="AW1006">
        <v>0</v>
      </c>
      <c r="AX1006">
        <v>0</v>
      </c>
      <c r="AY1006">
        <v>0</v>
      </c>
      <c r="AZ1006">
        <v>0</v>
      </c>
      <c r="BA1006">
        <v>0</v>
      </c>
      <c r="BB1006">
        <v>0</v>
      </c>
      <c r="BC1006">
        <v>0</v>
      </c>
      <c r="BD1006">
        <v>0</v>
      </c>
      <c r="BE1006">
        <v>0</v>
      </c>
      <c r="BF1006">
        <v>0</v>
      </c>
      <c r="BG1006">
        <v>0</v>
      </c>
      <c r="BH1006">
        <v>1</v>
      </c>
      <c r="BI1006">
        <v>1</v>
      </c>
      <c r="BJ1006">
        <v>0.2</v>
      </c>
      <c r="BK1006">
        <v>1</v>
      </c>
      <c r="BL1006" s="4">
        <v>39.42</v>
      </c>
      <c r="BM1006" s="4">
        <v>5.91</v>
      </c>
      <c r="BN1006" s="4">
        <v>45.33</v>
      </c>
      <c r="BO1006" s="4">
        <v>45.33</v>
      </c>
      <c r="BQ1006" t="s">
        <v>891</v>
      </c>
      <c r="BR1006" t="s">
        <v>84</v>
      </c>
      <c r="BS1006" s="3">
        <v>43811</v>
      </c>
      <c r="BT1006" s="5">
        <v>0.40277777777777773</v>
      </c>
      <c r="BU1006" t="s">
        <v>1380</v>
      </c>
      <c r="BV1006" t="s">
        <v>89</v>
      </c>
      <c r="BW1006" t="s">
        <v>228</v>
      </c>
      <c r="BX1006" t="s">
        <v>229</v>
      </c>
      <c r="BY1006">
        <v>1200</v>
      </c>
      <c r="CC1006" t="s">
        <v>170</v>
      </c>
      <c r="CD1006">
        <v>1459</v>
      </c>
      <c r="CE1006" t="s">
        <v>88</v>
      </c>
      <c r="CF1006" s="3">
        <v>43812</v>
      </c>
      <c r="CI1006">
        <v>1</v>
      </c>
      <c r="CJ1006">
        <v>2</v>
      </c>
      <c r="CK1006">
        <v>22</v>
      </c>
      <c r="CL1006" t="s">
        <v>89</v>
      </c>
    </row>
    <row r="1007" spans="1:90">
      <c r="A1007" t="s">
        <v>72</v>
      </c>
      <c r="B1007" t="s">
        <v>73</v>
      </c>
      <c r="C1007" t="s">
        <v>74</v>
      </c>
      <c r="E1007" t="str">
        <f>"FES1162727573"</f>
        <v>FES1162727573</v>
      </c>
      <c r="F1007" s="3">
        <v>43809</v>
      </c>
      <c r="G1007">
        <v>202006</v>
      </c>
      <c r="H1007" t="s">
        <v>75</v>
      </c>
      <c r="I1007" t="s">
        <v>76</v>
      </c>
      <c r="J1007" t="s">
        <v>77</v>
      </c>
      <c r="K1007" t="s">
        <v>78</v>
      </c>
      <c r="L1007" t="s">
        <v>90</v>
      </c>
      <c r="M1007" t="s">
        <v>91</v>
      </c>
      <c r="N1007" t="s">
        <v>548</v>
      </c>
      <c r="O1007" t="s">
        <v>82</v>
      </c>
      <c r="P1007" t="str">
        <f>"2170712058                    "</f>
        <v xml:space="preserve">2170712058                    </v>
      </c>
      <c r="Q1007">
        <v>0</v>
      </c>
      <c r="R1007">
        <v>0</v>
      </c>
      <c r="S1007">
        <v>0</v>
      </c>
      <c r="T1007">
        <v>0</v>
      </c>
      <c r="U1007">
        <v>0</v>
      </c>
      <c r="V1007">
        <v>0</v>
      </c>
      <c r="W1007">
        <v>0</v>
      </c>
      <c r="X1007">
        <v>0</v>
      </c>
      <c r="Y1007">
        <v>0</v>
      </c>
      <c r="Z1007">
        <v>0</v>
      </c>
      <c r="AA1007">
        <v>0</v>
      </c>
      <c r="AB1007">
        <v>0</v>
      </c>
      <c r="AC1007">
        <v>0</v>
      </c>
      <c r="AD1007">
        <v>0</v>
      </c>
      <c r="AE1007">
        <v>0</v>
      </c>
      <c r="AF1007">
        <v>0</v>
      </c>
      <c r="AG1007">
        <v>0</v>
      </c>
      <c r="AH1007">
        <v>0</v>
      </c>
      <c r="AI1007">
        <v>0</v>
      </c>
      <c r="AJ1007">
        <v>0</v>
      </c>
      <c r="AK1007">
        <v>0</v>
      </c>
      <c r="AL1007">
        <v>0</v>
      </c>
      <c r="AM1007">
        <v>8.58</v>
      </c>
      <c r="AN1007">
        <v>0</v>
      </c>
      <c r="AO1007">
        <v>0</v>
      </c>
      <c r="AP1007">
        <v>0</v>
      </c>
      <c r="AQ1007">
        <v>0</v>
      </c>
      <c r="AR1007">
        <v>0</v>
      </c>
      <c r="AS1007">
        <v>0</v>
      </c>
      <c r="AT1007">
        <v>0</v>
      </c>
      <c r="AU1007">
        <v>0</v>
      </c>
      <c r="AV1007">
        <v>0</v>
      </c>
      <c r="AW1007">
        <v>0</v>
      </c>
      <c r="AX1007">
        <v>0</v>
      </c>
      <c r="AY1007">
        <v>0</v>
      </c>
      <c r="AZ1007">
        <v>0</v>
      </c>
      <c r="BA1007">
        <v>0</v>
      </c>
      <c r="BB1007">
        <v>0</v>
      </c>
      <c r="BC1007">
        <v>0</v>
      </c>
      <c r="BD1007">
        <v>0</v>
      </c>
      <c r="BE1007">
        <v>0</v>
      </c>
      <c r="BF1007">
        <v>0</v>
      </c>
      <c r="BG1007">
        <v>0</v>
      </c>
      <c r="BH1007">
        <v>1</v>
      </c>
      <c r="BI1007">
        <v>1</v>
      </c>
      <c r="BJ1007">
        <v>0.2</v>
      </c>
      <c r="BK1007">
        <v>1</v>
      </c>
      <c r="BL1007" s="4">
        <v>50.45</v>
      </c>
      <c r="BM1007" s="4">
        <v>7.57</v>
      </c>
      <c r="BN1007" s="4">
        <v>58.02</v>
      </c>
      <c r="BO1007" s="4">
        <v>58.02</v>
      </c>
      <c r="BQ1007" t="s">
        <v>147</v>
      </c>
      <c r="BR1007" t="s">
        <v>84</v>
      </c>
      <c r="BS1007" s="3">
        <v>43810</v>
      </c>
      <c r="BT1007" s="5">
        <v>0.33333333333333331</v>
      </c>
      <c r="BU1007" t="s">
        <v>1528</v>
      </c>
      <c r="BV1007" t="s">
        <v>86</v>
      </c>
      <c r="BY1007">
        <v>1200</v>
      </c>
      <c r="CA1007" t="s">
        <v>550</v>
      </c>
      <c r="CC1007" t="s">
        <v>91</v>
      </c>
      <c r="CD1007">
        <v>7530</v>
      </c>
      <c r="CE1007" t="s">
        <v>88</v>
      </c>
      <c r="CF1007" s="3">
        <v>43811</v>
      </c>
      <c r="CI1007">
        <v>1</v>
      </c>
      <c r="CJ1007">
        <v>1</v>
      </c>
      <c r="CK1007">
        <v>21</v>
      </c>
      <c r="CL1007" t="s">
        <v>89</v>
      </c>
    </row>
    <row r="1008" spans="1:90">
      <c r="A1008" t="s">
        <v>72</v>
      </c>
      <c r="B1008" t="s">
        <v>73</v>
      </c>
      <c r="C1008" t="s">
        <v>74</v>
      </c>
      <c r="E1008" t="str">
        <f>"FES1162727515"</f>
        <v>FES1162727515</v>
      </c>
      <c r="F1008" s="3">
        <v>43809</v>
      </c>
      <c r="G1008">
        <v>202006</v>
      </c>
      <c r="H1008" t="s">
        <v>75</v>
      </c>
      <c r="I1008" t="s">
        <v>76</v>
      </c>
      <c r="J1008" t="s">
        <v>77</v>
      </c>
      <c r="K1008" t="s">
        <v>78</v>
      </c>
      <c r="L1008" t="s">
        <v>455</v>
      </c>
      <c r="M1008" t="s">
        <v>456</v>
      </c>
      <c r="N1008" t="s">
        <v>513</v>
      </c>
      <c r="O1008" t="s">
        <v>82</v>
      </c>
      <c r="P1008" t="str">
        <f>"2170710643                    "</f>
        <v xml:space="preserve">2170710643                    </v>
      </c>
      <c r="Q1008">
        <v>0</v>
      </c>
      <c r="R1008">
        <v>0</v>
      </c>
      <c r="S1008">
        <v>0</v>
      </c>
      <c r="T1008">
        <v>0</v>
      </c>
      <c r="U1008">
        <v>0</v>
      </c>
      <c r="V1008">
        <v>0</v>
      </c>
      <c r="W1008">
        <v>0</v>
      </c>
      <c r="X1008">
        <v>0</v>
      </c>
      <c r="Y1008">
        <v>0</v>
      </c>
      <c r="Z1008">
        <v>0</v>
      </c>
      <c r="AA1008">
        <v>0</v>
      </c>
      <c r="AB1008">
        <v>0</v>
      </c>
      <c r="AC1008">
        <v>0</v>
      </c>
      <c r="AD1008">
        <v>0</v>
      </c>
      <c r="AE1008">
        <v>0</v>
      </c>
      <c r="AF1008">
        <v>0</v>
      </c>
      <c r="AG1008">
        <v>0</v>
      </c>
      <c r="AH1008">
        <v>0</v>
      </c>
      <c r="AI1008">
        <v>0</v>
      </c>
      <c r="AJ1008">
        <v>0</v>
      </c>
      <c r="AK1008">
        <v>0</v>
      </c>
      <c r="AL1008">
        <v>0</v>
      </c>
      <c r="AM1008">
        <v>8.58</v>
      </c>
      <c r="AN1008">
        <v>0</v>
      </c>
      <c r="AO1008">
        <v>0</v>
      </c>
      <c r="AP1008">
        <v>0</v>
      </c>
      <c r="AQ1008">
        <v>0</v>
      </c>
      <c r="AR1008">
        <v>0</v>
      </c>
      <c r="AS1008">
        <v>0</v>
      </c>
      <c r="AT1008">
        <v>0</v>
      </c>
      <c r="AU1008">
        <v>0</v>
      </c>
      <c r="AV1008">
        <v>0</v>
      </c>
      <c r="AW1008">
        <v>0</v>
      </c>
      <c r="AX1008">
        <v>0</v>
      </c>
      <c r="AY1008">
        <v>0</v>
      </c>
      <c r="AZ1008">
        <v>0</v>
      </c>
      <c r="BA1008">
        <v>0</v>
      </c>
      <c r="BB1008">
        <v>0</v>
      </c>
      <c r="BC1008">
        <v>0</v>
      </c>
      <c r="BD1008">
        <v>0</v>
      </c>
      <c r="BE1008">
        <v>0</v>
      </c>
      <c r="BF1008">
        <v>0</v>
      </c>
      <c r="BG1008">
        <v>0</v>
      </c>
      <c r="BH1008">
        <v>1</v>
      </c>
      <c r="BI1008">
        <v>1</v>
      </c>
      <c r="BJ1008">
        <v>0.2</v>
      </c>
      <c r="BK1008">
        <v>1</v>
      </c>
      <c r="BL1008" s="4">
        <v>50.45</v>
      </c>
      <c r="BM1008" s="4">
        <v>7.57</v>
      </c>
      <c r="BN1008" s="4">
        <v>58.02</v>
      </c>
      <c r="BO1008" s="4">
        <v>58.02</v>
      </c>
      <c r="BR1008" t="s">
        <v>84</v>
      </c>
      <c r="BS1008" s="3">
        <v>43810</v>
      </c>
      <c r="BT1008" s="5">
        <v>0.52083333333333337</v>
      </c>
      <c r="BU1008" t="s">
        <v>1381</v>
      </c>
      <c r="BV1008" t="s">
        <v>86</v>
      </c>
      <c r="BY1008">
        <v>1200</v>
      </c>
      <c r="CA1008" t="s">
        <v>225</v>
      </c>
      <c r="CC1008" t="s">
        <v>456</v>
      </c>
      <c r="CD1008">
        <v>3699</v>
      </c>
      <c r="CE1008" t="s">
        <v>88</v>
      </c>
      <c r="CF1008" s="3">
        <v>43811</v>
      </c>
      <c r="CI1008">
        <v>1</v>
      </c>
      <c r="CJ1008">
        <v>1</v>
      </c>
      <c r="CK1008">
        <v>21</v>
      </c>
      <c r="CL1008" t="s">
        <v>89</v>
      </c>
    </row>
    <row r="1009" spans="1:90">
      <c r="A1009" t="s">
        <v>72</v>
      </c>
      <c r="B1009" t="s">
        <v>73</v>
      </c>
      <c r="C1009" t="s">
        <v>74</v>
      </c>
      <c r="E1009" t="str">
        <f>"FES1162727543"</f>
        <v>FES1162727543</v>
      </c>
      <c r="F1009" s="3">
        <v>43809</v>
      </c>
      <c r="G1009">
        <v>202006</v>
      </c>
      <c r="H1009" t="s">
        <v>75</v>
      </c>
      <c r="I1009" t="s">
        <v>76</v>
      </c>
      <c r="J1009" t="s">
        <v>77</v>
      </c>
      <c r="K1009" t="s">
        <v>78</v>
      </c>
      <c r="L1009" t="s">
        <v>198</v>
      </c>
      <c r="M1009" t="s">
        <v>199</v>
      </c>
      <c r="N1009" t="s">
        <v>503</v>
      </c>
      <c r="O1009" t="s">
        <v>82</v>
      </c>
      <c r="P1009" t="str">
        <f>"2170710687                    "</f>
        <v xml:space="preserve">2170710687                    </v>
      </c>
      <c r="Q1009">
        <v>0</v>
      </c>
      <c r="R1009">
        <v>0</v>
      </c>
      <c r="S1009">
        <v>0</v>
      </c>
      <c r="T1009">
        <v>0</v>
      </c>
      <c r="U1009">
        <v>0</v>
      </c>
      <c r="V1009">
        <v>0</v>
      </c>
      <c r="W1009">
        <v>0</v>
      </c>
      <c r="X1009">
        <v>0</v>
      </c>
      <c r="Y1009">
        <v>0</v>
      </c>
      <c r="Z1009">
        <v>0</v>
      </c>
      <c r="AA1009">
        <v>0</v>
      </c>
      <c r="AB1009">
        <v>0</v>
      </c>
      <c r="AC1009">
        <v>0</v>
      </c>
      <c r="AD1009">
        <v>0</v>
      </c>
      <c r="AE1009">
        <v>0</v>
      </c>
      <c r="AF1009">
        <v>0</v>
      </c>
      <c r="AG1009">
        <v>0</v>
      </c>
      <c r="AH1009">
        <v>0</v>
      </c>
      <c r="AI1009">
        <v>0</v>
      </c>
      <c r="AJ1009">
        <v>0</v>
      </c>
      <c r="AK1009">
        <v>0</v>
      </c>
      <c r="AL1009">
        <v>0</v>
      </c>
      <c r="AM1009">
        <v>77.2</v>
      </c>
      <c r="AN1009">
        <v>0</v>
      </c>
      <c r="AO1009">
        <v>0</v>
      </c>
      <c r="AP1009">
        <v>0</v>
      </c>
      <c r="AQ1009">
        <v>0</v>
      </c>
      <c r="AR1009">
        <v>0</v>
      </c>
      <c r="AS1009">
        <v>0</v>
      </c>
      <c r="AT1009">
        <v>0</v>
      </c>
      <c r="AU1009">
        <v>0</v>
      </c>
      <c r="AV1009">
        <v>0</v>
      </c>
      <c r="AW1009">
        <v>0</v>
      </c>
      <c r="AX1009">
        <v>0</v>
      </c>
      <c r="AY1009">
        <v>0</v>
      </c>
      <c r="AZ1009">
        <v>0</v>
      </c>
      <c r="BA1009">
        <v>0</v>
      </c>
      <c r="BB1009">
        <v>0</v>
      </c>
      <c r="BC1009">
        <v>0</v>
      </c>
      <c r="BD1009">
        <v>0</v>
      </c>
      <c r="BE1009">
        <v>0</v>
      </c>
      <c r="BF1009">
        <v>0</v>
      </c>
      <c r="BG1009">
        <v>0</v>
      </c>
      <c r="BH1009">
        <v>1</v>
      </c>
      <c r="BI1009">
        <v>9.5</v>
      </c>
      <c r="BJ1009">
        <v>18</v>
      </c>
      <c r="BK1009">
        <v>18</v>
      </c>
      <c r="BL1009" s="4">
        <v>453.79</v>
      </c>
      <c r="BM1009" s="4">
        <v>68.069999999999993</v>
      </c>
      <c r="BN1009" s="4">
        <v>521.86</v>
      </c>
      <c r="BO1009" s="4">
        <v>521.86</v>
      </c>
      <c r="BQ1009" t="s">
        <v>93</v>
      </c>
      <c r="BR1009" t="s">
        <v>84</v>
      </c>
      <c r="BS1009" s="3">
        <v>43810</v>
      </c>
      <c r="BT1009" s="5">
        <v>0.40347222222222223</v>
      </c>
      <c r="BU1009" t="s">
        <v>1529</v>
      </c>
      <c r="BV1009" t="s">
        <v>86</v>
      </c>
      <c r="BY1009">
        <v>89824.42</v>
      </c>
      <c r="CA1009" t="s">
        <v>344</v>
      </c>
      <c r="CC1009" t="s">
        <v>199</v>
      </c>
      <c r="CD1009">
        <v>4068</v>
      </c>
      <c r="CE1009" t="s">
        <v>96</v>
      </c>
      <c r="CF1009" s="3">
        <v>43811</v>
      </c>
      <c r="CI1009">
        <v>1</v>
      </c>
      <c r="CJ1009">
        <v>1</v>
      </c>
      <c r="CK1009">
        <v>21</v>
      </c>
      <c r="CL1009" t="s">
        <v>89</v>
      </c>
    </row>
    <row r="1010" spans="1:90">
      <c r="A1010" t="s">
        <v>72</v>
      </c>
      <c r="B1010" t="s">
        <v>73</v>
      </c>
      <c r="C1010" t="s">
        <v>74</v>
      </c>
      <c r="E1010" t="str">
        <f>"FES1162727535"</f>
        <v>FES1162727535</v>
      </c>
      <c r="F1010" s="3">
        <v>43809</v>
      </c>
      <c r="G1010">
        <v>202006</v>
      </c>
      <c r="H1010" t="s">
        <v>75</v>
      </c>
      <c r="I1010" t="s">
        <v>76</v>
      </c>
      <c r="J1010" t="s">
        <v>77</v>
      </c>
      <c r="K1010" t="s">
        <v>78</v>
      </c>
      <c r="L1010" t="s">
        <v>404</v>
      </c>
      <c r="M1010" t="s">
        <v>405</v>
      </c>
      <c r="N1010" t="s">
        <v>406</v>
      </c>
      <c r="O1010" t="s">
        <v>82</v>
      </c>
      <c r="P1010" t="str">
        <f>"217071005                     "</f>
        <v xml:space="preserve">217071005                     </v>
      </c>
      <c r="Q1010">
        <v>0</v>
      </c>
      <c r="R1010">
        <v>0</v>
      </c>
      <c r="S1010">
        <v>0</v>
      </c>
      <c r="T1010">
        <v>0</v>
      </c>
      <c r="U1010">
        <v>0</v>
      </c>
      <c r="V1010">
        <v>0</v>
      </c>
      <c r="W1010">
        <v>0</v>
      </c>
      <c r="X1010">
        <v>0</v>
      </c>
      <c r="Y1010">
        <v>0</v>
      </c>
      <c r="Z1010">
        <v>0</v>
      </c>
      <c r="AA1010">
        <v>0</v>
      </c>
      <c r="AB1010">
        <v>0</v>
      </c>
      <c r="AC1010">
        <v>0</v>
      </c>
      <c r="AD1010">
        <v>0</v>
      </c>
      <c r="AE1010">
        <v>0</v>
      </c>
      <c r="AF1010">
        <v>0</v>
      </c>
      <c r="AG1010">
        <v>0</v>
      </c>
      <c r="AH1010">
        <v>0</v>
      </c>
      <c r="AI1010">
        <v>0</v>
      </c>
      <c r="AJ1010">
        <v>0</v>
      </c>
      <c r="AK1010">
        <v>0</v>
      </c>
      <c r="AL1010">
        <v>0</v>
      </c>
      <c r="AM1010">
        <v>10.73</v>
      </c>
      <c r="AN1010">
        <v>0</v>
      </c>
      <c r="AO1010">
        <v>0</v>
      </c>
      <c r="AP1010">
        <v>0</v>
      </c>
      <c r="AQ1010">
        <v>0</v>
      </c>
      <c r="AR1010">
        <v>0</v>
      </c>
      <c r="AS1010">
        <v>0</v>
      </c>
      <c r="AT1010">
        <v>0</v>
      </c>
      <c r="AU1010">
        <v>0</v>
      </c>
      <c r="AV1010">
        <v>0</v>
      </c>
      <c r="AW1010">
        <v>0</v>
      </c>
      <c r="AX1010">
        <v>0</v>
      </c>
      <c r="AY1010">
        <v>0</v>
      </c>
      <c r="AZ1010">
        <v>0</v>
      </c>
      <c r="BA1010">
        <v>0</v>
      </c>
      <c r="BB1010">
        <v>0</v>
      </c>
      <c r="BC1010">
        <v>0</v>
      </c>
      <c r="BD1010">
        <v>0</v>
      </c>
      <c r="BE1010">
        <v>0</v>
      </c>
      <c r="BF1010">
        <v>0</v>
      </c>
      <c r="BG1010">
        <v>0</v>
      </c>
      <c r="BH1010">
        <v>1</v>
      </c>
      <c r="BI1010">
        <v>2.2999999999999998</v>
      </c>
      <c r="BJ1010">
        <v>1.3</v>
      </c>
      <c r="BK1010">
        <v>2.5</v>
      </c>
      <c r="BL1010" s="4">
        <v>63.06</v>
      </c>
      <c r="BM1010" s="4">
        <v>9.4600000000000009</v>
      </c>
      <c r="BN1010" s="4">
        <v>72.52</v>
      </c>
      <c r="BO1010" s="4">
        <v>72.52</v>
      </c>
      <c r="BQ1010" t="s">
        <v>93</v>
      </c>
      <c r="BR1010" t="s">
        <v>84</v>
      </c>
      <c r="BS1010" s="3">
        <v>43810</v>
      </c>
      <c r="BT1010" s="5">
        <v>0.3666666666666667</v>
      </c>
      <c r="BU1010" t="s">
        <v>748</v>
      </c>
      <c r="BV1010" t="s">
        <v>86</v>
      </c>
      <c r="BY1010">
        <v>6433.34</v>
      </c>
      <c r="CA1010" t="s">
        <v>408</v>
      </c>
      <c r="CC1010" t="s">
        <v>405</v>
      </c>
      <c r="CD1010">
        <v>4026</v>
      </c>
      <c r="CE1010" t="s">
        <v>96</v>
      </c>
      <c r="CF1010" s="3">
        <v>43811</v>
      </c>
      <c r="CI1010">
        <v>1</v>
      </c>
      <c r="CJ1010">
        <v>1</v>
      </c>
      <c r="CK1010">
        <v>21</v>
      </c>
      <c r="CL1010" t="s">
        <v>89</v>
      </c>
    </row>
    <row r="1011" spans="1:90">
      <c r="A1011" t="s">
        <v>72</v>
      </c>
      <c r="B1011" t="s">
        <v>73</v>
      </c>
      <c r="C1011" t="s">
        <v>74</v>
      </c>
      <c r="E1011" t="str">
        <f>"FES1162727470"</f>
        <v>FES1162727470</v>
      </c>
      <c r="F1011" s="3">
        <v>43809</v>
      </c>
      <c r="G1011">
        <v>202006</v>
      </c>
      <c r="H1011" t="s">
        <v>75</v>
      </c>
      <c r="I1011" t="s">
        <v>76</v>
      </c>
      <c r="J1011" t="s">
        <v>77</v>
      </c>
      <c r="K1011" t="s">
        <v>78</v>
      </c>
      <c r="L1011" t="s">
        <v>198</v>
      </c>
      <c r="M1011" t="s">
        <v>199</v>
      </c>
      <c r="N1011" t="s">
        <v>749</v>
      </c>
      <c r="O1011" t="s">
        <v>82</v>
      </c>
      <c r="P1011" t="str">
        <f>"21707120955                   "</f>
        <v xml:space="preserve">21707120955                   </v>
      </c>
      <c r="Q1011">
        <v>0</v>
      </c>
      <c r="R1011">
        <v>0</v>
      </c>
      <c r="S1011">
        <v>0</v>
      </c>
      <c r="T1011">
        <v>0</v>
      </c>
      <c r="U1011">
        <v>0</v>
      </c>
      <c r="V1011">
        <v>0</v>
      </c>
      <c r="W1011">
        <v>0</v>
      </c>
      <c r="X1011">
        <v>0</v>
      </c>
      <c r="Y1011">
        <v>0</v>
      </c>
      <c r="Z1011">
        <v>0</v>
      </c>
      <c r="AA1011">
        <v>0</v>
      </c>
      <c r="AB1011">
        <v>0</v>
      </c>
      <c r="AC1011">
        <v>0</v>
      </c>
      <c r="AD1011">
        <v>0</v>
      </c>
      <c r="AE1011">
        <v>0</v>
      </c>
      <c r="AF1011">
        <v>0</v>
      </c>
      <c r="AG1011">
        <v>0</v>
      </c>
      <c r="AH1011">
        <v>0</v>
      </c>
      <c r="AI1011">
        <v>0</v>
      </c>
      <c r="AJ1011">
        <v>0</v>
      </c>
      <c r="AK1011">
        <v>0</v>
      </c>
      <c r="AL1011">
        <v>0</v>
      </c>
      <c r="AM1011">
        <v>8.58</v>
      </c>
      <c r="AN1011">
        <v>0</v>
      </c>
      <c r="AO1011">
        <v>0</v>
      </c>
      <c r="AP1011">
        <v>0</v>
      </c>
      <c r="AQ1011">
        <v>0</v>
      </c>
      <c r="AR1011">
        <v>0</v>
      </c>
      <c r="AS1011">
        <v>0</v>
      </c>
      <c r="AT1011">
        <v>0</v>
      </c>
      <c r="AU1011">
        <v>0</v>
      </c>
      <c r="AV1011">
        <v>0</v>
      </c>
      <c r="AW1011">
        <v>0</v>
      </c>
      <c r="AX1011">
        <v>0</v>
      </c>
      <c r="AY1011">
        <v>0</v>
      </c>
      <c r="AZ1011">
        <v>0</v>
      </c>
      <c r="BA1011">
        <v>0</v>
      </c>
      <c r="BB1011">
        <v>0</v>
      </c>
      <c r="BC1011">
        <v>0</v>
      </c>
      <c r="BD1011">
        <v>0</v>
      </c>
      <c r="BE1011">
        <v>0</v>
      </c>
      <c r="BF1011">
        <v>0</v>
      </c>
      <c r="BG1011">
        <v>0</v>
      </c>
      <c r="BH1011">
        <v>1</v>
      </c>
      <c r="BI1011">
        <v>1</v>
      </c>
      <c r="BJ1011">
        <v>0.2</v>
      </c>
      <c r="BK1011">
        <v>1</v>
      </c>
      <c r="BL1011" s="4">
        <v>50.45</v>
      </c>
      <c r="BM1011" s="4">
        <v>7.57</v>
      </c>
      <c r="BN1011" s="4">
        <v>58.02</v>
      </c>
      <c r="BO1011" s="4">
        <v>58.02</v>
      </c>
      <c r="BR1011" t="s">
        <v>84</v>
      </c>
      <c r="BS1011" s="3">
        <v>43810</v>
      </c>
      <c r="BT1011" s="5">
        <v>0.41666666666666669</v>
      </c>
      <c r="BU1011" t="s">
        <v>1530</v>
      </c>
      <c r="BV1011" t="s">
        <v>86</v>
      </c>
      <c r="BY1011">
        <v>1200</v>
      </c>
      <c r="CA1011" t="s">
        <v>344</v>
      </c>
      <c r="CC1011" t="s">
        <v>199</v>
      </c>
      <c r="CD1011">
        <v>4156</v>
      </c>
      <c r="CE1011" t="s">
        <v>88</v>
      </c>
      <c r="CF1011" s="3">
        <v>43811</v>
      </c>
      <c r="CI1011">
        <v>1</v>
      </c>
      <c r="CJ1011">
        <v>1</v>
      </c>
      <c r="CK1011">
        <v>21</v>
      </c>
      <c r="CL1011" t="s">
        <v>89</v>
      </c>
    </row>
    <row r="1012" spans="1:90">
      <c r="A1012" t="s">
        <v>72</v>
      </c>
      <c r="B1012" t="s">
        <v>73</v>
      </c>
      <c r="C1012" t="s">
        <v>74</v>
      </c>
      <c r="E1012" t="str">
        <f>"FES1162726615"</f>
        <v>FES1162726615</v>
      </c>
      <c r="F1012" s="3">
        <v>43809</v>
      </c>
      <c r="G1012">
        <v>202006</v>
      </c>
      <c r="H1012" t="s">
        <v>75</v>
      </c>
      <c r="I1012" t="s">
        <v>76</v>
      </c>
      <c r="J1012" t="s">
        <v>77</v>
      </c>
      <c r="K1012" t="s">
        <v>78</v>
      </c>
      <c r="L1012" t="s">
        <v>714</v>
      </c>
      <c r="M1012" t="s">
        <v>715</v>
      </c>
      <c r="N1012" t="s">
        <v>716</v>
      </c>
      <c r="O1012" t="s">
        <v>82</v>
      </c>
      <c r="P1012" t="str">
        <f>"2170712093                    "</f>
        <v xml:space="preserve">2170712093                    </v>
      </c>
      <c r="Q1012">
        <v>0</v>
      </c>
      <c r="R1012">
        <v>0</v>
      </c>
      <c r="S1012">
        <v>0</v>
      </c>
      <c r="T1012">
        <v>0</v>
      </c>
      <c r="U1012">
        <v>0</v>
      </c>
      <c r="V1012">
        <v>0</v>
      </c>
      <c r="W1012">
        <v>0</v>
      </c>
      <c r="X1012">
        <v>0</v>
      </c>
      <c r="Y1012">
        <v>0</v>
      </c>
      <c r="Z1012">
        <v>0</v>
      </c>
      <c r="AA1012">
        <v>0</v>
      </c>
      <c r="AB1012">
        <v>0</v>
      </c>
      <c r="AC1012">
        <v>0</v>
      </c>
      <c r="AD1012">
        <v>0</v>
      </c>
      <c r="AE1012">
        <v>0</v>
      </c>
      <c r="AF1012">
        <v>0</v>
      </c>
      <c r="AG1012">
        <v>0</v>
      </c>
      <c r="AH1012">
        <v>0</v>
      </c>
      <c r="AI1012">
        <v>0</v>
      </c>
      <c r="AJ1012">
        <v>0</v>
      </c>
      <c r="AK1012">
        <v>0</v>
      </c>
      <c r="AL1012">
        <v>0</v>
      </c>
      <c r="AM1012">
        <v>6.71</v>
      </c>
      <c r="AN1012">
        <v>0</v>
      </c>
      <c r="AO1012">
        <v>0</v>
      </c>
      <c r="AP1012">
        <v>0</v>
      </c>
      <c r="AQ1012">
        <v>0</v>
      </c>
      <c r="AR1012">
        <v>0</v>
      </c>
      <c r="AS1012">
        <v>0</v>
      </c>
      <c r="AT1012">
        <v>0</v>
      </c>
      <c r="AU1012">
        <v>0</v>
      </c>
      <c r="AV1012">
        <v>0</v>
      </c>
      <c r="AW1012">
        <v>0</v>
      </c>
      <c r="AX1012">
        <v>0</v>
      </c>
      <c r="AY1012">
        <v>0</v>
      </c>
      <c r="AZ1012">
        <v>0</v>
      </c>
      <c r="BA1012">
        <v>0</v>
      </c>
      <c r="BB1012">
        <v>0</v>
      </c>
      <c r="BC1012">
        <v>0</v>
      </c>
      <c r="BD1012">
        <v>0</v>
      </c>
      <c r="BE1012">
        <v>0</v>
      </c>
      <c r="BF1012">
        <v>0</v>
      </c>
      <c r="BG1012">
        <v>0</v>
      </c>
      <c r="BH1012">
        <v>1</v>
      </c>
      <c r="BI1012">
        <v>1</v>
      </c>
      <c r="BJ1012">
        <v>0.2</v>
      </c>
      <c r="BK1012">
        <v>1</v>
      </c>
      <c r="BL1012" s="4">
        <v>39.42</v>
      </c>
      <c r="BM1012" s="4">
        <v>5.91</v>
      </c>
      <c r="BN1012" s="4">
        <v>45.33</v>
      </c>
      <c r="BO1012" s="4">
        <v>45.33</v>
      </c>
      <c r="BQ1012" t="s">
        <v>135</v>
      </c>
      <c r="BR1012" t="s">
        <v>84</v>
      </c>
      <c r="BS1012" s="3">
        <v>43810</v>
      </c>
      <c r="BT1012" s="5">
        <v>0.4375</v>
      </c>
      <c r="BU1012" t="s">
        <v>1531</v>
      </c>
      <c r="BV1012" t="s">
        <v>86</v>
      </c>
      <c r="BY1012">
        <v>1200</v>
      </c>
      <c r="CC1012" t="s">
        <v>715</v>
      </c>
      <c r="CD1012">
        <v>1559</v>
      </c>
      <c r="CE1012" t="s">
        <v>88</v>
      </c>
      <c r="CF1012" s="3">
        <v>43811</v>
      </c>
      <c r="CI1012">
        <v>1</v>
      </c>
      <c r="CJ1012">
        <v>1</v>
      </c>
      <c r="CK1012">
        <v>22</v>
      </c>
      <c r="CL1012" t="s">
        <v>89</v>
      </c>
    </row>
    <row r="1013" spans="1:90">
      <c r="A1013" t="s">
        <v>72</v>
      </c>
      <c r="B1013" t="s">
        <v>73</v>
      </c>
      <c r="C1013" t="s">
        <v>74</v>
      </c>
      <c r="E1013" t="str">
        <f>"FES1162727486"</f>
        <v>FES1162727486</v>
      </c>
      <c r="F1013" s="3">
        <v>43809</v>
      </c>
      <c r="G1013">
        <v>202006</v>
      </c>
      <c r="H1013" t="s">
        <v>75</v>
      </c>
      <c r="I1013" t="s">
        <v>76</v>
      </c>
      <c r="J1013" t="s">
        <v>77</v>
      </c>
      <c r="K1013" t="s">
        <v>78</v>
      </c>
      <c r="L1013" t="s">
        <v>169</v>
      </c>
      <c r="M1013" t="s">
        <v>170</v>
      </c>
      <c r="N1013" t="s">
        <v>570</v>
      </c>
      <c r="O1013" t="s">
        <v>82</v>
      </c>
      <c r="P1013" t="str">
        <f>"21707120962                   "</f>
        <v xml:space="preserve">21707120962                   </v>
      </c>
      <c r="Q1013">
        <v>0</v>
      </c>
      <c r="R1013">
        <v>0</v>
      </c>
      <c r="S1013">
        <v>0</v>
      </c>
      <c r="T1013">
        <v>0</v>
      </c>
      <c r="U1013">
        <v>0</v>
      </c>
      <c r="V1013">
        <v>0</v>
      </c>
      <c r="W1013">
        <v>0</v>
      </c>
      <c r="X1013">
        <v>0</v>
      </c>
      <c r="Y1013">
        <v>0</v>
      </c>
      <c r="Z1013">
        <v>0</v>
      </c>
      <c r="AA1013">
        <v>0</v>
      </c>
      <c r="AB1013">
        <v>0</v>
      </c>
      <c r="AC1013">
        <v>0</v>
      </c>
      <c r="AD1013">
        <v>0</v>
      </c>
      <c r="AE1013">
        <v>0</v>
      </c>
      <c r="AF1013">
        <v>0</v>
      </c>
      <c r="AG1013">
        <v>0</v>
      </c>
      <c r="AH1013">
        <v>0</v>
      </c>
      <c r="AI1013">
        <v>0</v>
      </c>
      <c r="AJ1013">
        <v>0</v>
      </c>
      <c r="AK1013">
        <v>0</v>
      </c>
      <c r="AL1013">
        <v>0</v>
      </c>
      <c r="AM1013">
        <v>6.71</v>
      </c>
      <c r="AN1013">
        <v>0</v>
      </c>
      <c r="AO1013">
        <v>0</v>
      </c>
      <c r="AP1013">
        <v>0</v>
      </c>
      <c r="AQ1013">
        <v>0</v>
      </c>
      <c r="AR1013">
        <v>0</v>
      </c>
      <c r="AS1013">
        <v>0</v>
      </c>
      <c r="AT1013">
        <v>0</v>
      </c>
      <c r="AU1013">
        <v>0</v>
      </c>
      <c r="AV1013">
        <v>0</v>
      </c>
      <c r="AW1013">
        <v>0</v>
      </c>
      <c r="AX1013">
        <v>0</v>
      </c>
      <c r="AY1013">
        <v>0</v>
      </c>
      <c r="AZ1013">
        <v>0</v>
      </c>
      <c r="BA1013">
        <v>0</v>
      </c>
      <c r="BB1013">
        <v>0</v>
      </c>
      <c r="BC1013">
        <v>0</v>
      </c>
      <c r="BD1013">
        <v>0</v>
      </c>
      <c r="BE1013">
        <v>0</v>
      </c>
      <c r="BF1013">
        <v>0</v>
      </c>
      <c r="BG1013">
        <v>0</v>
      </c>
      <c r="BH1013">
        <v>1</v>
      </c>
      <c r="BI1013">
        <v>1</v>
      </c>
      <c r="BJ1013">
        <v>0.2</v>
      </c>
      <c r="BK1013">
        <v>1</v>
      </c>
      <c r="BL1013" s="4">
        <v>39.42</v>
      </c>
      <c r="BM1013" s="4">
        <v>5.91</v>
      </c>
      <c r="BN1013" s="4">
        <v>45.33</v>
      </c>
      <c r="BO1013" s="4">
        <v>45.33</v>
      </c>
      <c r="BR1013" t="s">
        <v>84</v>
      </c>
      <c r="BS1013" s="3">
        <v>43811</v>
      </c>
      <c r="BT1013" s="5">
        <v>0.26666666666666666</v>
      </c>
      <c r="BU1013" t="s">
        <v>1532</v>
      </c>
      <c r="BV1013" t="s">
        <v>89</v>
      </c>
      <c r="BW1013" t="s">
        <v>149</v>
      </c>
      <c r="BX1013" t="s">
        <v>495</v>
      </c>
      <c r="BY1013">
        <v>1200</v>
      </c>
      <c r="CA1013" t="s">
        <v>344</v>
      </c>
      <c r="CC1013" t="s">
        <v>170</v>
      </c>
      <c r="CD1013">
        <v>1460</v>
      </c>
      <c r="CE1013" t="s">
        <v>88</v>
      </c>
      <c r="CF1013" s="3">
        <v>43812</v>
      </c>
      <c r="CI1013">
        <v>1</v>
      </c>
      <c r="CJ1013">
        <v>2</v>
      </c>
      <c r="CK1013">
        <v>22</v>
      </c>
      <c r="CL1013" t="s">
        <v>89</v>
      </c>
    </row>
    <row r="1014" spans="1:90">
      <c r="A1014" t="s">
        <v>72</v>
      </c>
      <c r="B1014" t="s">
        <v>73</v>
      </c>
      <c r="C1014" t="s">
        <v>74</v>
      </c>
      <c r="E1014" t="str">
        <f>"FES1162727564"</f>
        <v>FES1162727564</v>
      </c>
      <c r="F1014" s="3">
        <v>43809</v>
      </c>
      <c r="G1014">
        <v>202006</v>
      </c>
      <c r="H1014" t="s">
        <v>75</v>
      </c>
      <c r="I1014" t="s">
        <v>76</v>
      </c>
      <c r="J1014" t="s">
        <v>77</v>
      </c>
      <c r="K1014" t="s">
        <v>78</v>
      </c>
      <c r="L1014" t="s">
        <v>164</v>
      </c>
      <c r="M1014" t="s">
        <v>165</v>
      </c>
      <c r="N1014" t="s">
        <v>369</v>
      </c>
      <c r="O1014" t="s">
        <v>82</v>
      </c>
      <c r="P1014" t="str">
        <f>"2170712044                    "</f>
        <v xml:space="preserve">2170712044                    </v>
      </c>
      <c r="Q1014">
        <v>0</v>
      </c>
      <c r="R1014">
        <v>0</v>
      </c>
      <c r="S1014">
        <v>0</v>
      </c>
      <c r="T1014">
        <v>0</v>
      </c>
      <c r="U1014">
        <v>0</v>
      </c>
      <c r="V1014">
        <v>0</v>
      </c>
      <c r="W1014">
        <v>0</v>
      </c>
      <c r="X1014">
        <v>0</v>
      </c>
      <c r="Y1014">
        <v>0</v>
      </c>
      <c r="Z1014">
        <v>0</v>
      </c>
      <c r="AA1014">
        <v>0</v>
      </c>
      <c r="AB1014">
        <v>0</v>
      </c>
      <c r="AC1014">
        <v>0</v>
      </c>
      <c r="AD1014">
        <v>0</v>
      </c>
      <c r="AE1014">
        <v>0</v>
      </c>
      <c r="AF1014">
        <v>0</v>
      </c>
      <c r="AG1014">
        <v>0</v>
      </c>
      <c r="AH1014">
        <v>0</v>
      </c>
      <c r="AI1014">
        <v>0</v>
      </c>
      <c r="AJ1014">
        <v>0</v>
      </c>
      <c r="AK1014">
        <v>0</v>
      </c>
      <c r="AL1014">
        <v>0</v>
      </c>
      <c r="AM1014">
        <v>8.58</v>
      </c>
      <c r="AN1014">
        <v>0</v>
      </c>
      <c r="AO1014">
        <v>0</v>
      </c>
      <c r="AP1014">
        <v>0</v>
      </c>
      <c r="AQ1014">
        <v>0</v>
      </c>
      <c r="AR1014">
        <v>0</v>
      </c>
      <c r="AS1014">
        <v>0</v>
      </c>
      <c r="AT1014">
        <v>0</v>
      </c>
      <c r="AU1014">
        <v>0</v>
      </c>
      <c r="AV1014">
        <v>0</v>
      </c>
      <c r="AW1014">
        <v>0</v>
      </c>
      <c r="AX1014">
        <v>0</v>
      </c>
      <c r="AY1014">
        <v>0</v>
      </c>
      <c r="AZ1014">
        <v>0</v>
      </c>
      <c r="BA1014">
        <v>0</v>
      </c>
      <c r="BB1014">
        <v>0</v>
      </c>
      <c r="BC1014">
        <v>0</v>
      </c>
      <c r="BD1014">
        <v>0</v>
      </c>
      <c r="BE1014">
        <v>0</v>
      </c>
      <c r="BF1014">
        <v>0</v>
      </c>
      <c r="BG1014">
        <v>0</v>
      </c>
      <c r="BH1014">
        <v>1</v>
      </c>
      <c r="BI1014">
        <v>0.7</v>
      </c>
      <c r="BJ1014">
        <v>1.9</v>
      </c>
      <c r="BK1014">
        <v>2</v>
      </c>
      <c r="BL1014" s="4">
        <v>50.45</v>
      </c>
      <c r="BM1014" s="4">
        <v>7.57</v>
      </c>
      <c r="BN1014" s="4">
        <v>58.02</v>
      </c>
      <c r="BO1014" s="4">
        <v>58.02</v>
      </c>
      <c r="BQ1014" t="s">
        <v>93</v>
      </c>
      <c r="BR1014" t="s">
        <v>84</v>
      </c>
      <c r="BS1014" s="3">
        <v>43810</v>
      </c>
      <c r="BT1014" s="5">
        <v>0.35625000000000001</v>
      </c>
      <c r="BU1014" t="s">
        <v>1013</v>
      </c>
      <c r="BV1014" t="s">
        <v>86</v>
      </c>
      <c r="BY1014">
        <v>9566.14</v>
      </c>
      <c r="CA1014" t="s">
        <v>1361</v>
      </c>
      <c r="CC1014" t="s">
        <v>165</v>
      </c>
      <c r="CD1014">
        <v>5201</v>
      </c>
      <c r="CE1014" t="s">
        <v>88</v>
      </c>
      <c r="CF1014" s="3">
        <v>43811</v>
      </c>
      <c r="CI1014">
        <v>1</v>
      </c>
      <c r="CJ1014">
        <v>1</v>
      </c>
      <c r="CK1014">
        <v>21</v>
      </c>
      <c r="CL1014" t="s">
        <v>89</v>
      </c>
    </row>
    <row r="1015" spans="1:90">
      <c r="A1015" t="s">
        <v>72</v>
      </c>
      <c r="B1015" t="s">
        <v>73</v>
      </c>
      <c r="C1015" t="s">
        <v>74</v>
      </c>
      <c r="E1015" t="str">
        <f>"FES1162727565"</f>
        <v>FES1162727565</v>
      </c>
      <c r="F1015" s="3">
        <v>43809</v>
      </c>
      <c r="G1015">
        <v>202006</v>
      </c>
      <c r="H1015" t="s">
        <v>75</v>
      </c>
      <c r="I1015" t="s">
        <v>76</v>
      </c>
      <c r="J1015" t="s">
        <v>77</v>
      </c>
      <c r="K1015" t="s">
        <v>78</v>
      </c>
      <c r="L1015" t="s">
        <v>75</v>
      </c>
      <c r="M1015" t="s">
        <v>76</v>
      </c>
      <c r="N1015" t="s">
        <v>305</v>
      </c>
      <c r="O1015" t="s">
        <v>82</v>
      </c>
      <c r="P1015" t="str">
        <f>"217071045                     "</f>
        <v xml:space="preserve">217071045                     </v>
      </c>
      <c r="Q1015">
        <v>0</v>
      </c>
      <c r="R1015">
        <v>0</v>
      </c>
      <c r="S1015">
        <v>0</v>
      </c>
      <c r="T1015">
        <v>0</v>
      </c>
      <c r="U1015">
        <v>0</v>
      </c>
      <c r="V1015">
        <v>0</v>
      </c>
      <c r="W1015">
        <v>0</v>
      </c>
      <c r="X1015">
        <v>0</v>
      </c>
      <c r="Y1015">
        <v>0</v>
      </c>
      <c r="Z1015">
        <v>0</v>
      </c>
      <c r="AA1015">
        <v>0</v>
      </c>
      <c r="AB1015">
        <v>0</v>
      </c>
      <c r="AC1015">
        <v>0</v>
      </c>
      <c r="AD1015">
        <v>0</v>
      </c>
      <c r="AE1015">
        <v>0</v>
      </c>
      <c r="AF1015">
        <v>0</v>
      </c>
      <c r="AG1015">
        <v>0</v>
      </c>
      <c r="AH1015">
        <v>0</v>
      </c>
      <c r="AI1015">
        <v>0</v>
      </c>
      <c r="AJ1015">
        <v>0</v>
      </c>
      <c r="AK1015">
        <v>0</v>
      </c>
      <c r="AL1015">
        <v>0</v>
      </c>
      <c r="AM1015">
        <v>6.71</v>
      </c>
      <c r="AN1015">
        <v>0</v>
      </c>
      <c r="AO1015">
        <v>0</v>
      </c>
      <c r="AP1015">
        <v>0</v>
      </c>
      <c r="AQ1015">
        <v>0</v>
      </c>
      <c r="AR1015">
        <v>0</v>
      </c>
      <c r="AS1015">
        <v>0</v>
      </c>
      <c r="AT1015">
        <v>0</v>
      </c>
      <c r="AU1015">
        <v>0</v>
      </c>
      <c r="AV1015">
        <v>0</v>
      </c>
      <c r="AW1015">
        <v>0</v>
      </c>
      <c r="AX1015">
        <v>0</v>
      </c>
      <c r="AY1015">
        <v>0</v>
      </c>
      <c r="AZ1015">
        <v>0</v>
      </c>
      <c r="BA1015">
        <v>0</v>
      </c>
      <c r="BB1015">
        <v>0</v>
      </c>
      <c r="BC1015">
        <v>0</v>
      </c>
      <c r="BD1015">
        <v>0</v>
      </c>
      <c r="BE1015">
        <v>0</v>
      </c>
      <c r="BF1015">
        <v>0</v>
      </c>
      <c r="BG1015">
        <v>0</v>
      </c>
      <c r="BH1015">
        <v>1</v>
      </c>
      <c r="BI1015">
        <v>1</v>
      </c>
      <c r="BJ1015">
        <v>0.2</v>
      </c>
      <c r="BK1015">
        <v>1</v>
      </c>
      <c r="BL1015" s="4">
        <v>39.42</v>
      </c>
      <c r="BM1015" s="4">
        <v>5.91</v>
      </c>
      <c r="BN1015" s="4">
        <v>45.33</v>
      </c>
      <c r="BO1015" s="4">
        <v>45.33</v>
      </c>
      <c r="BQ1015" t="s">
        <v>147</v>
      </c>
      <c r="BR1015" t="s">
        <v>84</v>
      </c>
      <c r="BS1015" s="3">
        <v>43810</v>
      </c>
      <c r="BT1015" s="5">
        <v>0.34097222222222223</v>
      </c>
      <c r="BU1015" t="s">
        <v>1533</v>
      </c>
      <c r="BV1015" t="s">
        <v>86</v>
      </c>
      <c r="BY1015">
        <v>1200</v>
      </c>
      <c r="CA1015" t="s">
        <v>307</v>
      </c>
      <c r="CC1015" t="s">
        <v>76</v>
      </c>
      <c r="CD1015">
        <v>1645</v>
      </c>
      <c r="CE1015" t="s">
        <v>88</v>
      </c>
      <c r="CF1015" s="3">
        <v>43811</v>
      </c>
      <c r="CI1015">
        <v>1</v>
      </c>
      <c r="CJ1015">
        <v>1</v>
      </c>
      <c r="CK1015">
        <v>22</v>
      </c>
      <c r="CL1015" t="s">
        <v>89</v>
      </c>
    </row>
    <row r="1016" spans="1:90">
      <c r="A1016" t="s">
        <v>72</v>
      </c>
      <c r="B1016" t="s">
        <v>73</v>
      </c>
      <c r="C1016" t="s">
        <v>74</v>
      </c>
      <c r="E1016" t="str">
        <f>"FES1162727527"</f>
        <v>FES1162727527</v>
      </c>
      <c r="F1016" s="3">
        <v>43809</v>
      </c>
      <c r="G1016">
        <v>202006</v>
      </c>
      <c r="H1016" t="s">
        <v>75</v>
      </c>
      <c r="I1016" t="s">
        <v>76</v>
      </c>
      <c r="J1016" t="s">
        <v>77</v>
      </c>
      <c r="K1016" t="s">
        <v>78</v>
      </c>
      <c r="L1016" t="s">
        <v>75</v>
      </c>
      <c r="M1016" t="s">
        <v>76</v>
      </c>
      <c r="N1016" t="s">
        <v>194</v>
      </c>
      <c r="O1016" t="s">
        <v>82</v>
      </c>
      <c r="P1016" t="str">
        <f>"2170712099                    "</f>
        <v xml:space="preserve">2170712099                    </v>
      </c>
      <c r="Q1016">
        <v>0</v>
      </c>
      <c r="R1016">
        <v>0</v>
      </c>
      <c r="S1016">
        <v>0</v>
      </c>
      <c r="T1016">
        <v>0</v>
      </c>
      <c r="U1016">
        <v>0</v>
      </c>
      <c r="V1016">
        <v>0</v>
      </c>
      <c r="W1016">
        <v>0</v>
      </c>
      <c r="X1016">
        <v>0</v>
      </c>
      <c r="Y1016">
        <v>0</v>
      </c>
      <c r="Z1016">
        <v>0</v>
      </c>
      <c r="AA1016">
        <v>0</v>
      </c>
      <c r="AB1016">
        <v>0</v>
      </c>
      <c r="AC1016">
        <v>0</v>
      </c>
      <c r="AD1016">
        <v>0</v>
      </c>
      <c r="AE1016">
        <v>0</v>
      </c>
      <c r="AF1016">
        <v>0</v>
      </c>
      <c r="AG1016">
        <v>0</v>
      </c>
      <c r="AH1016">
        <v>0</v>
      </c>
      <c r="AI1016">
        <v>0</v>
      </c>
      <c r="AJ1016">
        <v>0</v>
      </c>
      <c r="AK1016">
        <v>0</v>
      </c>
      <c r="AL1016">
        <v>0</v>
      </c>
      <c r="AM1016">
        <v>6.71</v>
      </c>
      <c r="AN1016">
        <v>0</v>
      </c>
      <c r="AO1016">
        <v>0</v>
      </c>
      <c r="AP1016">
        <v>0</v>
      </c>
      <c r="AQ1016">
        <v>0</v>
      </c>
      <c r="AR1016">
        <v>0</v>
      </c>
      <c r="AS1016">
        <v>0</v>
      </c>
      <c r="AT1016">
        <v>0</v>
      </c>
      <c r="AU1016">
        <v>0</v>
      </c>
      <c r="AV1016">
        <v>0</v>
      </c>
      <c r="AW1016">
        <v>0</v>
      </c>
      <c r="AX1016">
        <v>0</v>
      </c>
      <c r="AY1016">
        <v>0</v>
      </c>
      <c r="AZ1016">
        <v>0</v>
      </c>
      <c r="BA1016">
        <v>0</v>
      </c>
      <c r="BB1016">
        <v>0</v>
      </c>
      <c r="BC1016">
        <v>0</v>
      </c>
      <c r="BD1016">
        <v>0</v>
      </c>
      <c r="BE1016">
        <v>0</v>
      </c>
      <c r="BF1016">
        <v>0</v>
      </c>
      <c r="BG1016">
        <v>0</v>
      </c>
      <c r="BH1016">
        <v>1</v>
      </c>
      <c r="BI1016">
        <v>1</v>
      </c>
      <c r="BJ1016">
        <v>0.2</v>
      </c>
      <c r="BK1016">
        <v>1</v>
      </c>
      <c r="BL1016" s="4">
        <v>39.42</v>
      </c>
      <c r="BM1016" s="4">
        <v>5.91</v>
      </c>
      <c r="BN1016" s="4">
        <v>45.33</v>
      </c>
      <c r="BO1016" s="4">
        <v>45.33</v>
      </c>
      <c r="BQ1016" t="s">
        <v>195</v>
      </c>
      <c r="BR1016" t="s">
        <v>84</v>
      </c>
      <c r="BS1016" s="3">
        <v>43810</v>
      </c>
      <c r="BT1016" s="5">
        <v>0.3263888888888889</v>
      </c>
      <c r="BU1016" t="s">
        <v>587</v>
      </c>
      <c r="BV1016" t="s">
        <v>86</v>
      </c>
      <c r="BY1016">
        <v>1200</v>
      </c>
      <c r="CA1016" t="s">
        <v>588</v>
      </c>
      <c r="CC1016" t="s">
        <v>76</v>
      </c>
      <c r="CD1016">
        <v>1600</v>
      </c>
      <c r="CE1016" t="s">
        <v>88</v>
      </c>
      <c r="CF1016" s="3">
        <v>43811</v>
      </c>
      <c r="CI1016">
        <v>1</v>
      </c>
      <c r="CJ1016">
        <v>1</v>
      </c>
      <c r="CK1016">
        <v>22</v>
      </c>
      <c r="CL1016" t="s">
        <v>89</v>
      </c>
    </row>
    <row r="1017" spans="1:90">
      <c r="A1017" t="s">
        <v>72</v>
      </c>
      <c r="B1017" t="s">
        <v>73</v>
      </c>
      <c r="C1017" t="s">
        <v>74</v>
      </c>
      <c r="E1017" t="str">
        <f>"FES1162727484"</f>
        <v>FES1162727484</v>
      </c>
      <c r="F1017" s="3">
        <v>43809</v>
      </c>
      <c r="G1017">
        <v>202006</v>
      </c>
      <c r="H1017" t="s">
        <v>75</v>
      </c>
      <c r="I1017" t="s">
        <v>76</v>
      </c>
      <c r="J1017" t="s">
        <v>77</v>
      </c>
      <c r="K1017" t="s">
        <v>78</v>
      </c>
      <c r="L1017" t="s">
        <v>151</v>
      </c>
      <c r="M1017" t="s">
        <v>102</v>
      </c>
      <c r="N1017" t="s">
        <v>681</v>
      </c>
      <c r="O1017" t="s">
        <v>82</v>
      </c>
      <c r="P1017" t="str">
        <f>"2170740284                    "</f>
        <v xml:space="preserve">2170740284                    </v>
      </c>
      <c r="Q1017">
        <v>0</v>
      </c>
      <c r="R1017">
        <v>0</v>
      </c>
      <c r="S1017">
        <v>0</v>
      </c>
      <c r="T1017">
        <v>0</v>
      </c>
      <c r="U1017">
        <v>0</v>
      </c>
      <c r="V1017">
        <v>0</v>
      </c>
      <c r="W1017">
        <v>0</v>
      </c>
      <c r="X1017">
        <v>0</v>
      </c>
      <c r="Y1017">
        <v>0</v>
      </c>
      <c r="Z1017">
        <v>0</v>
      </c>
      <c r="AA1017">
        <v>0</v>
      </c>
      <c r="AB1017">
        <v>0</v>
      </c>
      <c r="AC1017">
        <v>0</v>
      </c>
      <c r="AD1017">
        <v>0</v>
      </c>
      <c r="AE1017">
        <v>0</v>
      </c>
      <c r="AF1017">
        <v>0</v>
      </c>
      <c r="AG1017">
        <v>0</v>
      </c>
      <c r="AH1017">
        <v>0</v>
      </c>
      <c r="AI1017">
        <v>0</v>
      </c>
      <c r="AJ1017">
        <v>0</v>
      </c>
      <c r="AK1017">
        <v>0</v>
      </c>
      <c r="AL1017">
        <v>0</v>
      </c>
      <c r="AM1017">
        <v>12.87</v>
      </c>
      <c r="AN1017">
        <v>0</v>
      </c>
      <c r="AO1017">
        <v>0</v>
      </c>
      <c r="AP1017">
        <v>0</v>
      </c>
      <c r="AQ1017">
        <v>0</v>
      </c>
      <c r="AR1017">
        <v>0</v>
      </c>
      <c r="AS1017">
        <v>0</v>
      </c>
      <c r="AT1017">
        <v>0</v>
      </c>
      <c r="AU1017">
        <v>0</v>
      </c>
      <c r="AV1017">
        <v>0</v>
      </c>
      <c r="AW1017">
        <v>0</v>
      </c>
      <c r="AX1017">
        <v>0</v>
      </c>
      <c r="AY1017">
        <v>0</v>
      </c>
      <c r="AZ1017">
        <v>0</v>
      </c>
      <c r="BA1017">
        <v>0</v>
      </c>
      <c r="BB1017">
        <v>0</v>
      </c>
      <c r="BC1017">
        <v>0</v>
      </c>
      <c r="BD1017">
        <v>0</v>
      </c>
      <c r="BE1017">
        <v>0</v>
      </c>
      <c r="BF1017">
        <v>0</v>
      </c>
      <c r="BG1017">
        <v>0</v>
      </c>
      <c r="BH1017">
        <v>1</v>
      </c>
      <c r="BI1017">
        <v>3</v>
      </c>
      <c r="BJ1017">
        <v>0.9</v>
      </c>
      <c r="BK1017">
        <v>3</v>
      </c>
      <c r="BL1017" s="4">
        <v>75.66</v>
      </c>
      <c r="BM1017" s="4">
        <v>11.35</v>
      </c>
      <c r="BN1017" s="4">
        <v>87.01</v>
      </c>
      <c r="BO1017" s="4">
        <v>87.01</v>
      </c>
      <c r="BP1017" t="s">
        <v>1534</v>
      </c>
      <c r="BR1017" t="s">
        <v>84</v>
      </c>
      <c r="BS1017" s="3">
        <v>43810</v>
      </c>
      <c r="BT1017" s="5">
        <v>0.35069444444444442</v>
      </c>
      <c r="BU1017" t="s">
        <v>1535</v>
      </c>
      <c r="BV1017" t="s">
        <v>86</v>
      </c>
      <c r="BY1017">
        <v>4500</v>
      </c>
      <c r="CA1017" t="s">
        <v>137</v>
      </c>
      <c r="CC1017" t="s">
        <v>102</v>
      </c>
      <c r="CD1017">
        <v>1</v>
      </c>
      <c r="CE1017" t="s">
        <v>1536</v>
      </c>
      <c r="CF1017" s="3">
        <v>43811</v>
      </c>
      <c r="CI1017">
        <v>1</v>
      </c>
      <c r="CJ1017">
        <v>1</v>
      </c>
      <c r="CK1017">
        <v>21</v>
      </c>
      <c r="CL1017" t="s">
        <v>89</v>
      </c>
    </row>
    <row r="1018" spans="1:90">
      <c r="A1018" t="s">
        <v>72</v>
      </c>
      <c r="B1018" t="s">
        <v>73</v>
      </c>
      <c r="C1018" t="s">
        <v>74</v>
      </c>
      <c r="E1018" t="str">
        <f>"FES1162727539"</f>
        <v>FES1162727539</v>
      </c>
      <c r="F1018" s="3">
        <v>43809</v>
      </c>
      <c r="G1018">
        <v>202006</v>
      </c>
      <c r="H1018" t="s">
        <v>75</v>
      </c>
      <c r="I1018" t="s">
        <v>76</v>
      </c>
      <c r="J1018" t="s">
        <v>77</v>
      </c>
      <c r="K1018" t="s">
        <v>78</v>
      </c>
      <c r="L1018" t="s">
        <v>198</v>
      </c>
      <c r="M1018" t="s">
        <v>199</v>
      </c>
      <c r="N1018" t="s">
        <v>1537</v>
      </c>
      <c r="O1018" t="s">
        <v>82</v>
      </c>
      <c r="P1018" t="str">
        <f>"217071212                     "</f>
        <v xml:space="preserve">217071212                     </v>
      </c>
      <c r="Q1018">
        <v>0</v>
      </c>
      <c r="R1018">
        <v>0</v>
      </c>
      <c r="S1018">
        <v>0</v>
      </c>
      <c r="T1018">
        <v>0</v>
      </c>
      <c r="U1018">
        <v>0</v>
      </c>
      <c r="V1018">
        <v>0</v>
      </c>
      <c r="W1018">
        <v>0</v>
      </c>
      <c r="X1018">
        <v>0</v>
      </c>
      <c r="Y1018">
        <v>0</v>
      </c>
      <c r="Z1018">
        <v>0</v>
      </c>
      <c r="AA1018">
        <v>0</v>
      </c>
      <c r="AB1018">
        <v>0</v>
      </c>
      <c r="AC1018">
        <v>0</v>
      </c>
      <c r="AD1018">
        <v>0</v>
      </c>
      <c r="AE1018">
        <v>0</v>
      </c>
      <c r="AF1018">
        <v>0</v>
      </c>
      <c r="AG1018">
        <v>0</v>
      </c>
      <c r="AH1018">
        <v>0</v>
      </c>
      <c r="AI1018">
        <v>0</v>
      </c>
      <c r="AJ1018">
        <v>0</v>
      </c>
      <c r="AK1018">
        <v>0</v>
      </c>
      <c r="AL1018">
        <v>0</v>
      </c>
      <c r="AM1018">
        <v>8.58</v>
      </c>
      <c r="AN1018">
        <v>0</v>
      </c>
      <c r="AO1018">
        <v>0</v>
      </c>
      <c r="AP1018">
        <v>0</v>
      </c>
      <c r="AQ1018">
        <v>0</v>
      </c>
      <c r="AR1018">
        <v>0</v>
      </c>
      <c r="AS1018">
        <v>0</v>
      </c>
      <c r="AT1018">
        <v>0</v>
      </c>
      <c r="AU1018">
        <v>0</v>
      </c>
      <c r="AV1018">
        <v>0</v>
      </c>
      <c r="AW1018">
        <v>0</v>
      </c>
      <c r="AX1018">
        <v>0</v>
      </c>
      <c r="AY1018">
        <v>0</v>
      </c>
      <c r="AZ1018">
        <v>0</v>
      </c>
      <c r="BA1018">
        <v>0</v>
      </c>
      <c r="BB1018">
        <v>0</v>
      </c>
      <c r="BC1018">
        <v>0</v>
      </c>
      <c r="BD1018">
        <v>0</v>
      </c>
      <c r="BE1018">
        <v>0</v>
      </c>
      <c r="BF1018">
        <v>0</v>
      </c>
      <c r="BG1018">
        <v>0</v>
      </c>
      <c r="BH1018">
        <v>1</v>
      </c>
      <c r="BI1018">
        <v>1</v>
      </c>
      <c r="BJ1018">
        <v>0.2</v>
      </c>
      <c r="BK1018">
        <v>1</v>
      </c>
      <c r="BL1018" s="4">
        <v>50.45</v>
      </c>
      <c r="BM1018" s="4">
        <v>7.57</v>
      </c>
      <c r="BN1018" s="4">
        <v>58.02</v>
      </c>
      <c r="BO1018" s="4">
        <v>58.02</v>
      </c>
      <c r="BQ1018" t="s">
        <v>1538</v>
      </c>
      <c r="BR1018" t="s">
        <v>84</v>
      </c>
      <c r="BS1018" s="3">
        <v>43810</v>
      </c>
      <c r="BT1018" s="5">
        <v>0.34375</v>
      </c>
      <c r="BU1018" t="s">
        <v>1539</v>
      </c>
      <c r="BV1018" t="s">
        <v>86</v>
      </c>
      <c r="BY1018">
        <v>1200</v>
      </c>
      <c r="CA1018" t="s">
        <v>212</v>
      </c>
      <c r="CC1018" t="s">
        <v>199</v>
      </c>
      <c r="CD1018">
        <v>4052</v>
      </c>
      <c r="CE1018" t="s">
        <v>88</v>
      </c>
      <c r="CF1018" s="3">
        <v>43811</v>
      </c>
      <c r="CI1018">
        <v>1</v>
      </c>
      <c r="CJ1018">
        <v>1</v>
      </c>
      <c r="CK1018">
        <v>21</v>
      </c>
      <c r="CL1018" t="s">
        <v>89</v>
      </c>
    </row>
    <row r="1019" spans="1:90">
      <c r="A1019" t="s">
        <v>72</v>
      </c>
      <c r="B1019" t="s">
        <v>73</v>
      </c>
      <c r="C1019" t="s">
        <v>74</v>
      </c>
      <c r="E1019" t="str">
        <f>"FES1162727473"</f>
        <v>FES1162727473</v>
      </c>
      <c r="F1019" s="3">
        <v>43809</v>
      </c>
      <c r="G1019">
        <v>202006</v>
      </c>
      <c r="H1019" t="s">
        <v>75</v>
      </c>
      <c r="I1019" t="s">
        <v>76</v>
      </c>
      <c r="J1019" t="s">
        <v>77</v>
      </c>
      <c r="K1019" t="s">
        <v>78</v>
      </c>
      <c r="L1019" t="s">
        <v>79</v>
      </c>
      <c r="M1019" t="s">
        <v>80</v>
      </c>
      <c r="N1019" t="s">
        <v>300</v>
      </c>
      <c r="O1019" t="s">
        <v>82</v>
      </c>
      <c r="P1019" t="str">
        <f>"2170719180                    "</f>
        <v xml:space="preserve">2170719180                    </v>
      </c>
      <c r="Q1019">
        <v>0</v>
      </c>
      <c r="R1019">
        <v>0</v>
      </c>
      <c r="S1019">
        <v>0</v>
      </c>
      <c r="T1019">
        <v>0</v>
      </c>
      <c r="U1019">
        <v>0</v>
      </c>
      <c r="V1019">
        <v>0</v>
      </c>
      <c r="W1019">
        <v>0</v>
      </c>
      <c r="X1019">
        <v>0</v>
      </c>
      <c r="Y1019">
        <v>0</v>
      </c>
      <c r="Z1019">
        <v>0</v>
      </c>
      <c r="AA1019">
        <v>0</v>
      </c>
      <c r="AB1019">
        <v>0</v>
      </c>
      <c r="AC1019">
        <v>0</v>
      </c>
      <c r="AD1019">
        <v>0</v>
      </c>
      <c r="AE1019">
        <v>0</v>
      </c>
      <c r="AF1019">
        <v>0</v>
      </c>
      <c r="AG1019">
        <v>0</v>
      </c>
      <c r="AH1019">
        <v>0</v>
      </c>
      <c r="AI1019">
        <v>0</v>
      </c>
      <c r="AJ1019">
        <v>0</v>
      </c>
      <c r="AK1019">
        <v>0</v>
      </c>
      <c r="AL1019">
        <v>0</v>
      </c>
      <c r="AM1019">
        <v>8.58</v>
      </c>
      <c r="AN1019">
        <v>0</v>
      </c>
      <c r="AO1019">
        <v>0</v>
      </c>
      <c r="AP1019">
        <v>0</v>
      </c>
      <c r="AQ1019">
        <v>0</v>
      </c>
      <c r="AR1019">
        <v>0</v>
      </c>
      <c r="AS1019">
        <v>0</v>
      </c>
      <c r="AT1019">
        <v>0</v>
      </c>
      <c r="AU1019">
        <v>0</v>
      </c>
      <c r="AV1019">
        <v>0</v>
      </c>
      <c r="AW1019">
        <v>0</v>
      </c>
      <c r="AX1019">
        <v>0</v>
      </c>
      <c r="AY1019">
        <v>0</v>
      </c>
      <c r="AZ1019">
        <v>0</v>
      </c>
      <c r="BA1019">
        <v>0</v>
      </c>
      <c r="BB1019">
        <v>0</v>
      </c>
      <c r="BC1019">
        <v>0</v>
      </c>
      <c r="BD1019">
        <v>0</v>
      </c>
      <c r="BE1019">
        <v>0</v>
      </c>
      <c r="BF1019">
        <v>0</v>
      </c>
      <c r="BG1019">
        <v>0</v>
      </c>
      <c r="BH1019">
        <v>1</v>
      </c>
      <c r="BI1019">
        <v>1</v>
      </c>
      <c r="BJ1019">
        <v>0.2</v>
      </c>
      <c r="BK1019">
        <v>1</v>
      </c>
      <c r="BL1019" s="4">
        <v>50.45</v>
      </c>
      <c r="BM1019" s="4">
        <v>7.57</v>
      </c>
      <c r="BN1019" s="4">
        <v>58.02</v>
      </c>
      <c r="BO1019" s="4">
        <v>58.02</v>
      </c>
      <c r="BQ1019" t="s">
        <v>147</v>
      </c>
      <c r="BR1019" t="s">
        <v>84</v>
      </c>
      <c r="BS1019" s="3">
        <v>43810</v>
      </c>
      <c r="BT1019" s="5">
        <v>0.39583333333333331</v>
      </c>
      <c r="BU1019" t="s">
        <v>403</v>
      </c>
      <c r="BV1019" t="s">
        <v>86</v>
      </c>
      <c r="BY1019">
        <v>1200</v>
      </c>
      <c r="CA1019" t="s">
        <v>99</v>
      </c>
      <c r="CC1019" t="s">
        <v>80</v>
      </c>
      <c r="CD1019">
        <v>6001</v>
      </c>
      <c r="CE1019" t="s">
        <v>88</v>
      </c>
      <c r="CF1019" s="3">
        <v>43811</v>
      </c>
      <c r="CI1019">
        <v>1</v>
      </c>
      <c r="CJ1019">
        <v>1</v>
      </c>
      <c r="CK1019">
        <v>21</v>
      </c>
      <c r="CL1019" t="s">
        <v>89</v>
      </c>
    </row>
    <row r="1020" spans="1:90">
      <c r="A1020" t="s">
        <v>72</v>
      </c>
      <c r="B1020" t="s">
        <v>73</v>
      </c>
      <c r="C1020" t="s">
        <v>74</v>
      </c>
      <c r="E1020" t="str">
        <f>"FES1162727532"</f>
        <v>FES1162727532</v>
      </c>
      <c r="F1020" s="3">
        <v>43809</v>
      </c>
      <c r="G1020">
        <v>202006</v>
      </c>
      <c r="H1020" t="s">
        <v>75</v>
      </c>
      <c r="I1020" t="s">
        <v>76</v>
      </c>
      <c r="J1020" t="s">
        <v>77</v>
      </c>
      <c r="K1020" t="s">
        <v>78</v>
      </c>
      <c r="L1020" t="s">
        <v>164</v>
      </c>
      <c r="M1020" t="s">
        <v>165</v>
      </c>
      <c r="N1020" t="s">
        <v>369</v>
      </c>
      <c r="O1020" t="s">
        <v>82</v>
      </c>
      <c r="P1020" t="str">
        <f>"2170721003                    "</f>
        <v xml:space="preserve">2170721003                    </v>
      </c>
      <c r="Q1020">
        <v>0</v>
      </c>
      <c r="R1020">
        <v>0</v>
      </c>
      <c r="S1020">
        <v>0</v>
      </c>
      <c r="T1020">
        <v>0</v>
      </c>
      <c r="U1020">
        <v>0</v>
      </c>
      <c r="V1020">
        <v>0</v>
      </c>
      <c r="W1020">
        <v>0</v>
      </c>
      <c r="X1020">
        <v>0</v>
      </c>
      <c r="Y1020">
        <v>0</v>
      </c>
      <c r="Z1020">
        <v>0</v>
      </c>
      <c r="AA1020">
        <v>0</v>
      </c>
      <c r="AB1020">
        <v>0</v>
      </c>
      <c r="AC1020">
        <v>0</v>
      </c>
      <c r="AD1020">
        <v>0</v>
      </c>
      <c r="AE1020">
        <v>0</v>
      </c>
      <c r="AF1020">
        <v>0</v>
      </c>
      <c r="AG1020">
        <v>0</v>
      </c>
      <c r="AH1020">
        <v>0</v>
      </c>
      <c r="AI1020">
        <v>0</v>
      </c>
      <c r="AJ1020">
        <v>0</v>
      </c>
      <c r="AK1020">
        <v>0</v>
      </c>
      <c r="AL1020">
        <v>0</v>
      </c>
      <c r="AM1020">
        <v>8.58</v>
      </c>
      <c r="AN1020">
        <v>0</v>
      </c>
      <c r="AO1020">
        <v>0</v>
      </c>
      <c r="AP1020">
        <v>0</v>
      </c>
      <c r="AQ1020">
        <v>0</v>
      </c>
      <c r="AR1020">
        <v>0</v>
      </c>
      <c r="AS1020">
        <v>0</v>
      </c>
      <c r="AT1020">
        <v>0</v>
      </c>
      <c r="AU1020">
        <v>0</v>
      </c>
      <c r="AV1020">
        <v>0</v>
      </c>
      <c r="AW1020">
        <v>0</v>
      </c>
      <c r="AX1020">
        <v>0</v>
      </c>
      <c r="AY1020">
        <v>0</v>
      </c>
      <c r="AZ1020">
        <v>0</v>
      </c>
      <c r="BA1020">
        <v>0</v>
      </c>
      <c r="BB1020">
        <v>0</v>
      </c>
      <c r="BC1020">
        <v>0</v>
      </c>
      <c r="BD1020">
        <v>0</v>
      </c>
      <c r="BE1020">
        <v>0</v>
      </c>
      <c r="BF1020">
        <v>0</v>
      </c>
      <c r="BG1020">
        <v>0</v>
      </c>
      <c r="BH1020">
        <v>1</v>
      </c>
      <c r="BI1020">
        <v>1</v>
      </c>
      <c r="BJ1020">
        <v>0.2</v>
      </c>
      <c r="BK1020">
        <v>1</v>
      </c>
      <c r="BL1020" s="4">
        <v>50.45</v>
      </c>
      <c r="BM1020" s="4">
        <v>7.57</v>
      </c>
      <c r="BN1020" s="4">
        <v>58.02</v>
      </c>
      <c r="BO1020" s="4">
        <v>58.02</v>
      </c>
      <c r="BQ1020" t="s">
        <v>93</v>
      </c>
      <c r="BR1020" t="s">
        <v>84</v>
      </c>
      <c r="BS1020" s="3">
        <v>43810</v>
      </c>
      <c r="BT1020" s="5">
        <v>0.35625000000000001</v>
      </c>
      <c r="BU1020" t="s">
        <v>1013</v>
      </c>
      <c r="BV1020" t="s">
        <v>86</v>
      </c>
      <c r="BY1020">
        <v>1200</v>
      </c>
      <c r="CA1020" t="s">
        <v>1361</v>
      </c>
      <c r="CC1020" t="s">
        <v>165</v>
      </c>
      <c r="CD1020">
        <v>5201</v>
      </c>
      <c r="CE1020" t="s">
        <v>88</v>
      </c>
      <c r="CF1020" s="3">
        <v>43811</v>
      </c>
      <c r="CI1020">
        <v>1</v>
      </c>
      <c r="CJ1020">
        <v>1</v>
      </c>
      <c r="CK1020">
        <v>21</v>
      </c>
      <c r="CL1020" t="s">
        <v>89</v>
      </c>
    </row>
    <row r="1021" spans="1:90">
      <c r="A1021" t="s">
        <v>72</v>
      </c>
      <c r="B1021" t="s">
        <v>73</v>
      </c>
      <c r="C1021" t="s">
        <v>74</v>
      </c>
      <c r="E1021" t="str">
        <f>"FES1162726387"</f>
        <v>FES1162726387</v>
      </c>
      <c r="F1021" s="3">
        <v>43803</v>
      </c>
      <c r="G1021">
        <v>202006</v>
      </c>
      <c r="H1021" t="s">
        <v>75</v>
      </c>
      <c r="I1021" t="s">
        <v>76</v>
      </c>
      <c r="J1021" t="s">
        <v>77</v>
      </c>
      <c r="K1021" t="s">
        <v>78</v>
      </c>
      <c r="L1021" t="s">
        <v>350</v>
      </c>
      <c r="M1021" t="s">
        <v>351</v>
      </c>
      <c r="N1021" t="s">
        <v>238</v>
      </c>
      <c r="O1021" t="s">
        <v>104</v>
      </c>
      <c r="P1021" t="str">
        <f>"2170717987                    "</f>
        <v xml:space="preserve">2170717987                    </v>
      </c>
      <c r="Q1021">
        <v>0</v>
      </c>
      <c r="R1021">
        <v>0</v>
      </c>
      <c r="S1021">
        <v>0</v>
      </c>
      <c r="T1021">
        <v>0</v>
      </c>
      <c r="U1021">
        <v>0</v>
      </c>
      <c r="V1021">
        <v>0</v>
      </c>
      <c r="W1021">
        <v>0</v>
      </c>
      <c r="X1021">
        <v>0</v>
      </c>
      <c r="Y1021">
        <v>0</v>
      </c>
      <c r="Z1021">
        <v>0</v>
      </c>
      <c r="AA1021">
        <v>0</v>
      </c>
      <c r="AB1021">
        <v>0</v>
      </c>
      <c r="AC1021">
        <v>0</v>
      </c>
      <c r="AD1021">
        <v>0</v>
      </c>
      <c r="AE1021">
        <v>0</v>
      </c>
      <c r="AF1021">
        <v>0</v>
      </c>
      <c r="AG1021">
        <v>0</v>
      </c>
      <c r="AH1021">
        <v>0</v>
      </c>
      <c r="AI1021">
        <v>0</v>
      </c>
      <c r="AJ1021">
        <v>0</v>
      </c>
      <c r="AK1021">
        <v>0</v>
      </c>
      <c r="AL1021">
        <v>0</v>
      </c>
      <c r="AM1021">
        <v>13.28</v>
      </c>
      <c r="AN1021">
        <v>0</v>
      </c>
      <c r="AO1021">
        <v>0</v>
      </c>
      <c r="AP1021">
        <v>0</v>
      </c>
      <c r="AQ1021">
        <v>0</v>
      </c>
      <c r="AR1021">
        <v>0</v>
      </c>
      <c r="AS1021">
        <v>0</v>
      </c>
      <c r="AT1021">
        <v>0</v>
      </c>
      <c r="AU1021">
        <v>0</v>
      </c>
      <c r="AV1021">
        <v>0</v>
      </c>
      <c r="AW1021">
        <v>0</v>
      </c>
      <c r="AX1021">
        <v>0</v>
      </c>
      <c r="AY1021">
        <v>0</v>
      </c>
      <c r="AZ1021">
        <v>0</v>
      </c>
      <c r="BA1021">
        <v>0</v>
      </c>
      <c r="BB1021">
        <v>0</v>
      </c>
      <c r="BC1021">
        <v>0</v>
      </c>
      <c r="BD1021">
        <v>0</v>
      </c>
      <c r="BE1021">
        <v>0</v>
      </c>
      <c r="BF1021">
        <v>0</v>
      </c>
      <c r="BG1021">
        <v>0</v>
      </c>
      <c r="BH1021">
        <v>1</v>
      </c>
      <c r="BI1021">
        <v>17.899999999999999</v>
      </c>
      <c r="BJ1021">
        <v>11</v>
      </c>
      <c r="BK1021">
        <v>18</v>
      </c>
      <c r="BL1021" s="4">
        <v>83.07</v>
      </c>
      <c r="BM1021" s="4">
        <v>12.46</v>
      </c>
      <c r="BN1021" s="4">
        <v>95.53</v>
      </c>
      <c r="BO1021" s="4">
        <v>95.53</v>
      </c>
      <c r="BQ1021" t="s">
        <v>1540</v>
      </c>
      <c r="BR1021" t="s">
        <v>84</v>
      </c>
      <c r="BS1021" s="3">
        <v>43804</v>
      </c>
      <c r="BT1021" s="5">
        <v>0.4375</v>
      </c>
      <c r="BU1021" t="s">
        <v>1541</v>
      </c>
      <c r="BV1021" t="s">
        <v>86</v>
      </c>
      <c r="BY1021">
        <v>55071.5</v>
      </c>
      <c r="CA1021" t="s">
        <v>344</v>
      </c>
      <c r="CC1021" t="s">
        <v>351</v>
      </c>
      <c r="CD1021">
        <v>1500</v>
      </c>
      <c r="CE1021" t="s">
        <v>116</v>
      </c>
      <c r="CF1021" s="3">
        <v>43805</v>
      </c>
      <c r="CI1021">
        <v>1</v>
      </c>
      <c r="CJ1021">
        <v>1</v>
      </c>
      <c r="CK1021" t="s">
        <v>123</v>
      </c>
      <c r="CL1021" t="s">
        <v>89</v>
      </c>
    </row>
    <row r="1022" spans="1:90">
      <c r="A1022" t="s">
        <v>72</v>
      </c>
      <c r="B1022" t="s">
        <v>73</v>
      </c>
      <c r="C1022" t="s">
        <v>74</v>
      </c>
      <c r="E1022" t="str">
        <f>"FES1162722229"</f>
        <v>FES1162722229</v>
      </c>
      <c r="F1022" s="3">
        <v>43780</v>
      </c>
      <c r="G1022">
        <v>202006</v>
      </c>
      <c r="H1022" t="s">
        <v>75</v>
      </c>
      <c r="I1022" t="s">
        <v>76</v>
      </c>
      <c r="J1022" t="s">
        <v>100</v>
      </c>
      <c r="K1022" t="s">
        <v>78</v>
      </c>
      <c r="L1022" t="s">
        <v>632</v>
      </c>
      <c r="M1022" t="s">
        <v>633</v>
      </c>
      <c r="N1022" t="s">
        <v>1471</v>
      </c>
      <c r="O1022" t="s">
        <v>104</v>
      </c>
      <c r="P1022" t="str">
        <f>"2170716459                    "</f>
        <v xml:space="preserve">2170716459                    </v>
      </c>
      <c r="Q1022">
        <v>0</v>
      </c>
      <c r="R1022">
        <v>0</v>
      </c>
      <c r="S1022">
        <v>0</v>
      </c>
      <c r="T1022">
        <v>0</v>
      </c>
      <c r="U1022">
        <v>0</v>
      </c>
      <c r="V1022">
        <v>0</v>
      </c>
      <c r="W1022">
        <v>0</v>
      </c>
      <c r="X1022">
        <v>0</v>
      </c>
      <c r="Y1022">
        <v>0</v>
      </c>
      <c r="Z1022">
        <v>0</v>
      </c>
      <c r="AA1022">
        <v>0</v>
      </c>
      <c r="AB1022">
        <v>0</v>
      </c>
      <c r="AC1022">
        <v>0</v>
      </c>
      <c r="AD1022">
        <v>0</v>
      </c>
      <c r="AE1022">
        <v>0</v>
      </c>
      <c r="AF1022">
        <v>0</v>
      </c>
      <c r="AG1022">
        <v>0</v>
      </c>
      <c r="AH1022">
        <v>0</v>
      </c>
      <c r="AI1022">
        <v>0</v>
      </c>
      <c r="AJ1022">
        <v>0</v>
      </c>
      <c r="AK1022">
        <v>0</v>
      </c>
      <c r="AL1022">
        <v>0</v>
      </c>
      <c r="AM1022">
        <v>18.13</v>
      </c>
      <c r="AN1022">
        <v>0</v>
      </c>
      <c r="AO1022">
        <v>0</v>
      </c>
      <c r="AP1022">
        <v>0</v>
      </c>
      <c r="AQ1022">
        <v>0</v>
      </c>
      <c r="AR1022">
        <v>0</v>
      </c>
      <c r="AS1022">
        <v>0</v>
      </c>
      <c r="AT1022">
        <v>0</v>
      </c>
      <c r="AU1022">
        <v>0</v>
      </c>
      <c r="AV1022">
        <v>0</v>
      </c>
      <c r="AW1022">
        <v>0</v>
      </c>
      <c r="AX1022">
        <v>0</v>
      </c>
      <c r="AY1022">
        <v>0</v>
      </c>
      <c r="AZ1022">
        <v>0</v>
      </c>
      <c r="BA1022">
        <v>0</v>
      </c>
      <c r="BB1022">
        <v>0</v>
      </c>
      <c r="BC1022">
        <v>0</v>
      </c>
      <c r="BD1022">
        <v>0</v>
      </c>
      <c r="BE1022">
        <v>0</v>
      </c>
      <c r="BF1022">
        <v>0</v>
      </c>
      <c r="BG1022">
        <v>0</v>
      </c>
      <c r="BH1022">
        <v>1</v>
      </c>
      <c r="BI1022">
        <v>16.3</v>
      </c>
      <c r="BJ1022">
        <v>29.8</v>
      </c>
      <c r="BK1022">
        <v>30</v>
      </c>
      <c r="BL1022" s="4">
        <v>111.56</v>
      </c>
      <c r="BM1022" s="4">
        <v>16.73</v>
      </c>
      <c r="BN1022" s="4">
        <v>128.29</v>
      </c>
      <c r="BO1022" s="4">
        <v>128.29</v>
      </c>
      <c r="BQ1022" t="s">
        <v>1472</v>
      </c>
      <c r="BR1022" t="s">
        <v>105</v>
      </c>
      <c r="BS1022" s="3">
        <v>43781</v>
      </c>
      <c r="BT1022" s="5">
        <v>0.35000000000000003</v>
      </c>
      <c r="BU1022" t="s">
        <v>1542</v>
      </c>
      <c r="BV1022" t="s">
        <v>86</v>
      </c>
      <c r="BY1022">
        <v>148767.91</v>
      </c>
      <c r="CC1022" t="s">
        <v>633</v>
      </c>
      <c r="CD1022">
        <v>1451</v>
      </c>
      <c r="CE1022" t="s">
        <v>96</v>
      </c>
      <c r="CF1022" s="3">
        <v>43809</v>
      </c>
      <c r="CI1022">
        <v>1</v>
      </c>
      <c r="CJ1022">
        <v>1</v>
      </c>
      <c r="CK1022" t="s">
        <v>123</v>
      </c>
      <c r="CL1022" t="s">
        <v>89</v>
      </c>
    </row>
    <row r="1023" spans="1:90">
      <c r="A1023" t="s">
        <v>72</v>
      </c>
      <c r="B1023" t="s">
        <v>73</v>
      </c>
      <c r="C1023" t="s">
        <v>74</v>
      </c>
      <c r="E1023" t="str">
        <f>"FES1162727503"</f>
        <v>FES1162727503</v>
      </c>
      <c r="F1023" s="3">
        <v>43809</v>
      </c>
      <c r="G1023">
        <v>202006</v>
      </c>
      <c r="H1023" t="s">
        <v>75</v>
      </c>
      <c r="I1023" t="s">
        <v>76</v>
      </c>
      <c r="J1023" t="s">
        <v>77</v>
      </c>
      <c r="K1023" t="s">
        <v>78</v>
      </c>
      <c r="L1023" t="s">
        <v>198</v>
      </c>
      <c r="M1023" t="s">
        <v>199</v>
      </c>
      <c r="N1023" t="s">
        <v>1543</v>
      </c>
      <c r="O1023" t="s">
        <v>82</v>
      </c>
      <c r="P1023" t="str">
        <f>"2170717671                    "</f>
        <v xml:space="preserve">2170717671                    </v>
      </c>
      <c r="Q1023">
        <v>0</v>
      </c>
      <c r="R1023">
        <v>0</v>
      </c>
      <c r="S1023">
        <v>0</v>
      </c>
      <c r="T1023">
        <v>0</v>
      </c>
      <c r="U1023">
        <v>0</v>
      </c>
      <c r="V1023">
        <v>0</v>
      </c>
      <c r="W1023">
        <v>0</v>
      </c>
      <c r="X1023">
        <v>0</v>
      </c>
      <c r="Y1023">
        <v>0</v>
      </c>
      <c r="Z1023">
        <v>0</v>
      </c>
      <c r="AA1023">
        <v>0</v>
      </c>
      <c r="AB1023">
        <v>0</v>
      </c>
      <c r="AC1023">
        <v>0</v>
      </c>
      <c r="AD1023">
        <v>0</v>
      </c>
      <c r="AE1023">
        <v>0</v>
      </c>
      <c r="AF1023">
        <v>0</v>
      </c>
      <c r="AG1023">
        <v>0</v>
      </c>
      <c r="AH1023">
        <v>0</v>
      </c>
      <c r="AI1023">
        <v>0</v>
      </c>
      <c r="AJ1023">
        <v>0</v>
      </c>
      <c r="AK1023">
        <v>0</v>
      </c>
      <c r="AL1023">
        <v>0</v>
      </c>
      <c r="AM1023">
        <v>8.58</v>
      </c>
      <c r="AN1023">
        <v>0</v>
      </c>
      <c r="AO1023">
        <v>0</v>
      </c>
      <c r="AP1023">
        <v>0</v>
      </c>
      <c r="AQ1023">
        <v>0</v>
      </c>
      <c r="AR1023">
        <v>0</v>
      </c>
      <c r="AS1023">
        <v>0</v>
      </c>
      <c r="AT1023">
        <v>0</v>
      </c>
      <c r="AU1023">
        <v>0</v>
      </c>
      <c r="AV1023">
        <v>0</v>
      </c>
      <c r="AW1023">
        <v>0</v>
      </c>
      <c r="AX1023">
        <v>0</v>
      </c>
      <c r="AY1023">
        <v>0</v>
      </c>
      <c r="AZ1023">
        <v>0</v>
      </c>
      <c r="BA1023">
        <v>0</v>
      </c>
      <c r="BB1023">
        <v>0</v>
      </c>
      <c r="BC1023">
        <v>0</v>
      </c>
      <c r="BD1023">
        <v>0</v>
      </c>
      <c r="BE1023">
        <v>0</v>
      </c>
      <c r="BF1023">
        <v>0</v>
      </c>
      <c r="BG1023">
        <v>0</v>
      </c>
      <c r="BH1023">
        <v>1</v>
      </c>
      <c r="BI1023">
        <v>0.9</v>
      </c>
      <c r="BJ1023">
        <v>0.9</v>
      </c>
      <c r="BK1023">
        <v>1</v>
      </c>
      <c r="BL1023" s="4">
        <v>50.45</v>
      </c>
      <c r="BM1023" s="4">
        <v>7.57</v>
      </c>
      <c r="BN1023" s="4">
        <v>58.02</v>
      </c>
      <c r="BO1023" s="4">
        <v>58.02</v>
      </c>
      <c r="BQ1023" t="s">
        <v>1544</v>
      </c>
      <c r="BR1023" t="s">
        <v>84</v>
      </c>
      <c r="BS1023" s="3">
        <v>43810</v>
      </c>
      <c r="BT1023" s="5">
        <v>0.4375</v>
      </c>
      <c r="BU1023" t="s">
        <v>1545</v>
      </c>
      <c r="BV1023" t="s">
        <v>86</v>
      </c>
      <c r="BY1023">
        <v>4733.82</v>
      </c>
      <c r="CA1023" t="s">
        <v>488</v>
      </c>
      <c r="CC1023" t="s">
        <v>199</v>
      </c>
      <c r="CD1023">
        <v>4051</v>
      </c>
      <c r="CE1023" t="s">
        <v>96</v>
      </c>
      <c r="CF1023" s="3">
        <v>43811</v>
      </c>
      <c r="CI1023">
        <v>1</v>
      </c>
      <c r="CJ1023">
        <v>1</v>
      </c>
      <c r="CK1023">
        <v>21</v>
      </c>
      <c r="CL1023" t="s">
        <v>89</v>
      </c>
    </row>
    <row r="1024" spans="1:90">
      <c r="A1024" t="s">
        <v>72</v>
      </c>
      <c r="B1024" t="s">
        <v>73</v>
      </c>
      <c r="C1024" t="s">
        <v>74</v>
      </c>
      <c r="E1024" t="str">
        <f>"FES1162727030"</f>
        <v>FES1162727030</v>
      </c>
      <c r="F1024" s="3">
        <v>43804</v>
      </c>
      <c r="G1024">
        <v>202006</v>
      </c>
      <c r="H1024" t="s">
        <v>75</v>
      </c>
      <c r="I1024" t="s">
        <v>76</v>
      </c>
      <c r="J1024" t="s">
        <v>100</v>
      </c>
      <c r="K1024" t="s">
        <v>78</v>
      </c>
      <c r="L1024" t="s">
        <v>132</v>
      </c>
      <c r="M1024" t="s">
        <v>133</v>
      </c>
      <c r="N1024" t="s">
        <v>1546</v>
      </c>
      <c r="O1024" t="s">
        <v>104</v>
      </c>
      <c r="P1024" t="str">
        <f>"2170710432                    "</f>
        <v xml:space="preserve">2170710432                    </v>
      </c>
      <c r="Q1024">
        <v>0</v>
      </c>
      <c r="R1024">
        <v>0</v>
      </c>
      <c r="S1024">
        <v>0</v>
      </c>
      <c r="T1024">
        <v>0</v>
      </c>
      <c r="U1024">
        <v>0</v>
      </c>
      <c r="V1024">
        <v>0</v>
      </c>
      <c r="W1024">
        <v>0</v>
      </c>
      <c r="X1024">
        <v>0</v>
      </c>
      <c r="Y1024">
        <v>0</v>
      </c>
      <c r="Z1024">
        <v>0</v>
      </c>
      <c r="AA1024">
        <v>0</v>
      </c>
      <c r="AB1024">
        <v>0</v>
      </c>
      <c r="AC1024">
        <v>0</v>
      </c>
      <c r="AD1024">
        <v>0</v>
      </c>
      <c r="AE1024">
        <v>0</v>
      </c>
      <c r="AF1024">
        <v>0</v>
      </c>
      <c r="AG1024">
        <v>0</v>
      </c>
      <c r="AH1024">
        <v>0</v>
      </c>
      <c r="AI1024">
        <v>0</v>
      </c>
      <c r="AJ1024">
        <v>0</v>
      </c>
      <c r="AK1024">
        <v>0</v>
      </c>
      <c r="AL1024">
        <v>0</v>
      </c>
      <c r="AM1024">
        <v>14.75</v>
      </c>
      <c r="AN1024">
        <v>0</v>
      </c>
      <c r="AO1024">
        <v>0</v>
      </c>
      <c r="AP1024">
        <v>0</v>
      </c>
      <c r="AQ1024">
        <v>0</v>
      </c>
      <c r="AR1024">
        <v>0</v>
      </c>
      <c r="AS1024">
        <v>0</v>
      </c>
      <c r="AT1024">
        <v>0</v>
      </c>
      <c r="AU1024">
        <v>0</v>
      </c>
      <c r="AV1024">
        <v>0</v>
      </c>
      <c r="AW1024">
        <v>0</v>
      </c>
      <c r="AX1024">
        <v>0</v>
      </c>
      <c r="AY1024">
        <v>0</v>
      </c>
      <c r="AZ1024">
        <v>0</v>
      </c>
      <c r="BA1024">
        <v>0</v>
      </c>
      <c r="BB1024">
        <v>0</v>
      </c>
      <c r="BC1024">
        <v>0</v>
      </c>
      <c r="BD1024">
        <v>0</v>
      </c>
      <c r="BE1024">
        <v>0</v>
      </c>
      <c r="BF1024">
        <v>0</v>
      </c>
      <c r="BG1024">
        <v>0</v>
      </c>
      <c r="BH1024">
        <v>2</v>
      </c>
      <c r="BI1024">
        <v>8.1</v>
      </c>
      <c r="BJ1024">
        <v>2.9</v>
      </c>
      <c r="BK1024">
        <v>9</v>
      </c>
      <c r="BL1024" s="4">
        <v>91.71</v>
      </c>
      <c r="BM1024" s="4">
        <v>13.76</v>
      </c>
      <c r="BN1024" s="4">
        <v>105.47</v>
      </c>
      <c r="BO1024" s="4">
        <v>105.47</v>
      </c>
      <c r="BR1024" t="s">
        <v>105</v>
      </c>
      <c r="BS1024" s="3">
        <v>43805</v>
      </c>
      <c r="BT1024" s="5">
        <v>0.4236111111111111</v>
      </c>
      <c r="BU1024" t="s">
        <v>1547</v>
      </c>
      <c r="BV1024" t="s">
        <v>86</v>
      </c>
      <c r="BY1024">
        <v>14363.82</v>
      </c>
      <c r="CA1024" t="s">
        <v>137</v>
      </c>
      <c r="CC1024" t="s">
        <v>133</v>
      </c>
      <c r="CD1024">
        <v>46</v>
      </c>
      <c r="CE1024" t="s">
        <v>1548</v>
      </c>
      <c r="CF1024" s="3">
        <v>43826</v>
      </c>
      <c r="CI1024">
        <v>0</v>
      </c>
      <c r="CJ1024">
        <v>0</v>
      </c>
      <c r="CK1024" t="s">
        <v>108</v>
      </c>
      <c r="CL1024" t="s">
        <v>89</v>
      </c>
    </row>
    <row r="1025" spans="1:90">
      <c r="A1025" t="s">
        <v>72</v>
      </c>
      <c r="B1025" t="s">
        <v>73</v>
      </c>
      <c r="C1025" t="s">
        <v>74</v>
      </c>
      <c r="E1025" t="str">
        <f>"FES1162727262"</f>
        <v>FES1162727262</v>
      </c>
      <c r="F1025" s="3">
        <v>43808</v>
      </c>
      <c r="G1025">
        <v>202006</v>
      </c>
      <c r="H1025" t="s">
        <v>75</v>
      </c>
      <c r="I1025" t="s">
        <v>76</v>
      </c>
      <c r="J1025" t="s">
        <v>100</v>
      </c>
      <c r="K1025" t="s">
        <v>78</v>
      </c>
      <c r="L1025" t="s">
        <v>101</v>
      </c>
      <c r="M1025" t="s">
        <v>102</v>
      </c>
      <c r="N1025" t="s">
        <v>103</v>
      </c>
      <c r="O1025" t="s">
        <v>104</v>
      </c>
      <c r="P1025" t="str">
        <f>"2170720751                    "</f>
        <v xml:space="preserve">2170720751                    </v>
      </c>
      <c r="Q1025">
        <v>0</v>
      </c>
      <c r="R1025">
        <v>0</v>
      </c>
      <c r="S1025">
        <v>0</v>
      </c>
      <c r="T1025">
        <v>0</v>
      </c>
      <c r="U1025">
        <v>0</v>
      </c>
      <c r="V1025">
        <v>0</v>
      </c>
      <c r="W1025">
        <v>0</v>
      </c>
      <c r="X1025">
        <v>0</v>
      </c>
      <c r="Y1025">
        <v>0</v>
      </c>
      <c r="Z1025">
        <v>0</v>
      </c>
      <c r="AA1025">
        <v>0</v>
      </c>
      <c r="AB1025">
        <v>0</v>
      </c>
      <c r="AC1025">
        <v>0</v>
      </c>
      <c r="AD1025">
        <v>0</v>
      </c>
      <c r="AE1025">
        <v>0</v>
      </c>
      <c r="AF1025">
        <v>0</v>
      </c>
      <c r="AG1025">
        <v>0</v>
      </c>
      <c r="AH1025">
        <v>0</v>
      </c>
      <c r="AI1025">
        <v>0</v>
      </c>
      <c r="AJ1025">
        <v>0</v>
      </c>
      <c r="AK1025">
        <v>0</v>
      </c>
      <c r="AL1025">
        <v>0</v>
      </c>
      <c r="AM1025">
        <v>14.75</v>
      </c>
      <c r="AN1025">
        <v>0</v>
      </c>
      <c r="AO1025">
        <v>0</v>
      </c>
      <c r="AP1025">
        <v>0</v>
      </c>
      <c r="AQ1025">
        <v>0</v>
      </c>
      <c r="AR1025">
        <v>0</v>
      </c>
      <c r="AS1025">
        <v>0</v>
      </c>
      <c r="AT1025">
        <v>0</v>
      </c>
      <c r="AU1025">
        <v>0</v>
      </c>
      <c r="AV1025">
        <v>0</v>
      </c>
      <c r="AW1025">
        <v>0</v>
      </c>
      <c r="AX1025">
        <v>0</v>
      </c>
      <c r="AY1025">
        <v>0</v>
      </c>
      <c r="AZ1025">
        <v>0</v>
      </c>
      <c r="BA1025">
        <v>0</v>
      </c>
      <c r="BB1025">
        <v>0</v>
      </c>
      <c r="BC1025">
        <v>0</v>
      </c>
      <c r="BD1025">
        <v>0</v>
      </c>
      <c r="BE1025">
        <v>0</v>
      </c>
      <c r="BF1025">
        <v>0</v>
      </c>
      <c r="BG1025">
        <v>0</v>
      </c>
      <c r="BH1025">
        <v>1</v>
      </c>
      <c r="BI1025">
        <v>5</v>
      </c>
      <c r="BJ1025">
        <v>4.0999999999999996</v>
      </c>
      <c r="BK1025">
        <v>5</v>
      </c>
      <c r="BL1025" s="4">
        <v>91.71</v>
      </c>
      <c r="BM1025" s="4">
        <v>13.76</v>
      </c>
      <c r="BN1025" s="4">
        <v>105.47</v>
      </c>
      <c r="BO1025" s="4">
        <v>105.47</v>
      </c>
      <c r="BQ1025" t="s">
        <v>93</v>
      </c>
      <c r="BR1025" t="s">
        <v>105</v>
      </c>
      <c r="BS1025" s="3">
        <v>43809</v>
      </c>
      <c r="BT1025" s="5">
        <v>0.36249999999999999</v>
      </c>
      <c r="BU1025" t="s">
        <v>106</v>
      </c>
      <c r="BV1025" t="s">
        <v>86</v>
      </c>
      <c r="BY1025">
        <v>20358</v>
      </c>
      <c r="CA1025" t="s">
        <v>107</v>
      </c>
      <c r="CC1025" t="s">
        <v>102</v>
      </c>
      <c r="CD1025">
        <v>1</v>
      </c>
      <c r="CE1025" t="s">
        <v>96</v>
      </c>
      <c r="CF1025" s="3">
        <v>43826</v>
      </c>
      <c r="CI1025">
        <v>0</v>
      </c>
      <c r="CJ1025">
        <v>0</v>
      </c>
      <c r="CK1025" t="s">
        <v>108</v>
      </c>
      <c r="CL1025" t="s">
        <v>89</v>
      </c>
    </row>
    <row r="1026" spans="1:90">
      <c r="A1026" t="s">
        <v>72</v>
      </c>
      <c r="B1026" t="s">
        <v>73</v>
      </c>
      <c r="C1026" t="s">
        <v>74</v>
      </c>
      <c r="E1026" t="str">
        <f>"FES1162727516"</f>
        <v>FES1162727516</v>
      </c>
      <c r="F1026" s="3">
        <v>43809</v>
      </c>
      <c r="G1026">
        <v>202006</v>
      </c>
      <c r="H1026" t="s">
        <v>75</v>
      </c>
      <c r="I1026" t="s">
        <v>76</v>
      </c>
      <c r="J1026" t="s">
        <v>77</v>
      </c>
      <c r="K1026" t="s">
        <v>78</v>
      </c>
      <c r="L1026" t="s">
        <v>1549</v>
      </c>
      <c r="M1026" t="s">
        <v>1550</v>
      </c>
      <c r="N1026" t="s">
        <v>1551</v>
      </c>
      <c r="O1026" t="s">
        <v>82</v>
      </c>
      <c r="P1026" t="str">
        <f>"2170710647                    "</f>
        <v xml:space="preserve">2170710647                    </v>
      </c>
      <c r="Q1026">
        <v>0</v>
      </c>
      <c r="R1026">
        <v>0</v>
      </c>
      <c r="S1026">
        <v>0</v>
      </c>
      <c r="T1026">
        <v>0</v>
      </c>
      <c r="U1026">
        <v>0</v>
      </c>
      <c r="V1026">
        <v>0</v>
      </c>
      <c r="W1026">
        <v>0</v>
      </c>
      <c r="X1026">
        <v>0</v>
      </c>
      <c r="Y1026">
        <v>0</v>
      </c>
      <c r="Z1026">
        <v>0</v>
      </c>
      <c r="AA1026">
        <v>0</v>
      </c>
      <c r="AB1026">
        <v>0</v>
      </c>
      <c r="AC1026">
        <v>0</v>
      </c>
      <c r="AD1026">
        <v>0</v>
      </c>
      <c r="AE1026">
        <v>0</v>
      </c>
      <c r="AF1026">
        <v>0</v>
      </c>
      <c r="AG1026">
        <v>0</v>
      </c>
      <c r="AH1026">
        <v>0</v>
      </c>
      <c r="AI1026">
        <v>0</v>
      </c>
      <c r="AJ1026">
        <v>0</v>
      </c>
      <c r="AK1026">
        <v>0</v>
      </c>
      <c r="AL1026">
        <v>0</v>
      </c>
      <c r="AM1026">
        <v>12.07</v>
      </c>
      <c r="AN1026">
        <v>0</v>
      </c>
      <c r="AO1026">
        <v>0</v>
      </c>
      <c r="AP1026">
        <v>0</v>
      </c>
      <c r="AQ1026">
        <v>0</v>
      </c>
      <c r="AR1026">
        <v>0</v>
      </c>
      <c r="AS1026">
        <v>0</v>
      </c>
      <c r="AT1026">
        <v>0</v>
      </c>
      <c r="AU1026">
        <v>0</v>
      </c>
      <c r="AV1026">
        <v>0</v>
      </c>
      <c r="AW1026">
        <v>0</v>
      </c>
      <c r="AX1026">
        <v>0</v>
      </c>
      <c r="AY1026">
        <v>0</v>
      </c>
      <c r="AZ1026">
        <v>0</v>
      </c>
      <c r="BA1026">
        <v>0</v>
      </c>
      <c r="BB1026">
        <v>0</v>
      </c>
      <c r="BC1026">
        <v>0</v>
      </c>
      <c r="BD1026">
        <v>0</v>
      </c>
      <c r="BE1026">
        <v>0</v>
      </c>
      <c r="BF1026">
        <v>0</v>
      </c>
      <c r="BG1026">
        <v>0</v>
      </c>
      <c r="BH1026">
        <v>1</v>
      </c>
      <c r="BI1026">
        <v>1</v>
      </c>
      <c r="BJ1026">
        <v>0.2</v>
      </c>
      <c r="BK1026">
        <v>1</v>
      </c>
      <c r="BL1026" s="4">
        <v>70.95</v>
      </c>
      <c r="BM1026" s="4">
        <v>10.64</v>
      </c>
      <c r="BN1026" s="4">
        <v>81.59</v>
      </c>
      <c r="BO1026" s="4">
        <v>81.59</v>
      </c>
      <c r="BR1026" t="s">
        <v>84</v>
      </c>
      <c r="BS1026" s="3">
        <v>43811</v>
      </c>
      <c r="BT1026" s="5">
        <v>0.41666666666666669</v>
      </c>
      <c r="BU1026" t="s">
        <v>1552</v>
      </c>
      <c r="BV1026" t="s">
        <v>86</v>
      </c>
      <c r="BY1026">
        <v>1200</v>
      </c>
      <c r="CA1026" t="s">
        <v>650</v>
      </c>
      <c r="CC1026" t="s">
        <v>1550</v>
      </c>
      <c r="CD1026">
        <v>319</v>
      </c>
      <c r="CE1026" t="s">
        <v>88</v>
      </c>
      <c r="CF1026" s="3">
        <v>43817</v>
      </c>
      <c r="CI1026">
        <v>4</v>
      </c>
      <c r="CJ1026">
        <v>2</v>
      </c>
      <c r="CK1026">
        <v>24</v>
      </c>
      <c r="CL1026" t="s">
        <v>89</v>
      </c>
    </row>
    <row r="1027" spans="1:90">
      <c r="A1027" t="s">
        <v>72</v>
      </c>
      <c r="B1027" t="s">
        <v>73</v>
      </c>
      <c r="C1027" t="s">
        <v>74</v>
      </c>
      <c r="E1027" t="str">
        <f>"FES1162727494"</f>
        <v>FES1162727494</v>
      </c>
      <c r="F1027" s="3">
        <v>43809</v>
      </c>
      <c r="G1027">
        <v>202006</v>
      </c>
      <c r="H1027" t="s">
        <v>75</v>
      </c>
      <c r="I1027" t="s">
        <v>76</v>
      </c>
      <c r="J1027" t="s">
        <v>77</v>
      </c>
      <c r="K1027" t="s">
        <v>78</v>
      </c>
      <c r="L1027" t="s">
        <v>201</v>
      </c>
      <c r="M1027" t="s">
        <v>202</v>
      </c>
      <c r="N1027" t="s">
        <v>203</v>
      </c>
      <c r="O1027" t="s">
        <v>82</v>
      </c>
      <c r="P1027" t="str">
        <f>"21707097                      "</f>
        <v xml:space="preserve">21707097                      </v>
      </c>
      <c r="Q1027">
        <v>0</v>
      </c>
      <c r="R1027">
        <v>0</v>
      </c>
      <c r="S1027">
        <v>0</v>
      </c>
      <c r="T1027">
        <v>0</v>
      </c>
      <c r="U1027">
        <v>0</v>
      </c>
      <c r="V1027">
        <v>0</v>
      </c>
      <c r="W1027">
        <v>0</v>
      </c>
      <c r="X1027">
        <v>0</v>
      </c>
      <c r="Y1027">
        <v>0</v>
      </c>
      <c r="Z1027">
        <v>0</v>
      </c>
      <c r="AA1027">
        <v>0</v>
      </c>
      <c r="AB1027">
        <v>0</v>
      </c>
      <c r="AC1027">
        <v>0</v>
      </c>
      <c r="AD1027">
        <v>0</v>
      </c>
      <c r="AE1027">
        <v>0</v>
      </c>
      <c r="AF1027">
        <v>0</v>
      </c>
      <c r="AG1027">
        <v>0</v>
      </c>
      <c r="AH1027">
        <v>0</v>
      </c>
      <c r="AI1027">
        <v>0</v>
      </c>
      <c r="AJ1027">
        <v>0</v>
      </c>
      <c r="AK1027">
        <v>0</v>
      </c>
      <c r="AL1027">
        <v>0</v>
      </c>
      <c r="AM1027">
        <v>8.58</v>
      </c>
      <c r="AN1027">
        <v>0</v>
      </c>
      <c r="AO1027">
        <v>0</v>
      </c>
      <c r="AP1027">
        <v>0</v>
      </c>
      <c r="AQ1027">
        <v>0</v>
      </c>
      <c r="AR1027">
        <v>0</v>
      </c>
      <c r="AS1027">
        <v>0</v>
      </c>
      <c r="AT1027">
        <v>0</v>
      </c>
      <c r="AU1027">
        <v>0</v>
      </c>
      <c r="AV1027">
        <v>0</v>
      </c>
      <c r="AW1027">
        <v>0</v>
      </c>
      <c r="AX1027">
        <v>0</v>
      </c>
      <c r="AY1027">
        <v>0</v>
      </c>
      <c r="AZ1027">
        <v>0</v>
      </c>
      <c r="BA1027">
        <v>0</v>
      </c>
      <c r="BB1027">
        <v>0</v>
      </c>
      <c r="BC1027">
        <v>0</v>
      </c>
      <c r="BD1027">
        <v>0</v>
      </c>
      <c r="BE1027">
        <v>0</v>
      </c>
      <c r="BF1027">
        <v>0</v>
      </c>
      <c r="BG1027">
        <v>0</v>
      </c>
      <c r="BH1027">
        <v>1</v>
      </c>
      <c r="BI1027">
        <v>1</v>
      </c>
      <c r="BJ1027">
        <v>0.2</v>
      </c>
      <c r="BK1027">
        <v>1</v>
      </c>
      <c r="BL1027" s="4">
        <v>50.45</v>
      </c>
      <c r="BM1027" s="4">
        <v>7.57</v>
      </c>
      <c r="BN1027" s="4">
        <v>58.02</v>
      </c>
      <c r="BO1027" s="4">
        <v>58.02</v>
      </c>
      <c r="BQ1027" t="s">
        <v>147</v>
      </c>
      <c r="BR1027" t="s">
        <v>84</v>
      </c>
      <c r="BS1027" s="3">
        <v>43810</v>
      </c>
      <c r="BT1027" s="5">
        <v>0.33749999999999997</v>
      </c>
      <c r="BU1027" t="s">
        <v>204</v>
      </c>
      <c r="BV1027" t="s">
        <v>86</v>
      </c>
      <c r="BY1027">
        <v>1200</v>
      </c>
      <c r="CA1027" t="s">
        <v>205</v>
      </c>
      <c r="CC1027" t="s">
        <v>202</v>
      </c>
      <c r="CD1027">
        <v>3610</v>
      </c>
      <c r="CE1027" t="s">
        <v>88</v>
      </c>
      <c r="CF1027" s="3">
        <v>43811</v>
      </c>
      <c r="CI1027">
        <v>1</v>
      </c>
      <c r="CJ1027">
        <v>1</v>
      </c>
      <c r="CK1027">
        <v>21</v>
      </c>
      <c r="CL1027" t="s">
        <v>89</v>
      </c>
    </row>
    <row r="1028" spans="1:90">
      <c r="A1028" t="s">
        <v>72</v>
      </c>
      <c r="B1028" t="s">
        <v>73</v>
      </c>
      <c r="C1028" t="s">
        <v>74</v>
      </c>
      <c r="E1028" t="str">
        <f>"FES1162727511"</f>
        <v>FES1162727511</v>
      </c>
      <c r="F1028" s="3">
        <v>43809</v>
      </c>
      <c r="G1028">
        <v>202006</v>
      </c>
      <c r="H1028" t="s">
        <v>75</v>
      </c>
      <c r="I1028" t="s">
        <v>76</v>
      </c>
      <c r="J1028" t="s">
        <v>77</v>
      </c>
      <c r="K1028" t="s">
        <v>78</v>
      </c>
      <c r="L1028" t="s">
        <v>79</v>
      </c>
      <c r="M1028" t="s">
        <v>80</v>
      </c>
      <c r="N1028" t="s">
        <v>934</v>
      </c>
      <c r="O1028" t="s">
        <v>82</v>
      </c>
      <c r="P1028" t="str">
        <f>"2170712040                    "</f>
        <v xml:space="preserve">2170712040                    </v>
      </c>
      <c r="Q1028">
        <v>0</v>
      </c>
      <c r="R1028">
        <v>0</v>
      </c>
      <c r="S1028">
        <v>0</v>
      </c>
      <c r="T1028">
        <v>0</v>
      </c>
      <c r="U1028">
        <v>0</v>
      </c>
      <c r="V1028">
        <v>0</v>
      </c>
      <c r="W1028">
        <v>0</v>
      </c>
      <c r="X1028">
        <v>0</v>
      </c>
      <c r="Y1028">
        <v>0</v>
      </c>
      <c r="Z1028">
        <v>0</v>
      </c>
      <c r="AA1028">
        <v>0</v>
      </c>
      <c r="AB1028">
        <v>0</v>
      </c>
      <c r="AC1028">
        <v>0</v>
      </c>
      <c r="AD1028">
        <v>0</v>
      </c>
      <c r="AE1028">
        <v>0</v>
      </c>
      <c r="AF1028">
        <v>0</v>
      </c>
      <c r="AG1028">
        <v>0</v>
      </c>
      <c r="AH1028">
        <v>0</v>
      </c>
      <c r="AI1028">
        <v>0</v>
      </c>
      <c r="AJ1028">
        <v>0</v>
      </c>
      <c r="AK1028">
        <v>0</v>
      </c>
      <c r="AL1028">
        <v>0</v>
      </c>
      <c r="AM1028">
        <v>8.58</v>
      </c>
      <c r="AN1028">
        <v>0</v>
      </c>
      <c r="AO1028">
        <v>0</v>
      </c>
      <c r="AP1028">
        <v>0</v>
      </c>
      <c r="AQ1028">
        <v>0</v>
      </c>
      <c r="AR1028">
        <v>0</v>
      </c>
      <c r="AS1028">
        <v>0</v>
      </c>
      <c r="AT1028">
        <v>0</v>
      </c>
      <c r="AU1028">
        <v>0</v>
      </c>
      <c r="AV1028">
        <v>0</v>
      </c>
      <c r="AW1028">
        <v>0</v>
      </c>
      <c r="AX1028">
        <v>0</v>
      </c>
      <c r="AY1028">
        <v>0</v>
      </c>
      <c r="AZ1028">
        <v>0</v>
      </c>
      <c r="BA1028">
        <v>0</v>
      </c>
      <c r="BB1028">
        <v>0</v>
      </c>
      <c r="BC1028">
        <v>0</v>
      </c>
      <c r="BD1028">
        <v>0</v>
      </c>
      <c r="BE1028">
        <v>0</v>
      </c>
      <c r="BF1028">
        <v>0</v>
      </c>
      <c r="BG1028">
        <v>0</v>
      </c>
      <c r="BH1028">
        <v>1</v>
      </c>
      <c r="BI1028">
        <v>1</v>
      </c>
      <c r="BJ1028">
        <v>0.2</v>
      </c>
      <c r="BK1028">
        <v>1</v>
      </c>
      <c r="BL1028" s="4">
        <v>50.45</v>
      </c>
      <c r="BM1028" s="4">
        <v>7.57</v>
      </c>
      <c r="BN1028" s="4">
        <v>58.02</v>
      </c>
      <c r="BO1028" s="4">
        <v>58.02</v>
      </c>
      <c r="BQ1028" t="s">
        <v>93</v>
      </c>
      <c r="BR1028" t="s">
        <v>84</v>
      </c>
      <c r="BS1028" s="3">
        <v>43810</v>
      </c>
      <c r="BT1028" s="5">
        <v>0.34652777777777777</v>
      </c>
      <c r="BU1028" t="s">
        <v>1155</v>
      </c>
      <c r="BV1028" t="s">
        <v>86</v>
      </c>
      <c r="BY1028">
        <v>1200</v>
      </c>
      <c r="CA1028" t="s">
        <v>1156</v>
      </c>
      <c r="CC1028" t="s">
        <v>80</v>
      </c>
      <c r="CD1028">
        <v>6001</v>
      </c>
      <c r="CE1028" t="s">
        <v>88</v>
      </c>
      <c r="CF1028" s="3">
        <v>43811</v>
      </c>
      <c r="CI1028">
        <v>1</v>
      </c>
      <c r="CJ1028">
        <v>1</v>
      </c>
      <c r="CK1028">
        <v>21</v>
      </c>
      <c r="CL1028" t="s">
        <v>89</v>
      </c>
    </row>
    <row r="1029" spans="1:90">
      <c r="A1029" t="s">
        <v>72</v>
      </c>
      <c r="B1029" t="s">
        <v>73</v>
      </c>
      <c r="C1029" t="s">
        <v>74</v>
      </c>
      <c r="E1029" t="str">
        <f>"FES1162727493"</f>
        <v>FES1162727493</v>
      </c>
      <c r="F1029" s="3">
        <v>43809</v>
      </c>
      <c r="G1029">
        <v>202006</v>
      </c>
      <c r="H1029" t="s">
        <v>75</v>
      </c>
      <c r="I1029" t="s">
        <v>76</v>
      </c>
      <c r="J1029" t="s">
        <v>77</v>
      </c>
      <c r="K1029" t="s">
        <v>78</v>
      </c>
      <c r="L1029" t="s">
        <v>198</v>
      </c>
      <c r="M1029" t="s">
        <v>199</v>
      </c>
      <c r="N1029" t="s">
        <v>485</v>
      </c>
      <c r="O1029" t="s">
        <v>82</v>
      </c>
      <c r="P1029" t="str">
        <f>"21707120974                   "</f>
        <v xml:space="preserve">21707120974                   </v>
      </c>
      <c r="Q1029">
        <v>0</v>
      </c>
      <c r="R1029">
        <v>0</v>
      </c>
      <c r="S1029">
        <v>0</v>
      </c>
      <c r="T1029">
        <v>0</v>
      </c>
      <c r="U1029">
        <v>0</v>
      </c>
      <c r="V1029">
        <v>0</v>
      </c>
      <c r="W1029">
        <v>0</v>
      </c>
      <c r="X1029">
        <v>0</v>
      </c>
      <c r="Y1029">
        <v>0</v>
      </c>
      <c r="Z1029">
        <v>0</v>
      </c>
      <c r="AA1029">
        <v>0</v>
      </c>
      <c r="AB1029">
        <v>0</v>
      </c>
      <c r="AC1029">
        <v>0</v>
      </c>
      <c r="AD1029">
        <v>0</v>
      </c>
      <c r="AE1029">
        <v>0</v>
      </c>
      <c r="AF1029">
        <v>0</v>
      </c>
      <c r="AG1029">
        <v>0</v>
      </c>
      <c r="AH1029">
        <v>0</v>
      </c>
      <c r="AI1029">
        <v>0</v>
      </c>
      <c r="AJ1029">
        <v>0</v>
      </c>
      <c r="AK1029">
        <v>0</v>
      </c>
      <c r="AL1029">
        <v>0</v>
      </c>
      <c r="AM1029">
        <v>8.58</v>
      </c>
      <c r="AN1029">
        <v>0</v>
      </c>
      <c r="AO1029">
        <v>0</v>
      </c>
      <c r="AP1029">
        <v>0</v>
      </c>
      <c r="AQ1029">
        <v>0</v>
      </c>
      <c r="AR1029">
        <v>0</v>
      </c>
      <c r="AS1029">
        <v>0</v>
      </c>
      <c r="AT1029">
        <v>0</v>
      </c>
      <c r="AU1029">
        <v>0</v>
      </c>
      <c r="AV1029">
        <v>0</v>
      </c>
      <c r="AW1029">
        <v>0</v>
      </c>
      <c r="AX1029">
        <v>0</v>
      </c>
      <c r="AY1029">
        <v>0</v>
      </c>
      <c r="AZ1029">
        <v>0</v>
      </c>
      <c r="BA1029">
        <v>0</v>
      </c>
      <c r="BB1029">
        <v>0</v>
      </c>
      <c r="BC1029">
        <v>0</v>
      </c>
      <c r="BD1029">
        <v>0</v>
      </c>
      <c r="BE1029">
        <v>0</v>
      </c>
      <c r="BF1029">
        <v>0</v>
      </c>
      <c r="BG1029">
        <v>0</v>
      </c>
      <c r="BH1029">
        <v>1</v>
      </c>
      <c r="BI1029">
        <v>1</v>
      </c>
      <c r="BJ1029">
        <v>0.2</v>
      </c>
      <c r="BK1029">
        <v>1</v>
      </c>
      <c r="BL1029" s="4">
        <v>50.45</v>
      </c>
      <c r="BM1029" s="4">
        <v>7.57</v>
      </c>
      <c r="BN1029" s="4">
        <v>58.02</v>
      </c>
      <c r="BO1029" s="4">
        <v>58.02</v>
      </c>
      <c r="BQ1029" t="s">
        <v>486</v>
      </c>
      <c r="BR1029" t="s">
        <v>84</v>
      </c>
      <c r="BS1029" s="3">
        <v>43810</v>
      </c>
      <c r="BT1029" s="5">
        <v>0.32430555555555557</v>
      </c>
      <c r="BU1029" t="s">
        <v>742</v>
      </c>
      <c r="BV1029" t="s">
        <v>86</v>
      </c>
      <c r="BY1029">
        <v>1200</v>
      </c>
      <c r="CA1029" t="s">
        <v>488</v>
      </c>
      <c r="CC1029" t="s">
        <v>199</v>
      </c>
      <c r="CD1029">
        <v>4001</v>
      </c>
      <c r="CE1029" t="s">
        <v>88</v>
      </c>
      <c r="CF1029" s="3">
        <v>43811</v>
      </c>
      <c r="CI1029">
        <v>1</v>
      </c>
      <c r="CJ1029">
        <v>1</v>
      </c>
      <c r="CK1029">
        <v>21</v>
      </c>
      <c r="CL1029" t="s">
        <v>89</v>
      </c>
    </row>
    <row r="1030" spans="1:90">
      <c r="A1030" t="s">
        <v>72</v>
      </c>
      <c r="B1030" t="s">
        <v>73</v>
      </c>
      <c r="C1030" t="s">
        <v>74</v>
      </c>
      <c r="E1030" t="str">
        <f>"FES1162727536"</f>
        <v>FES1162727536</v>
      </c>
      <c r="F1030" s="3">
        <v>43809</v>
      </c>
      <c r="G1030">
        <v>202006</v>
      </c>
      <c r="H1030" t="s">
        <v>75</v>
      </c>
      <c r="I1030" t="s">
        <v>76</v>
      </c>
      <c r="J1030" t="s">
        <v>77</v>
      </c>
      <c r="K1030" t="s">
        <v>78</v>
      </c>
      <c r="L1030" t="s">
        <v>164</v>
      </c>
      <c r="M1030" t="s">
        <v>165</v>
      </c>
      <c r="N1030" t="s">
        <v>369</v>
      </c>
      <c r="O1030" t="s">
        <v>82</v>
      </c>
      <c r="P1030" t="str">
        <f>"21707120100                   "</f>
        <v xml:space="preserve">21707120100                   </v>
      </c>
      <c r="Q1030">
        <v>0</v>
      </c>
      <c r="R1030">
        <v>0</v>
      </c>
      <c r="S1030">
        <v>0</v>
      </c>
      <c r="T1030">
        <v>0</v>
      </c>
      <c r="U1030">
        <v>0</v>
      </c>
      <c r="V1030">
        <v>0</v>
      </c>
      <c r="W1030">
        <v>0</v>
      </c>
      <c r="X1030">
        <v>0</v>
      </c>
      <c r="Y1030">
        <v>0</v>
      </c>
      <c r="Z1030">
        <v>0</v>
      </c>
      <c r="AA1030">
        <v>0</v>
      </c>
      <c r="AB1030">
        <v>0</v>
      </c>
      <c r="AC1030">
        <v>0</v>
      </c>
      <c r="AD1030">
        <v>0</v>
      </c>
      <c r="AE1030">
        <v>0</v>
      </c>
      <c r="AF1030">
        <v>0</v>
      </c>
      <c r="AG1030">
        <v>0</v>
      </c>
      <c r="AH1030">
        <v>0</v>
      </c>
      <c r="AI1030">
        <v>0</v>
      </c>
      <c r="AJ1030">
        <v>0</v>
      </c>
      <c r="AK1030">
        <v>0</v>
      </c>
      <c r="AL1030">
        <v>0</v>
      </c>
      <c r="AM1030">
        <v>8.58</v>
      </c>
      <c r="AN1030">
        <v>0</v>
      </c>
      <c r="AO1030">
        <v>0</v>
      </c>
      <c r="AP1030">
        <v>0</v>
      </c>
      <c r="AQ1030">
        <v>0</v>
      </c>
      <c r="AR1030">
        <v>0</v>
      </c>
      <c r="AS1030">
        <v>0</v>
      </c>
      <c r="AT1030">
        <v>0</v>
      </c>
      <c r="AU1030">
        <v>0</v>
      </c>
      <c r="AV1030">
        <v>0</v>
      </c>
      <c r="AW1030">
        <v>0</v>
      </c>
      <c r="AX1030">
        <v>0</v>
      </c>
      <c r="AY1030">
        <v>0</v>
      </c>
      <c r="AZ1030">
        <v>0</v>
      </c>
      <c r="BA1030">
        <v>0</v>
      </c>
      <c r="BB1030">
        <v>0</v>
      </c>
      <c r="BC1030">
        <v>0</v>
      </c>
      <c r="BD1030">
        <v>0</v>
      </c>
      <c r="BE1030">
        <v>0</v>
      </c>
      <c r="BF1030">
        <v>0</v>
      </c>
      <c r="BG1030">
        <v>0</v>
      </c>
      <c r="BH1030">
        <v>1</v>
      </c>
      <c r="BI1030">
        <v>1</v>
      </c>
      <c r="BJ1030">
        <v>0.2</v>
      </c>
      <c r="BK1030">
        <v>1</v>
      </c>
      <c r="BL1030" s="4">
        <v>50.45</v>
      </c>
      <c r="BM1030" s="4">
        <v>7.57</v>
      </c>
      <c r="BN1030" s="4">
        <v>58.02</v>
      </c>
      <c r="BO1030" s="4">
        <v>58.02</v>
      </c>
      <c r="BQ1030" t="s">
        <v>93</v>
      </c>
      <c r="BR1030" t="s">
        <v>84</v>
      </c>
      <c r="BS1030" s="3">
        <v>43810</v>
      </c>
      <c r="BT1030" s="5">
        <v>0.35625000000000001</v>
      </c>
      <c r="BU1030" t="s">
        <v>1013</v>
      </c>
      <c r="BV1030" t="s">
        <v>86</v>
      </c>
      <c r="BY1030">
        <v>1200</v>
      </c>
      <c r="CA1030" t="s">
        <v>1361</v>
      </c>
      <c r="CC1030" t="s">
        <v>165</v>
      </c>
      <c r="CD1030">
        <v>5201</v>
      </c>
      <c r="CE1030" t="s">
        <v>88</v>
      </c>
      <c r="CF1030" s="3">
        <v>43811</v>
      </c>
      <c r="CI1030">
        <v>1</v>
      </c>
      <c r="CJ1030">
        <v>1</v>
      </c>
      <c r="CK1030">
        <v>21</v>
      </c>
      <c r="CL1030" t="s">
        <v>89</v>
      </c>
    </row>
    <row r="1031" spans="1:90">
      <c r="A1031" t="s">
        <v>72</v>
      </c>
      <c r="B1031" t="s">
        <v>73</v>
      </c>
      <c r="C1031" t="s">
        <v>74</v>
      </c>
      <c r="E1031" t="str">
        <f>"FES1162727695"</f>
        <v>FES1162727695</v>
      </c>
      <c r="F1031" s="3">
        <v>43809</v>
      </c>
      <c r="G1031">
        <v>202006</v>
      </c>
      <c r="H1031" t="s">
        <v>75</v>
      </c>
      <c r="I1031" t="s">
        <v>76</v>
      </c>
      <c r="J1031" t="s">
        <v>77</v>
      </c>
      <c r="K1031" t="s">
        <v>78</v>
      </c>
      <c r="L1031" t="s">
        <v>198</v>
      </c>
      <c r="M1031" t="s">
        <v>199</v>
      </c>
      <c r="N1031" t="s">
        <v>297</v>
      </c>
      <c r="O1031" t="s">
        <v>82</v>
      </c>
      <c r="P1031" t="str">
        <f>"2170721188                    "</f>
        <v xml:space="preserve">2170721188                    </v>
      </c>
      <c r="Q1031">
        <v>0</v>
      </c>
      <c r="R1031">
        <v>0</v>
      </c>
      <c r="S1031">
        <v>0</v>
      </c>
      <c r="T1031">
        <v>0</v>
      </c>
      <c r="U1031">
        <v>0</v>
      </c>
      <c r="V1031">
        <v>0</v>
      </c>
      <c r="W1031">
        <v>0</v>
      </c>
      <c r="X1031">
        <v>0</v>
      </c>
      <c r="Y1031">
        <v>0</v>
      </c>
      <c r="Z1031">
        <v>0</v>
      </c>
      <c r="AA1031">
        <v>0</v>
      </c>
      <c r="AB1031">
        <v>0</v>
      </c>
      <c r="AC1031">
        <v>0</v>
      </c>
      <c r="AD1031">
        <v>0</v>
      </c>
      <c r="AE1031">
        <v>0</v>
      </c>
      <c r="AF1031">
        <v>0</v>
      </c>
      <c r="AG1031">
        <v>0</v>
      </c>
      <c r="AH1031">
        <v>0</v>
      </c>
      <c r="AI1031">
        <v>0</v>
      </c>
      <c r="AJ1031">
        <v>0</v>
      </c>
      <c r="AK1031">
        <v>0</v>
      </c>
      <c r="AL1031">
        <v>0</v>
      </c>
      <c r="AM1031">
        <v>8.58</v>
      </c>
      <c r="AN1031">
        <v>0</v>
      </c>
      <c r="AO1031">
        <v>0</v>
      </c>
      <c r="AP1031">
        <v>0</v>
      </c>
      <c r="AQ1031">
        <v>0</v>
      </c>
      <c r="AR1031">
        <v>0</v>
      </c>
      <c r="AS1031">
        <v>0</v>
      </c>
      <c r="AT1031">
        <v>0</v>
      </c>
      <c r="AU1031">
        <v>0</v>
      </c>
      <c r="AV1031">
        <v>0</v>
      </c>
      <c r="AW1031">
        <v>0</v>
      </c>
      <c r="AX1031">
        <v>0</v>
      </c>
      <c r="AY1031">
        <v>0</v>
      </c>
      <c r="AZ1031">
        <v>0</v>
      </c>
      <c r="BA1031">
        <v>0</v>
      </c>
      <c r="BB1031">
        <v>0</v>
      </c>
      <c r="BC1031">
        <v>0</v>
      </c>
      <c r="BD1031">
        <v>0</v>
      </c>
      <c r="BE1031">
        <v>0</v>
      </c>
      <c r="BF1031">
        <v>0</v>
      </c>
      <c r="BG1031">
        <v>0</v>
      </c>
      <c r="BH1031">
        <v>1</v>
      </c>
      <c r="BI1031">
        <v>1</v>
      </c>
      <c r="BJ1031">
        <v>0.2</v>
      </c>
      <c r="BK1031">
        <v>1</v>
      </c>
      <c r="BL1031" s="4">
        <v>50.45</v>
      </c>
      <c r="BM1031" s="4">
        <v>7.57</v>
      </c>
      <c r="BN1031" s="4">
        <v>58.02</v>
      </c>
      <c r="BO1031" s="4">
        <v>58.02</v>
      </c>
      <c r="BQ1031" t="s">
        <v>172</v>
      </c>
      <c r="BR1031" t="s">
        <v>84</v>
      </c>
      <c r="BS1031" s="3">
        <v>43810</v>
      </c>
      <c r="BT1031" s="5">
        <v>0.36944444444444446</v>
      </c>
      <c r="BU1031" t="s">
        <v>542</v>
      </c>
      <c r="BV1031" t="s">
        <v>86</v>
      </c>
      <c r="BY1031">
        <v>1200</v>
      </c>
      <c r="CA1031" t="s">
        <v>299</v>
      </c>
      <c r="CC1031" t="s">
        <v>199</v>
      </c>
      <c r="CD1031">
        <v>4000</v>
      </c>
      <c r="CE1031" t="s">
        <v>88</v>
      </c>
      <c r="CF1031" s="3">
        <v>43811</v>
      </c>
      <c r="CI1031">
        <v>1</v>
      </c>
      <c r="CJ1031">
        <v>1</v>
      </c>
      <c r="CK1031">
        <v>21</v>
      </c>
      <c r="CL1031" t="s">
        <v>89</v>
      </c>
    </row>
    <row r="1032" spans="1:90">
      <c r="A1032" t="s">
        <v>72</v>
      </c>
      <c r="B1032" t="s">
        <v>73</v>
      </c>
      <c r="C1032" t="s">
        <v>74</v>
      </c>
      <c r="E1032" t="str">
        <f>"009938798446"</f>
        <v>009938798446</v>
      </c>
      <c r="F1032" s="3">
        <v>43809</v>
      </c>
      <c r="G1032">
        <v>202006</v>
      </c>
      <c r="H1032" t="s">
        <v>151</v>
      </c>
      <c r="I1032" t="s">
        <v>102</v>
      </c>
      <c r="J1032" t="s">
        <v>1553</v>
      </c>
      <c r="K1032" t="s">
        <v>78</v>
      </c>
      <c r="L1032" t="s">
        <v>201</v>
      </c>
      <c r="M1032" t="s">
        <v>202</v>
      </c>
      <c r="N1032" t="s">
        <v>1554</v>
      </c>
      <c r="O1032" t="s">
        <v>82</v>
      </c>
      <c r="P1032" t="str">
        <f>"JNB1912100118                 "</f>
        <v xml:space="preserve">JNB1912100118                 </v>
      </c>
      <c r="Q1032">
        <v>0</v>
      </c>
      <c r="R1032">
        <v>0</v>
      </c>
      <c r="S1032">
        <v>0</v>
      </c>
      <c r="T1032">
        <v>0</v>
      </c>
      <c r="U1032">
        <v>0</v>
      </c>
      <c r="V1032">
        <v>0</v>
      </c>
      <c r="W1032">
        <v>0</v>
      </c>
      <c r="X1032">
        <v>0</v>
      </c>
      <c r="Y1032">
        <v>0</v>
      </c>
      <c r="Z1032">
        <v>0</v>
      </c>
      <c r="AA1032">
        <v>0</v>
      </c>
      <c r="AB1032">
        <v>0</v>
      </c>
      <c r="AC1032">
        <v>0</v>
      </c>
      <c r="AD1032">
        <v>0</v>
      </c>
      <c r="AE1032">
        <v>0</v>
      </c>
      <c r="AF1032">
        <v>0</v>
      </c>
      <c r="AG1032">
        <v>0</v>
      </c>
      <c r="AH1032">
        <v>0</v>
      </c>
      <c r="AI1032">
        <v>0</v>
      </c>
      <c r="AJ1032">
        <v>0</v>
      </c>
      <c r="AK1032">
        <v>0</v>
      </c>
      <c r="AL1032">
        <v>0</v>
      </c>
      <c r="AM1032">
        <v>10.73</v>
      </c>
      <c r="AN1032">
        <v>0</v>
      </c>
      <c r="AO1032">
        <v>0</v>
      </c>
      <c r="AP1032">
        <v>0</v>
      </c>
      <c r="AQ1032">
        <v>0</v>
      </c>
      <c r="AR1032">
        <v>0</v>
      </c>
      <c r="AS1032">
        <v>0</v>
      </c>
      <c r="AT1032">
        <v>0</v>
      </c>
      <c r="AU1032">
        <v>0</v>
      </c>
      <c r="AV1032">
        <v>0</v>
      </c>
      <c r="AW1032">
        <v>0</v>
      </c>
      <c r="AX1032">
        <v>0</v>
      </c>
      <c r="AY1032">
        <v>0</v>
      </c>
      <c r="AZ1032">
        <v>0</v>
      </c>
      <c r="BA1032">
        <v>0</v>
      </c>
      <c r="BB1032">
        <v>0</v>
      </c>
      <c r="BC1032">
        <v>0</v>
      </c>
      <c r="BD1032">
        <v>0</v>
      </c>
      <c r="BE1032">
        <v>0</v>
      </c>
      <c r="BF1032">
        <v>0</v>
      </c>
      <c r="BG1032">
        <v>0</v>
      </c>
      <c r="BH1032">
        <v>1</v>
      </c>
      <c r="BI1032">
        <v>2.1</v>
      </c>
      <c r="BJ1032">
        <v>1.6</v>
      </c>
      <c r="BK1032">
        <v>2.5</v>
      </c>
      <c r="BL1032" s="4">
        <v>63.06</v>
      </c>
      <c r="BM1032" s="4">
        <v>9.4600000000000009</v>
      </c>
      <c r="BN1032" s="4">
        <v>72.52</v>
      </c>
      <c r="BO1032" s="4">
        <v>72.52</v>
      </c>
      <c r="BQ1032" t="s">
        <v>127</v>
      </c>
      <c r="BR1032" t="s">
        <v>1555</v>
      </c>
      <c r="BS1032" s="3">
        <v>43810</v>
      </c>
      <c r="BT1032" s="5">
        <v>0.3263888888888889</v>
      </c>
      <c r="BU1032" t="s">
        <v>1556</v>
      </c>
      <c r="BV1032" t="s">
        <v>86</v>
      </c>
      <c r="BY1032">
        <v>7981.81</v>
      </c>
      <c r="BZ1032" t="s">
        <v>27</v>
      </c>
      <c r="CA1032" t="s">
        <v>288</v>
      </c>
      <c r="CC1032" t="s">
        <v>202</v>
      </c>
      <c r="CD1032">
        <v>3610</v>
      </c>
      <c r="CE1032" t="s">
        <v>96</v>
      </c>
      <c r="CF1032" s="3">
        <v>43810</v>
      </c>
      <c r="CI1032">
        <v>1</v>
      </c>
      <c r="CJ1032">
        <v>1</v>
      </c>
      <c r="CK1032">
        <v>21</v>
      </c>
      <c r="CL1032" t="s">
        <v>89</v>
      </c>
    </row>
    <row r="1033" spans="1:90">
      <c r="A1033" t="s">
        <v>72</v>
      </c>
      <c r="B1033" t="s">
        <v>73</v>
      </c>
      <c r="C1033" t="s">
        <v>74</v>
      </c>
      <c r="E1033" t="str">
        <f>"FES1162727664"</f>
        <v>FES1162727664</v>
      </c>
      <c r="F1033" s="3">
        <v>43809</v>
      </c>
      <c r="G1033">
        <v>202006</v>
      </c>
      <c r="H1033" t="s">
        <v>75</v>
      </c>
      <c r="I1033" t="s">
        <v>76</v>
      </c>
      <c r="J1033" t="s">
        <v>77</v>
      </c>
      <c r="K1033" t="s">
        <v>78</v>
      </c>
      <c r="L1033" t="s">
        <v>671</v>
      </c>
      <c r="M1033" t="s">
        <v>672</v>
      </c>
      <c r="N1033" t="s">
        <v>1557</v>
      </c>
      <c r="O1033" t="s">
        <v>82</v>
      </c>
      <c r="P1033" t="str">
        <f>"2170712263                    "</f>
        <v xml:space="preserve">2170712263                    </v>
      </c>
      <c r="Q1033">
        <v>0</v>
      </c>
      <c r="R1033">
        <v>0</v>
      </c>
      <c r="S1033">
        <v>0</v>
      </c>
      <c r="T1033">
        <v>0</v>
      </c>
      <c r="U1033">
        <v>0</v>
      </c>
      <c r="V1033">
        <v>0</v>
      </c>
      <c r="W1033">
        <v>0</v>
      </c>
      <c r="X1033">
        <v>0</v>
      </c>
      <c r="Y1033">
        <v>0</v>
      </c>
      <c r="Z1033">
        <v>0</v>
      </c>
      <c r="AA1033">
        <v>0</v>
      </c>
      <c r="AB1033">
        <v>0</v>
      </c>
      <c r="AC1033">
        <v>0</v>
      </c>
      <c r="AD1033">
        <v>0</v>
      </c>
      <c r="AE1033">
        <v>0</v>
      </c>
      <c r="AF1033">
        <v>0</v>
      </c>
      <c r="AG1033">
        <v>0</v>
      </c>
      <c r="AH1033">
        <v>0</v>
      </c>
      <c r="AI1033">
        <v>0</v>
      </c>
      <c r="AJ1033">
        <v>0</v>
      </c>
      <c r="AK1033">
        <v>0</v>
      </c>
      <c r="AL1033">
        <v>0</v>
      </c>
      <c r="AM1033">
        <v>16.63</v>
      </c>
      <c r="AN1033">
        <v>0</v>
      </c>
      <c r="AO1033">
        <v>0</v>
      </c>
      <c r="AP1033">
        <v>0</v>
      </c>
      <c r="AQ1033">
        <v>0</v>
      </c>
      <c r="AR1033">
        <v>0</v>
      </c>
      <c r="AS1033">
        <v>0</v>
      </c>
      <c r="AT1033">
        <v>0</v>
      </c>
      <c r="AU1033">
        <v>0</v>
      </c>
      <c r="AV1033">
        <v>0</v>
      </c>
      <c r="AW1033">
        <v>0</v>
      </c>
      <c r="AX1033">
        <v>0</v>
      </c>
      <c r="AY1033">
        <v>0</v>
      </c>
      <c r="AZ1033">
        <v>0</v>
      </c>
      <c r="BA1033">
        <v>0</v>
      </c>
      <c r="BB1033">
        <v>0</v>
      </c>
      <c r="BC1033">
        <v>0</v>
      </c>
      <c r="BD1033">
        <v>0</v>
      </c>
      <c r="BE1033">
        <v>0</v>
      </c>
      <c r="BF1033">
        <v>0</v>
      </c>
      <c r="BG1033">
        <v>0</v>
      </c>
      <c r="BH1033">
        <v>1</v>
      </c>
      <c r="BI1033">
        <v>1</v>
      </c>
      <c r="BJ1033">
        <v>0.2</v>
      </c>
      <c r="BK1033">
        <v>1</v>
      </c>
      <c r="BL1033" s="4">
        <v>97.75</v>
      </c>
      <c r="BM1033" s="4">
        <v>14.66</v>
      </c>
      <c r="BN1033" s="4">
        <v>112.41</v>
      </c>
      <c r="BO1033" s="4">
        <v>112.41</v>
      </c>
      <c r="BQ1033" t="s">
        <v>148</v>
      </c>
      <c r="BR1033" t="s">
        <v>84</v>
      </c>
      <c r="BS1033" s="3">
        <v>43810</v>
      </c>
      <c r="BT1033" s="5">
        <v>0.33333333333333331</v>
      </c>
      <c r="BU1033" t="s">
        <v>1558</v>
      </c>
      <c r="BV1033" t="s">
        <v>86</v>
      </c>
      <c r="BY1033">
        <v>1200</v>
      </c>
      <c r="CA1033" t="s">
        <v>1559</v>
      </c>
      <c r="CC1033" t="s">
        <v>672</v>
      </c>
      <c r="CD1033">
        <v>1911</v>
      </c>
      <c r="CE1033" t="s">
        <v>88</v>
      </c>
      <c r="CF1033" s="3">
        <v>43811</v>
      </c>
      <c r="CI1033">
        <v>1</v>
      </c>
      <c r="CJ1033">
        <v>1</v>
      </c>
      <c r="CK1033">
        <v>23</v>
      </c>
      <c r="CL1033" t="s">
        <v>89</v>
      </c>
    </row>
    <row r="1034" spans="1:90">
      <c r="A1034" t="s">
        <v>72</v>
      </c>
      <c r="B1034" t="s">
        <v>73</v>
      </c>
      <c r="C1034" t="s">
        <v>74</v>
      </c>
      <c r="E1034" t="str">
        <f>"FES1162727692"</f>
        <v>FES1162727692</v>
      </c>
      <c r="F1034" s="3">
        <v>43809</v>
      </c>
      <c r="G1034">
        <v>202006</v>
      </c>
      <c r="H1034" t="s">
        <v>75</v>
      </c>
      <c r="I1034" t="s">
        <v>76</v>
      </c>
      <c r="J1034" t="s">
        <v>77</v>
      </c>
      <c r="K1034" t="s">
        <v>78</v>
      </c>
      <c r="L1034" t="s">
        <v>198</v>
      </c>
      <c r="M1034" t="s">
        <v>199</v>
      </c>
      <c r="N1034" t="s">
        <v>1031</v>
      </c>
      <c r="O1034" t="s">
        <v>82</v>
      </c>
      <c r="P1034" t="str">
        <f>"2170721185                    "</f>
        <v xml:space="preserve">2170721185                    </v>
      </c>
      <c r="Q1034">
        <v>0</v>
      </c>
      <c r="R1034">
        <v>0</v>
      </c>
      <c r="S1034">
        <v>0</v>
      </c>
      <c r="T1034">
        <v>0</v>
      </c>
      <c r="U1034">
        <v>0</v>
      </c>
      <c r="V1034">
        <v>0</v>
      </c>
      <c r="W1034">
        <v>0</v>
      </c>
      <c r="X1034">
        <v>0</v>
      </c>
      <c r="Y1034">
        <v>0</v>
      </c>
      <c r="Z1034">
        <v>0</v>
      </c>
      <c r="AA1034">
        <v>0</v>
      </c>
      <c r="AB1034">
        <v>0</v>
      </c>
      <c r="AC1034">
        <v>0</v>
      </c>
      <c r="AD1034">
        <v>0</v>
      </c>
      <c r="AE1034">
        <v>0</v>
      </c>
      <c r="AF1034">
        <v>0</v>
      </c>
      <c r="AG1034">
        <v>0</v>
      </c>
      <c r="AH1034">
        <v>0</v>
      </c>
      <c r="AI1034">
        <v>0</v>
      </c>
      <c r="AJ1034">
        <v>0</v>
      </c>
      <c r="AK1034">
        <v>0</v>
      </c>
      <c r="AL1034">
        <v>0</v>
      </c>
      <c r="AM1034">
        <v>8.58</v>
      </c>
      <c r="AN1034">
        <v>0</v>
      </c>
      <c r="AO1034">
        <v>0</v>
      </c>
      <c r="AP1034">
        <v>0</v>
      </c>
      <c r="AQ1034">
        <v>0</v>
      </c>
      <c r="AR1034">
        <v>0</v>
      </c>
      <c r="AS1034">
        <v>0</v>
      </c>
      <c r="AT1034">
        <v>0</v>
      </c>
      <c r="AU1034">
        <v>0</v>
      </c>
      <c r="AV1034">
        <v>0</v>
      </c>
      <c r="AW1034">
        <v>0</v>
      </c>
      <c r="AX1034">
        <v>0</v>
      </c>
      <c r="AY1034">
        <v>0</v>
      </c>
      <c r="AZ1034">
        <v>0</v>
      </c>
      <c r="BA1034">
        <v>0</v>
      </c>
      <c r="BB1034">
        <v>0</v>
      </c>
      <c r="BC1034">
        <v>0</v>
      </c>
      <c r="BD1034">
        <v>0</v>
      </c>
      <c r="BE1034">
        <v>0</v>
      </c>
      <c r="BF1034">
        <v>0</v>
      </c>
      <c r="BG1034">
        <v>0</v>
      </c>
      <c r="BH1034">
        <v>1</v>
      </c>
      <c r="BI1034">
        <v>1</v>
      </c>
      <c r="BJ1034">
        <v>0.2</v>
      </c>
      <c r="BK1034">
        <v>1</v>
      </c>
      <c r="BL1034" s="4">
        <v>50.45</v>
      </c>
      <c r="BM1034" s="4">
        <v>7.57</v>
      </c>
      <c r="BN1034" s="4">
        <v>58.02</v>
      </c>
      <c r="BO1034" s="4">
        <v>58.02</v>
      </c>
      <c r="BQ1034" t="s">
        <v>93</v>
      </c>
      <c r="BR1034" t="s">
        <v>84</v>
      </c>
      <c r="BS1034" s="3">
        <v>43810</v>
      </c>
      <c r="BT1034" s="5">
        <v>0.33055555555555555</v>
      </c>
      <c r="BU1034" t="s">
        <v>1560</v>
      </c>
      <c r="BV1034" t="s">
        <v>86</v>
      </c>
      <c r="BY1034">
        <v>1200</v>
      </c>
      <c r="CA1034" t="s">
        <v>288</v>
      </c>
      <c r="CC1034" t="s">
        <v>199</v>
      </c>
      <c r="CD1034">
        <v>4001</v>
      </c>
      <c r="CE1034" t="s">
        <v>88</v>
      </c>
      <c r="CF1034" s="3">
        <v>43811</v>
      </c>
      <c r="CI1034">
        <v>1</v>
      </c>
      <c r="CJ1034">
        <v>1</v>
      </c>
      <c r="CK1034">
        <v>21</v>
      </c>
      <c r="CL1034" t="s">
        <v>89</v>
      </c>
    </row>
    <row r="1035" spans="1:90">
      <c r="A1035" t="s">
        <v>72</v>
      </c>
      <c r="B1035" t="s">
        <v>73</v>
      </c>
      <c r="C1035" t="s">
        <v>74</v>
      </c>
      <c r="E1035" t="str">
        <f>"FES1162727673"</f>
        <v>FES1162727673</v>
      </c>
      <c r="F1035" s="3">
        <v>43809</v>
      </c>
      <c r="G1035">
        <v>202006</v>
      </c>
      <c r="H1035" t="s">
        <v>75</v>
      </c>
      <c r="I1035" t="s">
        <v>76</v>
      </c>
      <c r="J1035" t="s">
        <v>77</v>
      </c>
      <c r="K1035" t="s">
        <v>78</v>
      </c>
      <c r="L1035" t="s">
        <v>132</v>
      </c>
      <c r="M1035" t="s">
        <v>133</v>
      </c>
      <c r="N1035" t="s">
        <v>1257</v>
      </c>
      <c r="O1035" t="s">
        <v>82</v>
      </c>
      <c r="P1035" t="str">
        <f>"2170714914                    "</f>
        <v xml:space="preserve">2170714914                    </v>
      </c>
      <c r="Q1035">
        <v>0</v>
      </c>
      <c r="R1035">
        <v>0</v>
      </c>
      <c r="S1035">
        <v>0</v>
      </c>
      <c r="T1035">
        <v>0</v>
      </c>
      <c r="U1035">
        <v>0</v>
      </c>
      <c r="V1035">
        <v>0</v>
      </c>
      <c r="W1035">
        <v>0</v>
      </c>
      <c r="X1035">
        <v>0</v>
      </c>
      <c r="Y1035">
        <v>0</v>
      </c>
      <c r="Z1035">
        <v>0</v>
      </c>
      <c r="AA1035">
        <v>0</v>
      </c>
      <c r="AB1035">
        <v>0</v>
      </c>
      <c r="AC1035">
        <v>0</v>
      </c>
      <c r="AD1035">
        <v>0</v>
      </c>
      <c r="AE1035">
        <v>0</v>
      </c>
      <c r="AF1035">
        <v>0</v>
      </c>
      <c r="AG1035">
        <v>0</v>
      </c>
      <c r="AH1035">
        <v>0</v>
      </c>
      <c r="AI1035">
        <v>0</v>
      </c>
      <c r="AJ1035">
        <v>0</v>
      </c>
      <c r="AK1035">
        <v>0</v>
      </c>
      <c r="AL1035">
        <v>0</v>
      </c>
      <c r="AM1035">
        <v>8.58</v>
      </c>
      <c r="AN1035">
        <v>0</v>
      </c>
      <c r="AO1035">
        <v>0</v>
      </c>
      <c r="AP1035">
        <v>0</v>
      </c>
      <c r="AQ1035">
        <v>0</v>
      </c>
      <c r="AR1035">
        <v>0</v>
      </c>
      <c r="AS1035">
        <v>0</v>
      </c>
      <c r="AT1035">
        <v>0</v>
      </c>
      <c r="AU1035">
        <v>0</v>
      </c>
      <c r="AV1035">
        <v>0</v>
      </c>
      <c r="AW1035">
        <v>0</v>
      </c>
      <c r="AX1035">
        <v>0</v>
      </c>
      <c r="AY1035">
        <v>0</v>
      </c>
      <c r="AZ1035">
        <v>0</v>
      </c>
      <c r="BA1035">
        <v>0</v>
      </c>
      <c r="BB1035">
        <v>0</v>
      </c>
      <c r="BC1035">
        <v>0</v>
      </c>
      <c r="BD1035">
        <v>0</v>
      </c>
      <c r="BE1035">
        <v>0</v>
      </c>
      <c r="BF1035">
        <v>0</v>
      </c>
      <c r="BG1035">
        <v>0</v>
      </c>
      <c r="BH1035">
        <v>1</v>
      </c>
      <c r="BI1035">
        <v>0.5</v>
      </c>
      <c r="BJ1035">
        <v>1.2</v>
      </c>
      <c r="BK1035">
        <v>1.5</v>
      </c>
      <c r="BL1035" s="4">
        <v>50.45</v>
      </c>
      <c r="BM1035" s="4">
        <v>7.57</v>
      </c>
      <c r="BN1035" s="4">
        <v>58.02</v>
      </c>
      <c r="BO1035" s="4">
        <v>58.02</v>
      </c>
      <c r="BQ1035" t="s">
        <v>147</v>
      </c>
      <c r="BR1035" t="s">
        <v>84</v>
      </c>
      <c r="BS1035" s="3">
        <v>43810</v>
      </c>
      <c r="BT1035" s="5">
        <v>0.36805555555555558</v>
      </c>
      <c r="BU1035" t="s">
        <v>417</v>
      </c>
      <c r="BV1035" t="s">
        <v>86</v>
      </c>
      <c r="BY1035">
        <v>5935.3</v>
      </c>
      <c r="CA1035" t="s">
        <v>137</v>
      </c>
      <c r="CC1035" t="s">
        <v>133</v>
      </c>
      <c r="CD1035">
        <v>157</v>
      </c>
      <c r="CE1035" t="s">
        <v>96</v>
      </c>
      <c r="CF1035" s="3">
        <v>43811</v>
      </c>
      <c r="CI1035">
        <v>1</v>
      </c>
      <c r="CJ1035">
        <v>1</v>
      </c>
      <c r="CK1035">
        <v>21</v>
      </c>
      <c r="CL1035" t="s">
        <v>89</v>
      </c>
    </row>
    <row r="1036" spans="1:90">
      <c r="A1036" t="s">
        <v>72</v>
      </c>
      <c r="B1036" t="s">
        <v>73</v>
      </c>
      <c r="C1036" t="s">
        <v>74</v>
      </c>
      <c r="E1036" t="str">
        <f>"FES1162727686"</f>
        <v>FES1162727686</v>
      </c>
      <c r="F1036" s="3">
        <v>43809</v>
      </c>
      <c r="G1036">
        <v>202006</v>
      </c>
      <c r="H1036" t="s">
        <v>75</v>
      </c>
      <c r="I1036" t="s">
        <v>76</v>
      </c>
      <c r="J1036" t="s">
        <v>77</v>
      </c>
      <c r="K1036" t="s">
        <v>78</v>
      </c>
      <c r="L1036" t="s">
        <v>198</v>
      </c>
      <c r="M1036" t="s">
        <v>199</v>
      </c>
      <c r="N1036" t="s">
        <v>297</v>
      </c>
      <c r="O1036" t="s">
        <v>82</v>
      </c>
      <c r="P1036" t="str">
        <f>"2170719188                    "</f>
        <v xml:space="preserve">2170719188                    </v>
      </c>
      <c r="Q1036">
        <v>0</v>
      </c>
      <c r="R1036">
        <v>0</v>
      </c>
      <c r="S1036">
        <v>0</v>
      </c>
      <c r="T1036">
        <v>0</v>
      </c>
      <c r="U1036">
        <v>0</v>
      </c>
      <c r="V1036">
        <v>0</v>
      </c>
      <c r="W1036">
        <v>0</v>
      </c>
      <c r="X1036">
        <v>0</v>
      </c>
      <c r="Y1036">
        <v>0</v>
      </c>
      <c r="Z1036">
        <v>0</v>
      </c>
      <c r="AA1036">
        <v>0</v>
      </c>
      <c r="AB1036">
        <v>0</v>
      </c>
      <c r="AC1036">
        <v>0</v>
      </c>
      <c r="AD1036">
        <v>0</v>
      </c>
      <c r="AE1036">
        <v>0</v>
      </c>
      <c r="AF1036">
        <v>0</v>
      </c>
      <c r="AG1036">
        <v>0</v>
      </c>
      <c r="AH1036">
        <v>0</v>
      </c>
      <c r="AI1036">
        <v>0</v>
      </c>
      <c r="AJ1036">
        <v>0</v>
      </c>
      <c r="AK1036">
        <v>0</v>
      </c>
      <c r="AL1036">
        <v>0</v>
      </c>
      <c r="AM1036">
        <v>12.87</v>
      </c>
      <c r="AN1036">
        <v>0</v>
      </c>
      <c r="AO1036">
        <v>0</v>
      </c>
      <c r="AP1036">
        <v>0</v>
      </c>
      <c r="AQ1036">
        <v>0</v>
      </c>
      <c r="AR1036">
        <v>0</v>
      </c>
      <c r="AS1036">
        <v>0</v>
      </c>
      <c r="AT1036">
        <v>0</v>
      </c>
      <c r="AU1036">
        <v>0</v>
      </c>
      <c r="AV1036">
        <v>0</v>
      </c>
      <c r="AW1036">
        <v>0</v>
      </c>
      <c r="AX1036">
        <v>0</v>
      </c>
      <c r="AY1036">
        <v>0</v>
      </c>
      <c r="AZ1036">
        <v>0</v>
      </c>
      <c r="BA1036">
        <v>0</v>
      </c>
      <c r="BB1036">
        <v>0</v>
      </c>
      <c r="BC1036">
        <v>0</v>
      </c>
      <c r="BD1036">
        <v>0</v>
      </c>
      <c r="BE1036">
        <v>0</v>
      </c>
      <c r="BF1036">
        <v>0</v>
      </c>
      <c r="BG1036">
        <v>0</v>
      </c>
      <c r="BH1036">
        <v>1</v>
      </c>
      <c r="BI1036">
        <v>2</v>
      </c>
      <c r="BJ1036">
        <v>2.7</v>
      </c>
      <c r="BK1036">
        <v>3</v>
      </c>
      <c r="BL1036" s="4">
        <v>75.66</v>
      </c>
      <c r="BM1036" s="4">
        <v>11.35</v>
      </c>
      <c r="BN1036" s="4">
        <v>87.01</v>
      </c>
      <c r="BO1036" s="4">
        <v>87.01</v>
      </c>
      <c r="BQ1036" t="s">
        <v>172</v>
      </c>
      <c r="BR1036" t="s">
        <v>84</v>
      </c>
      <c r="BS1036" s="3">
        <v>43810</v>
      </c>
      <c r="BT1036" s="5">
        <v>0.36944444444444446</v>
      </c>
      <c r="BU1036" t="s">
        <v>542</v>
      </c>
      <c r="BV1036" t="s">
        <v>86</v>
      </c>
      <c r="BY1036">
        <v>13609.93</v>
      </c>
      <c r="CA1036" t="s">
        <v>299</v>
      </c>
      <c r="CC1036" t="s">
        <v>199</v>
      </c>
      <c r="CD1036">
        <v>4000</v>
      </c>
      <c r="CE1036" t="s">
        <v>116</v>
      </c>
      <c r="CF1036" s="3">
        <v>43811</v>
      </c>
      <c r="CI1036">
        <v>1</v>
      </c>
      <c r="CJ1036">
        <v>1</v>
      </c>
      <c r="CK1036">
        <v>21</v>
      </c>
      <c r="CL1036" t="s">
        <v>89</v>
      </c>
    </row>
    <row r="1037" spans="1:90">
      <c r="A1037" t="s">
        <v>72</v>
      </c>
      <c r="B1037" t="s">
        <v>73</v>
      </c>
      <c r="C1037" t="s">
        <v>74</v>
      </c>
      <c r="E1037" t="str">
        <f>"FES1162727650"</f>
        <v>FES1162727650</v>
      </c>
      <c r="F1037" s="3">
        <v>43809</v>
      </c>
      <c r="G1037">
        <v>202006</v>
      </c>
      <c r="H1037" t="s">
        <v>75</v>
      </c>
      <c r="I1037" t="s">
        <v>76</v>
      </c>
      <c r="J1037" t="s">
        <v>77</v>
      </c>
      <c r="K1037" t="s">
        <v>78</v>
      </c>
      <c r="L1037" t="s">
        <v>90</v>
      </c>
      <c r="M1037" t="s">
        <v>91</v>
      </c>
      <c r="N1037" t="s">
        <v>110</v>
      </c>
      <c r="O1037" t="s">
        <v>82</v>
      </c>
      <c r="P1037" t="str">
        <f>"2170712067                    "</f>
        <v xml:space="preserve">2170712067                    </v>
      </c>
      <c r="Q1037">
        <v>0</v>
      </c>
      <c r="R1037">
        <v>0</v>
      </c>
      <c r="S1037">
        <v>0</v>
      </c>
      <c r="T1037">
        <v>0</v>
      </c>
      <c r="U1037">
        <v>0</v>
      </c>
      <c r="V1037">
        <v>0</v>
      </c>
      <c r="W1037">
        <v>0</v>
      </c>
      <c r="X1037">
        <v>0</v>
      </c>
      <c r="Y1037">
        <v>0</v>
      </c>
      <c r="Z1037">
        <v>0</v>
      </c>
      <c r="AA1037">
        <v>0</v>
      </c>
      <c r="AB1037">
        <v>0</v>
      </c>
      <c r="AC1037">
        <v>0</v>
      </c>
      <c r="AD1037">
        <v>0</v>
      </c>
      <c r="AE1037">
        <v>0</v>
      </c>
      <c r="AF1037">
        <v>0</v>
      </c>
      <c r="AG1037">
        <v>0</v>
      </c>
      <c r="AH1037">
        <v>0</v>
      </c>
      <c r="AI1037">
        <v>0</v>
      </c>
      <c r="AJ1037">
        <v>0</v>
      </c>
      <c r="AK1037">
        <v>0</v>
      </c>
      <c r="AL1037">
        <v>0</v>
      </c>
      <c r="AM1037">
        <v>21.45</v>
      </c>
      <c r="AN1037">
        <v>0</v>
      </c>
      <c r="AO1037">
        <v>0</v>
      </c>
      <c r="AP1037">
        <v>0</v>
      </c>
      <c r="AQ1037">
        <v>0</v>
      </c>
      <c r="AR1037">
        <v>0</v>
      </c>
      <c r="AS1037">
        <v>0</v>
      </c>
      <c r="AT1037">
        <v>0</v>
      </c>
      <c r="AU1037">
        <v>0</v>
      </c>
      <c r="AV1037">
        <v>0</v>
      </c>
      <c r="AW1037">
        <v>0</v>
      </c>
      <c r="AX1037">
        <v>0</v>
      </c>
      <c r="AY1037">
        <v>0</v>
      </c>
      <c r="AZ1037">
        <v>0</v>
      </c>
      <c r="BA1037">
        <v>0</v>
      </c>
      <c r="BB1037">
        <v>0</v>
      </c>
      <c r="BC1037">
        <v>0</v>
      </c>
      <c r="BD1037">
        <v>0</v>
      </c>
      <c r="BE1037">
        <v>0</v>
      </c>
      <c r="BF1037">
        <v>0</v>
      </c>
      <c r="BG1037">
        <v>0</v>
      </c>
      <c r="BH1037">
        <v>2</v>
      </c>
      <c r="BI1037">
        <v>5</v>
      </c>
      <c r="BJ1037">
        <v>2.6</v>
      </c>
      <c r="BK1037">
        <v>5</v>
      </c>
      <c r="BL1037" s="4">
        <v>126.08</v>
      </c>
      <c r="BM1037" s="4">
        <v>18.91</v>
      </c>
      <c r="BN1037" s="4">
        <v>144.99</v>
      </c>
      <c r="BO1037" s="4">
        <v>144.99</v>
      </c>
      <c r="BQ1037" t="s">
        <v>147</v>
      </c>
      <c r="BR1037" t="s">
        <v>84</v>
      </c>
      <c r="BS1037" s="3">
        <v>43810</v>
      </c>
      <c r="BT1037" s="5">
        <v>0.30902777777777779</v>
      </c>
      <c r="BU1037" t="s">
        <v>1527</v>
      </c>
      <c r="BV1037" t="s">
        <v>86</v>
      </c>
      <c r="BY1037">
        <v>12813.3</v>
      </c>
      <c r="CA1037" t="s">
        <v>112</v>
      </c>
      <c r="CC1037" t="s">
        <v>91</v>
      </c>
      <c r="CD1037">
        <v>7405</v>
      </c>
      <c r="CE1037" t="s">
        <v>413</v>
      </c>
      <c r="CF1037" s="3">
        <v>43811</v>
      </c>
      <c r="CI1037">
        <v>1</v>
      </c>
      <c r="CJ1037">
        <v>1</v>
      </c>
      <c r="CK1037">
        <v>21</v>
      </c>
      <c r="CL1037" t="s">
        <v>89</v>
      </c>
    </row>
    <row r="1038" spans="1:90">
      <c r="A1038" t="s">
        <v>72</v>
      </c>
      <c r="B1038" t="s">
        <v>73</v>
      </c>
      <c r="C1038" t="s">
        <v>74</v>
      </c>
      <c r="E1038" t="str">
        <f>"FES1162727636"</f>
        <v>FES1162727636</v>
      </c>
      <c r="F1038" s="3">
        <v>43809</v>
      </c>
      <c r="G1038">
        <v>202006</v>
      </c>
      <c r="H1038" t="s">
        <v>75</v>
      </c>
      <c r="I1038" t="s">
        <v>76</v>
      </c>
      <c r="J1038" t="s">
        <v>77</v>
      </c>
      <c r="K1038" t="s">
        <v>78</v>
      </c>
      <c r="L1038" t="s">
        <v>198</v>
      </c>
      <c r="M1038" t="s">
        <v>199</v>
      </c>
      <c r="N1038" t="s">
        <v>297</v>
      </c>
      <c r="O1038" t="s">
        <v>82</v>
      </c>
      <c r="P1038" t="str">
        <f>"217071137                     "</f>
        <v xml:space="preserve">217071137                     </v>
      </c>
      <c r="Q1038">
        <v>0</v>
      </c>
      <c r="R1038">
        <v>0</v>
      </c>
      <c r="S1038">
        <v>0</v>
      </c>
      <c r="T1038">
        <v>0</v>
      </c>
      <c r="U1038">
        <v>0</v>
      </c>
      <c r="V1038">
        <v>0</v>
      </c>
      <c r="W1038">
        <v>0</v>
      </c>
      <c r="X1038">
        <v>0</v>
      </c>
      <c r="Y1038">
        <v>0</v>
      </c>
      <c r="Z1038">
        <v>0</v>
      </c>
      <c r="AA1038">
        <v>0</v>
      </c>
      <c r="AB1038">
        <v>0</v>
      </c>
      <c r="AC1038">
        <v>0</v>
      </c>
      <c r="AD1038">
        <v>0</v>
      </c>
      <c r="AE1038">
        <v>0</v>
      </c>
      <c r="AF1038">
        <v>0</v>
      </c>
      <c r="AG1038">
        <v>0</v>
      </c>
      <c r="AH1038">
        <v>0</v>
      </c>
      <c r="AI1038">
        <v>0</v>
      </c>
      <c r="AJ1038">
        <v>0</v>
      </c>
      <c r="AK1038">
        <v>0</v>
      </c>
      <c r="AL1038">
        <v>0</v>
      </c>
      <c r="AM1038">
        <v>21.45</v>
      </c>
      <c r="AN1038">
        <v>0</v>
      </c>
      <c r="AO1038">
        <v>0</v>
      </c>
      <c r="AP1038">
        <v>0</v>
      </c>
      <c r="AQ1038">
        <v>0</v>
      </c>
      <c r="AR1038">
        <v>0</v>
      </c>
      <c r="AS1038">
        <v>0</v>
      </c>
      <c r="AT1038">
        <v>0</v>
      </c>
      <c r="AU1038">
        <v>0</v>
      </c>
      <c r="AV1038">
        <v>0</v>
      </c>
      <c r="AW1038">
        <v>0</v>
      </c>
      <c r="AX1038">
        <v>0</v>
      </c>
      <c r="AY1038">
        <v>0</v>
      </c>
      <c r="AZ1038">
        <v>0</v>
      </c>
      <c r="BA1038">
        <v>0</v>
      </c>
      <c r="BB1038">
        <v>0</v>
      </c>
      <c r="BC1038">
        <v>0</v>
      </c>
      <c r="BD1038">
        <v>0</v>
      </c>
      <c r="BE1038">
        <v>0</v>
      </c>
      <c r="BF1038">
        <v>0</v>
      </c>
      <c r="BG1038">
        <v>0</v>
      </c>
      <c r="BH1038">
        <v>1</v>
      </c>
      <c r="BI1038">
        <v>4.5999999999999996</v>
      </c>
      <c r="BJ1038">
        <v>4.2</v>
      </c>
      <c r="BK1038">
        <v>5</v>
      </c>
      <c r="BL1038" s="4">
        <v>126.08</v>
      </c>
      <c r="BM1038" s="4">
        <v>18.91</v>
      </c>
      <c r="BN1038" s="4">
        <v>144.99</v>
      </c>
      <c r="BO1038" s="4">
        <v>144.99</v>
      </c>
      <c r="BQ1038" t="s">
        <v>172</v>
      </c>
      <c r="BR1038" t="s">
        <v>84</v>
      </c>
      <c r="BS1038" s="3">
        <v>43810</v>
      </c>
      <c r="BT1038" s="5">
        <v>0.36944444444444446</v>
      </c>
      <c r="BU1038" t="s">
        <v>542</v>
      </c>
      <c r="BV1038" t="s">
        <v>86</v>
      </c>
      <c r="BY1038">
        <v>20783.64</v>
      </c>
      <c r="CA1038" t="s">
        <v>299</v>
      </c>
      <c r="CC1038" t="s">
        <v>199</v>
      </c>
      <c r="CD1038">
        <v>4000</v>
      </c>
      <c r="CE1038" t="s">
        <v>116</v>
      </c>
      <c r="CF1038" s="3">
        <v>43811</v>
      </c>
      <c r="CI1038">
        <v>1</v>
      </c>
      <c r="CJ1038">
        <v>1</v>
      </c>
      <c r="CK1038">
        <v>21</v>
      </c>
      <c r="CL1038" t="s">
        <v>89</v>
      </c>
    </row>
    <row r="1039" spans="1:90">
      <c r="A1039" t="s">
        <v>72</v>
      </c>
      <c r="B1039" t="s">
        <v>73</v>
      </c>
      <c r="C1039" t="s">
        <v>74</v>
      </c>
      <c r="E1039" t="str">
        <f>"FES1162727654"</f>
        <v>FES1162727654</v>
      </c>
      <c r="F1039" s="3">
        <v>43809</v>
      </c>
      <c r="G1039">
        <v>202006</v>
      </c>
      <c r="H1039" t="s">
        <v>75</v>
      </c>
      <c r="I1039" t="s">
        <v>76</v>
      </c>
      <c r="J1039" t="s">
        <v>77</v>
      </c>
      <c r="K1039" t="s">
        <v>78</v>
      </c>
      <c r="L1039" t="s">
        <v>404</v>
      </c>
      <c r="M1039" t="s">
        <v>405</v>
      </c>
      <c r="N1039" t="s">
        <v>406</v>
      </c>
      <c r="O1039" t="s">
        <v>82</v>
      </c>
      <c r="P1039" t="str">
        <f>"2170715512                    "</f>
        <v xml:space="preserve">2170715512                    </v>
      </c>
      <c r="Q1039">
        <v>0</v>
      </c>
      <c r="R1039">
        <v>0</v>
      </c>
      <c r="S1039">
        <v>0</v>
      </c>
      <c r="T1039">
        <v>0</v>
      </c>
      <c r="U1039">
        <v>0</v>
      </c>
      <c r="V1039">
        <v>0</v>
      </c>
      <c r="W1039">
        <v>0</v>
      </c>
      <c r="X1039">
        <v>0</v>
      </c>
      <c r="Y1039">
        <v>0</v>
      </c>
      <c r="Z1039">
        <v>0</v>
      </c>
      <c r="AA1039">
        <v>0</v>
      </c>
      <c r="AB1039">
        <v>0</v>
      </c>
      <c r="AC1039">
        <v>0</v>
      </c>
      <c r="AD1039">
        <v>0</v>
      </c>
      <c r="AE1039">
        <v>0</v>
      </c>
      <c r="AF1039">
        <v>0</v>
      </c>
      <c r="AG1039">
        <v>0</v>
      </c>
      <c r="AH1039">
        <v>0</v>
      </c>
      <c r="AI1039">
        <v>0</v>
      </c>
      <c r="AJ1039">
        <v>0</v>
      </c>
      <c r="AK1039">
        <v>0</v>
      </c>
      <c r="AL1039">
        <v>0</v>
      </c>
      <c r="AM1039">
        <v>8.58</v>
      </c>
      <c r="AN1039">
        <v>0</v>
      </c>
      <c r="AO1039">
        <v>0</v>
      </c>
      <c r="AP1039">
        <v>0</v>
      </c>
      <c r="AQ1039">
        <v>0</v>
      </c>
      <c r="AR1039">
        <v>0</v>
      </c>
      <c r="AS1039">
        <v>0</v>
      </c>
      <c r="AT1039">
        <v>0</v>
      </c>
      <c r="AU1039">
        <v>0</v>
      </c>
      <c r="AV1039">
        <v>0</v>
      </c>
      <c r="AW1039">
        <v>0</v>
      </c>
      <c r="AX1039">
        <v>0</v>
      </c>
      <c r="AY1039">
        <v>0</v>
      </c>
      <c r="AZ1039">
        <v>0</v>
      </c>
      <c r="BA1039">
        <v>0</v>
      </c>
      <c r="BB1039">
        <v>0</v>
      </c>
      <c r="BC1039">
        <v>0</v>
      </c>
      <c r="BD1039">
        <v>0</v>
      </c>
      <c r="BE1039">
        <v>0</v>
      </c>
      <c r="BF1039">
        <v>0</v>
      </c>
      <c r="BG1039">
        <v>0</v>
      </c>
      <c r="BH1039">
        <v>1</v>
      </c>
      <c r="BI1039">
        <v>1</v>
      </c>
      <c r="BJ1039">
        <v>0.2</v>
      </c>
      <c r="BK1039">
        <v>1</v>
      </c>
      <c r="BL1039" s="4">
        <v>50.45</v>
      </c>
      <c r="BM1039" s="4">
        <v>7.57</v>
      </c>
      <c r="BN1039" s="4">
        <v>58.02</v>
      </c>
      <c r="BO1039" s="4">
        <v>58.02</v>
      </c>
      <c r="BQ1039" t="s">
        <v>93</v>
      </c>
      <c r="BR1039" t="s">
        <v>84</v>
      </c>
      <c r="BS1039" s="3">
        <v>43810</v>
      </c>
      <c r="BT1039" s="5">
        <v>0.3666666666666667</v>
      </c>
      <c r="BU1039" t="s">
        <v>748</v>
      </c>
      <c r="BV1039" t="s">
        <v>86</v>
      </c>
      <c r="BY1039">
        <v>1200</v>
      </c>
      <c r="CA1039" t="s">
        <v>408</v>
      </c>
      <c r="CC1039" t="s">
        <v>405</v>
      </c>
      <c r="CD1039">
        <v>4026</v>
      </c>
      <c r="CE1039" t="s">
        <v>88</v>
      </c>
      <c r="CF1039" s="3">
        <v>43811</v>
      </c>
      <c r="CI1039">
        <v>1</v>
      </c>
      <c r="CJ1039">
        <v>1</v>
      </c>
      <c r="CK1039">
        <v>21</v>
      </c>
      <c r="CL1039" t="s">
        <v>89</v>
      </c>
    </row>
    <row r="1040" spans="1:90">
      <c r="A1040" t="s">
        <v>72</v>
      </c>
      <c r="B1040" t="s">
        <v>73</v>
      </c>
      <c r="C1040" t="s">
        <v>74</v>
      </c>
      <c r="E1040" t="str">
        <f>"FES1162727623"</f>
        <v>FES1162727623</v>
      </c>
      <c r="F1040" s="3">
        <v>43809</v>
      </c>
      <c r="G1040">
        <v>202006</v>
      </c>
      <c r="H1040" t="s">
        <v>75</v>
      </c>
      <c r="I1040" t="s">
        <v>76</v>
      </c>
      <c r="J1040" t="s">
        <v>77</v>
      </c>
      <c r="K1040" t="s">
        <v>78</v>
      </c>
      <c r="L1040" t="s">
        <v>79</v>
      </c>
      <c r="M1040" t="s">
        <v>80</v>
      </c>
      <c r="N1040" t="s">
        <v>81</v>
      </c>
      <c r="O1040" t="s">
        <v>82</v>
      </c>
      <c r="P1040" t="str">
        <f>"217071122                     "</f>
        <v xml:space="preserve">217071122                     </v>
      </c>
      <c r="Q1040">
        <v>0</v>
      </c>
      <c r="R1040">
        <v>0</v>
      </c>
      <c r="S1040">
        <v>0</v>
      </c>
      <c r="T1040">
        <v>0</v>
      </c>
      <c r="U1040">
        <v>0</v>
      </c>
      <c r="V1040">
        <v>0</v>
      </c>
      <c r="W1040">
        <v>0</v>
      </c>
      <c r="X1040">
        <v>0</v>
      </c>
      <c r="Y1040">
        <v>0</v>
      </c>
      <c r="Z1040">
        <v>0</v>
      </c>
      <c r="AA1040">
        <v>0</v>
      </c>
      <c r="AB1040">
        <v>0</v>
      </c>
      <c r="AC1040">
        <v>0</v>
      </c>
      <c r="AD1040">
        <v>0</v>
      </c>
      <c r="AE1040">
        <v>0</v>
      </c>
      <c r="AF1040">
        <v>0</v>
      </c>
      <c r="AG1040">
        <v>0</v>
      </c>
      <c r="AH1040">
        <v>0</v>
      </c>
      <c r="AI1040">
        <v>0</v>
      </c>
      <c r="AJ1040">
        <v>0</v>
      </c>
      <c r="AK1040">
        <v>0</v>
      </c>
      <c r="AL1040">
        <v>0</v>
      </c>
      <c r="AM1040">
        <v>8.58</v>
      </c>
      <c r="AN1040">
        <v>0</v>
      </c>
      <c r="AO1040">
        <v>0</v>
      </c>
      <c r="AP1040">
        <v>0</v>
      </c>
      <c r="AQ1040">
        <v>0</v>
      </c>
      <c r="AR1040">
        <v>0</v>
      </c>
      <c r="AS1040">
        <v>0</v>
      </c>
      <c r="AT1040">
        <v>0</v>
      </c>
      <c r="AU1040">
        <v>0</v>
      </c>
      <c r="AV1040">
        <v>0</v>
      </c>
      <c r="AW1040">
        <v>0</v>
      </c>
      <c r="AX1040">
        <v>0</v>
      </c>
      <c r="AY1040">
        <v>0</v>
      </c>
      <c r="AZ1040">
        <v>0</v>
      </c>
      <c r="BA1040">
        <v>0</v>
      </c>
      <c r="BB1040">
        <v>0</v>
      </c>
      <c r="BC1040">
        <v>0</v>
      </c>
      <c r="BD1040">
        <v>0</v>
      </c>
      <c r="BE1040">
        <v>0</v>
      </c>
      <c r="BF1040">
        <v>0</v>
      </c>
      <c r="BG1040">
        <v>0</v>
      </c>
      <c r="BH1040">
        <v>1</v>
      </c>
      <c r="BI1040">
        <v>0.2</v>
      </c>
      <c r="BJ1040">
        <v>1.2</v>
      </c>
      <c r="BK1040">
        <v>1.5</v>
      </c>
      <c r="BL1040" s="4">
        <v>50.45</v>
      </c>
      <c r="BM1040" s="4">
        <v>7.57</v>
      </c>
      <c r="BN1040" s="4">
        <v>58.02</v>
      </c>
      <c r="BO1040" s="4">
        <v>58.02</v>
      </c>
      <c r="BQ1040" t="s">
        <v>83</v>
      </c>
      <c r="BR1040" t="s">
        <v>84</v>
      </c>
      <c r="BS1040" s="3">
        <v>43810</v>
      </c>
      <c r="BT1040" s="5">
        <v>0.36388888888888887</v>
      </c>
      <c r="BU1040" t="s">
        <v>1561</v>
      </c>
      <c r="BV1040" t="s">
        <v>86</v>
      </c>
      <c r="BY1040">
        <v>6087.09</v>
      </c>
      <c r="CA1040" t="s">
        <v>1562</v>
      </c>
      <c r="CC1040" t="s">
        <v>80</v>
      </c>
      <c r="CD1040">
        <v>6045</v>
      </c>
      <c r="CE1040" t="s">
        <v>88</v>
      </c>
      <c r="CF1040" s="3">
        <v>43811</v>
      </c>
      <c r="CI1040">
        <v>1</v>
      </c>
      <c r="CJ1040">
        <v>1</v>
      </c>
      <c r="CK1040">
        <v>21</v>
      </c>
      <c r="CL1040" t="s">
        <v>89</v>
      </c>
    </row>
    <row r="1041" spans="1:90">
      <c r="A1041" t="s">
        <v>72</v>
      </c>
      <c r="B1041" t="s">
        <v>73</v>
      </c>
      <c r="C1041" t="s">
        <v>74</v>
      </c>
      <c r="E1041" t="str">
        <f>"FES1162727476"</f>
        <v>FES1162727476</v>
      </c>
      <c r="F1041" s="3">
        <v>43809</v>
      </c>
      <c r="G1041">
        <v>202006</v>
      </c>
      <c r="H1041" t="s">
        <v>75</v>
      </c>
      <c r="I1041" t="s">
        <v>76</v>
      </c>
      <c r="J1041" t="s">
        <v>77</v>
      </c>
      <c r="K1041" t="s">
        <v>78</v>
      </c>
      <c r="L1041" t="s">
        <v>332</v>
      </c>
      <c r="M1041" t="s">
        <v>333</v>
      </c>
      <c r="N1041" t="s">
        <v>701</v>
      </c>
      <c r="O1041" t="s">
        <v>82</v>
      </c>
      <c r="P1041" t="str">
        <f>"2170716075                    "</f>
        <v xml:space="preserve">2170716075                    </v>
      </c>
      <c r="Q1041">
        <v>0</v>
      </c>
      <c r="R1041">
        <v>0</v>
      </c>
      <c r="S1041">
        <v>0</v>
      </c>
      <c r="T1041">
        <v>0</v>
      </c>
      <c r="U1041">
        <v>0</v>
      </c>
      <c r="V1041">
        <v>0</v>
      </c>
      <c r="W1041">
        <v>0</v>
      </c>
      <c r="X1041">
        <v>0</v>
      </c>
      <c r="Y1041">
        <v>0</v>
      </c>
      <c r="Z1041">
        <v>0</v>
      </c>
      <c r="AA1041">
        <v>0</v>
      </c>
      <c r="AB1041">
        <v>0</v>
      </c>
      <c r="AC1041">
        <v>0</v>
      </c>
      <c r="AD1041">
        <v>0</v>
      </c>
      <c r="AE1041">
        <v>0</v>
      </c>
      <c r="AF1041">
        <v>0</v>
      </c>
      <c r="AG1041">
        <v>0</v>
      </c>
      <c r="AH1041">
        <v>0</v>
      </c>
      <c r="AI1041">
        <v>0</v>
      </c>
      <c r="AJ1041">
        <v>0</v>
      </c>
      <c r="AK1041">
        <v>0</v>
      </c>
      <c r="AL1041">
        <v>0</v>
      </c>
      <c r="AM1041">
        <v>10.72</v>
      </c>
      <c r="AN1041">
        <v>0</v>
      </c>
      <c r="AO1041">
        <v>0</v>
      </c>
      <c r="AP1041">
        <v>0</v>
      </c>
      <c r="AQ1041">
        <v>0</v>
      </c>
      <c r="AR1041">
        <v>0</v>
      </c>
      <c r="AS1041">
        <v>0</v>
      </c>
      <c r="AT1041">
        <v>0</v>
      </c>
      <c r="AU1041">
        <v>0</v>
      </c>
      <c r="AV1041">
        <v>0</v>
      </c>
      <c r="AW1041">
        <v>0</v>
      </c>
      <c r="AX1041">
        <v>0</v>
      </c>
      <c r="AY1041">
        <v>0</v>
      </c>
      <c r="AZ1041">
        <v>0</v>
      </c>
      <c r="BA1041">
        <v>0</v>
      </c>
      <c r="BB1041">
        <v>0</v>
      </c>
      <c r="BC1041">
        <v>0</v>
      </c>
      <c r="BD1041">
        <v>0</v>
      </c>
      <c r="BE1041">
        <v>0</v>
      </c>
      <c r="BF1041">
        <v>0</v>
      </c>
      <c r="BG1041">
        <v>0</v>
      </c>
      <c r="BH1041">
        <v>1</v>
      </c>
      <c r="BI1041">
        <v>4.5</v>
      </c>
      <c r="BJ1041">
        <v>3</v>
      </c>
      <c r="BK1041">
        <v>4.5</v>
      </c>
      <c r="BL1041" s="4">
        <v>63.03</v>
      </c>
      <c r="BM1041" s="4">
        <v>9.4499999999999993</v>
      </c>
      <c r="BN1041" s="4">
        <v>72.48</v>
      </c>
      <c r="BO1041" s="4">
        <v>72.48</v>
      </c>
      <c r="BQ1041" t="s">
        <v>93</v>
      </c>
      <c r="BR1041" t="s">
        <v>84</v>
      </c>
      <c r="BS1041" s="3">
        <v>43810</v>
      </c>
      <c r="BT1041" s="5">
        <v>0.40277777777777773</v>
      </c>
      <c r="BU1041" t="s">
        <v>1327</v>
      </c>
      <c r="BV1041" t="s">
        <v>86</v>
      </c>
      <c r="BY1041">
        <v>14908.53</v>
      </c>
      <c r="CC1041" t="s">
        <v>333</v>
      </c>
      <c r="CD1041">
        <v>2094</v>
      </c>
      <c r="CE1041" t="s">
        <v>116</v>
      </c>
      <c r="CF1041" s="3">
        <v>43811</v>
      </c>
      <c r="CI1041">
        <v>1</v>
      </c>
      <c r="CJ1041">
        <v>1</v>
      </c>
      <c r="CK1041">
        <v>22</v>
      </c>
      <c r="CL1041" t="s">
        <v>89</v>
      </c>
    </row>
    <row r="1042" spans="1:90">
      <c r="A1042" t="s">
        <v>72</v>
      </c>
      <c r="B1042" t="s">
        <v>73</v>
      </c>
      <c r="C1042" t="s">
        <v>74</v>
      </c>
      <c r="E1042" t="str">
        <f>"FES1162727662"</f>
        <v>FES1162727662</v>
      </c>
      <c r="F1042" s="3">
        <v>43809</v>
      </c>
      <c r="G1042">
        <v>202006</v>
      </c>
      <c r="H1042" t="s">
        <v>75</v>
      </c>
      <c r="I1042" t="s">
        <v>76</v>
      </c>
      <c r="J1042" t="s">
        <v>77</v>
      </c>
      <c r="K1042" t="s">
        <v>78</v>
      </c>
      <c r="L1042" t="s">
        <v>1497</v>
      </c>
      <c r="M1042" t="s">
        <v>1498</v>
      </c>
      <c r="N1042" t="s">
        <v>471</v>
      </c>
      <c r="O1042" t="s">
        <v>82</v>
      </c>
      <c r="P1042" t="str">
        <f>"2170721161                    "</f>
        <v xml:space="preserve">2170721161                    </v>
      </c>
      <c r="Q1042">
        <v>0</v>
      </c>
      <c r="R1042">
        <v>0</v>
      </c>
      <c r="S1042">
        <v>0</v>
      </c>
      <c r="T1042">
        <v>0</v>
      </c>
      <c r="U1042">
        <v>0</v>
      </c>
      <c r="V1042">
        <v>0</v>
      </c>
      <c r="W1042">
        <v>0</v>
      </c>
      <c r="X1042">
        <v>0</v>
      </c>
      <c r="Y1042">
        <v>0</v>
      </c>
      <c r="Z1042">
        <v>0</v>
      </c>
      <c r="AA1042">
        <v>0</v>
      </c>
      <c r="AB1042">
        <v>0</v>
      </c>
      <c r="AC1042">
        <v>0</v>
      </c>
      <c r="AD1042">
        <v>0</v>
      </c>
      <c r="AE1042">
        <v>0</v>
      </c>
      <c r="AF1042">
        <v>0</v>
      </c>
      <c r="AG1042">
        <v>0</v>
      </c>
      <c r="AH1042">
        <v>0</v>
      </c>
      <c r="AI1042">
        <v>0</v>
      </c>
      <c r="AJ1042">
        <v>0</v>
      </c>
      <c r="AK1042">
        <v>0</v>
      </c>
      <c r="AL1042">
        <v>0</v>
      </c>
      <c r="AM1042">
        <v>12.07</v>
      </c>
      <c r="AN1042">
        <v>0</v>
      </c>
      <c r="AO1042">
        <v>0</v>
      </c>
      <c r="AP1042">
        <v>0</v>
      </c>
      <c r="AQ1042">
        <v>0</v>
      </c>
      <c r="AR1042">
        <v>0</v>
      </c>
      <c r="AS1042">
        <v>0</v>
      </c>
      <c r="AT1042">
        <v>0</v>
      </c>
      <c r="AU1042">
        <v>0</v>
      </c>
      <c r="AV1042">
        <v>0</v>
      </c>
      <c r="AW1042">
        <v>0</v>
      </c>
      <c r="AX1042">
        <v>0</v>
      </c>
      <c r="AY1042">
        <v>0</v>
      </c>
      <c r="AZ1042">
        <v>0</v>
      </c>
      <c r="BA1042">
        <v>0</v>
      </c>
      <c r="BB1042">
        <v>0</v>
      </c>
      <c r="BC1042">
        <v>0</v>
      </c>
      <c r="BD1042">
        <v>0</v>
      </c>
      <c r="BE1042">
        <v>0</v>
      </c>
      <c r="BF1042">
        <v>0</v>
      </c>
      <c r="BG1042">
        <v>0</v>
      </c>
      <c r="BH1042">
        <v>1</v>
      </c>
      <c r="BI1042">
        <v>1</v>
      </c>
      <c r="BJ1042">
        <v>0.2</v>
      </c>
      <c r="BK1042">
        <v>1</v>
      </c>
      <c r="BL1042" s="4">
        <v>70.95</v>
      </c>
      <c r="BM1042" s="4">
        <v>10.64</v>
      </c>
      <c r="BN1042" s="4">
        <v>81.59</v>
      </c>
      <c r="BO1042" s="4">
        <v>81.59</v>
      </c>
      <c r="BQ1042" t="s">
        <v>147</v>
      </c>
      <c r="BR1042" t="s">
        <v>84</v>
      </c>
      <c r="BS1042" s="3">
        <v>43810</v>
      </c>
      <c r="BT1042" s="5">
        <v>0.60416666666666663</v>
      </c>
      <c r="BU1042" t="s">
        <v>1499</v>
      </c>
      <c r="BV1042" t="s">
        <v>86</v>
      </c>
      <c r="BY1042">
        <v>1200</v>
      </c>
      <c r="CA1042" t="s">
        <v>1223</v>
      </c>
      <c r="CC1042" t="s">
        <v>1498</v>
      </c>
      <c r="CD1042">
        <v>407</v>
      </c>
      <c r="CE1042" t="s">
        <v>88</v>
      </c>
      <c r="CF1042" s="3">
        <v>43811</v>
      </c>
      <c r="CI1042">
        <v>1</v>
      </c>
      <c r="CJ1042">
        <v>1</v>
      </c>
      <c r="CK1042">
        <v>24</v>
      </c>
      <c r="CL1042" t="s">
        <v>89</v>
      </c>
    </row>
    <row r="1043" spans="1:90">
      <c r="A1043" t="s">
        <v>72</v>
      </c>
      <c r="B1043" t="s">
        <v>73</v>
      </c>
      <c r="C1043" t="s">
        <v>74</v>
      </c>
      <c r="E1043" t="str">
        <f>"FES1162727627"</f>
        <v>FES1162727627</v>
      </c>
      <c r="F1043" s="3">
        <v>43809</v>
      </c>
      <c r="G1043">
        <v>202006</v>
      </c>
      <c r="H1043" t="s">
        <v>75</v>
      </c>
      <c r="I1043" t="s">
        <v>76</v>
      </c>
      <c r="J1043" t="s">
        <v>77</v>
      </c>
      <c r="K1043" t="s">
        <v>78</v>
      </c>
      <c r="L1043" t="s">
        <v>361</v>
      </c>
      <c r="M1043" t="s">
        <v>362</v>
      </c>
      <c r="N1043" t="s">
        <v>363</v>
      </c>
      <c r="O1043" t="s">
        <v>82</v>
      </c>
      <c r="P1043" t="str">
        <f>"2170721126                    "</f>
        <v xml:space="preserve">2170721126                    </v>
      </c>
      <c r="Q1043">
        <v>0</v>
      </c>
      <c r="R1043">
        <v>0</v>
      </c>
      <c r="S1043">
        <v>0</v>
      </c>
      <c r="T1043">
        <v>0</v>
      </c>
      <c r="U1043">
        <v>0</v>
      </c>
      <c r="V1043">
        <v>0</v>
      </c>
      <c r="W1043">
        <v>0</v>
      </c>
      <c r="X1043">
        <v>0</v>
      </c>
      <c r="Y1043">
        <v>0</v>
      </c>
      <c r="Z1043">
        <v>0</v>
      </c>
      <c r="AA1043">
        <v>0</v>
      </c>
      <c r="AB1043">
        <v>0</v>
      </c>
      <c r="AC1043">
        <v>0</v>
      </c>
      <c r="AD1043">
        <v>0</v>
      </c>
      <c r="AE1043">
        <v>0</v>
      </c>
      <c r="AF1043">
        <v>0</v>
      </c>
      <c r="AG1043">
        <v>0</v>
      </c>
      <c r="AH1043">
        <v>0</v>
      </c>
      <c r="AI1043">
        <v>0</v>
      </c>
      <c r="AJ1043">
        <v>0</v>
      </c>
      <c r="AK1043">
        <v>0</v>
      </c>
      <c r="AL1043">
        <v>0</v>
      </c>
      <c r="AM1043">
        <v>27.88</v>
      </c>
      <c r="AN1043">
        <v>0</v>
      </c>
      <c r="AO1043">
        <v>0</v>
      </c>
      <c r="AP1043">
        <v>0</v>
      </c>
      <c r="AQ1043">
        <v>0</v>
      </c>
      <c r="AR1043">
        <v>0</v>
      </c>
      <c r="AS1043">
        <v>0</v>
      </c>
      <c r="AT1043">
        <v>0</v>
      </c>
      <c r="AU1043">
        <v>0</v>
      </c>
      <c r="AV1043">
        <v>0</v>
      </c>
      <c r="AW1043">
        <v>0</v>
      </c>
      <c r="AX1043">
        <v>0</v>
      </c>
      <c r="AY1043">
        <v>0</v>
      </c>
      <c r="AZ1043">
        <v>0</v>
      </c>
      <c r="BA1043">
        <v>0</v>
      </c>
      <c r="BB1043">
        <v>0</v>
      </c>
      <c r="BC1043">
        <v>0</v>
      </c>
      <c r="BD1043">
        <v>0</v>
      </c>
      <c r="BE1043">
        <v>0</v>
      </c>
      <c r="BF1043">
        <v>0</v>
      </c>
      <c r="BG1043">
        <v>0</v>
      </c>
      <c r="BH1043">
        <v>1</v>
      </c>
      <c r="BI1043">
        <v>6.4</v>
      </c>
      <c r="BJ1043">
        <v>6.4</v>
      </c>
      <c r="BK1043">
        <v>6.5</v>
      </c>
      <c r="BL1043" s="4">
        <v>163.89</v>
      </c>
      <c r="BM1043" s="4">
        <v>24.58</v>
      </c>
      <c r="BN1043" s="4">
        <v>188.47</v>
      </c>
      <c r="BO1043" s="4">
        <v>188.47</v>
      </c>
      <c r="BQ1043" t="s">
        <v>93</v>
      </c>
      <c r="BR1043" t="s">
        <v>84</v>
      </c>
      <c r="BS1043" s="3">
        <v>43810</v>
      </c>
      <c r="BT1043" s="5">
        <v>0.33958333333333335</v>
      </c>
      <c r="BU1043" t="s">
        <v>364</v>
      </c>
      <c r="BV1043" t="s">
        <v>86</v>
      </c>
      <c r="BY1043">
        <v>31987.49</v>
      </c>
      <c r="CA1043" t="s">
        <v>185</v>
      </c>
      <c r="CC1043" t="s">
        <v>362</v>
      </c>
      <c r="CD1043">
        <v>6220</v>
      </c>
      <c r="CE1043" t="s">
        <v>116</v>
      </c>
      <c r="CF1043" s="3">
        <v>43811</v>
      </c>
      <c r="CI1043">
        <v>1</v>
      </c>
      <c r="CJ1043">
        <v>1</v>
      </c>
      <c r="CK1043">
        <v>21</v>
      </c>
      <c r="CL1043" t="s">
        <v>89</v>
      </c>
    </row>
    <row r="1044" spans="1:90">
      <c r="A1044" t="s">
        <v>72</v>
      </c>
      <c r="B1044" t="s">
        <v>73</v>
      </c>
      <c r="C1044" t="s">
        <v>74</v>
      </c>
      <c r="E1044" t="str">
        <f>"FES1162727661"</f>
        <v>FES1162727661</v>
      </c>
      <c r="F1044" s="3">
        <v>43809</v>
      </c>
      <c r="G1044">
        <v>202006</v>
      </c>
      <c r="H1044" t="s">
        <v>75</v>
      </c>
      <c r="I1044" t="s">
        <v>76</v>
      </c>
      <c r="J1044" t="s">
        <v>77</v>
      </c>
      <c r="K1044" t="s">
        <v>78</v>
      </c>
      <c r="L1044" t="s">
        <v>1497</v>
      </c>
      <c r="M1044" t="s">
        <v>1498</v>
      </c>
      <c r="N1044" t="s">
        <v>471</v>
      </c>
      <c r="O1044" t="s">
        <v>82</v>
      </c>
      <c r="P1044" t="str">
        <f>"2170721160                    "</f>
        <v xml:space="preserve">2170721160                    </v>
      </c>
      <c r="Q1044">
        <v>0</v>
      </c>
      <c r="R1044">
        <v>0</v>
      </c>
      <c r="S1044">
        <v>0</v>
      </c>
      <c r="T1044">
        <v>0</v>
      </c>
      <c r="U1044">
        <v>0</v>
      </c>
      <c r="V1044">
        <v>0</v>
      </c>
      <c r="W1044">
        <v>0</v>
      </c>
      <c r="X1044">
        <v>0</v>
      </c>
      <c r="Y1044">
        <v>0</v>
      </c>
      <c r="Z1044">
        <v>0</v>
      </c>
      <c r="AA1044">
        <v>0</v>
      </c>
      <c r="AB1044">
        <v>0</v>
      </c>
      <c r="AC1044">
        <v>0</v>
      </c>
      <c r="AD1044">
        <v>0</v>
      </c>
      <c r="AE1044">
        <v>0</v>
      </c>
      <c r="AF1044">
        <v>0</v>
      </c>
      <c r="AG1044">
        <v>0</v>
      </c>
      <c r="AH1044">
        <v>0</v>
      </c>
      <c r="AI1044">
        <v>0</v>
      </c>
      <c r="AJ1044">
        <v>0</v>
      </c>
      <c r="AK1044">
        <v>0</v>
      </c>
      <c r="AL1044">
        <v>0</v>
      </c>
      <c r="AM1044">
        <v>12.07</v>
      </c>
      <c r="AN1044">
        <v>0</v>
      </c>
      <c r="AO1044">
        <v>0</v>
      </c>
      <c r="AP1044">
        <v>0</v>
      </c>
      <c r="AQ1044">
        <v>0</v>
      </c>
      <c r="AR1044">
        <v>0</v>
      </c>
      <c r="AS1044">
        <v>0</v>
      </c>
      <c r="AT1044">
        <v>0</v>
      </c>
      <c r="AU1044">
        <v>0</v>
      </c>
      <c r="AV1044">
        <v>0</v>
      </c>
      <c r="AW1044">
        <v>0</v>
      </c>
      <c r="AX1044">
        <v>0</v>
      </c>
      <c r="AY1044">
        <v>0</v>
      </c>
      <c r="AZ1044">
        <v>0</v>
      </c>
      <c r="BA1044">
        <v>0</v>
      </c>
      <c r="BB1044">
        <v>0</v>
      </c>
      <c r="BC1044">
        <v>0</v>
      </c>
      <c r="BD1044">
        <v>0</v>
      </c>
      <c r="BE1044">
        <v>0</v>
      </c>
      <c r="BF1044">
        <v>0</v>
      </c>
      <c r="BG1044">
        <v>0</v>
      </c>
      <c r="BH1044">
        <v>1</v>
      </c>
      <c r="BI1044">
        <v>1</v>
      </c>
      <c r="BJ1044">
        <v>0.2</v>
      </c>
      <c r="BK1044">
        <v>1</v>
      </c>
      <c r="BL1044" s="4">
        <v>70.95</v>
      </c>
      <c r="BM1044" s="4">
        <v>10.64</v>
      </c>
      <c r="BN1044" s="4">
        <v>81.59</v>
      </c>
      <c r="BO1044" s="4">
        <v>81.59</v>
      </c>
      <c r="BQ1044" t="s">
        <v>147</v>
      </c>
      <c r="BR1044" t="s">
        <v>84</v>
      </c>
      <c r="BS1044" s="3">
        <v>43810</v>
      </c>
      <c r="BT1044" s="5">
        <v>0.60416666666666663</v>
      </c>
      <c r="BU1044" t="s">
        <v>1499</v>
      </c>
      <c r="BV1044" t="s">
        <v>86</v>
      </c>
      <c r="BY1044">
        <v>1200</v>
      </c>
      <c r="CA1044" t="s">
        <v>1223</v>
      </c>
      <c r="CC1044" t="s">
        <v>1498</v>
      </c>
      <c r="CD1044">
        <v>407</v>
      </c>
      <c r="CE1044" t="s">
        <v>88</v>
      </c>
      <c r="CF1044" s="3">
        <v>43811</v>
      </c>
      <c r="CI1044">
        <v>1</v>
      </c>
      <c r="CJ1044">
        <v>1</v>
      </c>
      <c r="CK1044">
        <v>24</v>
      </c>
      <c r="CL1044" t="s">
        <v>89</v>
      </c>
    </row>
    <row r="1045" spans="1:90">
      <c r="A1045" t="s">
        <v>72</v>
      </c>
      <c r="B1045" t="s">
        <v>73</v>
      </c>
      <c r="C1045" t="s">
        <v>74</v>
      </c>
      <c r="E1045" t="str">
        <f>"FES1162727590"</f>
        <v>FES1162727590</v>
      </c>
      <c r="F1045" s="3">
        <v>43809</v>
      </c>
      <c r="G1045">
        <v>202006</v>
      </c>
      <c r="H1045" t="s">
        <v>75</v>
      </c>
      <c r="I1045" t="s">
        <v>76</v>
      </c>
      <c r="J1045" t="s">
        <v>77</v>
      </c>
      <c r="K1045" t="s">
        <v>78</v>
      </c>
      <c r="L1045" t="s">
        <v>75</v>
      </c>
      <c r="M1045" t="s">
        <v>76</v>
      </c>
      <c r="N1045" t="s">
        <v>1563</v>
      </c>
      <c r="O1045" t="s">
        <v>82</v>
      </c>
      <c r="P1045" t="str">
        <f>"2170721075                    "</f>
        <v xml:space="preserve">2170721075                    </v>
      </c>
      <c r="Q1045">
        <v>0</v>
      </c>
      <c r="R1045">
        <v>0</v>
      </c>
      <c r="S1045">
        <v>0</v>
      </c>
      <c r="T1045">
        <v>0</v>
      </c>
      <c r="U1045">
        <v>0</v>
      </c>
      <c r="V1045">
        <v>0</v>
      </c>
      <c r="W1045">
        <v>0</v>
      </c>
      <c r="X1045">
        <v>0</v>
      </c>
      <c r="Y1045">
        <v>0</v>
      </c>
      <c r="Z1045">
        <v>0</v>
      </c>
      <c r="AA1045">
        <v>0</v>
      </c>
      <c r="AB1045">
        <v>0</v>
      </c>
      <c r="AC1045">
        <v>0</v>
      </c>
      <c r="AD1045">
        <v>0</v>
      </c>
      <c r="AE1045">
        <v>0</v>
      </c>
      <c r="AF1045">
        <v>0</v>
      </c>
      <c r="AG1045">
        <v>0</v>
      </c>
      <c r="AH1045">
        <v>0</v>
      </c>
      <c r="AI1045">
        <v>0</v>
      </c>
      <c r="AJ1045">
        <v>0</v>
      </c>
      <c r="AK1045">
        <v>0</v>
      </c>
      <c r="AL1045">
        <v>0</v>
      </c>
      <c r="AM1045">
        <v>6.71</v>
      </c>
      <c r="AN1045">
        <v>0</v>
      </c>
      <c r="AO1045">
        <v>0</v>
      </c>
      <c r="AP1045">
        <v>0</v>
      </c>
      <c r="AQ1045">
        <v>0</v>
      </c>
      <c r="AR1045">
        <v>0</v>
      </c>
      <c r="AS1045">
        <v>0</v>
      </c>
      <c r="AT1045">
        <v>0</v>
      </c>
      <c r="AU1045">
        <v>0</v>
      </c>
      <c r="AV1045">
        <v>0</v>
      </c>
      <c r="AW1045">
        <v>0</v>
      </c>
      <c r="AX1045">
        <v>0</v>
      </c>
      <c r="AY1045">
        <v>0</v>
      </c>
      <c r="AZ1045">
        <v>0</v>
      </c>
      <c r="BA1045">
        <v>0</v>
      </c>
      <c r="BB1045">
        <v>0</v>
      </c>
      <c r="BC1045">
        <v>0</v>
      </c>
      <c r="BD1045">
        <v>0</v>
      </c>
      <c r="BE1045">
        <v>0</v>
      </c>
      <c r="BF1045">
        <v>0</v>
      </c>
      <c r="BG1045">
        <v>0</v>
      </c>
      <c r="BH1045">
        <v>1</v>
      </c>
      <c r="BI1045">
        <v>1</v>
      </c>
      <c r="BJ1045">
        <v>0.2</v>
      </c>
      <c r="BK1045">
        <v>1</v>
      </c>
      <c r="BL1045" s="4">
        <v>39.42</v>
      </c>
      <c r="BM1045" s="4">
        <v>5.91</v>
      </c>
      <c r="BN1045" s="4">
        <v>45.33</v>
      </c>
      <c r="BO1045" s="4">
        <v>45.33</v>
      </c>
      <c r="BR1045" t="s">
        <v>84</v>
      </c>
      <c r="BS1045" s="3">
        <v>43810</v>
      </c>
      <c r="BT1045" s="5">
        <v>0.37847222222222227</v>
      </c>
      <c r="BU1045" t="s">
        <v>828</v>
      </c>
      <c r="BV1045" t="s">
        <v>86</v>
      </c>
      <c r="BY1045">
        <v>1200</v>
      </c>
      <c r="CA1045" t="s">
        <v>588</v>
      </c>
      <c r="CC1045" t="s">
        <v>76</v>
      </c>
      <c r="CD1045">
        <v>1619</v>
      </c>
      <c r="CE1045" t="s">
        <v>88</v>
      </c>
      <c r="CF1045" s="3">
        <v>43811</v>
      </c>
      <c r="CI1045">
        <v>1</v>
      </c>
      <c r="CJ1045">
        <v>1</v>
      </c>
      <c r="CK1045">
        <v>22</v>
      </c>
      <c r="CL1045" t="s">
        <v>89</v>
      </c>
    </row>
    <row r="1046" spans="1:90">
      <c r="A1046" t="s">
        <v>72</v>
      </c>
      <c r="B1046" t="s">
        <v>73</v>
      </c>
      <c r="C1046" t="s">
        <v>74</v>
      </c>
      <c r="E1046" t="str">
        <f>"FES1162727561"</f>
        <v>FES1162727561</v>
      </c>
      <c r="F1046" s="3">
        <v>43809</v>
      </c>
      <c r="G1046">
        <v>202006</v>
      </c>
      <c r="H1046" t="s">
        <v>75</v>
      </c>
      <c r="I1046" t="s">
        <v>76</v>
      </c>
      <c r="J1046" t="s">
        <v>77</v>
      </c>
      <c r="K1046" t="s">
        <v>78</v>
      </c>
      <c r="L1046" t="s">
        <v>75</v>
      </c>
      <c r="M1046" t="s">
        <v>76</v>
      </c>
      <c r="N1046" t="s">
        <v>1564</v>
      </c>
      <c r="O1046" t="s">
        <v>82</v>
      </c>
      <c r="P1046" t="str">
        <f>"2170710141                    "</f>
        <v xml:space="preserve">2170710141                    </v>
      </c>
      <c r="Q1046">
        <v>0</v>
      </c>
      <c r="R1046">
        <v>0</v>
      </c>
      <c r="S1046">
        <v>0</v>
      </c>
      <c r="T1046">
        <v>0</v>
      </c>
      <c r="U1046">
        <v>0</v>
      </c>
      <c r="V1046">
        <v>0</v>
      </c>
      <c r="W1046">
        <v>0</v>
      </c>
      <c r="X1046">
        <v>0</v>
      </c>
      <c r="Y1046">
        <v>0</v>
      </c>
      <c r="Z1046">
        <v>0</v>
      </c>
      <c r="AA1046">
        <v>0</v>
      </c>
      <c r="AB1046">
        <v>0</v>
      </c>
      <c r="AC1046">
        <v>0</v>
      </c>
      <c r="AD1046">
        <v>0</v>
      </c>
      <c r="AE1046">
        <v>0</v>
      </c>
      <c r="AF1046">
        <v>0</v>
      </c>
      <c r="AG1046">
        <v>0</v>
      </c>
      <c r="AH1046">
        <v>0</v>
      </c>
      <c r="AI1046">
        <v>0</v>
      </c>
      <c r="AJ1046">
        <v>0</v>
      </c>
      <c r="AK1046">
        <v>0</v>
      </c>
      <c r="AL1046">
        <v>0</v>
      </c>
      <c r="AM1046">
        <v>6.71</v>
      </c>
      <c r="AN1046">
        <v>0</v>
      </c>
      <c r="AO1046">
        <v>0</v>
      </c>
      <c r="AP1046">
        <v>0</v>
      </c>
      <c r="AQ1046">
        <v>0</v>
      </c>
      <c r="AR1046">
        <v>0</v>
      </c>
      <c r="AS1046">
        <v>0</v>
      </c>
      <c r="AT1046">
        <v>0</v>
      </c>
      <c r="AU1046">
        <v>0</v>
      </c>
      <c r="AV1046">
        <v>0</v>
      </c>
      <c r="AW1046">
        <v>0</v>
      </c>
      <c r="AX1046">
        <v>0</v>
      </c>
      <c r="AY1046">
        <v>0</v>
      </c>
      <c r="AZ1046">
        <v>0</v>
      </c>
      <c r="BA1046">
        <v>0</v>
      </c>
      <c r="BB1046">
        <v>0</v>
      </c>
      <c r="BC1046">
        <v>0</v>
      </c>
      <c r="BD1046">
        <v>0</v>
      </c>
      <c r="BE1046">
        <v>0</v>
      </c>
      <c r="BF1046">
        <v>0</v>
      </c>
      <c r="BG1046">
        <v>0</v>
      </c>
      <c r="BH1046">
        <v>1</v>
      </c>
      <c r="BI1046">
        <v>1</v>
      </c>
      <c r="BJ1046">
        <v>0.2</v>
      </c>
      <c r="BK1046">
        <v>1</v>
      </c>
      <c r="BL1046" s="4">
        <v>39.42</v>
      </c>
      <c r="BM1046" s="4">
        <v>5.91</v>
      </c>
      <c r="BN1046" s="4">
        <v>45.33</v>
      </c>
      <c r="BO1046" s="4">
        <v>45.33</v>
      </c>
      <c r="BR1046" t="s">
        <v>84</v>
      </c>
      <c r="BS1046" s="3">
        <v>43810</v>
      </c>
      <c r="BT1046" s="5">
        <v>0.42708333333333331</v>
      </c>
      <c r="BU1046" t="s">
        <v>1565</v>
      </c>
      <c r="BV1046" t="s">
        <v>86</v>
      </c>
      <c r="BY1046">
        <v>1200</v>
      </c>
      <c r="CC1046" t="s">
        <v>76</v>
      </c>
      <c r="CD1046">
        <v>1682</v>
      </c>
      <c r="CE1046" t="s">
        <v>88</v>
      </c>
      <c r="CF1046" s="3">
        <v>43811</v>
      </c>
      <c r="CI1046">
        <v>1</v>
      </c>
      <c r="CJ1046">
        <v>1</v>
      </c>
      <c r="CK1046">
        <v>22</v>
      </c>
      <c r="CL1046" t="s">
        <v>89</v>
      </c>
    </row>
    <row r="1047" spans="1:90">
      <c r="A1047" t="s">
        <v>72</v>
      </c>
      <c r="B1047" t="s">
        <v>73</v>
      </c>
      <c r="C1047" t="s">
        <v>74</v>
      </c>
      <c r="E1047" t="str">
        <f>"FES1162727644"</f>
        <v>FES1162727644</v>
      </c>
      <c r="F1047" s="3">
        <v>43809</v>
      </c>
      <c r="G1047">
        <v>202006</v>
      </c>
      <c r="H1047" t="s">
        <v>75</v>
      </c>
      <c r="I1047" t="s">
        <v>76</v>
      </c>
      <c r="J1047" t="s">
        <v>77</v>
      </c>
      <c r="K1047" t="s">
        <v>78</v>
      </c>
      <c r="L1047" t="s">
        <v>361</v>
      </c>
      <c r="M1047" t="s">
        <v>362</v>
      </c>
      <c r="N1047" t="s">
        <v>363</v>
      </c>
      <c r="O1047" t="s">
        <v>82</v>
      </c>
      <c r="P1047" t="str">
        <f>"2170719190.                   "</f>
        <v xml:space="preserve">2170719190.                   </v>
      </c>
      <c r="Q1047">
        <v>0</v>
      </c>
      <c r="R1047">
        <v>0</v>
      </c>
      <c r="S1047">
        <v>0</v>
      </c>
      <c r="T1047">
        <v>0</v>
      </c>
      <c r="U1047">
        <v>0</v>
      </c>
      <c r="V1047">
        <v>0</v>
      </c>
      <c r="W1047">
        <v>0</v>
      </c>
      <c r="X1047">
        <v>0</v>
      </c>
      <c r="Y1047">
        <v>0</v>
      </c>
      <c r="Z1047">
        <v>0</v>
      </c>
      <c r="AA1047">
        <v>0</v>
      </c>
      <c r="AB1047">
        <v>0</v>
      </c>
      <c r="AC1047">
        <v>0</v>
      </c>
      <c r="AD1047">
        <v>0</v>
      </c>
      <c r="AE1047">
        <v>0</v>
      </c>
      <c r="AF1047">
        <v>0</v>
      </c>
      <c r="AG1047">
        <v>0</v>
      </c>
      <c r="AH1047">
        <v>0</v>
      </c>
      <c r="AI1047">
        <v>0</v>
      </c>
      <c r="AJ1047">
        <v>0</v>
      </c>
      <c r="AK1047">
        <v>0</v>
      </c>
      <c r="AL1047">
        <v>0</v>
      </c>
      <c r="AM1047">
        <v>8.58</v>
      </c>
      <c r="AN1047">
        <v>0</v>
      </c>
      <c r="AO1047">
        <v>0</v>
      </c>
      <c r="AP1047">
        <v>0</v>
      </c>
      <c r="AQ1047">
        <v>0</v>
      </c>
      <c r="AR1047">
        <v>0</v>
      </c>
      <c r="AS1047">
        <v>0</v>
      </c>
      <c r="AT1047">
        <v>0</v>
      </c>
      <c r="AU1047">
        <v>0</v>
      </c>
      <c r="AV1047">
        <v>0</v>
      </c>
      <c r="AW1047">
        <v>0</v>
      </c>
      <c r="AX1047">
        <v>0</v>
      </c>
      <c r="AY1047">
        <v>0</v>
      </c>
      <c r="AZ1047">
        <v>0</v>
      </c>
      <c r="BA1047">
        <v>0</v>
      </c>
      <c r="BB1047">
        <v>0</v>
      </c>
      <c r="BC1047">
        <v>0</v>
      </c>
      <c r="BD1047">
        <v>0</v>
      </c>
      <c r="BE1047">
        <v>0</v>
      </c>
      <c r="BF1047">
        <v>0</v>
      </c>
      <c r="BG1047">
        <v>0</v>
      </c>
      <c r="BH1047">
        <v>1</v>
      </c>
      <c r="BI1047">
        <v>1</v>
      </c>
      <c r="BJ1047">
        <v>0.2</v>
      </c>
      <c r="BK1047">
        <v>1</v>
      </c>
      <c r="BL1047" s="4">
        <v>50.45</v>
      </c>
      <c r="BM1047" s="4">
        <v>7.57</v>
      </c>
      <c r="BN1047" s="4">
        <v>58.02</v>
      </c>
      <c r="BO1047" s="4">
        <v>58.02</v>
      </c>
      <c r="BQ1047" t="s">
        <v>93</v>
      </c>
      <c r="BR1047" t="s">
        <v>84</v>
      </c>
      <c r="BS1047" s="3">
        <v>43810</v>
      </c>
      <c r="BT1047" s="5">
        <v>0.34097222222222223</v>
      </c>
      <c r="BU1047" t="s">
        <v>364</v>
      </c>
      <c r="BV1047" t="s">
        <v>86</v>
      </c>
      <c r="BY1047">
        <v>1200</v>
      </c>
      <c r="CA1047" t="s">
        <v>185</v>
      </c>
      <c r="CC1047" t="s">
        <v>362</v>
      </c>
      <c r="CD1047">
        <v>6220</v>
      </c>
      <c r="CE1047" t="s">
        <v>88</v>
      </c>
      <c r="CF1047" s="3">
        <v>43811</v>
      </c>
      <c r="CI1047">
        <v>1</v>
      </c>
      <c r="CJ1047">
        <v>1</v>
      </c>
      <c r="CK1047">
        <v>21</v>
      </c>
      <c r="CL1047" t="s">
        <v>89</v>
      </c>
    </row>
    <row r="1048" spans="1:90">
      <c r="A1048" t="s">
        <v>72</v>
      </c>
      <c r="B1048" t="s">
        <v>73</v>
      </c>
      <c r="C1048" t="s">
        <v>74</v>
      </c>
      <c r="E1048" t="str">
        <f>"FES1162727628"</f>
        <v>FES1162727628</v>
      </c>
      <c r="F1048" s="3">
        <v>43809</v>
      </c>
      <c r="G1048">
        <v>202006</v>
      </c>
      <c r="H1048" t="s">
        <v>75</v>
      </c>
      <c r="I1048" t="s">
        <v>76</v>
      </c>
      <c r="J1048" t="s">
        <v>77</v>
      </c>
      <c r="K1048" t="s">
        <v>78</v>
      </c>
      <c r="L1048" t="s">
        <v>164</v>
      </c>
      <c r="M1048" t="s">
        <v>165</v>
      </c>
      <c r="N1048" t="s">
        <v>1027</v>
      </c>
      <c r="O1048" t="s">
        <v>82</v>
      </c>
      <c r="P1048" t="str">
        <f>"2170711272                    "</f>
        <v xml:space="preserve">2170711272                    </v>
      </c>
      <c r="Q1048">
        <v>0</v>
      </c>
      <c r="R1048">
        <v>0</v>
      </c>
      <c r="S1048">
        <v>0</v>
      </c>
      <c r="T1048">
        <v>0</v>
      </c>
      <c r="U1048">
        <v>0</v>
      </c>
      <c r="V1048">
        <v>0</v>
      </c>
      <c r="W1048">
        <v>0</v>
      </c>
      <c r="X1048">
        <v>0</v>
      </c>
      <c r="Y1048">
        <v>0</v>
      </c>
      <c r="Z1048">
        <v>0</v>
      </c>
      <c r="AA1048">
        <v>0</v>
      </c>
      <c r="AB1048">
        <v>0</v>
      </c>
      <c r="AC1048">
        <v>0</v>
      </c>
      <c r="AD1048">
        <v>0</v>
      </c>
      <c r="AE1048">
        <v>0</v>
      </c>
      <c r="AF1048">
        <v>0</v>
      </c>
      <c r="AG1048">
        <v>0</v>
      </c>
      <c r="AH1048">
        <v>0</v>
      </c>
      <c r="AI1048">
        <v>0</v>
      </c>
      <c r="AJ1048">
        <v>0</v>
      </c>
      <c r="AK1048">
        <v>0</v>
      </c>
      <c r="AL1048">
        <v>0</v>
      </c>
      <c r="AM1048">
        <v>53.61</v>
      </c>
      <c r="AN1048">
        <v>0</v>
      </c>
      <c r="AO1048">
        <v>0</v>
      </c>
      <c r="AP1048">
        <v>0</v>
      </c>
      <c r="AQ1048">
        <v>0</v>
      </c>
      <c r="AR1048">
        <v>0</v>
      </c>
      <c r="AS1048">
        <v>0</v>
      </c>
      <c r="AT1048">
        <v>0</v>
      </c>
      <c r="AU1048">
        <v>0</v>
      </c>
      <c r="AV1048">
        <v>0</v>
      </c>
      <c r="AW1048">
        <v>0</v>
      </c>
      <c r="AX1048">
        <v>0</v>
      </c>
      <c r="AY1048">
        <v>0</v>
      </c>
      <c r="AZ1048">
        <v>0</v>
      </c>
      <c r="BA1048">
        <v>0</v>
      </c>
      <c r="BB1048">
        <v>0</v>
      </c>
      <c r="BC1048">
        <v>0</v>
      </c>
      <c r="BD1048">
        <v>0</v>
      </c>
      <c r="BE1048">
        <v>0</v>
      </c>
      <c r="BF1048">
        <v>0</v>
      </c>
      <c r="BG1048">
        <v>0</v>
      </c>
      <c r="BH1048">
        <v>1</v>
      </c>
      <c r="BI1048">
        <v>12.2</v>
      </c>
      <c r="BJ1048">
        <v>9.4</v>
      </c>
      <c r="BK1048">
        <v>12.5</v>
      </c>
      <c r="BL1048" s="4">
        <v>315.14</v>
      </c>
      <c r="BM1048" s="4">
        <v>47.27</v>
      </c>
      <c r="BN1048" s="4">
        <v>362.41</v>
      </c>
      <c r="BO1048" s="4">
        <v>362.41</v>
      </c>
      <c r="BR1048" t="s">
        <v>84</v>
      </c>
      <c r="BS1048" s="3">
        <v>43810</v>
      </c>
      <c r="BT1048" s="5">
        <v>0.3743055555555555</v>
      </c>
      <c r="BU1048" t="s">
        <v>1028</v>
      </c>
      <c r="BV1048" t="s">
        <v>86</v>
      </c>
      <c r="BY1048">
        <v>46761</v>
      </c>
      <c r="CA1048" t="s">
        <v>168</v>
      </c>
      <c r="CC1048" t="s">
        <v>165</v>
      </c>
      <c r="CD1048">
        <v>5201</v>
      </c>
      <c r="CE1048" t="s">
        <v>96</v>
      </c>
      <c r="CF1048" s="3">
        <v>43812</v>
      </c>
      <c r="CI1048">
        <v>1</v>
      </c>
      <c r="CJ1048">
        <v>1</v>
      </c>
      <c r="CK1048">
        <v>21</v>
      </c>
      <c r="CL1048" t="s">
        <v>89</v>
      </c>
    </row>
    <row r="1049" spans="1:90">
      <c r="A1049" t="s">
        <v>72</v>
      </c>
      <c r="B1049" t="s">
        <v>73</v>
      </c>
      <c r="C1049" t="s">
        <v>74</v>
      </c>
      <c r="E1049" t="str">
        <f>"FES1162727626"</f>
        <v>FES1162727626</v>
      </c>
      <c r="F1049" s="3">
        <v>43809</v>
      </c>
      <c r="G1049">
        <v>202006</v>
      </c>
      <c r="H1049" t="s">
        <v>75</v>
      </c>
      <c r="I1049" t="s">
        <v>76</v>
      </c>
      <c r="J1049" t="s">
        <v>77</v>
      </c>
      <c r="K1049" t="s">
        <v>78</v>
      </c>
      <c r="L1049" t="s">
        <v>79</v>
      </c>
      <c r="M1049" t="s">
        <v>80</v>
      </c>
      <c r="N1049" t="s">
        <v>1101</v>
      </c>
      <c r="O1049" t="s">
        <v>82</v>
      </c>
      <c r="P1049" t="str">
        <f>"217071125                     "</f>
        <v xml:space="preserve">217071125                     </v>
      </c>
      <c r="Q1049">
        <v>0</v>
      </c>
      <c r="R1049">
        <v>0</v>
      </c>
      <c r="S1049">
        <v>0</v>
      </c>
      <c r="T1049">
        <v>0</v>
      </c>
      <c r="U1049">
        <v>0</v>
      </c>
      <c r="V1049">
        <v>0</v>
      </c>
      <c r="W1049">
        <v>0</v>
      </c>
      <c r="X1049">
        <v>0</v>
      </c>
      <c r="Y1049">
        <v>0</v>
      </c>
      <c r="Z1049">
        <v>0</v>
      </c>
      <c r="AA1049">
        <v>0</v>
      </c>
      <c r="AB1049">
        <v>0</v>
      </c>
      <c r="AC1049">
        <v>0</v>
      </c>
      <c r="AD1049">
        <v>0</v>
      </c>
      <c r="AE1049">
        <v>0</v>
      </c>
      <c r="AF1049">
        <v>0</v>
      </c>
      <c r="AG1049">
        <v>0</v>
      </c>
      <c r="AH1049">
        <v>0</v>
      </c>
      <c r="AI1049">
        <v>0</v>
      </c>
      <c r="AJ1049">
        <v>0</v>
      </c>
      <c r="AK1049">
        <v>0</v>
      </c>
      <c r="AL1049">
        <v>0</v>
      </c>
      <c r="AM1049">
        <v>36.46</v>
      </c>
      <c r="AN1049">
        <v>0</v>
      </c>
      <c r="AO1049">
        <v>0</v>
      </c>
      <c r="AP1049">
        <v>0</v>
      </c>
      <c r="AQ1049">
        <v>0</v>
      </c>
      <c r="AR1049">
        <v>0</v>
      </c>
      <c r="AS1049">
        <v>0</v>
      </c>
      <c r="AT1049">
        <v>0</v>
      </c>
      <c r="AU1049">
        <v>0</v>
      </c>
      <c r="AV1049">
        <v>0</v>
      </c>
      <c r="AW1049">
        <v>0</v>
      </c>
      <c r="AX1049">
        <v>0</v>
      </c>
      <c r="AY1049">
        <v>0</v>
      </c>
      <c r="AZ1049">
        <v>0</v>
      </c>
      <c r="BA1049">
        <v>0</v>
      </c>
      <c r="BB1049">
        <v>0</v>
      </c>
      <c r="BC1049">
        <v>0</v>
      </c>
      <c r="BD1049">
        <v>0</v>
      </c>
      <c r="BE1049">
        <v>0</v>
      </c>
      <c r="BF1049">
        <v>0</v>
      </c>
      <c r="BG1049">
        <v>0</v>
      </c>
      <c r="BH1049">
        <v>1</v>
      </c>
      <c r="BI1049">
        <v>2.7</v>
      </c>
      <c r="BJ1049">
        <v>8.5</v>
      </c>
      <c r="BK1049">
        <v>8.5</v>
      </c>
      <c r="BL1049" s="4">
        <v>214.31</v>
      </c>
      <c r="BM1049" s="4">
        <v>32.15</v>
      </c>
      <c r="BN1049" s="4">
        <v>246.46</v>
      </c>
      <c r="BO1049" s="4">
        <v>246.46</v>
      </c>
      <c r="BQ1049" t="s">
        <v>147</v>
      </c>
      <c r="BR1049" t="s">
        <v>84</v>
      </c>
      <c r="BS1049" s="3">
        <v>43810</v>
      </c>
      <c r="BT1049" s="5">
        <v>0.41250000000000003</v>
      </c>
      <c r="BU1049" t="s">
        <v>1091</v>
      </c>
      <c r="BV1049" t="s">
        <v>86</v>
      </c>
      <c r="BY1049">
        <v>42348.46</v>
      </c>
      <c r="CA1049" t="s">
        <v>419</v>
      </c>
      <c r="CC1049" t="s">
        <v>80</v>
      </c>
      <c r="CD1049">
        <v>6001</v>
      </c>
      <c r="CE1049" t="s">
        <v>96</v>
      </c>
      <c r="CF1049" s="3">
        <v>43811</v>
      </c>
      <c r="CI1049">
        <v>1</v>
      </c>
      <c r="CJ1049">
        <v>1</v>
      </c>
      <c r="CK1049">
        <v>21</v>
      </c>
      <c r="CL1049" t="s">
        <v>89</v>
      </c>
    </row>
    <row r="1050" spans="1:90">
      <c r="A1050" t="s">
        <v>72</v>
      </c>
      <c r="B1050" t="s">
        <v>73</v>
      </c>
      <c r="C1050" t="s">
        <v>74</v>
      </c>
      <c r="E1050" t="str">
        <f>"FES1162727611"</f>
        <v>FES1162727611</v>
      </c>
      <c r="F1050" s="3">
        <v>43809</v>
      </c>
      <c r="G1050">
        <v>202006</v>
      </c>
      <c r="H1050" t="s">
        <v>75</v>
      </c>
      <c r="I1050" t="s">
        <v>76</v>
      </c>
      <c r="J1050" t="s">
        <v>77</v>
      </c>
      <c r="K1050" t="s">
        <v>78</v>
      </c>
      <c r="L1050" t="s">
        <v>332</v>
      </c>
      <c r="M1050" t="s">
        <v>333</v>
      </c>
      <c r="N1050" t="s">
        <v>701</v>
      </c>
      <c r="O1050" t="s">
        <v>82</v>
      </c>
      <c r="P1050" t="str">
        <f>"217071103                     "</f>
        <v xml:space="preserve">217071103                     </v>
      </c>
      <c r="Q1050">
        <v>0</v>
      </c>
      <c r="R1050">
        <v>0</v>
      </c>
      <c r="S1050">
        <v>0</v>
      </c>
      <c r="T1050">
        <v>0</v>
      </c>
      <c r="U1050">
        <v>0</v>
      </c>
      <c r="V1050">
        <v>0</v>
      </c>
      <c r="W1050">
        <v>0</v>
      </c>
      <c r="X1050">
        <v>0</v>
      </c>
      <c r="Y1050">
        <v>0</v>
      </c>
      <c r="Z1050">
        <v>0</v>
      </c>
      <c r="AA1050">
        <v>0</v>
      </c>
      <c r="AB1050">
        <v>0</v>
      </c>
      <c r="AC1050">
        <v>0</v>
      </c>
      <c r="AD1050">
        <v>0</v>
      </c>
      <c r="AE1050">
        <v>0</v>
      </c>
      <c r="AF1050">
        <v>0</v>
      </c>
      <c r="AG1050">
        <v>0</v>
      </c>
      <c r="AH1050">
        <v>0</v>
      </c>
      <c r="AI1050">
        <v>0</v>
      </c>
      <c r="AJ1050">
        <v>0</v>
      </c>
      <c r="AK1050">
        <v>0</v>
      </c>
      <c r="AL1050">
        <v>0</v>
      </c>
      <c r="AM1050">
        <v>6.71</v>
      </c>
      <c r="AN1050">
        <v>0</v>
      </c>
      <c r="AO1050">
        <v>0</v>
      </c>
      <c r="AP1050">
        <v>0</v>
      </c>
      <c r="AQ1050">
        <v>0</v>
      </c>
      <c r="AR1050">
        <v>0</v>
      </c>
      <c r="AS1050">
        <v>0</v>
      </c>
      <c r="AT1050">
        <v>0</v>
      </c>
      <c r="AU1050">
        <v>0</v>
      </c>
      <c r="AV1050">
        <v>0</v>
      </c>
      <c r="AW1050">
        <v>0</v>
      </c>
      <c r="AX1050">
        <v>0</v>
      </c>
      <c r="AY1050">
        <v>0</v>
      </c>
      <c r="AZ1050">
        <v>0</v>
      </c>
      <c r="BA1050">
        <v>0</v>
      </c>
      <c r="BB1050">
        <v>0</v>
      </c>
      <c r="BC1050">
        <v>0</v>
      </c>
      <c r="BD1050">
        <v>0</v>
      </c>
      <c r="BE1050">
        <v>0</v>
      </c>
      <c r="BF1050">
        <v>0</v>
      </c>
      <c r="BG1050">
        <v>0</v>
      </c>
      <c r="BH1050">
        <v>1</v>
      </c>
      <c r="BI1050">
        <v>1</v>
      </c>
      <c r="BJ1050">
        <v>0.2</v>
      </c>
      <c r="BK1050">
        <v>1</v>
      </c>
      <c r="BL1050" s="4">
        <v>39.42</v>
      </c>
      <c r="BM1050" s="4">
        <v>5.91</v>
      </c>
      <c r="BN1050" s="4">
        <v>45.33</v>
      </c>
      <c r="BO1050" s="4">
        <v>45.33</v>
      </c>
      <c r="BQ1050" t="s">
        <v>93</v>
      </c>
      <c r="BR1050" t="s">
        <v>84</v>
      </c>
      <c r="BS1050" s="3">
        <v>43810</v>
      </c>
      <c r="BT1050" s="5">
        <v>0.40138888888888885</v>
      </c>
      <c r="BU1050" t="s">
        <v>1358</v>
      </c>
      <c r="BV1050" t="s">
        <v>86</v>
      </c>
      <c r="BY1050">
        <v>1200</v>
      </c>
      <c r="CC1050" t="s">
        <v>333</v>
      </c>
      <c r="CD1050">
        <v>2094</v>
      </c>
      <c r="CE1050" t="s">
        <v>88</v>
      </c>
      <c r="CF1050" s="3">
        <v>43811</v>
      </c>
      <c r="CI1050">
        <v>1</v>
      </c>
      <c r="CJ1050">
        <v>1</v>
      </c>
      <c r="CK1050">
        <v>22</v>
      </c>
      <c r="CL1050" t="s">
        <v>89</v>
      </c>
    </row>
    <row r="1051" spans="1:90">
      <c r="A1051" t="s">
        <v>72</v>
      </c>
      <c r="B1051" t="s">
        <v>73</v>
      </c>
      <c r="C1051" t="s">
        <v>74</v>
      </c>
      <c r="E1051" t="str">
        <f>"FES1162727647"</f>
        <v>FES1162727647</v>
      </c>
      <c r="F1051" s="3">
        <v>43809</v>
      </c>
      <c r="G1051">
        <v>202006</v>
      </c>
      <c r="H1051" t="s">
        <v>75</v>
      </c>
      <c r="I1051" t="s">
        <v>76</v>
      </c>
      <c r="J1051" t="s">
        <v>77</v>
      </c>
      <c r="K1051" t="s">
        <v>78</v>
      </c>
      <c r="L1051" t="s">
        <v>75</v>
      </c>
      <c r="M1051" t="s">
        <v>76</v>
      </c>
      <c r="N1051" t="s">
        <v>289</v>
      </c>
      <c r="O1051" t="s">
        <v>82</v>
      </c>
      <c r="P1051" t="str">
        <f>"21707120150                   "</f>
        <v xml:space="preserve">21707120150                   </v>
      </c>
      <c r="Q1051">
        <v>0</v>
      </c>
      <c r="R1051">
        <v>0</v>
      </c>
      <c r="S1051">
        <v>0</v>
      </c>
      <c r="T1051">
        <v>0</v>
      </c>
      <c r="U1051">
        <v>0</v>
      </c>
      <c r="V1051">
        <v>0</v>
      </c>
      <c r="W1051">
        <v>0</v>
      </c>
      <c r="X1051">
        <v>0</v>
      </c>
      <c r="Y1051">
        <v>0</v>
      </c>
      <c r="Z1051">
        <v>0</v>
      </c>
      <c r="AA1051">
        <v>0</v>
      </c>
      <c r="AB1051">
        <v>0</v>
      </c>
      <c r="AC1051">
        <v>0</v>
      </c>
      <c r="AD1051">
        <v>0</v>
      </c>
      <c r="AE1051">
        <v>0</v>
      </c>
      <c r="AF1051">
        <v>0</v>
      </c>
      <c r="AG1051">
        <v>0</v>
      </c>
      <c r="AH1051">
        <v>0</v>
      </c>
      <c r="AI1051">
        <v>0</v>
      </c>
      <c r="AJ1051">
        <v>0</v>
      </c>
      <c r="AK1051">
        <v>0</v>
      </c>
      <c r="AL1051">
        <v>0</v>
      </c>
      <c r="AM1051">
        <v>6.71</v>
      </c>
      <c r="AN1051">
        <v>0</v>
      </c>
      <c r="AO1051">
        <v>0</v>
      </c>
      <c r="AP1051">
        <v>0</v>
      </c>
      <c r="AQ1051">
        <v>0</v>
      </c>
      <c r="AR1051">
        <v>0</v>
      </c>
      <c r="AS1051">
        <v>0</v>
      </c>
      <c r="AT1051">
        <v>0</v>
      </c>
      <c r="AU1051">
        <v>0</v>
      </c>
      <c r="AV1051">
        <v>0</v>
      </c>
      <c r="AW1051">
        <v>0</v>
      </c>
      <c r="AX1051">
        <v>0</v>
      </c>
      <c r="AY1051">
        <v>0</v>
      </c>
      <c r="AZ1051">
        <v>0</v>
      </c>
      <c r="BA1051">
        <v>0</v>
      </c>
      <c r="BB1051">
        <v>0</v>
      </c>
      <c r="BC1051">
        <v>0</v>
      </c>
      <c r="BD1051">
        <v>0</v>
      </c>
      <c r="BE1051">
        <v>0</v>
      </c>
      <c r="BF1051">
        <v>0</v>
      </c>
      <c r="BG1051">
        <v>0</v>
      </c>
      <c r="BH1051">
        <v>1</v>
      </c>
      <c r="BI1051">
        <v>1</v>
      </c>
      <c r="BJ1051">
        <v>0.6</v>
      </c>
      <c r="BK1051">
        <v>1</v>
      </c>
      <c r="BL1051" s="4">
        <v>39.42</v>
      </c>
      <c r="BM1051" s="4">
        <v>5.91</v>
      </c>
      <c r="BN1051" s="4">
        <v>45.33</v>
      </c>
      <c r="BO1051" s="4">
        <v>45.33</v>
      </c>
      <c r="BQ1051" t="s">
        <v>290</v>
      </c>
      <c r="BR1051" t="s">
        <v>84</v>
      </c>
      <c r="BS1051" s="3">
        <v>43810</v>
      </c>
      <c r="BT1051" s="5">
        <v>0.29722222222222222</v>
      </c>
      <c r="BU1051" t="s">
        <v>291</v>
      </c>
      <c r="BV1051" t="s">
        <v>86</v>
      </c>
      <c r="BY1051">
        <v>2991.82</v>
      </c>
      <c r="CA1051" t="s">
        <v>155</v>
      </c>
      <c r="CC1051" t="s">
        <v>76</v>
      </c>
      <c r="CD1051">
        <v>1601</v>
      </c>
      <c r="CE1051" t="s">
        <v>1566</v>
      </c>
      <c r="CF1051" s="3">
        <v>43811</v>
      </c>
      <c r="CI1051">
        <v>1</v>
      </c>
      <c r="CJ1051">
        <v>1</v>
      </c>
      <c r="CK1051">
        <v>22</v>
      </c>
      <c r="CL1051" t="s">
        <v>89</v>
      </c>
    </row>
    <row r="1052" spans="1:90">
      <c r="A1052" t="s">
        <v>72</v>
      </c>
      <c r="B1052" t="s">
        <v>73</v>
      </c>
      <c r="C1052" t="s">
        <v>74</v>
      </c>
      <c r="E1052" t="str">
        <f>"FES1162727616"</f>
        <v>FES1162727616</v>
      </c>
      <c r="F1052" s="3">
        <v>43809</v>
      </c>
      <c r="G1052">
        <v>202006</v>
      </c>
      <c r="H1052" t="s">
        <v>75</v>
      </c>
      <c r="I1052" t="s">
        <v>76</v>
      </c>
      <c r="J1052" t="s">
        <v>77</v>
      </c>
      <c r="K1052" t="s">
        <v>78</v>
      </c>
      <c r="L1052" t="s">
        <v>332</v>
      </c>
      <c r="M1052" t="s">
        <v>333</v>
      </c>
      <c r="N1052" t="s">
        <v>1567</v>
      </c>
      <c r="O1052" t="s">
        <v>82</v>
      </c>
      <c r="P1052" t="str">
        <f>"2170711111                    "</f>
        <v xml:space="preserve">2170711111                    </v>
      </c>
      <c r="Q1052">
        <v>0</v>
      </c>
      <c r="R1052">
        <v>0</v>
      </c>
      <c r="S1052">
        <v>0</v>
      </c>
      <c r="T1052">
        <v>0</v>
      </c>
      <c r="U1052">
        <v>0</v>
      </c>
      <c r="V1052">
        <v>0</v>
      </c>
      <c r="W1052">
        <v>0</v>
      </c>
      <c r="X1052">
        <v>0</v>
      </c>
      <c r="Y1052">
        <v>0</v>
      </c>
      <c r="Z1052">
        <v>0</v>
      </c>
      <c r="AA1052">
        <v>0</v>
      </c>
      <c r="AB1052">
        <v>0</v>
      </c>
      <c r="AC1052">
        <v>0</v>
      </c>
      <c r="AD1052">
        <v>0</v>
      </c>
      <c r="AE1052">
        <v>0</v>
      </c>
      <c r="AF1052">
        <v>0</v>
      </c>
      <c r="AG1052">
        <v>0</v>
      </c>
      <c r="AH1052">
        <v>0</v>
      </c>
      <c r="AI1052">
        <v>0</v>
      </c>
      <c r="AJ1052">
        <v>0</v>
      </c>
      <c r="AK1052">
        <v>0</v>
      </c>
      <c r="AL1052">
        <v>0</v>
      </c>
      <c r="AM1052">
        <v>6.71</v>
      </c>
      <c r="AN1052">
        <v>0</v>
      </c>
      <c r="AO1052">
        <v>0</v>
      </c>
      <c r="AP1052">
        <v>0</v>
      </c>
      <c r="AQ1052">
        <v>0</v>
      </c>
      <c r="AR1052">
        <v>0</v>
      </c>
      <c r="AS1052">
        <v>0</v>
      </c>
      <c r="AT1052">
        <v>0</v>
      </c>
      <c r="AU1052">
        <v>0</v>
      </c>
      <c r="AV1052">
        <v>0</v>
      </c>
      <c r="AW1052">
        <v>0</v>
      </c>
      <c r="AX1052">
        <v>0</v>
      </c>
      <c r="AY1052">
        <v>0</v>
      </c>
      <c r="AZ1052">
        <v>0</v>
      </c>
      <c r="BA1052">
        <v>0</v>
      </c>
      <c r="BB1052">
        <v>0</v>
      </c>
      <c r="BC1052">
        <v>0</v>
      </c>
      <c r="BD1052">
        <v>0</v>
      </c>
      <c r="BE1052">
        <v>0</v>
      </c>
      <c r="BF1052">
        <v>0</v>
      </c>
      <c r="BG1052">
        <v>0</v>
      </c>
      <c r="BH1052">
        <v>1</v>
      </c>
      <c r="BI1052">
        <v>1</v>
      </c>
      <c r="BJ1052">
        <v>0.2</v>
      </c>
      <c r="BK1052">
        <v>1</v>
      </c>
      <c r="BL1052" s="4">
        <v>39.42</v>
      </c>
      <c r="BM1052" s="4">
        <v>5.91</v>
      </c>
      <c r="BN1052" s="4">
        <v>45.33</v>
      </c>
      <c r="BO1052" s="4">
        <v>45.33</v>
      </c>
      <c r="BQ1052" t="s">
        <v>1568</v>
      </c>
      <c r="BR1052" t="s">
        <v>84</v>
      </c>
      <c r="BS1052" s="3">
        <v>43810</v>
      </c>
      <c r="BT1052" s="5">
        <v>0.40625</v>
      </c>
      <c r="BU1052" t="s">
        <v>1569</v>
      </c>
      <c r="BV1052" t="s">
        <v>86</v>
      </c>
      <c r="BY1052">
        <v>1200</v>
      </c>
      <c r="CC1052" t="s">
        <v>333</v>
      </c>
      <c r="CD1052">
        <v>1821</v>
      </c>
      <c r="CE1052" t="s">
        <v>88</v>
      </c>
      <c r="CF1052" s="3">
        <v>43811</v>
      </c>
      <c r="CI1052">
        <v>1</v>
      </c>
      <c r="CJ1052">
        <v>1</v>
      </c>
      <c r="CK1052">
        <v>22</v>
      </c>
      <c r="CL1052" t="s">
        <v>89</v>
      </c>
    </row>
    <row r="1053" spans="1:90">
      <c r="A1053" t="s">
        <v>72</v>
      </c>
      <c r="B1053" t="s">
        <v>73</v>
      </c>
      <c r="C1053" t="s">
        <v>74</v>
      </c>
      <c r="E1053" t="str">
        <f>"FES1162727691"</f>
        <v>FES1162727691</v>
      </c>
      <c r="F1053" s="3">
        <v>43809</v>
      </c>
      <c r="G1053">
        <v>202006</v>
      </c>
      <c r="H1053" t="s">
        <v>75</v>
      </c>
      <c r="I1053" t="s">
        <v>76</v>
      </c>
      <c r="J1053" t="s">
        <v>77</v>
      </c>
      <c r="K1053" t="s">
        <v>78</v>
      </c>
      <c r="L1053" t="s">
        <v>308</v>
      </c>
      <c r="M1053" t="s">
        <v>308</v>
      </c>
      <c r="N1053" t="s">
        <v>309</v>
      </c>
      <c r="O1053" t="s">
        <v>82</v>
      </c>
      <c r="P1053" t="str">
        <f>"2170711184                    "</f>
        <v xml:space="preserve">2170711184                    </v>
      </c>
      <c r="Q1053">
        <v>0</v>
      </c>
      <c r="R1053">
        <v>0</v>
      </c>
      <c r="S1053">
        <v>0</v>
      </c>
      <c r="T1053">
        <v>0</v>
      </c>
      <c r="U1053">
        <v>0</v>
      </c>
      <c r="V1053">
        <v>0</v>
      </c>
      <c r="W1053">
        <v>0</v>
      </c>
      <c r="X1053">
        <v>0</v>
      </c>
      <c r="Y1053">
        <v>0</v>
      </c>
      <c r="Z1053">
        <v>0</v>
      </c>
      <c r="AA1053">
        <v>0</v>
      </c>
      <c r="AB1053">
        <v>0</v>
      </c>
      <c r="AC1053">
        <v>0</v>
      </c>
      <c r="AD1053">
        <v>0</v>
      </c>
      <c r="AE1053">
        <v>0</v>
      </c>
      <c r="AF1053">
        <v>0</v>
      </c>
      <c r="AG1053">
        <v>0</v>
      </c>
      <c r="AH1053">
        <v>0</v>
      </c>
      <c r="AI1053">
        <v>0</v>
      </c>
      <c r="AJ1053">
        <v>0</v>
      </c>
      <c r="AK1053">
        <v>0</v>
      </c>
      <c r="AL1053">
        <v>0</v>
      </c>
      <c r="AM1053">
        <v>16.63</v>
      </c>
      <c r="AN1053">
        <v>0</v>
      </c>
      <c r="AO1053">
        <v>0</v>
      </c>
      <c r="AP1053">
        <v>0</v>
      </c>
      <c r="AQ1053">
        <v>0</v>
      </c>
      <c r="AR1053">
        <v>0</v>
      </c>
      <c r="AS1053">
        <v>0</v>
      </c>
      <c r="AT1053">
        <v>0</v>
      </c>
      <c r="AU1053">
        <v>0</v>
      </c>
      <c r="AV1053">
        <v>0</v>
      </c>
      <c r="AW1053">
        <v>0</v>
      </c>
      <c r="AX1053">
        <v>0</v>
      </c>
      <c r="AY1053">
        <v>0</v>
      </c>
      <c r="AZ1053">
        <v>0</v>
      </c>
      <c r="BA1053">
        <v>0</v>
      </c>
      <c r="BB1053">
        <v>0</v>
      </c>
      <c r="BC1053">
        <v>0</v>
      </c>
      <c r="BD1053">
        <v>0</v>
      </c>
      <c r="BE1053">
        <v>0</v>
      </c>
      <c r="BF1053">
        <v>0</v>
      </c>
      <c r="BG1053">
        <v>0</v>
      </c>
      <c r="BH1053">
        <v>1</v>
      </c>
      <c r="BI1053">
        <v>1</v>
      </c>
      <c r="BJ1053">
        <v>0.2</v>
      </c>
      <c r="BK1053">
        <v>1</v>
      </c>
      <c r="BL1053" s="4">
        <v>97.75</v>
      </c>
      <c r="BM1053" s="4">
        <v>14.66</v>
      </c>
      <c r="BN1053" s="4">
        <v>112.41</v>
      </c>
      <c r="BO1053" s="4">
        <v>112.41</v>
      </c>
      <c r="BQ1053" t="s">
        <v>93</v>
      </c>
      <c r="BR1053" t="s">
        <v>84</v>
      </c>
      <c r="BS1053" s="3">
        <v>43810</v>
      </c>
      <c r="BT1053" s="5">
        <v>0.48194444444444445</v>
      </c>
      <c r="BU1053" t="s">
        <v>310</v>
      </c>
      <c r="BV1053" t="s">
        <v>86</v>
      </c>
      <c r="BY1053">
        <v>1200</v>
      </c>
      <c r="CA1053" t="s">
        <v>311</v>
      </c>
      <c r="CC1053" t="s">
        <v>308</v>
      </c>
      <c r="CD1053">
        <v>7646</v>
      </c>
      <c r="CE1053" t="s">
        <v>88</v>
      </c>
      <c r="CF1053" s="3">
        <v>43811</v>
      </c>
      <c r="CI1053">
        <v>1</v>
      </c>
      <c r="CJ1053">
        <v>1</v>
      </c>
      <c r="CK1053">
        <v>23</v>
      </c>
      <c r="CL1053" t="s">
        <v>89</v>
      </c>
    </row>
    <row r="1054" spans="1:90">
      <c r="A1054" t="s">
        <v>72</v>
      </c>
      <c r="B1054" t="s">
        <v>73</v>
      </c>
      <c r="C1054" t="s">
        <v>74</v>
      </c>
      <c r="E1054" t="str">
        <f>"FES1162727700"</f>
        <v>FES1162727700</v>
      </c>
      <c r="F1054" s="3">
        <v>43809</v>
      </c>
      <c r="G1054">
        <v>202006</v>
      </c>
      <c r="H1054" t="s">
        <v>75</v>
      </c>
      <c r="I1054" t="s">
        <v>76</v>
      </c>
      <c r="J1054" t="s">
        <v>77</v>
      </c>
      <c r="K1054" t="s">
        <v>78</v>
      </c>
      <c r="L1054" t="s">
        <v>90</v>
      </c>
      <c r="M1054" t="s">
        <v>91</v>
      </c>
      <c r="N1054" t="s">
        <v>537</v>
      </c>
      <c r="O1054" t="s">
        <v>82</v>
      </c>
      <c r="P1054" t="str">
        <f>"217071193                     "</f>
        <v xml:space="preserve">217071193                     </v>
      </c>
      <c r="Q1054">
        <v>0</v>
      </c>
      <c r="R1054">
        <v>0</v>
      </c>
      <c r="S1054">
        <v>0</v>
      </c>
      <c r="T1054">
        <v>0</v>
      </c>
      <c r="U1054">
        <v>0</v>
      </c>
      <c r="V1054">
        <v>0</v>
      </c>
      <c r="W1054">
        <v>0</v>
      </c>
      <c r="X1054">
        <v>0</v>
      </c>
      <c r="Y1054">
        <v>0</v>
      </c>
      <c r="Z1054">
        <v>0</v>
      </c>
      <c r="AA1054">
        <v>0</v>
      </c>
      <c r="AB1054">
        <v>0</v>
      </c>
      <c r="AC1054">
        <v>0</v>
      </c>
      <c r="AD1054">
        <v>0</v>
      </c>
      <c r="AE1054">
        <v>0</v>
      </c>
      <c r="AF1054">
        <v>0</v>
      </c>
      <c r="AG1054">
        <v>0</v>
      </c>
      <c r="AH1054">
        <v>0</v>
      </c>
      <c r="AI1054">
        <v>0</v>
      </c>
      <c r="AJ1054">
        <v>0</v>
      </c>
      <c r="AK1054">
        <v>0</v>
      </c>
      <c r="AL1054">
        <v>0</v>
      </c>
      <c r="AM1054">
        <v>8.58</v>
      </c>
      <c r="AN1054">
        <v>0</v>
      </c>
      <c r="AO1054">
        <v>0</v>
      </c>
      <c r="AP1054">
        <v>0</v>
      </c>
      <c r="AQ1054">
        <v>0</v>
      </c>
      <c r="AR1054">
        <v>0</v>
      </c>
      <c r="AS1054">
        <v>0</v>
      </c>
      <c r="AT1054">
        <v>0</v>
      </c>
      <c r="AU1054">
        <v>0</v>
      </c>
      <c r="AV1054">
        <v>0</v>
      </c>
      <c r="AW1054">
        <v>0</v>
      </c>
      <c r="AX1054">
        <v>0</v>
      </c>
      <c r="AY1054">
        <v>0</v>
      </c>
      <c r="AZ1054">
        <v>0</v>
      </c>
      <c r="BA1054">
        <v>0</v>
      </c>
      <c r="BB1054">
        <v>0</v>
      </c>
      <c r="BC1054">
        <v>0</v>
      </c>
      <c r="BD1054">
        <v>0</v>
      </c>
      <c r="BE1054">
        <v>0</v>
      </c>
      <c r="BF1054">
        <v>0</v>
      </c>
      <c r="BG1054">
        <v>0</v>
      </c>
      <c r="BH1054">
        <v>1</v>
      </c>
      <c r="BI1054">
        <v>1</v>
      </c>
      <c r="BJ1054">
        <v>0.2</v>
      </c>
      <c r="BK1054">
        <v>1</v>
      </c>
      <c r="BL1054" s="4">
        <v>50.45</v>
      </c>
      <c r="BM1054" s="4">
        <v>7.57</v>
      </c>
      <c r="BN1054" s="4">
        <v>58.02</v>
      </c>
      <c r="BO1054" s="4">
        <v>58.02</v>
      </c>
      <c r="BQ1054" t="s">
        <v>93</v>
      </c>
      <c r="BR1054" t="s">
        <v>84</v>
      </c>
      <c r="BS1054" s="3">
        <v>43810</v>
      </c>
      <c r="BT1054" s="5">
        <v>0.34166666666666662</v>
      </c>
      <c r="BU1054" t="s">
        <v>828</v>
      </c>
      <c r="BV1054" t="s">
        <v>86</v>
      </c>
      <c r="BY1054">
        <v>1200</v>
      </c>
      <c r="CA1054" t="s">
        <v>539</v>
      </c>
      <c r="CC1054" t="s">
        <v>91</v>
      </c>
      <c r="CD1054">
        <v>7530</v>
      </c>
      <c r="CE1054" t="s">
        <v>88</v>
      </c>
      <c r="CF1054" s="3">
        <v>43811</v>
      </c>
      <c r="CI1054">
        <v>1</v>
      </c>
      <c r="CJ1054">
        <v>1</v>
      </c>
      <c r="CK1054">
        <v>21</v>
      </c>
      <c r="CL1054" t="s">
        <v>89</v>
      </c>
    </row>
    <row r="1055" spans="1:90">
      <c r="A1055" t="s">
        <v>72</v>
      </c>
      <c r="B1055" t="s">
        <v>73</v>
      </c>
      <c r="C1055" t="s">
        <v>74</v>
      </c>
      <c r="E1055" t="str">
        <f>"FES1162727663"</f>
        <v>FES1162727663</v>
      </c>
      <c r="F1055" s="3">
        <v>43809</v>
      </c>
      <c r="G1055">
        <v>202006</v>
      </c>
      <c r="H1055" t="s">
        <v>75</v>
      </c>
      <c r="I1055" t="s">
        <v>76</v>
      </c>
      <c r="J1055" t="s">
        <v>77</v>
      </c>
      <c r="K1055" t="s">
        <v>78</v>
      </c>
      <c r="L1055" t="s">
        <v>75</v>
      </c>
      <c r="M1055" t="s">
        <v>76</v>
      </c>
      <c r="N1055" t="s">
        <v>1570</v>
      </c>
      <c r="O1055" t="s">
        <v>82</v>
      </c>
      <c r="P1055" t="str">
        <f>"217071162                     "</f>
        <v xml:space="preserve">217071162                     </v>
      </c>
      <c r="Q1055">
        <v>0</v>
      </c>
      <c r="R1055">
        <v>0</v>
      </c>
      <c r="S1055">
        <v>0</v>
      </c>
      <c r="T1055">
        <v>0</v>
      </c>
      <c r="U1055">
        <v>0</v>
      </c>
      <c r="V1055">
        <v>0</v>
      </c>
      <c r="W1055">
        <v>0</v>
      </c>
      <c r="X1055">
        <v>0</v>
      </c>
      <c r="Y1055">
        <v>0</v>
      </c>
      <c r="Z1055">
        <v>0</v>
      </c>
      <c r="AA1055">
        <v>0</v>
      </c>
      <c r="AB1055">
        <v>0</v>
      </c>
      <c r="AC1055">
        <v>0</v>
      </c>
      <c r="AD1055">
        <v>0</v>
      </c>
      <c r="AE1055">
        <v>0</v>
      </c>
      <c r="AF1055">
        <v>0</v>
      </c>
      <c r="AG1055">
        <v>0</v>
      </c>
      <c r="AH1055">
        <v>0</v>
      </c>
      <c r="AI1055">
        <v>0</v>
      </c>
      <c r="AJ1055">
        <v>0</v>
      </c>
      <c r="AK1055">
        <v>0</v>
      </c>
      <c r="AL1055">
        <v>0</v>
      </c>
      <c r="AM1055">
        <v>7.51</v>
      </c>
      <c r="AN1055">
        <v>0</v>
      </c>
      <c r="AO1055">
        <v>0</v>
      </c>
      <c r="AP1055">
        <v>0</v>
      </c>
      <c r="AQ1055">
        <v>0</v>
      </c>
      <c r="AR1055">
        <v>0</v>
      </c>
      <c r="AS1055">
        <v>0</v>
      </c>
      <c r="AT1055">
        <v>0</v>
      </c>
      <c r="AU1055">
        <v>0</v>
      </c>
      <c r="AV1055">
        <v>0</v>
      </c>
      <c r="AW1055">
        <v>0</v>
      </c>
      <c r="AX1055">
        <v>0</v>
      </c>
      <c r="AY1055">
        <v>0</v>
      </c>
      <c r="AZ1055">
        <v>0</v>
      </c>
      <c r="BA1055">
        <v>0</v>
      </c>
      <c r="BB1055">
        <v>0</v>
      </c>
      <c r="BC1055">
        <v>0</v>
      </c>
      <c r="BD1055">
        <v>0</v>
      </c>
      <c r="BE1055">
        <v>0</v>
      </c>
      <c r="BF1055">
        <v>0</v>
      </c>
      <c r="BG1055">
        <v>0</v>
      </c>
      <c r="BH1055">
        <v>1</v>
      </c>
      <c r="BI1055">
        <v>1.3</v>
      </c>
      <c r="BJ1055">
        <v>2.1</v>
      </c>
      <c r="BK1055">
        <v>2.5</v>
      </c>
      <c r="BL1055" s="4">
        <v>44.14</v>
      </c>
      <c r="BM1055" s="4">
        <v>6.62</v>
      </c>
      <c r="BN1055" s="4">
        <v>50.76</v>
      </c>
      <c r="BO1055" s="4">
        <v>50.76</v>
      </c>
      <c r="BQ1055" t="s">
        <v>1571</v>
      </c>
      <c r="BR1055" t="s">
        <v>84</v>
      </c>
      <c r="BS1055" s="3">
        <v>43810</v>
      </c>
      <c r="BT1055" s="5">
        <v>0.31111111111111112</v>
      </c>
      <c r="BU1055" t="s">
        <v>1547</v>
      </c>
      <c r="BV1055" t="s">
        <v>86</v>
      </c>
      <c r="BY1055">
        <v>10385.86</v>
      </c>
      <c r="CA1055" t="s">
        <v>661</v>
      </c>
      <c r="CC1055" t="s">
        <v>76</v>
      </c>
      <c r="CD1055">
        <v>1609</v>
      </c>
      <c r="CE1055" t="s">
        <v>96</v>
      </c>
      <c r="CF1055" s="3">
        <v>43811</v>
      </c>
      <c r="CI1055">
        <v>1</v>
      </c>
      <c r="CJ1055">
        <v>1</v>
      </c>
      <c r="CK1055">
        <v>22</v>
      </c>
      <c r="CL1055" t="s">
        <v>89</v>
      </c>
    </row>
    <row r="1056" spans="1:90">
      <c r="A1056" t="s">
        <v>72</v>
      </c>
      <c r="B1056" t="s">
        <v>73</v>
      </c>
      <c r="C1056" t="s">
        <v>74</v>
      </c>
      <c r="E1056" t="str">
        <f>"FES1162727671"</f>
        <v>FES1162727671</v>
      </c>
      <c r="F1056" s="3">
        <v>43809</v>
      </c>
      <c r="G1056">
        <v>202006</v>
      </c>
      <c r="H1056" t="s">
        <v>75</v>
      </c>
      <c r="I1056" t="s">
        <v>76</v>
      </c>
      <c r="J1056" t="s">
        <v>77</v>
      </c>
      <c r="K1056" t="s">
        <v>78</v>
      </c>
      <c r="L1056" t="s">
        <v>258</v>
      </c>
      <c r="M1056" t="s">
        <v>259</v>
      </c>
      <c r="N1056" t="s">
        <v>820</v>
      </c>
      <c r="O1056" t="s">
        <v>82</v>
      </c>
      <c r="P1056" t="str">
        <f>"2170721175                    "</f>
        <v xml:space="preserve">2170721175                    </v>
      </c>
      <c r="Q1056">
        <v>0</v>
      </c>
      <c r="R1056">
        <v>0</v>
      </c>
      <c r="S1056">
        <v>0</v>
      </c>
      <c r="T1056">
        <v>0</v>
      </c>
      <c r="U1056">
        <v>0</v>
      </c>
      <c r="V1056">
        <v>0</v>
      </c>
      <c r="W1056">
        <v>0</v>
      </c>
      <c r="X1056">
        <v>0</v>
      </c>
      <c r="Y1056">
        <v>0</v>
      </c>
      <c r="Z1056">
        <v>0</v>
      </c>
      <c r="AA1056">
        <v>0</v>
      </c>
      <c r="AB1056">
        <v>0</v>
      </c>
      <c r="AC1056">
        <v>0</v>
      </c>
      <c r="AD1056">
        <v>0</v>
      </c>
      <c r="AE1056">
        <v>0</v>
      </c>
      <c r="AF1056">
        <v>0</v>
      </c>
      <c r="AG1056">
        <v>0</v>
      </c>
      <c r="AH1056">
        <v>0</v>
      </c>
      <c r="AI1056">
        <v>0</v>
      </c>
      <c r="AJ1056">
        <v>0</v>
      </c>
      <c r="AK1056">
        <v>0</v>
      </c>
      <c r="AL1056">
        <v>0</v>
      </c>
      <c r="AM1056">
        <v>8.58</v>
      </c>
      <c r="AN1056">
        <v>0</v>
      </c>
      <c r="AO1056">
        <v>0</v>
      </c>
      <c r="AP1056">
        <v>0</v>
      </c>
      <c r="AQ1056">
        <v>0</v>
      </c>
      <c r="AR1056">
        <v>0</v>
      </c>
      <c r="AS1056">
        <v>0</v>
      </c>
      <c r="AT1056">
        <v>0</v>
      </c>
      <c r="AU1056">
        <v>0</v>
      </c>
      <c r="AV1056">
        <v>0</v>
      </c>
      <c r="AW1056">
        <v>0</v>
      </c>
      <c r="AX1056">
        <v>0</v>
      </c>
      <c r="AY1056">
        <v>0</v>
      </c>
      <c r="AZ1056">
        <v>0</v>
      </c>
      <c r="BA1056">
        <v>0</v>
      </c>
      <c r="BB1056">
        <v>0</v>
      </c>
      <c r="BC1056">
        <v>0</v>
      </c>
      <c r="BD1056">
        <v>0</v>
      </c>
      <c r="BE1056">
        <v>0</v>
      </c>
      <c r="BF1056">
        <v>0</v>
      </c>
      <c r="BG1056">
        <v>0</v>
      </c>
      <c r="BH1056">
        <v>1</v>
      </c>
      <c r="BI1056">
        <v>1</v>
      </c>
      <c r="BJ1056">
        <v>1.1000000000000001</v>
      </c>
      <c r="BK1056">
        <v>1.5</v>
      </c>
      <c r="BL1056" s="4">
        <v>50.45</v>
      </c>
      <c r="BM1056" s="4">
        <v>7.57</v>
      </c>
      <c r="BN1056" s="4">
        <v>58.02</v>
      </c>
      <c r="BO1056" s="4">
        <v>58.02</v>
      </c>
      <c r="BQ1056" t="s">
        <v>93</v>
      </c>
      <c r="BR1056" t="s">
        <v>84</v>
      </c>
      <c r="BS1056" s="3">
        <v>43810</v>
      </c>
      <c r="BT1056" s="5">
        <v>0.4055555555555555</v>
      </c>
      <c r="BU1056" t="s">
        <v>821</v>
      </c>
      <c r="BV1056" t="s">
        <v>86</v>
      </c>
      <c r="BY1056">
        <v>5320</v>
      </c>
      <c r="CA1056" t="s">
        <v>262</v>
      </c>
      <c r="CC1056" t="s">
        <v>259</v>
      </c>
      <c r="CD1056">
        <v>7600</v>
      </c>
      <c r="CE1056" t="s">
        <v>96</v>
      </c>
      <c r="CF1056" s="3">
        <v>43811</v>
      </c>
      <c r="CI1056">
        <v>1</v>
      </c>
      <c r="CJ1056">
        <v>1</v>
      </c>
      <c r="CK1056">
        <v>21</v>
      </c>
      <c r="CL1056" t="s">
        <v>89</v>
      </c>
    </row>
    <row r="1057" spans="1:90">
      <c r="A1057" t="s">
        <v>72</v>
      </c>
      <c r="B1057" t="s">
        <v>73</v>
      </c>
      <c r="C1057" t="s">
        <v>74</v>
      </c>
      <c r="E1057" t="str">
        <f>"FES1162727660"</f>
        <v>FES1162727660</v>
      </c>
      <c r="F1057" s="3">
        <v>43809</v>
      </c>
      <c r="G1057">
        <v>202006</v>
      </c>
      <c r="H1057" t="s">
        <v>75</v>
      </c>
      <c r="I1057" t="s">
        <v>76</v>
      </c>
      <c r="J1057" t="s">
        <v>77</v>
      </c>
      <c r="K1057" t="s">
        <v>78</v>
      </c>
      <c r="L1057" t="s">
        <v>90</v>
      </c>
      <c r="M1057" t="s">
        <v>91</v>
      </c>
      <c r="N1057" t="s">
        <v>315</v>
      </c>
      <c r="O1057" t="s">
        <v>82</v>
      </c>
      <c r="P1057" t="str">
        <f>"217071042                     "</f>
        <v xml:space="preserve">217071042                     </v>
      </c>
      <c r="Q1057">
        <v>0</v>
      </c>
      <c r="R1057">
        <v>0</v>
      </c>
      <c r="S1057">
        <v>0</v>
      </c>
      <c r="T1057">
        <v>0</v>
      </c>
      <c r="U1057">
        <v>0</v>
      </c>
      <c r="V1057">
        <v>0</v>
      </c>
      <c r="W1057">
        <v>0</v>
      </c>
      <c r="X1057">
        <v>0</v>
      </c>
      <c r="Y1057">
        <v>0</v>
      </c>
      <c r="Z1057">
        <v>0</v>
      </c>
      <c r="AA1057">
        <v>0</v>
      </c>
      <c r="AB1057">
        <v>0</v>
      </c>
      <c r="AC1057">
        <v>0</v>
      </c>
      <c r="AD1057">
        <v>0</v>
      </c>
      <c r="AE1057">
        <v>0</v>
      </c>
      <c r="AF1057">
        <v>0</v>
      </c>
      <c r="AG1057">
        <v>0</v>
      </c>
      <c r="AH1057">
        <v>0</v>
      </c>
      <c r="AI1057">
        <v>0</v>
      </c>
      <c r="AJ1057">
        <v>0</v>
      </c>
      <c r="AK1057">
        <v>0</v>
      </c>
      <c r="AL1057">
        <v>0</v>
      </c>
      <c r="AM1057">
        <v>8.58</v>
      </c>
      <c r="AN1057">
        <v>0</v>
      </c>
      <c r="AO1057">
        <v>0</v>
      </c>
      <c r="AP1057">
        <v>0</v>
      </c>
      <c r="AQ1057">
        <v>0</v>
      </c>
      <c r="AR1057">
        <v>0</v>
      </c>
      <c r="AS1057">
        <v>0</v>
      </c>
      <c r="AT1057">
        <v>0</v>
      </c>
      <c r="AU1057">
        <v>0</v>
      </c>
      <c r="AV1057">
        <v>0</v>
      </c>
      <c r="AW1057">
        <v>0</v>
      </c>
      <c r="AX1057">
        <v>0</v>
      </c>
      <c r="AY1057">
        <v>0</v>
      </c>
      <c r="AZ1057">
        <v>0</v>
      </c>
      <c r="BA1057">
        <v>0</v>
      </c>
      <c r="BB1057">
        <v>0</v>
      </c>
      <c r="BC1057">
        <v>0</v>
      </c>
      <c r="BD1057">
        <v>0</v>
      </c>
      <c r="BE1057">
        <v>0</v>
      </c>
      <c r="BF1057">
        <v>0</v>
      </c>
      <c r="BG1057">
        <v>0</v>
      </c>
      <c r="BH1057">
        <v>1</v>
      </c>
      <c r="BI1057">
        <v>0.9</v>
      </c>
      <c r="BJ1057">
        <v>0.8</v>
      </c>
      <c r="BK1057">
        <v>1</v>
      </c>
      <c r="BL1057" s="4">
        <v>50.45</v>
      </c>
      <c r="BM1057" s="4">
        <v>7.57</v>
      </c>
      <c r="BN1057" s="4">
        <v>58.02</v>
      </c>
      <c r="BO1057" s="4">
        <v>58.02</v>
      </c>
      <c r="BQ1057" t="s">
        <v>135</v>
      </c>
      <c r="BR1057" t="s">
        <v>84</v>
      </c>
      <c r="BS1057" s="3">
        <v>43810</v>
      </c>
      <c r="BT1057" s="5">
        <v>0.36249999999999999</v>
      </c>
      <c r="BU1057" t="s">
        <v>316</v>
      </c>
      <c r="BV1057" t="s">
        <v>86</v>
      </c>
      <c r="BY1057">
        <v>3900.74</v>
      </c>
      <c r="CA1057" t="s">
        <v>273</v>
      </c>
      <c r="CC1057" t="s">
        <v>91</v>
      </c>
      <c r="CD1057">
        <v>7800</v>
      </c>
      <c r="CE1057" t="s">
        <v>116</v>
      </c>
      <c r="CF1057" s="3">
        <v>43811</v>
      </c>
      <c r="CI1057">
        <v>1</v>
      </c>
      <c r="CJ1057">
        <v>1</v>
      </c>
      <c r="CK1057">
        <v>21</v>
      </c>
      <c r="CL1057" t="s">
        <v>89</v>
      </c>
    </row>
    <row r="1058" spans="1:90">
      <c r="A1058" t="s">
        <v>72</v>
      </c>
      <c r="B1058" t="s">
        <v>73</v>
      </c>
      <c r="C1058" t="s">
        <v>74</v>
      </c>
      <c r="E1058" t="str">
        <f>"FES1162727669"</f>
        <v>FES1162727669</v>
      </c>
      <c r="F1058" s="3">
        <v>43809</v>
      </c>
      <c r="G1058">
        <v>202006</v>
      </c>
      <c r="H1058" t="s">
        <v>75</v>
      </c>
      <c r="I1058" t="s">
        <v>76</v>
      </c>
      <c r="J1058" t="s">
        <v>77</v>
      </c>
      <c r="K1058" t="s">
        <v>78</v>
      </c>
      <c r="L1058" t="s">
        <v>138</v>
      </c>
      <c r="M1058" t="s">
        <v>139</v>
      </c>
      <c r="N1058" t="s">
        <v>226</v>
      </c>
      <c r="O1058" t="s">
        <v>82</v>
      </c>
      <c r="P1058" t="str">
        <f>"2170721170                    "</f>
        <v xml:space="preserve">2170721170                    </v>
      </c>
      <c r="Q1058">
        <v>0</v>
      </c>
      <c r="R1058">
        <v>0</v>
      </c>
      <c r="S1058">
        <v>0</v>
      </c>
      <c r="T1058">
        <v>0</v>
      </c>
      <c r="U1058">
        <v>0</v>
      </c>
      <c r="V1058">
        <v>0</v>
      </c>
      <c r="W1058">
        <v>0</v>
      </c>
      <c r="X1058">
        <v>0</v>
      </c>
      <c r="Y1058">
        <v>0</v>
      </c>
      <c r="Z1058">
        <v>0</v>
      </c>
      <c r="AA1058">
        <v>0</v>
      </c>
      <c r="AB1058">
        <v>0</v>
      </c>
      <c r="AC1058">
        <v>0</v>
      </c>
      <c r="AD1058">
        <v>0</v>
      </c>
      <c r="AE1058">
        <v>0</v>
      </c>
      <c r="AF1058">
        <v>0</v>
      </c>
      <c r="AG1058">
        <v>0</v>
      </c>
      <c r="AH1058">
        <v>0</v>
      </c>
      <c r="AI1058">
        <v>0</v>
      </c>
      <c r="AJ1058">
        <v>0</v>
      </c>
      <c r="AK1058">
        <v>0</v>
      </c>
      <c r="AL1058">
        <v>0</v>
      </c>
      <c r="AM1058">
        <v>6.71</v>
      </c>
      <c r="AN1058">
        <v>0</v>
      </c>
      <c r="AO1058">
        <v>0</v>
      </c>
      <c r="AP1058">
        <v>0</v>
      </c>
      <c r="AQ1058">
        <v>0</v>
      </c>
      <c r="AR1058">
        <v>0</v>
      </c>
      <c r="AS1058">
        <v>0</v>
      </c>
      <c r="AT1058">
        <v>0</v>
      </c>
      <c r="AU1058">
        <v>0</v>
      </c>
      <c r="AV1058">
        <v>0</v>
      </c>
      <c r="AW1058">
        <v>0</v>
      </c>
      <c r="AX1058">
        <v>0</v>
      </c>
      <c r="AY1058">
        <v>0</v>
      </c>
      <c r="AZ1058">
        <v>0</v>
      </c>
      <c r="BA1058">
        <v>0</v>
      </c>
      <c r="BB1058">
        <v>0</v>
      </c>
      <c r="BC1058">
        <v>0</v>
      </c>
      <c r="BD1058">
        <v>0</v>
      </c>
      <c r="BE1058">
        <v>0</v>
      </c>
      <c r="BF1058">
        <v>0</v>
      </c>
      <c r="BG1058">
        <v>0</v>
      </c>
      <c r="BH1058">
        <v>1</v>
      </c>
      <c r="BI1058">
        <v>1.3</v>
      </c>
      <c r="BJ1058">
        <v>0.9</v>
      </c>
      <c r="BK1058">
        <v>1.5</v>
      </c>
      <c r="BL1058" s="4">
        <v>39.42</v>
      </c>
      <c r="BM1058" s="4">
        <v>5.91</v>
      </c>
      <c r="BN1058" s="4">
        <v>45.33</v>
      </c>
      <c r="BO1058" s="4">
        <v>45.33</v>
      </c>
      <c r="BQ1058" t="s">
        <v>135</v>
      </c>
      <c r="BR1058" t="s">
        <v>84</v>
      </c>
      <c r="BS1058" s="3">
        <v>43810</v>
      </c>
      <c r="BT1058" s="5">
        <v>0.39027777777777778</v>
      </c>
      <c r="BU1058" t="s">
        <v>1517</v>
      </c>
      <c r="BV1058" t="s">
        <v>86</v>
      </c>
      <c r="BY1058">
        <v>4367.33</v>
      </c>
      <c r="CA1058" t="s">
        <v>230</v>
      </c>
      <c r="CC1058" t="s">
        <v>139</v>
      </c>
      <c r="CD1058">
        <v>1401</v>
      </c>
      <c r="CE1058" t="s">
        <v>96</v>
      </c>
      <c r="CF1058" s="3">
        <v>43811</v>
      </c>
      <c r="CI1058">
        <v>1</v>
      </c>
      <c r="CJ1058">
        <v>1</v>
      </c>
      <c r="CK1058">
        <v>22</v>
      </c>
      <c r="CL1058" t="s">
        <v>89</v>
      </c>
    </row>
    <row r="1059" spans="1:90">
      <c r="A1059" t="s">
        <v>72</v>
      </c>
      <c r="B1059" t="s">
        <v>73</v>
      </c>
      <c r="C1059" t="s">
        <v>74</v>
      </c>
      <c r="E1059" t="str">
        <f>"FES1162727642"</f>
        <v>FES1162727642</v>
      </c>
      <c r="F1059" s="3">
        <v>43809</v>
      </c>
      <c r="G1059">
        <v>202006</v>
      </c>
      <c r="H1059" t="s">
        <v>75</v>
      </c>
      <c r="I1059" t="s">
        <v>76</v>
      </c>
      <c r="J1059" t="s">
        <v>77</v>
      </c>
      <c r="K1059" t="s">
        <v>78</v>
      </c>
      <c r="L1059" t="s">
        <v>1051</v>
      </c>
      <c r="M1059" t="s">
        <v>1052</v>
      </c>
      <c r="N1059" t="s">
        <v>1572</v>
      </c>
      <c r="O1059" t="s">
        <v>82</v>
      </c>
      <c r="P1059" t="str">
        <f>"2170721147                    "</f>
        <v xml:space="preserve">2170721147                    </v>
      </c>
      <c r="Q1059">
        <v>0</v>
      </c>
      <c r="R1059">
        <v>0</v>
      </c>
      <c r="S1059">
        <v>0</v>
      </c>
      <c r="T1059">
        <v>0</v>
      </c>
      <c r="U1059">
        <v>0</v>
      </c>
      <c r="V1059">
        <v>0</v>
      </c>
      <c r="W1059">
        <v>0</v>
      </c>
      <c r="X1059">
        <v>0</v>
      </c>
      <c r="Y1059">
        <v>0</v>
      </c>
      <c r="Z1059">
        <v>0</v>
      </c>
      <c r="AA1059">
        <v>0</v>
      </c>
      <c r="AB1059">
        <v>0</v>
      </c>
      <c r="AC1059">
        <v>0</v>
      </c>
      <c r="AD1059">
        <v>0</v>
      </c>
      <c r="AE1059">
        <v>0</v>
      </c>
      <c r="AF1059">
        <v>0</v>
      </c>
      <c r="AG1059">
        <v>0</v>
      </c>
      <c r="AH1059">
        <v>0</v>
      </c>
      <c r="AI1059">
        <v>0</v>
      </c>
      <c r="AJ1059">
        <v>0</v>
      </c>
      <c r="AK1059">
        <v>0</v>
      </c>
      <c r="AL1059">
        <v>0</v>
      </c>
      <c r="AM1059">
        <v>12.07</v>
      </c>
      <c r="AN1059">
        <v>0</v>
      </c>
      <c r="AO1059">
        <v>0</v>
      </c>
      <c r="AP1059">
        <v>0</v>
      </c>
      <c r="AQ1059">
        <v>0</v>
      </c>
      <c r="AR1059">
        <v>0</v>
      </c>
      <c r="AS1059">
        <v>0</v>
      </c>
      <c r="AT1059">
        <v>0</v>
      </c>
      <c r="AU1059">
        <v>0</v>
      </c>
      <c r="AV1059">
        <v>0</v>
      </c>
      <c r="AW1059">
        <v>0</v>
      </c>
      <c r="AX1059">
        <v>0</v>
      </c>
      <c r="AY1059">
        <v>0</v>
      </c>
      <c r="AZ1059">
        <v>0</v>
      </c>
      <c r="BA1059">
        <v>0</v>
      </c>
      <c r="BB1059">
        <v>0</v>
      </c>
      <c r="BC1059">
        <v>0</v>
      </c>
      <c r="BD1059">
        <v>0</v>
      </c>
      <c r="BE1059">
        <v>0</v>
      </c>
      <c r="BF1059">
        <v>0</v>
      </c>
      <c r="BG1059">
        <v>0</v>
      </c>
      <c r="BH1059">
        <v>1</v>
      </c>
      <c r="BI1059">
        <v>1</v>
      </c>
      <c r="BJ1059">
        <v>0.2</v>
      </c>
      <c r="BK1059">
        <v>1</v>
      </c>
      <c r="BL1059" s="4">
        <v>70.95</v>
      </c>
      <c r="BM1059" s="4">
        <v>10.64</v>
      </c>
      <c r="BN1059" s="4">
        <v>81.59</v>
      </c>
      <c r="BO1059" s="4">
        <v>81.59</v>
      </c>
      <c r="BQ1059" t="s">
        <v>1573</v>
      </c>
      <c r="BR1059" t="s">
        <v>84</v>
      </c>
      <c r="BS1059" s="3">
        <v>43810</v>
      </c>
      <c r="BT1059" s="5">
        <v>0.4458333333333333</v>
      </c>
      <c r="BU1059" t="s">
        <v>1574</v>
      </c>
      <c r="BV1059" t="s">
        <v>86</v>
      </c>
      <c r="BY1059">
        <v>1200</v>
      </c>
      <c r="CC1059" t="s">
        <v>1052</v>
      </c>
      <c r="CD1059">
        <v>1739</v>
      </c>
      <c r="CE1059" t="s">
        <v>88</v>
      </c>
      <c r="CF1059" s="3">
        <v>43811</v>
      </c>
      <c r="CI1059">
        <v>1</v>
      </c>
      <c r="CJ1059">
        <v>1</v>
      </c>
      <c r="CK1059">
        <v>24</v>
      </c>
      <c r="CL1059" t="s">
        <v>89</v>
      </c>
    </row>
    <row r="1060" spans="1:90">
      <c r="A1060" t="s">
        <v>72</v>
      </c>
      <c r="B1060" t="s">
        <v>73</v>
      </c>
      <c r="C1060" t="s">
        <v>74</v>
      </c>
      <c r="E1060" t="str">
        <f>"FES1162727681"</f>
        <v>FES1162727681</v>
      </c>
      <c r="F1060" s="3">
        <v>43809</v>
      </c>
      <c r="G1060">
        <v>202006</v>
      </c>
      <c r="H1060" t="s">
        <v>75</v>
      </c>
      <c r="I1060" t="s">
        <v>76</v>
      </c>
      <c r="J1060" t="s">
        <v>77</v>
      </c>
      <c r="K1060" t="s">
        <v>78</v>
      </c>
      <c r="L1060" t="s">
        <v>90</v>
      </c>
      <c r="M1060" t="s">
        <v>91</v>
      </c>
      <c r="N1060" t="s">
        <v>543</v>
      </c>
      <c r="O1060" t="s">
        <v>82</v>
      </c>
      <c r="P1060" t="str">
        <f>"21707217703                   "</f>
        <v xml:space="preserve">21707217703                   </v>
      </c>
      <c r="Q1060">
        <v>0</v>
      </c>
      <c r="R1060">
        <v>0</v>
      </c>
      <c r="S1060">
        <v>0</v>
      </c>
      <c r="T1060">
        <v>0</v>
      </c>
      <c r="U1060">
        <v>0</v>
      </c>
      <c r="V1060">
        <v>0</v>
      </c>
      <c r="W1060">
        <v>0</v>
      </c>
      <c r="X1060">
        <v>0</v>
      </c>
      <c r="Y1060">
        <v>0</v>
      </c>
      <c r="Z1060">
        <v>0</v>
      </c>
      <c r="AA1060">
        <v>0</v>
      </c>
      <c r="AB1060">
        <v>0</v>
      </c>
      <c r="AC1060">
        <v>0</v>
      </c>
      <c r="AD1060">
        <v>0</v>
      </c>
      <c r="AE1060">
        <v>0</v>
      </c>
      <c r="AF1060">
        <v>0</v>
      </c>
      <c r="AG1060">
        <v>0</v>
      </c>
      <c r="AH1060">
        <v>0</v>
      </c>
      <c r="AI1060">
        <v>0</v>
      </c>
      <c r="AJ1060">
        <v>0</v>
      </c>
      <c r="AK1060">
        <v>0</v>
      </c>
      <c r="AL1060">
        <v>0</v>
      </c>
      <c r="AM1060">
        <v>70.77</v>
      </c>
      <c r="AN1060">
        <v>0</v>
      </c>
      <c r="AO1060">
        <v>0</v>
      </c>
      <c r="AP1060">
        <v>0</v>
      </c>
      <c r="AQ1060">
        <v>0</v>
      </c>
      <c r="AR1060">
        <v>0</v>
      </c>
      <c r="AS1060">
        <v>0</v>
      </c>
      <c r="AT1060">
        <v>0</v>
      </c>
      <c r="AU1060">
        <v>0</v>
      </c>
      <c r="AV1060">
        <v>0</v>
      </c>
      <c r="AW1060">
        <v>0</v>
      </c>
      <c r="AX1060">
        <v>0</v>
      </c>
      <c r="AY1060">
        <v>0</v>
      </c>
      <c r="AZ1060">
        <v>0</v>
      </c>
      <c r="BA1060">
        <v>0</v>
      </c>
      <c r="BB1060">
        <v>0</v>
      </c>
      <c r="BC1060">
        <v>0</v>
      </c>
      <c r="BD1060">
        <v>0</v>
      </c>
      <c r="BE1060">
        <v>0</v>
      </c>
      <c r="BF1060">
        <v>0</v>
      </c>
      <c r="BG1060">
        <v>0</v>
      </c>
      <c r="BH1060">
        <v>1</v>
      </c>
      <c r="BI1060">
        <v>13.2</v>
      </c>
      <c r="BJ1060">
        <v>16.100000000000001</v>
      </c>
      <c r="BK1060">
        <v>16.5</v>
      </c>
      <c r="BL1060" s="4">
        <v>415.98</v>
      </c>
      <c r="BM1060" s="4">
        <v>62.4</v>
      </c>
      <c r="BN1060" s="4">
        <v>478.38</v>
      </c>
      <c r="BO1060" s="4">
        <v>478.38</v>
      </c>
      <c r="BQ1060" t="s">
        <v>93</v>
      </c>
      <c r="BR1060" t="s">
        <v>84</v>
      </c>
      <c r="BS1060" s="3">
        <v>43810</v>
      </c>
      <c r="BT1060" s="5">
        <v>0.4694444444444445</v>
      </c>
      <c r="BU1060" t="s">
        <v>769</v>
      </c>
      <c r="BV1060" t="s">
        <v>89</v>
      </c>
      <c r="BW1060" t="s">
        <v>1575</v>
      </c>
      <c r="BX1060" t="s">
        <v>284</v>
      </c>
      <c r="BY1060">
        <v>80335.039999999994</v>
      </c>
      <c r="CA1060" t="s">
        <v>273</v>
      </c>
      <c r="CC1060" t="s">
        <v>91</v>
      </c>
      <c r="CD1060">
        <v>8001</v>
      </c>
      <c r="CE1060" t="s">
        <v>116</v>
      </c>
      <c r="CF1060" s="3">
        <v>43811</v>
      </c>
      <c r="CI1060">
        <v>1</v>
      </c>
      <c r="CJ1060">
        <v>1</v>
      </c>
      <c r="CK1060">
        <v>21</v>
      </c>
      <c r="CL1060" t="s">
        <v>89</v>
      </c>
    </row>
    <row r="1061" spans="1:90">
      <c r="A1061" t="s">
        <v>72</v>
      </c>
      <c r="B1061" t="s">
        <v>73</v>
      </c>
      <c r="C1061" t="s">
        <v>74</v>
      </c>
      <c r="E1061" t="str">
        <f>"FES1162727678"</f>
        <v>FES1162727678</v>
      </c>
      <c r="F1061" s="3">
        <v>43809</v>
      </c>
      <c r="G1061">
        <v>202006</v>
      </c>
      <c r="H1061" t="s">
        <v>75</v>
      </c>
      <c r="I1061" t="s">
        <v>76</v>
      </c>
      <c r="J1061" t="s">
        <v>77</v>
      </c>
      <c r="K1061" t="s">
        <v>78</v>
      </c>
      <c r="L1061" t="s">
        <v>577</v>
      </c>
      <c r="M1061" t="s">
        <v>578</v>
      </c>
      <c r="N1061" t="s">
        <v>579</v>
      </c>
      <c r="O1061" t="s">
        <v>82</v>
      </c>
      <c r="P1061" t="str">
        <f>"217071401                     "</f>
        <v xml:space="preserve">217071401                     </v>
      </c>
      <c r="Q1061">
        <v>0</v>
      </c>
      <c r="R1061">
        <v>0</v>
      </c>
      <c r="S1061">
        <v>0</v>
      </c>
      <c r="T1061">
        <v>0</v>
      </c>
      <c r="U1061">
        <v>0</v>
      </c>
      <c r="V1061">
        <v>0</v>
      </c>
      <c r="W1061">
        <v>0</v>
      </c>
      <c r="X1061">
        <v>0</v>
      </c>
      <c r="Y1061">
        <v>0</v>
      </c>
      <c r="Z1061">
        <v>0</v>
      </c>
      <c r="AA1061">
        <v>0</v>
      </c>
      <c r="AB1061">
        <v>0</v>
      </c>
      <c r="AC1061">
        <v>0</v>
      </c>
      <c r="AD1061">
        <v>0</v>
      </c>
      <c r="AE1061">
        <v>0</v>
      </c>
      <c r="AF1061">
        <v>0</v>
      </c>
      <c r="AG1061">
        <v>0</v>
      </c>
      <c r="AH1061">
        <v>0</v>
      </c>
      <c r="AI1061">
        <v>0</v>
      </c>
      <c r="AJ1061">
        <v>0</v>
      </c>
      <c r="AK1061">
        <v>0</v>
      </c>
      <c r="AL1061">
        <v>0</v>
      </c>
      <c r="AM1061">
        <v>32.17</v>
      </c>
      <c r="AN1061">
        <v>0</v>
      </c>
      <c r="AO1061">
        <v>0</v>
      </c>
      <c r="AP1061">
        <v>0</v>
      </c>
      <c r="AQ1061">
        <v>0</v>
      </c>
      <c r="AR1061">
        <v>0</v>
      </c>
      <c r="AS1061">
        <v>0</v>
      </c>
      <c r="AT1061">
        <v>0</v>
      </c>
      <c r="AU1061">
        <v>0</v>
      </c>
      <c r="AV1061">
        <v>0</v>
      </c>
      <c r="AW1061">
        <v>0</v>
      </c>
      <c r="AX1061">
        <v>0</v>
      </c>
      <c r="AY1061">
        <v>0</v>
      </c>
      <c r="AZ1061">
        <v>0</v>
      </c>
      <c r="BA1061">
        <v>0</v>
      </c>
      <c r="BB1061">
        <v>0</v>
      </c>
      <c r="BC1061">
        <v>0</v>
      </c>
      <c r="BD1061">
        <v>0</v>
      </c>
      <c r="BE1061">
        <v>0</v>
      </c>
      <c r="BF1061">
        <v>0</v>
      </c>
      <c r="BG1061">
        <v>0</v>
      </c>
      <c r="BH1061">
        <v>1</v>
      </c>
      <c r="BI1061">
        <v>3.4</v>
      </c>
      <c r="BJ1061">
        <v>7.1</v>
      </c>
      <c r="BK1061">
        <v>7.5</v>
      </c>
      <c r="BL1061" s="4">
        <v>189.1</v>
      </c>
      <c r="BM1061" s="4">
        <v>28.37</v>
      </c>
      <c r="BN1061" s="4">
        <v>217.47</v>
      </c>
      <c r="BO1061" s="4">
        <v>217.47</v>
      </c>
      <c r="BQ1061" t="s">
        <v>147</v>
      </c>
      <c r="BR1061" t="s">
        <v>84</v>
      </c>
      <c r="BS1061" s="3">
        <v>43810</v>
      </c>
      <c r="BT1061" s="5">
        <v>0.42638888888888887</v>
      </c>
      <c r="BU1061" t="s">
        <v>1253</v>
      </c>
      <c r="BV1061" t="s">
        <v>86</v>
      </c>
      <c r="BY1061">
        <v>35542.75</v>
      </c>
      <c r="CC1061" t="s">
        <v>578</v>
      </c>
      <c r="CD1061">
        <v>6536</v>
      </c>
      <c r="CE1061" t="s">
        <v>116</v>
      </c>
      <c r="CF1061" s="3">
        <v>43812</v>
      </c>
      <c r="CI1061">
        <v>1</v>
      </c>
      <c r="CJ1061">
        <v>1</v>
      </c>
      <c r="CK1061">
        <v>21</v>
      </c>
      <c r="CL1061" t="s">
        <v>89</v>
      </c>
    </row>
    <row r="1062" spans="1:90">
      <c r="A1062" t="s">
        <v>72</v>
      </c>
      <c r="B1062" t="s">
        <v>73</v>
      </c>
      <c r="C1062" t="s">
        <v>74</v>
      </c>
      <c r="E1062" t="str">
        <f>"FES1162727676"</f>
        <v>FES1162727676</v>
      </c>
      <c r="F1062" s="3">
        <v>43809</v>
      </c>
      <c r="G1062">
        <v>202006</v>
      </c>
      <c r="H1062" t="s">
        <v>75</v>
      </c>
      <c r="I1062" t="s">
        <v>76</v>
      </c>
      <c r="J1062" t="s">
        <v>77</v>
      </c>
      <c r="K1062" t="s">
        <v>78</v>
      </c>
      <c r="L1062" t="s">
        <v>308</v>
      </c>
      <c r="M1062" t="s">
        <v>308</v>
      </c>
      <c r="N1062" t="s">
        <v>540</v>
      </c>
      <c r="O1062" t="s">
        <v>82</v>
      </c>
      <c r="P1062" t="str">
        <f>"217071213                     "</f>
        <v xml:space="preserve">217071213                     </v>
      </c>
      <c r="Q1062">
        <v>0</v>
      </c>
      <c r="R1062">
        <v>0</v>
      </c>
      <c r="S1062">
        <v>0</v>
      </c>
      <c r="T1062">
        <v>0</v>
      </c>
      <c r="U1062">
        <v>0</v>
      </c>
      <c r="V1062">
        <v>0</v>
      </c>
      <c r="W1062">
        <v>0</v>
      </c>
      <c r="X1062">
        <v>0</v>
      </c>
      <c r="Y1062">
        <v>0</v>
      </c>
      <c r="Z1062">
        <v>0</v>
      </c>
      <c r="AA1062">
        <v>0</v>
      </c>
      <c r="AB1062">
        <v>0</v>
      </c>
      <c r="AC1062">
        <v>0</v>
      </c>
      <c r="AD1062">
        <v>0</v>
      </c>
      <c r="AE1062">
        <v>0</v>
      </c>
      <c r="AF1062">
        <v>0</v>
      </c>
      <c r="AG1062">
        <v>0</v>
      </c>
      <c r="AH1062">
        <v>0</v>
      </c>
      <c r="AI1062">
        <v>0</v>
      </c>
      <c r="AJ1062">
        <v>0</v>
      </c>
      <c r="AK1062">
        <v>0</v>
      </c>
      <c r="AL1062">
        <v>0</v>
      </c>
      <c r="AM1062">
        <v>110.52</v>
      </c>
      <c r="AN1062">
        <v>0</v>
      </c>
      <c r="AO1062">
        <v>0</v>
      </c>
      <c r="AP1062">
        <v>0</v>
      </c>
      <c r="AQ1062">
        <v>0</v>
      </c>
      <c r="AR1062">
        <v>0</v>
      </c>
      <c r="AS1062">
        <v>0</v>
      </c>
      <c r="AT1062">
        <v>0</v>
      </c>
      <c r="AU1062">
        <v>0</v>
      </c>
      <c r="AV1062">
        <v>0</v>
      </c>
      <c r="AW1062">
        <v>0</v>
      </c>
      <c r="AX1062">
        <v>0</v>
      </c>
      <c r="AY1062">
        <v>0</v>
      </c>
      <c r="AZ1062">
        <v>0</v>
      </c>
      <c r="BA1062">
        <v>0</v>
      </c>
      <c r="BB1062">
        <v>0</v>
      </c>
      <c r="BC1062">
        <v>0</v>
      </c>
      <c r="BD1062">
        <v>0</v>
      </c>
      <c r="BE1062">
        <v>0</v>
      </c>
      <c r="BF1062">
        <v>0</v>
      </c>
      <c r="BG1062">
        <v>0</v>
      </c>
      <c r="BH1062">
        <v>1</v>
      </c>
      <c r="BI1062">
        <v>14.2</v>
      </c>
      <c r="BJ1062">
        <v>5.6</v>
      </c>
      <c r="BK1062">
        <v>14.5</v>
      </c>
      <c r="BL1062" s="4">
        <v>649.64</v>
      </c>
      <c r="BM1062" s="4">
        <v>97.45</v>
      </c>
      <c r="BN1062" s="4">
        <v>747.09</v>
      </c>
      <c r="BO1062" s="4">
        <v>747.09</v>
      </c>
      <c r="BQ1062" t="s">
        <v>147</v>
      </c>
      <c r="BR1062" t="s">
        <v>84</v>
      </c>
      <c r="BS1062" s="3">
        <v>43810</v>
      </c>
      <c r="BT1062" s="5">
        <v>0.47916666666666669</v>
      </c>
      <c r="BU1062" t="s">
        <v>1576</v>
      </c>
      <c r="BV1062" t="s">
        <v>86</v>
      </c>
      <c r="BY1062">
        <v>28204.21</v>
      </c>
      <c r="CA1062" t="s">
        <v>311</v>
      </c>
      <c r="CC1062" t="s">
        <v>308</v>
      </c>
      <c r="CD1062">
        <v>7646</v>
      </c>
      <c r="CE1062" t="s">
        <v>96</v>
      </c>
      <c r="CF1062" s="3">
        <v>43811</v>
      </c>
      <c r="CI1062">
        <v>1</v>
      </c>
      <c r="CJ1062">
        <v>1</v>
      </c>
      <c r="CK1062">
        <v>23</v>
      </c>
      <c r="CL1062" t="s">
        <v>89</v>
      </c>
    </row>
    <row r="1063" spans="1:90">
      <c r="A1063" t="s">
        <v>72</v>
      </c>
      <c r="B1063" t="s">
        <v>73</v>
      </c>
      <c r="C1063" t="s">
        <v>74</v>
      </c>
      <c r="E1063" t="str">
        <f>"FES1162727646"</f>
        <v>FES1162727646</v>
      </c>
      <c r="F1063" s="3">
        <v>43809</v>
      </c>
      <c r="G1063">
        <v>202006</v>
      </c>
      <c r="H1063" t="s">
        <v>75</v>
      </c>
      <c r="I1063" t="s">
        <v>76</v>
      </c>
      <c r="J1063" t="s">
        <v>77</v>
      </c>
      <c r="K1063" t="s">
        <v>78</v>
      </c>
      <c r="L1063" t="s">
        <v>75</v>
      </c>
      <c r="M1063" t="s">
        <v>76</v>
      </c>
      <c r="N1063" t="s">
        <v>1131</v>
      </c>
      <c r="O1063" t="s">
        <v>82</v>
      </c>
      <c r="P1063" t="str">
        <f>"2170712059                    "</f>
        <v xml:space="preserve">2170712059                    </v>
      </c>
      <c r="Q1063">
        <v>0</v>
      </c>
      <c r="R1063">
        <v>0</v>
      </c>
      <c r="S1063">
        <v>0</v>
      </c>
      <c r="T1063">
        <v>0</v>
      </c>
      <c r="U1063">
        <v>0</v>
      </c>
      <c r="V1063">
        <v>0</v>
      </c>
      <c r="W1063">
        <v>0</v>
      </c>
      <c r="X1063">
        <v>0</v>
      </c>
      <c r="Y1063">
        <v>0</v>
      </c>
      <c r="Z1063">
        <v>0</v>
      </c>
      <c r="AA1063">
        <v>0</v>
      </c>
      <c r="AB1063">
        <v>0</v>
      </c>
      <c r="AC1063">
        <v>0</v>
      </c>
      <c r="AD1063">
        <v>0</v>
      </c>
      <c r="AE1063">
        <v>0</v>
      </c>
      <c r="AF1063">
        <v>0</v>
      </c>
      <c r="AG1063">
        <v>0</v>
      </c>
      <c r="AH1063">
        <v>0</v>
      </c>
      <c r="AI1063">
        <v>0</v>
      </c>
      <c r="AJ1063">
        <v>0</v>
      </c>
      <c r="AK1063">
        <v>0</v>
      </c>
      <c r="AL1063">
        <v>0</v>
      </c>
      <c r="AM1063">
        <v>9.92</v>
      </c>
      <c r="AN1063">
        <v>0</v>
      </c>
      <c r="AO1063">
        <v>0</v>
      </c>
      <c r="AP1063">
        <v>0</v>
      </c>
      <c r="AQ1063">
        <v>0</v>
      </c>
      <c r="AR1063">
        <v>0</v>
      </c>
      <c r="AS1063">
        <v>0</v>
      </c>
      <c r="AT1063">
        <v>0</v>
      </c>
      <c r="AU1063">
        <v>0</v>
      </c>
      <c r="AV1063">
        <v>0</v>
      </c>
      <c r="AW1063">
        <v>0</v>
      </c>
      <c r="AX1063">
        <v>0</v>
      </c>
      <c r="AY1063">
        <v>0</v>
      </c>
      <c r="AZ1063">
        <v>0</v>
      </c>
      <c r="BA1063">
        <v>0</v>
      </c>
      <c r="BB1063">
        <v>0</v>
      </c>
      <c r="BC1063">
        <v>0</v>
      </c>
      <c r="BD1063">
        <v>0</v>
      </c>
      <c r="BE1063">
        <v>0</v>
      </c>
      <c r="BF1063">
        <v>0</v>
      </c>
      <c r="BG1063">
        <v>0</v>
      </c>
      <c r="BH1063">
        <v>1</v>
      </c>
      <c r="BI1063">
        <v>3.6</v>
      </c>
      <c r="BJ1063">
        <v>1.7</v>
      </c>
      <c r="BK1063">
        <v>4</v>
      </c>
      <c r="BL1063" s="4">
        <v>58.31</v>
      </c>
      <c r="BM1063" s="4">
        <v>8.75</v>
      </c>
      <c r="BN1063" s="4">
        <v>67.06</v>
      </c>
      <c r="BO1063" s="4">
        <v>67.06</v>
      </c>
      <c r="BQ1063" t="s">
        <v>1132</v>
      </c>
      <c r="BR1063" t="s">
        <v>84</v>
      </c>
      <c r="BS1063" s="3">
        <v>43810</v>
      </c>
      <c r="BT1063" s="5">
        <v>0.31736111111111115</v>
      </c>
      <c r="BU1063" t="s">
        <v>705</v>
      </c>
      <c r="BV1063" t="s">
        <v>86</v>
      </c>
      <c r="BY1063">
        <v>8410.8700000000008</v>
      </c>
      <c r="CA1063" t="s">
        <v>307</v>
      </c>
      <c r="CC1063" t="s">
        <v>76</v>
      </c>
      <c r="CD1063">
        <v>1609</v>
      </c>
      <c r="CE1063" t="s">
        <v>96</v>
      </c>
      <c r="CF1063" s="3">
        <v>43811</v>
      </c>
      <c r="CI1063">
        <v>1</v>
      </c>
      <c r="CJ1063">
        <v>1</v>
      </c>
      <c r="CK1063">
        <v>22</v>
      </c>
      <c r="CL1063" t="s">
        <v>89</v>
      </c>
    </row>
    <row r="1064" spans="1:90">
      <c r="A1064" t="s">
        <v>72</v>
      </c>
      <c r="B1064" t="s">
        <v>73</v>
      </c>
      <c r="C1064" t="s">
        <v>74</v>
      </c>
      <c r="E1064" t="str">
        <f>"FES1162727656"</f>
        <v>FES1162727656</v>
      </c>
      <c r="F1064" s="3">
        <v>43809</v>
      </c>
      <c r="G1064">
        <v>202006</v>
      </c>
      <c r="H1064" t="s">
        <v>75</v>
      </c>
      <c r="I1064" t="s">
        <v>76</v>
      </c>
      <c r="J1064" t="s">
        <v>77</v>
      </c>
      <c r="K1064" t="s">
        <v>78</v>
      </c>
      <c r="L1064" t="s">
        <v>332</v>
      </c>
      <c r="M1064" t="s">
        <v>333</v>
      </c>
      <c r="N1064" t="s">
        <v>1577</v>
      </c>
      <c r="O1064" t="s">
        <v>82</v>
      </c>
      <c r="P1064" t="str">
        <f>"217071155                     "</f>
        <v xml:space="preserve">217071155                     </v>
      </c>
      <c r="Q1064">
        <v>0</v>
      </c>
      <c r="R1064">
        <v>0</v>
      </c>
      <c r="S1064">
        <v>0</v>
      </c>
      <c r="T1064">
        <v>0</v>
      </c>
      <c r="U1064">
        <v>0</v>
      </c>
      <c r="V1064">
        <v>0</v>
      </c>
      <c r="W1064">
        <v>0</v>
      </c>
      <c r="X1064">
        <v>0</v>
      </c>
      <c r="Y1064">
        <v>0</v>
      </c>
      <c r="Z1064">
        <v>0</v>
      </c>
      <c r="AA1064">
        <v>0</v>
      </c>
      <c r="AB1064">
        <v>0</v>
      </c>
      <c r="AC1064">
        <v>0</v>
      </c>
      <c r="AD1064">
        <v>0</v>
      </c>
      <c r="AE1064">
        <v>0</v>
      </c>
      <c r="AF1064">
        <v>0</v>
      </c>
      <c r="AG1064">
        <v>0</v>
      </c>
      <c r="AH1064">
        <v>0</v>
      </c>
      <c r="AI1064">
        <v>0</v>
      </c>
      <c r="AJ1064">
        <v>0</v>
      </c>
      <c r="AK1064">
        <v>0</v>
      </c>
      <c r="AL1064">
        <v>0</v>
      </c>
      <c r="AM1064">
        <v>6.71</v>
      </c>
      <c r="AN1064">
        <v>0</v>
      </c>
      <c r="AO1064">
        <v>0</v>
      </c>
      <c r="AP1064">
        <v>0</v>
      </c>
      <c r="AQ1064">
        <v>0</v>
      </c>
      <c r="AR1064">
        <v>0</v>
      </c>
      <c r="AS1064">
        <v>0</v>
      </c>
      <c r="AT1064">
        <v>0</v>
      </c>
      <c r="AU1064">
        <v>0</v>
      </c>
      <c r="AV1064">
        <v>0</v>
      </c>
      <c r="AW1064">
        <v>0</v>
      </c>
      <c r="AX1064">
        <v>0</v>
      </c>
      <c r="AY1064">
        <v>0</v>
      </c>
      <c r="AZ1064">
        <v>0</v>
      </c>
      <c r="BA1064">
        <v>0</v>
      </c>
      <c r="BB1064">
        <v>0</v>
      </c>
      <c r="BC1064">
        <v>0</v>
      </c>
      <c r="BD1064">
        <v>0</v>
      </c>
      <c r="BE1064">
        <v>0</v>
      </c>
      <c r="BF1064">
        <v>0</v>
      </c>
      <c r="BG1064">
        <v>0</v>
      </c>
      <c r="BH1064">
        <v>1</v>
      </c>
      <c r="BI1064">
        <v>1</v>
      </c>
      <c r="BJ1064">
        <v>0.2</v>
      </c>
      <c r="BK1064">
        <v>1</v>
      </c>
      <c r="BL1064" s="4">
        <v>39.42</v>
      </c>
      <c r="BM1064" s="4">
        <v>5.91</v>
      </c>
      <c r="BN1064" s="4">
        <v>45.33</v>
      </c>
      <c r="BO1064" s="4">
        <v>45.33</v>
      </c>
      <c r="BR1064" t="s">
        <v>84</v>
      </c>
      <c r="BS1064" s="3">
        <v>43810</v>
      </c>
      <c r="BT1064" s="5">
        <v>0.33819444444444446</v>
      </c>
      <c r="BU1064" t="s">
        <v>1578</v>
      </c>
      <c r="BV1064" t="s">
        <v>86</v>
      </c>
      <c r="BY1064">
        <v>1200</v>
      </c>
      <c r="CC1064" t="s">
        <v>333</v>
      </c>
      <c r="CD1064">
        <v>2094</v>
      </c>
      <c r="CE1064" t="s">
        <v>88</v>
      </c>
      <c r="CF1064" s="3">
        <v>43811</v>
      </c>
      <c r="CI1064">
        <v>1</v>
      </c>
      <c r="CJ1064">
        <v>1</v>
      </c>
      <c r="CK1064">
        <v>22</v>
      </c>
      <c r="CL1064" t="s">
        <v>89</v>
      </c>
    </row>
    <row r="1065" spans="1:90">
      <c r="A1065" t="s">
        <v>72</v>
      </c>
      <c r="B1065" t="s">
        <v>73</v>
      </c>
      <c r="C1065" t="s">
        <v>74</v>
      </c>
      <c r="E1065" t="str">
        <f>"FES1162727688"</f>
        <v>FES1162727688</v>
      </c>
      <c r="F1065" s="3">
        <v>43809</v>
      </c>
      <c r="G1065">
        <v>202006</v>
      </c>
      <c r="H1065" t="s">
        <v>75</v>
      </c>
      <c r="I1065" t="s">
        <v>76</v>
      </c>
      <c r="J1065" t="s">
        <v>77</v>
      </c>
      <c r="K1065" t="s">
        <v>78</v>
      </c>
      <c r="L1065" t="s">
        <v>714</v>
      </c>
      <c r="M1065" t="s">
        <v>715</v>
      </c>
      <c r="N1065" t="s">
        <v>1018</v>
      </c>
      <c r="O1065" t="s">
        <v>82</v>
      </c>
      <c r="P1065" t="str">
        <f>"2170719517                    "</f>
        <v xml:space="preserve">2170719517                    </v>
      </c>
      <c r="Q1065">
        <v>0</v>
      </c>
      <c r="R1065">
        <v>0</v>
      </c>
      <c r="S1065">
        <v>0</v>
      </c>
      <c r="T1065">
        <v>0</v>
      </c>
      <c r="U1065">
        <v>0</v>
      </c>
      <c r="V1065">
        <v>0</v>
      </c>
      <c r="W1065">
        <v>0</v>
      </c>
      <c r="X1065">
        <v>0</v>
      </c>
      <c r="Y1065">
        <v>0</v>
      </c>
      <c r="Z1065">
        <v>0</v>
      </c>
      <c r="AA1065">
        <v>0</v>
      </c>
      <c r="AB1065">
        <v>0</v>
      </c>
      <c r="AC1065">
        <v>0</v>
      </c>
      <c r="AD1065">
        <v>0</v>
      </c>
      <c r="AE1065">
        <v>0</v>
      </c>
      <c r="AF1065">
        <v>0</v>
      </c>
      <c r="AG1065">
        <v>0</v>
      </c>
      <c r="AH1065">
        <v>0</v>
      </c>
      <c r="AI1065">
        <v>0</v>
      </c>
      <c r="AJ1065">
        <v>0</v>
      </c>
      <c r="AK1065">
        <v>0</v>
      </c>
      <c r="AL1065">
        <v>0</v>
      </c>
      <c r="AM1065">
        <v>6.71</v>
      </c>
      <c r="AN1065">
        <v>0</v>
      </c>
      <c r="AO1065">
        <v>0</v>
      </c>
      <c r="AP1065">
        <v>0</v>
      </c>
      <c r="AQ1065">
        <v>0</v>
      </c>
      <c r="AR1065">
        <v>0</v>
      </c>
      <c r="AS1065">
        <v>0</v>
      </c>
      <c r="AT1065">
        <v>0</v>
      </c>
      <c r="AU1065">
        <v>0</v>
      </c>
      <c r="AV1065">
        <v>0</v>
      </c>
      <c r="AW1065">
        <v>0</v>
      </c>
      <c r="AX1065">
        <v>0</v>
      </c>
      <c r="AY1065">
        <v>0</v>
      </c>
      <c r="AZ1065">
        <v>0</v>
      </c>
      <c r="BA1065">
        <v>0</v>
      </c>
      <c r="BB1065">
        <v>0</v>
      </c>
      <c r="BC1065">
        <v>0</v>
      </c>
      <c r="BD1065">
        <v>0</v>
      </c>
      <c r="BE1065">
        <v>0</v>
      </c>
      <c r="BF1065">
        <v>0</v>
      </c>
      <c r="BG1065">
        <v>0</v>
      </c>
      <c r="BH1065">
        <v>1</v>
      </c>
      <c r="BI1065">
        <v>1.3</v>
      </c>
      <c r="BJ1065">
        <v>1.2</v>
      </c>
      <c r="BK1065">
        <v>1.5</v>
      </c>
      <c r="BL1065" s="4">
        <v>39.42</v>
      </c>
      <c r="BM1065" s="4">
        <v>5.91</v>
      </c>
      <c r="BN1065" s="4">
        <v>45.33</v>
      </c>
      <c r="BO1065" s="4">
        <v>45.33</v>
      </c>
      <c r="BQ1065" t="s">
        <v>147</v>
      </c>
      <c r="BR1065" t="s">
        <v>84</v>
      </c>
      <c r="BS1065" s="3">
        <v>43810</v>
      </c>
      <c r="BT1065" s="5">
        <v>0.4375</v>
      </c>
      <c r="BU1065" t="s">
        <v>1579</v>
      </c>
      <c r="BV1065" t="s">
        <v>86</v>
      </c>
      <c r="BY1065">
        <v>5966.46</v>
      </c>
      <c r="CC1065" t="s">
        <v>715</v>
      </c>
      <c r="CD1065">
        <v>1559</v>
      </c>
      <c r="CE1065" t="s">
        <v>96</v>
      </c>
      <c r="CF1065" s="3">
        <v>43811</v>
      </c>
      <c r="CI1065">
        <v>1</v>
      </c>
      <c r="CJ1065">
        <v>1</v>
      </c>
      <c r="CK1065">
        <v>22</v>
      </c>
      <c r="CL1065" t="s">
        <v>89</v>
      </c>
    </row>
    <row r="1066" spans="1:90">
      <c r="A1066" t="s">
        <v>72</v>
      </c>
      <c r="B1066" t="s">
        <v>73</v>
      </c>
      <c r="C1066" t="s">
        <v>74</v>
      </c>
      <c r="E1066" t="str">
        <f>"FES1162727685"</f>
        <v>FES1162727685</v>
      </c>
      <c r="F1066" s="3">
        <v>43809</v>
      </c>
      <c r="G1066">
        <v>202006</v>
      </c>
      <c r="H1066" t="s">
        <v>75</v>
      </c>
      <c r="I1066" t="s">
        <v>76</v>
      </c>
      <c r="J1066" t="s">
        <v>77</v>
      </c>
      <c r="K1066" t="s">
        <v>78</v>
      </c>
      <c r="L1066" t="s">
        <v>138</v>
      </c>
      <c r="M1066" t="s">
        <v>139</v>
      </c>
      <c r="N1066" t="s">
        <v>1580</v>
      </c>
      <c r="O1066" t="s">
        <v>82</v>
      </c>
      <c r="P1066" t="str">
        <f>"2170718851                    "</f>
        <v xml:space="preserve">2170718851                    </v>
      </c>
      <c r="Q1066">
        <v>0</v>
      </c>
      <c r="R1066">
        <v>0</v>
      </c>
      <c r="S1066">
        <v>0</v>
      </c>
      <c r="T1066">
        <v>0</v>
      </c>
      <c r="U1066">
        <v>0</v>
      </c>
      <c r="V1066">
        <v>0</v>
      </c>
      <c r="W1066">
        <v>0</v>
      </c>
      <c r="X1066">
        <v>0</v>
      </c>
      <c r="Y1066">
        <v>0</v>
      </c>
      <c r="Z1066">
        <v>0</v>
      </c>
      <c r="AA1066">
        <v>0</v>
      </c>
      <c r="AB1066">
        <v>0</v>
      </c>
      <c r="AC1066">
        <v>0</v>
      </c>
      <c r="AD1066">
        <v>0</v>
      </c>
      <c r="AE1066">
        <v>0</v>
      </c>
      <c r="AF1066">
        <v>0</v>
      </c>
      <c r="AG1066">
        <v>0</v>
      </c>
      <c r="AH1066">
        <v>0</v>
      </c>
      <c r="AI1066">
        <v>0</v>
      </c>
      <c r="AJ1066">
        <v>0</v>
      </c>
      <c r="AK1066">
        <v>0</v>
      </c>
      <c r="AL1066">
        <v>0</v>
      </c>
      <c r="AM1066">
        <v>8.31</v>
      </c>
      <c r="AN1066">
        <v>0</v>
      </c>
      <c r="AO1066">
        <v>0</v>
      </c>
      <c r="AP1066">
        <v>0</v>
      </c>
      <c r="AQ1066">
        <v>0</v>
      </c>
      <c r="AR1066">
        <v>0</v>
      </c>
      <c r="AS1066">
        <v>0</v>
      </c>
      <c r="AT1066">
        <v>0</v>
      </c>
      <c r="AU1066">
        <v>0</v>
      </c>
      <c r="AV1066">
        <v>0</v>
      </c>
      <c r="AW1066">
        <v>0</v>
      </c>
      <c r="AX1066">
        <v>0</v>
      </c>
      <c r="AY1066">
        <v>0</v>
      </c>
      <c r="AZ1066">
        <v>0</v>
      </c>
      <c r="BA1066">
        <v>0</v>
      </c>
      <c r="BB1066">
        <v>0</v>
      </c>
      <c r="BC1066">
        <v>0</v>
      </c>
      <c r="BD1066">
        <v>0</v>
      </c>
      <c r="BE1066">
        <v>0</v>
      </c>
      <c r="BF1066">
        <v>0</v>
      </c>
      <c r="BG1066">
        <v>0</v>
      </c>
      <c r="BH1066">
        <v>1</v>
      </c>
      <c r="BI1066">
        <v>2.2999999999999998</v>
      </c>
      <c r="BJ1066">
        <v>2.7</v>
      </c>
      <c r="BK1066">
        <v>3</v>
      </c>
      <c r="BL1066" s="4">
        <v>48.86</v>
      </c>
      <c r="BM1066" s="4">
        <v>7.33</v>
      </c>
      <c r="BN1066" s="4">
        <v>56.19</v>
      </c>
      <c r="BO1066" s="4">
        <v>56.19</v>
      </c>
      <c r="BQ1066" t="s">
        <v>256</v>
      </c>
      <c r="BR1066" t="s">
        <v>84</v>
      </c>
      <c r="BS1066" s="3">
        <v>43810</v>
      </c>
      <c r="BT1066" s="5">
        <v>0.4375</v>
      </c>
      <c r="BU1066" t="s">
        <v>1581</v>
      </c>
      <c r="BV1066" t="s">
        <v>86</v>
      </c>
      <c r="BY1066">
        <v>13494.15</v>
      </c>
      <c r="CC1066" t="s">
        <v>139</v>
      </c>
      <c r="CD1066">
        <v>1406</v>
      </c>
      <c r="CE1066" t="s">
        <v>116</v>
      </c>
      <c r="CF1066" s="3">
        <v>43811</v>
      </c>
      <c r="CI1066">
        <v>1</v>
      </c>
      <c r="CJ1066">
        <v>1</v>
      </c>
      <c r="CK1066">
        <v>22</v>
      </c>
      <c r="CL1066" t="s">
        <v>89</v>
      </c>
    </row>
    <row r="1067" spans="1:90">
      <c r="A1067" t="s">
        <v>72</v>
      </c>
      <c r="B1067" t="s">
        <v>73</v>
      </c>
      <c r="C1067" t="s">
        <v>74</v>
      </c>
      <c r="E1067" t="str">
        <f>"FES1162727674"</f>
        <v>FES1162727674</v>
      </c>
      <c r="F1067" s="3">
        <v>43809</v>
      </c>
      <c r="G1067">
        <v>202006</v>
      </c>
      <c r="H1067" t="s">
        <v>75</v>
      </c>
      <c r="I1067" t="s">
        <v>76</v>
      </c>
      <c r="J1067" t="s">
        <v>77</v>
      </c>
      <c r="K1067" t="s">
        <v>78</v>
      </c>
      <c r="L1067" t="s">
        <v>90</v>
      </c>
      <c r="M1067" t="s">
        <v>91</v>
      </c>
      <c r="N1067" t="s">
        <v>1582</v>
      </c>
      <c r="O1067" t="s">
        <v>82</v>
      </c>
      <c r="P1067" t="str">
        <f>"2170716503                    "</f>
        <v xml:space="preserve">2170716503                    </v>
      </c>
      <c r="Q1067">
        <v>0</v>
      </c>
      <c r="R1067">
        <v>0</v>
      </c>
      <c r="S1067">
        <v>0</v>
      </c>
      <c r="T1067">
        <v>0</v>
      </c>
      <c r="U1067">
        <v>0</v>
      </c>
      <c r="V1067">
        <v>0</v>
      </c>
      <c r="W1067">
        <v>0</v>
      </c>
      <c r="X1067">
        <v>0</v>
      </c>
      <c r="Y1067">
        <v>0</v>
      </c>
      <c r="Z1067">
        <v>0</v>
      </c>
      <c r="AA1067">
        <v>0</v>
      </c>
      <c r="AB1067">
        <v>0</v>
      </c>
      <c r="AC1067">
        <v>0</v>
      </c>
      <c r="AD1067">
        <v>0</v>
      </c>
      <c r="AE1067">
        <v>0</v>
      </c>
      <c r="AF1067">
        <v>0</v>
      </c>
      <c r="AG1067">
        <v>0</v>
      </c>
      <c r="AH1067">
        <v>0</v>
      </c>
      <c r="AI1067">
        <v>0</v>
      </c>
      <c r="AJ1067">
        <v>0</v>
      </c>
      <c r="AK1067">
        <v>0</v>
      </c>
      <c r="AL1067">
        <v>0</v>
      </c>
      <c r="AM1067">
        <v>23.59</v>
      </c>
      <c r="AN1067">
        <v>0</v>
      </c>
      <c r="AO1067">
        <v>0</v>
      </c>
      <c r="AP1067">
        <v>0</v>
      </c>
      <c r="AQ1067">
        <v>0</v>
      </c>
      <c r="AR1067">
        <v>0</v>
      </c>
      <c r="AS1067">
        <v>0</v>
      </c>
      <c r="AT1067">
        <v>0</v>
      </c>
      <c r="AU1067">
        <v>0</v>
      </c>
      <c r="AV1067">
        <v>0</v>
      </c>
      <c r="AW1067">
        <v>0</v>
      </c>
      <c r="AX1067">
        <v>0</v>
      </c>
      <c r="AY1067">
        <v>0</v>
      </c>
      <c r="AZ1067">
        <v>0</v>
      </c>
      <c r="BA1067">
        <v>0</v>
      </c>
      <c r="BB1067">
        <v>0</v>
      </c>
      <c r="BC1067">
        <v>0</v>
      </c>
      <c r="BD1067">
        <v>0</v>
      </c>
      <c r="BE1067">
        <v>0</v>
      </c>
      <c r="BF1067">
        <v>0</v>
      </c>
      <c r="BG1067">
        <v>0</v>
      </c>
      <c r="BH1067">
        <v>1</v>
      </c>
      <c r="BI1067">
        <v>5.4</v>
      </c>
      <c r="BJ1067">
        <v>2.7</v>
      </c>
      <c r="BK1067">
        <v>5.5</v>
      </c>
      <c r="BL1067" s="4">
        <v>138.68</v>
      </c>
      <c r="BM1067" s="4">
        <v>20.8</v>
      </c>
      <c r="BN1067" s="4">
        <v>159.47999999999999</v>
      </c>
      <c r="BO1067" s="4">
        <v>159.47999999999999</v>
      </c>
      <c r="BQ1067" t="s">
        <v>256</v>
      </c>
      <c r="BR1067" t="s">
        <v>84</v>
      </c>
      <c r="BS1067" s="3">
        <v>43810</v>
      </c>
      <c r="BT1067" s="5">
        <v>0.41736111111111113</v>
      </c>
      <c r="BU1067" t="s">
        <v>1583</v>
      </c>
      <c r="BV1067" t="s">
        <v>86</v>
      </c>
      <c r="BY1067">
        <v>13443.3</v>
      </c>
      <c r="CA1067" t="s">
        <v>539</v>
      </c>
      <c r="CC1067" t="s">
        <v>91</v>
      </c>
      <c r="CD1067">
        <v>7580</v>
      </c>
      <c r="CE1067" t="s">
        <v>96</v>
      </c>
      <c r="CF1067" s="3">
        <v>43811</v>
      </c>
      <c r="CI1067">
        <v>1</v>
      </c>
      <c r="CJ1067">
        <v>1</v>
      </c>
      <c r="CK1067">
        <v>21</v>
      </c>
      <c r="CL1067" t="s">
        <v>89</v>
      </c>
    </row>
    <row r="1068" spans="1:90">
      <c r="A1068" t="s">
        <v>72</v>
      </c>
      <c r="B1068" t="s">
        <v>73</v>
      </c>
      <c r="C1068" t="s">
        <v>74</v>
      </c>
      <c r="E1068" t="str">
        <f>"FES1162727683"</f>
        <v>FES1162727683</v>
      </c>
      <c r="F1068" s="3">
        <v>43809</v>
      </c>
      <c r="G1068">
        <v>202006</v>
      </c>
      <c r="H1068" t="s">
        <v>75</v>
      </c>
      <c r="I1068" t="s">
        <v>76</v>
      </c>
      <c r="J1068" t="s">
        <v>77</v>
      </c>
      <c r="K1068" t="s">
        <v>78</v>
      </c>
      <c r="L1068" t="s">
        <v>308</v>
      </c>
      <c r="M1068" t="s">
        <v>308</v>
      </c>
      <c r="N1068" t="s">
        <v>540</v>
      </c>
      <c r="O1068" t="s">
        <v>82</v>
      </c>
      <c r="P1068" t="str">
        <f>"2170718582                    "</f>
        <v xml:space="preserve">2170718582                    </v>
      </c>
      <c r="Q1068">
        <v>0</v>
      </c>
      <c r="R1068">
        <v>0</v>
      </c>
      <c r="S1068">
        <v>0</v>
      </c>
      <c r="T1068">
        <v>0</v>
      </c>
      <c r="U1068">
        <v>0</v>
      </c>
      <c r="V1068">
        <v>0</v>
      </c>
      <c r="W1068">
        <v>0</v>
      </c>
      <c r="X1068">
        <v>0</v>
      </c>
      <c r="Y1068">
        <v>0</v>
      </c>
      <c r="Z1068">
        <v>0</v>
      </c>
      <c r="AA1068">
        <v>0</v>
      </c>
      <c r="AB1068">
        <v>0</v>
      </c>
      <c r="AC1068">
        <v>0</v>
      </c>
      <c r="AD1068">
        <v>0</v>
      </c>
      <c r="AE1068">
        <v>0</v>
      </c>
      <c r="AF1068">
        <v>0</v>
      </c>
      <c r="AG1068">
        <v>0</v>
      </c>
      <c r="AH1068">
        <v>0</v>
      </c>
      <c r="AI1068">
        <v>0</v>
      </c>
      <c r="AJ1068">
        <v>0</v>
      </c>
      <c r="AK1068">
        <v>0</v>
      </c>
      <c r="AL1068">
        <v>0</v>
      </c>
      <c r="AM1068">
        <v>16.63</v>
      </c>
      <c r="AN1068">
        <v>0</v>
      </c>
      <c r="AO1068">
        <v>0</v>
      </c>
      <c r="AP1068">
        <v>0</v>
      </c>
      <c r="AQ1068">
        <v>0</v>
      </c>
      <c r="AR1068">
        <v>0</v>
      </c>
      <c r="AS1068">
        <v>0</v>
      </c>
      <c r="AT1068">
        <v>0</v>
      </c>
      <c r="AU1068">
        <v>0</v>
      </c>
      <c r="AV1068">
        <v>0</v>
      </c>
      <c r="AW1068">
        <v>0</v>
      </c>
      <c r="AX1068">
        <v>0</v>
      </c>
      <c r="AY1068">
        <v>0</v>
      </c>
      <c r="AZ1068">
        <v>0</v>
      </c>
      <c r="BA1068">
        <v>0</v>
      </c>
      <c r="BB1068">
        <v>0</v>
      </c>
      <c r="BC1068">
        <v>0</v>
      </c>
      <c r="BD1068">
        <v>0</v>
      </c>
      <c r="BE1068">
        <v>0</v>
      </c>
      <c r="BF1068">
        <v>0</v>
      </c>
      <c r="BG1068">
        <v>0</v>
      </c>
      <c r="BH1068">
        <v>1</v>
      </c>
      <c r="BI1068">
        <v>0.5</v>
      </c>
      <c r="BJ1068">
        <v>1.1000000000000001</v>
      </c>
      <c r="BK1068">
        <v>1.5</v>
      </c>
      <c r="BL1068" s="4">
        <v>97.75</v>
      </c>
      <c r="BM1068" s="4">
        <v>14.66</v>
      </c>
      <c r="BN1068" s="4">
        <v>112.41</v>
      </c>
      <c r="BO1068" s="4">
        <v>112.41</v>
      </c>
      <c r="BQ1068" t="s">
        <v>147</v>
      </c>
      <c r="BR1068" t="s">
        <v>84</v>
      </c>
      <c r="BS1068" s="3">
        <v>43810</v>
      </c>
      <c r="BT1068" s="5">
        <v>0.47916666666666669</v>
      </c>
      <c r="BU1068" t="s">
        <v>1576</v>
      </c>
      <c r="BV1068" t="s">
        <v>86</v>
      </c>
      <c r="BY1068">
        <v>5632.85</v>
      </c>
      <c r="CA1068" t="s">
        <v>311</v>
      </c>
      <c r="CC1068" t="s">
        <v>308</v>
      </c>
      <c r="CD1068">
        <v>7646</v>
      </c>
      <c r="CE1068" t="s">
        <v>96</v>
      </c>
      <c r="CF1068" s="3">
        <v>43811</v>
      </c>
      <c r="CI1068">
        <v>1</v>
      </c>
      <c r="CJ1068">
        <v>1</v>
      </c>
      <c r="CK1068">
        <v>23</v>
      </c>
      <c r="CL1068" t="s">
        <v>89</v>
      </c>
    </row>
    <row r="1069" spans="1:90">
      <c r="A1069" t="s">
        <v>72</v>
      </c>
      <c r="B1069" t="s">
        <v>73</v>
      </c>
      <c r="C1069" t="s">
        <v>74</v>
      </c>
      <c r="E1069" t="str">
        <f>"FES1162727675"</f>
        <v>FES1162727675</v>
      </c>
      <c r="F1069" s="3">
        <v>43809</v>
      </c>
      <c r="G1069">
        <v>202006</v>
      </c>
      <c r="H1069" t="s">
        <v>75</v>
      </c>
      <c r="I1069" t="s">
        <v>76</v>
      </c>
      <c r="J1069" t="s">
        <v>77</v>
      </c>
      <c r="K1069" t="s">
        <v>78</v>
      </c>
      <c r="L1069" t="s">
        <v>90</v>
      </c>
      <c r="M1069" t="s">
        <v>91</v>
      </c>
      <c r="N1069" t="s">
        <v>1582</v>
      </c>
      <c r="O1069" t="s">
        <v>82</v>
      </c>
      <c r="P1069" t="str">
        <f>"217071508                     "</f>
        <v xml:space="preserve">217071508                     </v>
      </c>
      <c r="Q1069">
        <v>0</v>
      </c>
      <c r="R1069">
        <v>0</v>
      </c>
      <c r="S1069">
        <v>0</v>
      </c>
      <c r="T1069">
        <v>0</v>
      </c>
      <c r="U1069">
        <v>0</v>
      </c>
      <c r="V1069">
        <v>0</v>
      </c>
      <c r="W1069">
        <v>0</v>
      </c>
      <c r="X1069">
        <v>0</v>
      </c>
      <c r="Y1069">
        <v>0</v>
      </c>
      <c r="Z1069">
        <v>0</v>
      </c>
      <c r="AA1069">
        <v>0</v>
      </c>
      <c r="AB1069">
        <v>0</v>
      </c>
      <c r="AC1069">
        <v>0</v>
      </c>
      <c r="AD1069">
        <v>0</v>
      </c>
      <c r="AE1069">
        <v>0</v>
      </c>
      <c r="AF1069">
        <v>0</v>
      </c>
      <c r="AG1069">
        <v>0</v>
      </c>
      <c r="AH1069">
        <v>0</v>
      </c>
      <c r="AI1069">
        <v>0</v>
      </c>
      <c r="AJ1069">
        <v>0</v>
      </c>
      <c r="AK1069">
        <v>0</v>
      </c>
      <c r="AL1069">
        <v>0</v>
      </c>
      <c r="AM1069">
        <v>23.59</v>
      </c>
      <c r="AN1069">
        <v>0</v>
      </c>
      <c r="AO1069">
        <v>0</v>
      </c>
      <c r="AP1069">
        <v>0</v>
      </c>
      <c r="AQ1069">
        <v>0</v>
      </c>
      <c r="AR1069">
        <v>0</v>
      </c>
      <c r="AS1069">
        <v>0</v>
      </c>
      <c r="AT1069">
        <v>0</v>
      </c>
      <c r="AU1069">
        <v>0</v>
      </c>
      <c r="AV1069">
        <v>0</v>
      </c>
      <c r="AW1069">
        <v>0</v>
      </c>
      <c r="AX1069">
        <v>0</v>
      </c>
      <c r="AY1069">
        <v>0</v>
      </c>
      <c r="AZ1069">
        <v>0</v>
      </c>
      <c r="BA1069">
        <v>0</v>
      </c>
      <c r="BB1069">
        <v>0</v>
      </c>
      <c r="BC1069">
        <v>0</v>
      </c>
      <c r="BD1069">
        <v>0</v>
      </c>
      <c r="BE1069">
        <v>0</v>
      </c>
      <c r="BF1069">
        <v>0</v>
      </c>
      <c r="BG1069">
        <v>0</v>
      </c>
      <c r="BH1069">
        <v>1</v>
      </c>
      <c r="BI1069">
        <v>5.3</v>
      </c>
      <c r="BJ1069">
        <v>2.8</v>
      </c>
      <c r="BK1069">
        <v>5.5</v>
      </c>
      <c r="BL1069" s="4">
        <v>138.68</v>
      </c>
      <c r="BM1069" s="4">
        <v>20.8</v>
      </c>
      <c r="BN1069" s="4">
        <v>159.47999999999999</v>
      </c>
      <c r="BO1069" s="4">
        <v>159.47999999999999</v>
      </c>
      <c r="BQ1069" t="s">
        <v>256</v>
      </c>
      <c r="BR1069" t="s">
        <v>84</v>
      </c>
      <c r="BS1069" s="3">
        <v>43810</v>
      </c>
      <c r="BT1069" s="5">
        <v>0.41736111111111113</v>
      </c>
      <c r="BU1069" t="s">
        <v>1583</v>
      </c>
      <c r="BV1069" t="s">
        <v>86</v>
      </c>
      <c r="BY1069">
        <v>14200.65</v>
      </c>
      <c r="CA1069" t="s">
        <v>539</v>
      </c>
      <c r="CC1069" t="s">
        <v>91</v>
      </c>
      <c r="CD1069">
        <v>7580</v>
      </c>
      <c r="CE1069" t="s">
        <v>116</v>
      </c>
      <c r="CF1069" s="3">
        <v>43811</v>
      </c>
      <c r="CI1069">
        <v>1</v>
      </c>
      <c r="CJ1069">
        <v>1</v>
      </c>
      <c r="CK1069">
        <v>21</v>
      </c>
      <c r="CL1069" t="s">
        <v>89</v>
      </c>
    </row>
    <row r="1070" spans="1:90">
      <c r="A1070" t="s">
        <v>72</v>
      </c>
      <c r="B1070" t="s">
        <v>73</v>
      </c>
      <c r="C1070" t="s">
        <v>74</v>
      </c>
      <c r="E1070" t="str">
        <f>"FES1162727585"</f>
        <v>FES1162727585</v>
      </c>
      <c r="F1070" s="3">
        <v>43809</v>
      </c>
      <c r="G1070">
        <v>202006</v>
      </c>
      <c r="H1070" t="s">
        <v>75</v>
      </c>
      <c r="I1070" t="s">
        <v>76</v>
      </c>
      <c r="J1070" t="s">
        <v>77</v>
      </c>
      <c r="K1070" t="s">
        <v>78</v>
      </c>
      <c r="L1070" t="s">
        <v>198</v>
      </c>
      <c r="M1070" t="s">
        <v>199</v>
      </c>
      <c r="N1070" t="s">
        <v>503</v>
      </c>
      <c r="O1070" t="s">
        <v>82</v>
      </c>
      <c r="P1070" t="str">
        <f>"217071069                     "</f>
        <v xml:space="preserve">217071069                     </v>
      </c>
      <c r="Q1070">
        <v>0</v>
      </c>
      <c r="R1070">
        <v>0</v>
      </c>
      <c r="S1070">
        <v>0</v>
      </c>
      <c r="T1070">
        <v>0</v>
      </c>
      <c r="U1070">
        <v>0</v>
      </c>
      <c r="V1070">
        <v>0</v>
      </c>
      <c r="W1070">
        <v>0</v>
      </c>
      <c r="X1070">
        <v>0</v>
      </c>
      <c r="Y1070">
        <v>0</v>
      </c>
      <c r="Z1070">
        <v>0</v>
      </c>
      <c r="AA1070">
        <v>0</v>
      </c>
      <c r="AB1070">
        <v>0</v>
      </c>
      <c r="AC1070">
        <v>0</v>
      </c>
      <c r="AD1070">
        <v>0</v>
      </c>
      <c r="AE1070">
        <v>0</v>
      </c>
      <c r="AF1070">
        <v>0</v>
      </c>
      <c r="AG1070">
        <v>0</v>
      </c>
      <c r="AH1070">
        <v>0</v>
      </c>
      <c r="AI1070">
        <v>0</v>
      </c>
      <c r="AJ1070">
        <v>0</v>
      </c>
      <c r="AK1070">
        <v>0</v>
      </c>
      <c r="AL1070">
        <v>0</v>
      </c>
      <c r="AM1070">
        <v>8.58</v>
      </c>
      <c r="AN1070">
        <v>0</v>
      </c>
      <c r="AO1070">
        <v>0</v>
      </c>
      <c r="AP1070">
        <v>0</v>
      </c>
      <c r="AQ1070">
        <v>0</v>
      </c>
      <c r="AR1070">
        <v>0</v>
      </c>
      <c r="AS1070">
        <v>0</v>
      </c>
      <c r="AT1070">
        <v>0</v>
      </c>
      <c r="AU1070">
        <v>0</v>
      </c>
      <c r="AV1070">
        <v>0</v>
      </c>
      <c r="AW1070">
        <v>0</v>
      </c>
      <c r="AX1070">
        <v>0</v>
      </c>
      <c r="AY1070">
        <v>0</v>
      </c>
      <c r="AZ1070">
        <v>0</v>
      </c>
      <c r="BA1070">
        <v>0</v>
      </c>
      <c r="BB1070">
        <v>0</v>
      </c>
      <c r="BC1070">
        <v>0</v>
      </c>
      <c r="BD1070">
        <v>0</v>
      </c>
      <c r="BE1070">
        <v>0</v>
      </c>
      <c r="BF1070">
        <v>0</v>
      </c>
      <c r="BG1070">
        <v>0</v>
      </c>
      <c r="BH1070">
        <v>1</v>
      </c>
      <c r="BI1070">
        <v>1</v>
      </c>
      <c r="BJ1070">
        <v>0.2</v>
      </c>
      <c r="BK1070">
        <v>1</v>
      </c>
      <c r="BL1070" s="4">
        <v>50.45</v>
      </c>
      <c r="BM1070" s="4">
        <v>7.57</v>
      </c>
      <c r="BN1070" s="4">
        <v>58.02</v>
      </c>
      <c r="BO1070" s="4">
        <v>58.02</v>
      </c>
      <c r="BQ1070" t="s">
        <v>93</v>
      </c>
      <c r="BR1070" t="s">
        <v>84</v>
      </c>
      <c r="BS1070" s="3">
        <v>43810</v>
      </c>
      <c r="BT1070" s="5">
        <v>0.41666666666666669</v>
      </c>
      <c r="BU1070" t="s">
        <v>1584</v>
      </c>
      <c r="BV1070" t="s">
        <v>86</v>
      </c>
      <c r="BY1070">
        <v>1200</v>
      </c>
      <c r="CA1070" t="s">
        <v>344</v>
      </c>
      <c r="CC1070" t="s">
        <v>199</v>
      </c>
      <c r="CD1070">
        <v>4068</v>
      </c>
      <c r="CE1070" t="s">
        <v>88</v>
      </c>
      <c r="CF1070" s="3">
        <v>43811</v>
      </c>
      <c r="CI1070">
        <v>1</v>
      </c>
      <c r="CJ1070">
        <v>1</v>
      </c>
      <c r="CK1070">
        <v>21</v>
      </c>
      <c r="CL1070" t="s">
        <v>89</v>
      </c>
    </row>
    <row r="1071" spans="1:90">
      <c r="A1071" t="s">
        <v>72</v>
      </c>
      <c r="B1071" t="s">
        <v>73</v>
      </c>
      <c r="C1071" t="s">
        <v>74</v>
      </c>
      <c r="E1071" t="str">
        <f>"FES1162727570"</f>
        <v>FES1162727570</v>
      </c>
      <c r="F1071" s="3">
        <v>43809</v>
      </c>
      <c r="G1071">
        <v>202006</v>
      </c>
      <c r="H1071" t="s">
        <v>75</v>
      </c>
      <c r="I1071" t="s">
        <v>76</v>
      </c>
      <c r="J1071" t="s">
        <v>77</v>
      </c>
      <c r="K1071" t="s">
        <v>78</v>
      </c>
      <c r="L1071" t="s">
        <v>201</v>
      </c>
      <c r="M1071" t="s">
        <v>202</v>
      </c>
      <c r="N1071" t="s">
        <v>1585</v>
      </c>
      <c r="O1071" t="s">
        <v>82</v>
      </c>
      <c r="P1071" t="str">
        <f>"217071053                     "</f>
        <v xml:space="preserve">217071053                     </v>
      </c>
      <c r="Q1071">
        <v>0</v>
      </c>
      <c r="R1071">
        <v>0</v>
      </c>
      <c r="S1071">
        <v>0</v>
      </c>
      <c r="T1071">
        <v>0</v>
      </c>
      <c r="U1071">
        <v>0</v>
      </c>
      <c r="V1071">
        <v>0</v>
      </c>
      <c r="W1071">
        <v>0</v>
      </c>
      <c r="X1071">
        <v>0</v>
      </c>
      <c r="Y1071">
        <v>0</v>
      </c>
      <c r="Z1071">
        <v>0</v>
      </c>
      <c r="AA1071">
        <v>0</v>
      </c>
      <c r="AB1071">
        <v>0</v>
      </c>
      <c r="AC1071">
        <v>0</v>
      </c>
      <c r="AD1071">
        <v>0</v>
      </c>
      <c r="AE1071">
        <v>0</v>
      </c>
      <c r="AF1071">
        <v>0</v>
      </c>
      <c r="AG1071">
        <v>0</v>
      </c>
      <c r="AH1071">
        <v>0</v>
      </c>
      <c r="AI1071">
        <v>0</v>
      </c>
      <c r="AJ1071">
        <v>0</v>
      </c>
      <c r="AK1071">
        <v>0</v>
      </c>
      <c r="AL1071">
        <v>0</v>
      </c>
      <c r="AM1071">
        <v>8.58</v>
      </c>
      <c r="AN1071">
        <v>0</v>
      </c>
      <c r="AO1071">
        <v>0</v>
      </c>
      <c r="AP1071">
        <v>0</v>
      </c>
      <c r="AQ1071">
        <v>0</v>
      </c>
      <c r="AR1071">
        <v>0</v>
      </c>
      <c r="AS1071">
        <v>0</v>
      </c>
      <c r="AT1071">
        <v>0</v>
      </c>
      <c r="AU1071">
        <v>0</v>
      </c>
      <c r="AV1071">
        <v>0</v>
      </c>
      <c r="AW1071">
        <v>0</v>
      </c>
      <c r="AX1071">
        <v>0</v>
      </c>
      <c r="AY1071">
        <v>0</v>
      </c>
      <c r="AZ1071">
        <v>0</v>
      </c>
      <c r="BA1071">
        <v>0</v>
      </c>
      <c r="BB1071">
        <v>0</v>
      </c>
      <c r="BC1071">
        <v>0</v>
      </c>
      <c r="BD1071">
        <v>0</v>
      </c>
      <c r="BE1071">
        <v>0</v>
      </c>
      <c r="BF1071">
        <v>0</v>
      </c>
      <c r="BG1071">
        <v>0</v>
      </c>
      <c r="BH1071">
        <v>1</v>
      </c>
      <c r="BI1071">
        <v>1</v>
      </c>
      <c r="BJ1071">
        <v>0.2</v>
      </c>
      <c r="BK1071">
        <v>1</v>
      </c>
      <c r="BL1071" s="4">
        <v>50.45</v>
      </c>
      <c r="BM1071" s="4">
        <v>7.57</v>
      </c>
      <c r="BN1071" s="4">
        <v>58.02</v>
      </c>
      <c r="BO1071" s="4">
        <v>58.02</v>
      </c>
      <c r="BQ1071" t="s">
        <v>1586</v>
      </c>
      <c r="BR1071" t="s">
        <v>84</v>
      </c>
      <c r="BS1071" s="3">
        <v>43810</v>
      </c>
      <c r="BT1071" s="5">
        <v>0.39999999999999997</v>
      </c>
      <c r="BU1071" t="s">
        <v>1587</v>
      </c>
      <c r="BV1071" t="s">
        <v>86</v>
      </c>
      <c r="BY1071">
        <v>1200</v>
      </c>
      <c r="CA1071" t="s">
        <v>205</v>
      </c>
      <c r="CC1071" t="s">
        <v>202</v>
      </c>
      <c r="CD1071">
        <v>3600</v>
      </c>
      <c r="CE1071" t="s">
        <v>88</v>
      </c>
      <c r="CF1071" s="3">
        <v>43811</v>
      </c>
      <c r="CI1071">
        <v>1</v>
      </c>
      <c r="CJ1071">
        <v>1</v>
      </c>
      <c r="CK1071">
        <v>21</v>
      </c>
      <c r="CL1071" t="s">
        <v>89</v>
      </c>
    </row>
    <row r="1072" spans="1:90">
      <c r="A1072" t="s">
        <v>72</v>
      </c>
      <c r="B1072" t="s">
        <v>73</v>
      </c>
      <c r="C1072" t="s">
        <v>74</v>
      </c>
      <c r="E1072" t="str">
        <f>"FES1162727645"</f>
        <v>FES1162727645</v>
      </c>
      <c r="F1072" s="3">
        <v>43809</v>
      </c>
      <c r="G1072">
        <v>202006</v>
      </c>
      <c r="H1072" t="s">
        <v>75</v>
      </c>
      <c r="I1072" t="s">
        <v>76</v>
      </c>
      <c r="J1072" t="s">
        <v>77</v>
      </c>
      <c r="K1072" t="s">
        <v>78</v>
      </c>
      <c r="L1072" t="s">
        <v>198</v>
      </c>
      <c r="M1072" t="s">
        <v>199</v>
      </c>
      <c r="N1072" t="s">
        <v>297</v>
      </c>
      <c r="O1072" t="s">
        <v>82</v>
      </c>
      <c r="P1072" t="str">
        <f>"2170720672                    "</f>
        <v xml:space="preserve">2170720672                    </v>
      </c>
      <c r="Q1072">
        <v>0</v>
      </c>
      <c r="R1072">
        <v>0</v>
      </c>
      <c r="S1072">
        <v>0</v>
      </c>
      <c r="T1072">
        <v>0</v>
      </c>
      <c r="U1072">
        <v>0</v>
      </c>
      <c r="V1072">
        <v>0</v>
      </c>
      <c r="W1072">
        <v>0</v>
      </c>
      <c r="X1072">
        <v>0</v>
      </c>
      <c r="Y1072">
        <v>0</v>
      </c>
      <c r="Z1072">
        <v>0</v>
      </c>
      <c r="AA1072">
        <v>0</v>
      </c>
      <c r="AB1072">
        <v>0</v>
      </c>
      <c r="AC1072">
        <v>0</v>
      </c>
      <c r="AD1072">
        <v>0</v>
      </c>
      <c r="AE1072">
        <v>0</v>
      </c>
      <c r="AF1072">
        <v>0</v>
      </c>
      <c r="AG1072">
        <v>0</v>
      </c>
      <c r="AH1072">
        <v>0</v>
      </c>
      <c r="AI1072">
        <v>0</v>
      </c>
      <c r="AJ1072">
        <v>0</v>
      </c>
      <c r="AK1072">
        <v>0</v>
      </c>
      <c r="AL1072">
        <v>0</v>
      </c>
      <c r="AM1072">
        <v>8.58</v>
      </c>
      <c r="AN1072">
        <v>0</v>
      </c>
      <c r="AO1072">
        <v>0</v>
      </c>
      <c r="AP1072">
        <v>0</v>
      </c>
      <c r="AQ1072">
        <v>0</v>
      </c>
      <c r="AR1072">
        <v>0</v>
      </c>
      <c r="AS1072">
        <v>0</v>
      </c>
      <c r="AT1072">
        <v>0</v>
      </c>
      <c r="AU1072">
        <v>0</v>
      </c>
      <c r="AV1072">
        <v>0</v>
      </c>
      <c r="AW1072">
        <v>0</v>
      </c>
      <c r="AX1072">
        <v>0</v>
      </c>
      <c r="AY1072">
        <v>0</v>
      </c>
      <c r="AZ1072">
        <v>0</v>
      </c>
      <c r="BA1072">
        <v>0</v>
      </c>
      <c r="BB1072">
        <v>0</v>
      </c>
      <c r="BC1072">
        <v>0</v>
      </c>
      <c r="BD1072">
        <v>0</v>
      </c>
      <c r="BE1072">
        <v>0</v>
      </c>
      <c r="BF1072">
        <v>0</v>
      </c>
      <c r="BG1072">
        <v>0</v>
      </c>
      <c r="BH1072">
        <v>1</v>
      </c>
      <c r="BI1072">
        <v>1</v>
      </c>
      <c r="BJ1072">
        <v>0.2</v>
      </c>
      <c r="BK1072">
        <v>1</v>
      </c>
      <c r="BL1072" s="4">
        <v>50.45</v>
      </c>
      <c r="BM1072" s="4">
        <v>7.57</v>
      </c>
      <c r="BN1072" s="4">
        <v>58.02</v>
      </c>
      <c r="BO1072" s="4">
        <v>58.02</v>
      </c>
      <c r="BQ1072" t="s">
        <v>172</v>
      </c>
      <c r="BR1072" t="s">
        <v>84</v>
      </c>
      <c r="BS1072" s="3">
        <v>43810</v>
      </c>
      <c r="BT1072" s="5">
        <v>0.36944444444444446</v>
      </c>
      <c r="BU1072" t="s">
        <v>542</v>
      </c>
      <c r="BV1072" t="s">
        <v>86</v>
      </c>
      <c r="BY1072">
        <v>1200</v>
      </c>
      <c r="CA1072" t="s">
        <v>299</v>
      </c>
      <c r="CC1072" t="s">
        <v>199</v>
      </c>
      <c r="CD1072">
        <v>4000</v>
      </c>
      <c r="CE1072" t="s">
        <v>88</v>
      </c>
      <c r="CF1072" s="3">
        <v>43811</v>
      </c>
      <c r="CI1072">
        <v>1</v>
      </c>
      <c r="CJ1072">
        <v>1</v>
      </c>
      <c r="CK1072">
        <v>21</v>
      </c>
      <c r="CL1072" t="s">
        <v>89</v>
      </c>
    </row>
    <row r="1073" spans="1:90">
      <c r="A1073" t="s">
        <v>72</v>
      </c>
      <c r="B1073" t="s">
        <v>73</v>
      </c>
      <c r="C1073" t="s">
        <v>74</v>
      </c>
      <c r="E1073" t="str">
        <f>"FES1162727591"</f>
        <v>FES1162727591</v>
      </c>
      <c r="F1073" s="3">
        <v>43809</v>
      </c>
      <c r="G1073">
        <v>202006</v>
      </c>
      <c r="H1073" t="s">
        <v>75</v>
      </c>
      <c r="I1073" t="s">
        <v>76</v>
      </c>
      <c r="J1073" t="s">
        <v>77</v>
      </c>
      <c r="K1073" t="s">
        <v>78</v>
      </c>
      <c r="L1073" t="s">
        <v>198</v>
      </c>
      <c r="M1073" t="s">
        <v>199</v>
      </c>
      <c r="N1073" t="s">
        <v>485</v>
      </c>
      <c r="O1073" t="s">
        <v>82</v>
      </c>
      <c r="P1073" t="str">
        <f>"2170712077                    "</f>
        <v xml:space="preserve">2170712077                    </v>
      </c>
      <c r="Q1073">
        <v>0</v>
      </c>
      <c r="R1073">
        <v>0</v>
      </c>
      <c r="S1073">
        <v>0</v>
      </c>
      <c r="T1073">
        <v>0</v>
      </c>
      <c r="U1073">
        <v>0</v>
      </c>
      <c r="V1073">
        <v>0</v>
      </c>
      <c r="W1073">
        <v>0</v>
      </c>
      <c r="X1073">
        <v>0</v>
      </c>
      <c r="Y1073">
        <v>0</v>
      </c>
      <c r="Z1073">
        <v>0</v>
      </c>
      <c r="AA1073">
        <v>0</v>
      </c>
      <c r="AB1073">
        <v>0</v>
      </c>
      <c r="AC1073">
        <v>0</v>
      </c>
      <c r="AD1073">
        <v>0</v>
      </c>
      <c r="AE1073">
        <v>0</v>
      </c>
      <c r="AF1073">
        <v>0</v>
      </c>
      <c r="AG1073">
        <v>0</v>
      </c>
      <c r="AH1073">
        <v>0</v>
      </c>
      <c r="AI1073">
        <v>0</v>
      </c>
      <c r="AJ1073">
        <v>0</v>
      </c>
      <c r="AK1073">
        <v>0</v>
      </c>
      <c r="AL1073">
        <v>0</v>
      </c>
      <c r="AM1073">
        <v>8.58</v>
      </c>
      <c r="AN1073">
        <v>0</v>
      </c>
      <c r="AO1073">
        <v>0</v>
      </c>
      <c r="AP1073">
        <v>0</v>
      </c>
      <c r="AQ1073">
        <v>0</v>
      </c>
      <c r="AR1073">
        <v>0</v>
      </c>
      <c r="AS1073">
        <v>0</v>
      </c>
      <c r="AT1073">
        <v>0</v>
      </c>
      <c r="AU1073">
        <v>0</v>
      </c>
      <c r="AV1073">
        <v>0</v>
      </c>
      <c r="AW1073">
        <v>0</v>
      </c>
      <c r="AX1073">
        <v>0</v>
      </c>
      <c r="AY1073">
        <v>0</v>
      </c>
      <c r="AZ1073">
        <v>0</v>
      </c>
      <c r="BA1073">
        <v>0</v>
      </c>
      <c r="BB1073">
        <v>0</v>
      </c>
      <c r="BC1073">
        <v>0</v>
      </c>
      <c r="BD1073">
        <v>0</v>
      </c>
      <c r="BE1073">
        <v>0</v>
      </c>
      <c r="BF1073">
        <v>0</v>
      </c>
      <c r="BG1073">
        <v>0</v>
      </c>
      <c r="BH1073">
        <v>1</v>
      </c>
      <c r="BI1073">
        <v>1</v>
      </c>
      <c r="BJ1073">
        <v>0.2</v>
      </c>
      <c r="BK1073">
        <v>1</v>
      </c>
      <c r="BL1073" s="4">
        <v>50.45</v>
      </c>
      <c r="BM1073" s="4">
        <v>7.57</v>
      </c>
      <c r="BN1073" s="4">
        <v>58.02</v>
      </c>
      <c r="BO1073" s="4">
        <v>58.02</v>
      </c>
      <c r="BQ1073" t="s">
        <v>486</v>
      </c>
      <c r="BR1073" t="s">
        <v>84</v>
      </c>
      <c r="BS1073" s="3">
        <v>43810</v>
      </c>
      <c r="BT1073" s="5">
        <v>0.32430555555555557</v>
      </c>
      <c r="BU1073" t="s">
        <v>742</v>
      </c>
      <c r="BV1073" t="s">
        <v>86</v>
      </c>
      <c r="BY1073">
        <v>1200</v>
      </c>
      <c r="CA1073" t="s">
        <v>488</v>
      </c>
      <c r="CC1073" t="s">
        <v>199</v>
      </c>
      <c r="CD1073">
        <v>4001</v>
      </c>
      <c r="CE1073" t="s">
        <v>88</v>
      </c>
      <c r="CF1073" s="3">
        <v>43811</v>
      </c>
      <c r="CI1073">
        <v>1</v>
      </c>
      <c r="CJ1073">
        <v>1</v>
      </c>
      <c r="CK1073">
        <v>21</v>
      </c>
      <c r="CL1073" t="s">
        <v>89</v>
      </c>
    </row>
    <row r="1074" spans="1:90">
      <c r="A1074" t="s">
        <v>72</v>
      </c>
      <c r="B1074" t="s">
        <v>73</v>
      </c>
      <c r="C1074" t="s">
        <v>74</v>
      </c>
      <c r="E1074" t="str">
        <f>"FES1162727567"</f>
        <v>FES1162727567</v>
      </c>
      <c r="F1074" s="3">
        <v>43809</v>
      </c>
      <c r="G1074">
        <v>202006</v>
      </c>
      <c r="H1074" t="s">
        <v>75</v>
      </c>
      <c r="I1074" t="s">
        <v>76</v>
      </c>
      <c r="J1074" t="s">
        <v>77</v>
      </c>
      <c r="K1074" t="s">
        <v>78</v>
      </c>
      <c r="L1074" t="s">
        <v>221</v>
      </c>
      <c r="M1074" t="s">
        <v>222</v>
      </c>
      <c r="N1074" t="s">
        <v>236</v>
      </c>
      <c r="O1074" t="s">
        <v>82</v>
      </c>
      <c r="P1074" t="str">
        <f>"217071048                     "</f>
        <v xml:space="preserve">217071048                     </v>
      </c>
      <c r="Q1074">
        <v>0</v>
      </c>
      <c r="R1074">
        <v>0</v>
      </c>
      <c r="S1074">
        <v>0</v>
      </c>
      <c r="T1074">
        <v>0</v>
      </c>
      <c r="U1074">
        <v>0</v>
      </c>
      <c r="V1074">
        <v>0</v>
      </c>
      <c r="W1074">
        <v>0</v>
      </c>
      <c r="X1074">
        <v>0</v>
      </c>
      <c r="Y1074">
        <v>0</v>
      </c>
      <c r="Z1074">
        <v>0</v>
      </c>
      <c r="AA1074">
        <v>0</v>
      </c>
      <c r="AB1074">
        <v>0</v>
      </c>
      <c r="AC1074">
        <v>0</v>
      </c>
      <c r="AD1074">
        <v>0</v>
      </c>
      <c r="AE1074">
        <v>0</v>
      </c>
      <c r="AF1074">
        <v>0</v>
      </c>
      <c r="AG1074">
        <v>0</v>
      </c>
      <c r="AH1074">
        <v>0</v>
      </c>
      <c r="AI1074">
        <v>0</v>
      </c>
      <c r="AJ1074">
        <v>0</v>
      </c>
      <c r="AK1074">
        <v>0</v>
      </c>
      <c r="AL1074">
        <v>0</v>
      </c>
      <c r="AM1074">
        <v>8.58</v>
      </c>
      <c r="AN1074">
        <v>0</v>
      </c>
      <c r="AO1074">
        <v>0</v>
      </c>
      <c r="AP1074">
        <v>0</v>
      </c>
      <c r="AQ1074">
        <v>0</v>
      </c>
      <c r="AR1074">
        <v>0</v>
      </c>
      <c r="AS1074">
        <v>0</v>
      </c>
      <c r="AT1074">
        <v>0</v>
      </c>
      <c r="AU1074">
        <v>0</v>
      </c>
      <c r="AV1074">
        <v>0</v>
      </c>
      <c r="AW1074">
        <v>0</v>
      </c>
      <c r="AX1074">
        <v>0</v>
      </c>
      <c r="AY1074">
        <v>0</v>
      </c>
      <c r="AZ1074">
        <v>0</v>
      </c>
      <c r="BA1074">
        <v>0</v>
      </c>
      <c r="BB1074">
        <v>0</v>
      </c>
      <c r="BC1074">
        <v>0</v>
      </c>
      <c r="BD1074">
        <v>0</v>
      </c>
      <c r="BE1074">
        <v>0</v>
      </c>
      <c r="BF1074">
        <v>0</v>
      </c>
      <c r="BG1074">
        <v>0</v>
      </c>
      <c r="BH1074">
        <v>1</v>
      </c>
      <c r="BI1074">
        <v>1</v>
      </c>
      <c r="BJ1074">
        <v>0.2</v>
      </c>
      <c r="BK1074">
        <v>1</v>
      </c>
      <c r="BL1074" s="4">
        <v>50.45</v>
      </c>
      <c r="BM1074" s="4">
        <v>7.57</v>
      </c>
      <c r="BN1074" s="4">
        <v>58.02</v>
      </c>
      <c r="BO1074" s="4">
        <v>58.02</v>
      </c>
      <c r="BQ1074" t="s">
        <v>93</v>
      </c>
      <c r="BR1074" t="s">
        <v>84</v>
      </c>
      <c r="BS1074" s="3">
        <v>43810</v>
      </c>
      <c r="BT1074" s="5">
        <v>0.40138888888888885</v>
      </c>
      <c r="BU1074" t="s">
        <v>237</v>
      </c>
      <c r="BV1074" t="s">
        <v>86</v>
      </c>
      <c r="BY1074">
        <v>1200</v>
      </c>
      <c r="CA1074" t="s">
        <v>225</v>
      </c>
      <c r="CC1074" t="s">
        <v>222</v>
      </c>
      <c r="CD1074">
        <v>3212</v>
      </c>
      <c r="CE1074" t="s">
        <v>88</v>
      </c>
      <c r="CF1074" s="3">
        <v>43811</v>
      </c>
      <c r="CI1074">
        <v>1</v>
      </c>
      <c r="CJ1074">
        <v>1</v>
      </c>
      <c r="CK1074">
        <v>21</v>
      </c>
      <c r="CL1074" t="s">
        <v>89</v>
      </c>
    </row>
    <row r="1075" spans="1:90">
      <c r="A1075" t="s">
        <v>72</v>
      </c>
      <c r="B1075" t="s">
        <v>73</v>
      </c>
      <c r="C1075" t="s">
        <v>74</v>
      </c>
      <c r="E1075" t="str">
        <f>"FES1162727643"</f>
        <v>FES1162727643</v>
      </c>
      <c r="F1075" s="3">
        <v>43809</v>
      </c>
      <c r="G1075">
        <v>202006</v>
      </c>
      <c r="H1075" t="s">
        <v>75</v>
      </c>
      <c r="I1075" t="s">
        <v>76</v>
      </c>
      <c r="J1075" t="s">
        <v>77</v>
      </c>
      <c r="K1075" t="s">
        <v>78</v>
      </c>
      <c r="L1075" t="s">
        <v>75</v>
      </c>
      <c r="M1075" t="s">
        <v>76</v>
      </c>
      <c r="N1075" t="s">
        <v>305</v>
      </c>
      <c r="O1075" t="s">
        <v>82</v>
      </c>
      <c r="P1075" t="str">
        <f>"217071150                     "</f>
        <v xml:space="preserve">217071150                     </v>
      </c>
      <c r="Q1075">
        <v>0</v>
      </c>
      <c r="R1075">
        <v>0</v>
      </c>
      <c r="S1075">
        <v>0</v>
      </c>
      <c r="T1075">
        <v>0</v>
      </c>
      <c r="U1075">
        <v>0</v>
      </c>
      <c r="V1075">
        <v>0</v>
      </c>
      <c r="W1075">
        <v>0</v>
      </c>
      <c r="X1075">
        <v>0</v>
      </c>
      <c r="Y1075">
        <v>0</v>
      </c>
      <c r="Z1075">
        <v>0</v>
      </c>
      <c r="AA1075">
        <v>0</v>
      </c>
      <c r="AB1075">
        <v>0</v>
      </c>
      <c r="AC1075">
        <v>0</v>
      </c>
      <c r="AD1075">
        <v>0</v>
      </c>
      <c r="AE1075">
        <v>0</v>
      </c>
      <c r="AF1075">
        <v>0</v>
      </c>
      <c r="AG1075">
        <v>0</v>
      </c>
      <c r="AH1075">
        <v>0</v>
      </c>
      <c r="AI1075">
        <v>0</v>
      </c>
      <c r="AJ1075">
        <v>0</v>
      </c>
      <c r="AK1075">
        <v>0</v>
      </c>
      <c r="AL1075">
        <v>0</v>
      </c>
      <c r="AM1075">
        <v>6.71</v>
      </c>
      <c r="AN1075">
        <v>0</v>
      </c>
      <c r="AO1075">
        <v>0</v>
      </c>
      <c r="AP1075">
        <v>0</v>
      </c>
      <c r="AQ1075">
        <v>0</v>
      </c>
      <c r="AR1075">
        <v>0</v>
      </c>
      <c r="AS1075">
        <v>0</v>
      </c>
      <c r="AT1075">
        <v>0</v>
      </c>
      <c r="AU1075">
        <v>0</v>
      </c>
      <c r="AV1075">
        <v>0</v>
      </c>
      <c r="AW1075">
        <v>0</v>
      </c>
      <c r="AX1075">
        <v>0</v>
      </c>
      <c r="AY1075">
        <v>0</v>
      </c>
      <c r="AZ1075">
        <v>0</v>
      </c>
      <c r="BA1075">
        <v>0</v>
      </c>
      <c r="BB1075">
        <v>0</v>
      </c>
      <c r="BC1075">
        <v>0</v>
      </c>
      <c r="BD1075">
        <v>0</v>
      </c>
      <c r="BE1075">
        <v>0</v>
      </c>
      <c r="BF1075">
        <v>0</v>
      </c>
      <c r="BG1075">
        <v>0</v>
      </c>
      <c r="BH1075">
        <v>1</v>
      </c>
      <c r="BI1075">
        <v>1</v>
      </c>
      <c r="BJ1075">
        <v>0.2</v>
      </c>
      <c r="BK1075">
        <v>1</v>
      </c>
      <c r="BL1075" s="4">
        <v>39.42</v>
      </c>
      <c r="BM1075" s="4">
        <v>5.91</v>
      </c>
      <c r="BN1075" s="4">
        <v>45.33</v>
      </c>
      <c r="BO1075" s="4">
        <v>45.33</v>
      </c>
      <c r="BQ1075" t="s">
        <v>147</v>
      </c>
      <c r="BR1075" t="s">
        <v>84</v>
      </c>
      <c r="BS1075" s="3">
        <v>43810</v>
      </c>
      <c r="BT1075" s="5">
        <v>0.34097222222222223</v>
      </c>
      <c r="BU1075" t="s">
        <v>1533</v>
      </c>
      <c r="BV1075" t="s">
        <v>86</v>
      </c>
      <c r="BY1075">
        <v>1200</v>
      </c>
      <c r="CA1075" t="s">
        <v>307</v>
      </c>
      <c r="CC1075" t="s">
        <v>76</v>
      </c>
      <c r="CD1075">
        <v>1645</v>
      </c>
      <c r="CE1075" t="s">
        <v>88</v>
      </c>
      <c r="CF1075" s="3">
        <v>43811</v>
      </c>
      <c r="CI1075">
        <v>1</v>
      </c>
      <c r="CJ1075">
        <v>1</v>
      </c>
      <c r="CK1075">
        <v>22</v>
      </c>
      <c r="CL1075" t="s">
        <v>89</v>
      </c>
    </row>
    <row r="1076" spans="1:90">
      <c r="A1076" t="s">
        <v>72</v>
      </c>
      <c r="B1076" t="s">
        <v>73</v>
      </c>
      <c r="C1076" t="s">
        <v>74</v>
      </c>
      <c r="E1076" t="str">
        <f>"FES1162727582"</f>
        <v>FES1162727582</v>
      </c>
      <c r="F1076" s="3">
        <v>43809</v>
      </c>
      <c r="G1076">
        <v>202006</v>
      </c>
      <c r="H1076" t="s">
        <v>75</v>
      </c>
      <c r="I1076" t="s">
        <v>76</v>
      </c>
      <c r="J1076" t="s">
        <v>77</v>
      </c>
      <c r="K1076" t="s">
        <v>78</v>
      </c>
      <c r="L1076" t="s">
        <v>198</v>
      </c>
      <c r="M1076" t="s">
        <v>199</v>
      </c>
      <c r="N1076" t="s">
        <v>297</v>
      </c>
      <c r="O1076" t="s">
        <v>82</v>
      </c>
      <c r="P1076" t="str">
        <f>"2170710166                    "</f>
        <v xml:space="preserve">2170710166                    </v>
      </c>
      <c r="Q1076">
        <v>0</v>
      </c>
      <c r="R1076">
        <v>0</v>
      </c>
      <c r="S1076">
        <v>0</v>
      </c>
      <c r="T1076">
        <v>0</v>
      </c>
      <c r="U1076">
        <v>0</v>
      </c>
      <c r="V1076">
        <v>0</v>
      </c>
      <c r="W1076">
        <v>0</v>
      </c>
      <c r="X1076">
        <v>0</v>
      </c>
      <c r="Y1076">
        <v>0</v>
      </c>
      <c r="Z1076">
        <v>0</v>
      </c>
      <c r="AA1076">
        <v>0</v>
      </c>
      <c r="AB1076">
        <v>0</v>
      </c>
      <c r="AC1076">
        <v>0</v>
      </c>
      <c r="AD1076">
        <v>0</v>
      </c>
      <c r="AE1076">
        <v>0</v>
      </c>
      <c r="AF1076">
        <v>0</v>
      </c>
      <c r="AG1076">
        <v>0</v>
      </c>
      <c r="AH1076">
        <v>0</v>
      </c>
      <c r="AI1076">
        <v>0</v>
      </c>
      <c r="AJ1076">
        <v>0</v>
      </c>
      <c r="AK1076">
        <v>0</v>
      </c>
      <c r="AL1076">
        <v>0</v>
      </c>
      <c r="AM1076">
        <v>8.58</v>
      </c>
      <c r="AN1076">
        <v>0</v>
      </c>
      <c r="AO1076">
        <v>0</v>
      </c>
      <c r="AP1076">
        <v>0</v>
      </c>
      <c r="AQ1076">
        <v>0</v>
      </c>
      <c r="AR1076">
        <v>0</v>
      </c>
      <c r="AS1076">
        <v>0</v>
      </c>
      <c r="AT1076">
        <v>0</v>
      </c>
      <c r="AU1076">
        <v>0</v>
      </c>
      <c r="AV1076">
        <v>0</v>
      </c>
      <c r="AW1076">
        <v>0</v>
      </c>
      <c r="AX1076">
        <v>0</v>
      </c>
      <c r="AY1076">
        <v>0</v>
      </c>
      <c r="AZ1076">
        <v>0</v>
      </c>
      <c r="BA1076">
        <v>0</v>
      </c>
      <c r="BB1076">
        <v>0</v>
      </c>
      <c r="BC1076">
        <v>0</v>
      </c>
      <c r="BD1076">
        <v>0</v>
      </c>
      <c r="BE1076">
        <v>0</v>
      </c>
      <c r="BF1076">
        <v>0</v>
      </c>
      <c r="BG1076">
        <v>0</v>
      </c>
      <c r="BH1076">
        <v>1</v>
      </c>
      <c r="BI1076">
        <v>1</v>
      </c>
      <c r="BJ1076">
        <v>0.2</v>
      </c>
      <c r="BK1076">
        <v>1</v>
      </c>
      <c r="BL1076" s="4">
        <v>50.45</v>
      </c>
      <c r="BM1076" s="4">
        <v>7.57</v>
      </c>
      <c r="BN1076" s="4">
        <v>58.02</v>
      </c>
      <c r="BO1076" s="4">
        <v>58.02</v>
      </c>
      <c r="BQ1076" t="s">
        <v>172</v>
      </c>
      <c r="BR1076" t="s">
        <v>84</v>
      </c>
      <c r="BS1076" s="3">
        <v>43810</v>
      </c>
      <c r="BT1076" s="5">
        <v>0.36944444444444446</v>
      </c>
      <c r="BU1076" t="s">
        <v>542</v>
      </c>
      <c r="BV1076" t="s">
        <v>86</v>
      </c>
      <c r="BY1076">
        <v>1200</v>
      </c>
      <c r="CA1076" t="s">
        <v>299</v>
      </c>
      <c r="CC1076" t="s">
        <v>199</v>
      </c>
      <c r="CD1076">
        <v>4000</v>
      </c>
      <c r="CE1076" t="s">
        <v>88</v>
      </c>
      <c r="CF1076" s="3">
        <v>43811</v>
      </c>
      <c r="CI1076">
        <v>1</v>
      </c>
      <c r="CJ1076">
        <v>1</v>
      </c>
      <c r="CK1076">
        <v>21</v>
      </c>
      <c r="CL1076" t="s">
        <v>89</v>
      </c>
    </row>
    <row r="1077" spans="1:90">
      <c r="A1077" t="s">
        <v>72</v>
      </c>
      <c r="B1077" t="s">
        <v>73</v>
      </c>
      <c r="C1077" t="s">
        <v>74</v>
      </c>
      <c r="E1077" t="str">
        <f>"FES1162727601"</f>
        <v>FES1162727601</v>
      </c>
      <c r="F1077" s="3">
        <v>43809</v>
      </c>
      <c r="G1077">
        <v>202006</v>
      </c>
      <c r="H1077" t="s">
        <v>75</v>
      </c>
      <c r="I1077" t="s">
        <v>76</v>
      </c>
      <c r="J1077" t="s">
        <v>77</v>
      </c>
      <c r="K1077" t="s">
        <v>78</v>
      </c>
      <c r="L1077" t="s">
        <v>221</v>
      </c>
      <c r="M1077" t="s">
        <v>222</v>
      </c>
      <c r="N1077" t="s">
        <v>845</v>
      </c>
      <c r="O1077" t="s">
        <v>82</v>
      </c>
      <c r="P1077" t="str">
        <f>"2170710904                    "</f>
        <v xml:space="preserve">2170710904                    </v>
      </c>
      <c r="Q1077">
        <v>0</v>
      </c>
      <c r="R1077">
        <v>0</v>
      </c>
      <c r="S1077">
        <v>0</v>
      </c>
      <c r="T1077">
        <v>0</v>
      </c>
      <c r="U1077">
        <v>0</v>
      </c>
      <c r="V1077">
        <v>0</v>
      </c>
      <c r="W1077">
        <v>0</v>
      </c>
      <c r="X1077">
        <v>0</v>
      </c>
      <c r="Y1077">
        <v>0</v>
      </c>
      <c r="Z1077">
        <v>0</v>
      </c>
      <c r="AA1077">
        <v>0</v>
      </c>
      <c r="AB1077">
        <v>0</v>
      </c>
      <c r="AC1077">
        <v>0</v>
      </c>
      <c r="AD1077">
        <v>0</v>
      </c>
      <c r="AE1077">
        <v>0</v>
      </c>
      <c r="AF1077">
        <v>0</v>
      </c>
      <c r="AG1077">
        <v>0</v>
      </c>
      <c r="AH1077">
        <v>0</v>
      </c>
      <c r="AI1077">
        <v>0</v>
      </c>
      <c r="AJ1077">
        <v>0</v>
      </c>
      <c r="AK1077">
        <v>0</v>
      </c>
      <c r="AL1077">
        <v>0</v>
      </c>
      <c r="AM1077">
        <v>8.58</v>
      </c>
      <c r="AN1077">
        <v>0</v>
      </c>
      <c r="AO1077">
        <v>0</v>
      </c>
      <c r="AP1077">
        <v>0</v>
      </c>
      <c r="AQ1077">
        <v>0</v>
      </c>
      <c r="AR1077">
        <v>0</v>
      </c>
      <c r="AS1077">
        <v>0</v>
      </c>
      <c r="AT1077">
        <v>0</v>
      </c>
      <c r="AU1077">
        <v>0</v>
      </c>
      <c r="AV1077">
        <v>0</v>
      </c>
      <c r="AW1077">
        <v>0</v>
      </c>
      <c r="AX1077">
        <v>0</v>
      </c>
      <c r="AY1077">
        <v>0</v>
      </c>
      <c r="AZ1077">
        <v>0</v>
      </c>
      <c r="BA1077">
        <v>0</v>
      </c>
      <c r="BB1077">
        <v>0</v>
      </c>
      <c r="BC1077">
        <v>0</v>
      </c>
      <c r="BD1077">
        <v>0</v>
      </c>
      <c r="BE1077">
        <v>0</v>
      </c>
      <c r="BF1077">
        <v>0</v>
      </c>
      <c r="BG1077">
        <v>0</v>
      </c>
      <c r="BH1077">
        <v>1</v>
      </c>
      <c r="BI1077">
        <v>1</v>
      </c>
      <c r="BJ1077">
        <v>0.2</v>
      </c>
      <c r="BK1077">
        <v>1</v>
      </c>
      <c r="BL1077" s="4">
        <v>50.45</v>
      </c>
      <c r="BM1077" s="4">
        <v>7.57</v>
      </c>
      <c r="BN1077" s="4">
        <v>58.02</v>
      </c>
      <c r="BO1077" s="4">
        <v>58.02</v>
      </c>
      <c r="BQ1077" t="s">
        <v>93</v>
      </c>
      <c r="BR1077" t="s">
        <v>84</v>
      </c>
      <c r="BS1077" s="3">
        <v>43810</v>
      </c>
      <c r="BT1077" s="5">
        <v>0.35069444444444442</v>
      </c>
      <c r="BU1077" t="s">
        <v>846</v>
      </c>
      <c r="BV1077" t="s">
        <v>86</v>
      </c>
      <c r="BY1077">
        <v>1200</v>
      </c>
      <c r="CA1077" t="s">
        <v>847</v>
      </c>
      <c r="CC1077" t="s">
        <v>222</v>
      </c>
      <c r="CD1077">
        <v>3201</v>
      </c>
      <c r="CE1077" t="s">
        <v>88</v>
      </c>
      <c r="CF1077" s="3">
        <v>43811</v>
      </c>
      <c r="CI1077">
        <v>1</v>
      </c>
      <c r="CJ1077">
        <v>1</v>
      </c>
      <c r="CK1077">
        <v>21</v>
      </c>
      <c r="CL1077" t="s">
        <v>89</v>
      </c>
    </row>
    <row r="1078" spans="1:90">
      <c r="A1078" t="s">
        <v>72</v>
      </c>
      <c r="B1078" t="s">
        <v>73</v>
      </c>
      <c r="C1078" t="s">
        <v>74</v>
      </c>
      <c r="E1078" t="str">
        <f>"FES1162727631"</f>
        <v>FES1162727631</v>
      </c>
      <c r="F1078" s="3">
        <v>43809</v>
      </c>
      <c r="G1078">
        <v>202006</v>
      </c>
      <c r="H1078" t="s">
        <v>75</v>
      </c>
      <c r="I1078" t="s">
        <v>76</v>
      </c>
      <c r="J1078" t="s">
        <v>77</v>
      </c>
      <c r="K1078" t="s">
        <v>78</v>
      </c>
      <c r="L1078" t="s">
        <v>90</v>
      </c>
      <c r="M1078" t="s">
        <v>91</v>
      </c>
      <c r="N1078" t="s">
        <v>1588</v>
      </c>
      <c r="O1078" t="s">
        <v>82</v>
      </c>
      <c r="P1078" t="str">
        <f>"2170721131                    "</f>
        <v xml:space="preserve">2170721131                    </v>
      </c>
      <c r="Q1078">
        <v>0</v>
      </c>
      <c r="R1078">
        <v>0</v>
      </c>
      <c r="S1078">
        <v>0</v>
      </c>
      <c r="T1078">
        <v>0</v>
      </c>
      <c r="U1078">
        <v>0</v>
      </c>
      <c r="V1078">
        <v>0</v>
      </c>
      <c r="W1078">
        <v>0</v>
      </c>
      <c r="X1078">
        <v>0</v>
      </c>
      <c r="Y1078">
        <v>0</v>
      </c>
      <c r="Z1078">
        <v>0</v>
      </c>
      <c r="AA1078">
        <v>0</v>
      </c>
      <c r="AB1078">
        <v>0</v>
      </c>
      <c r="AC1078">
        <v>0</v>
      </c>
      <c r="AD1078">
        <v>0</v>
      </c>
      <c r="AE1078">
        <v>0</v>
      </c>
      <c r="AF1078">
        <v>0</v>
      </c>
      <c r="AG1078">
        <v>0</v>
      </c>
      <c r="AH1078">
        <v>0</v>
      </c>
      <c r="AI1078">
        <v>0</v>
      </c>
      <c r="AJ1078">
        <v>0</v>
      </c>
      <c r="AK1078">
        <v>0</v>
      </c>
      <c r="AL1078">
        <v>0</v>
      </c>
      <c r="AM1078">
        <v>8.58</v>
      </c>
      <c r="AN1078">
        <v>0</v>
      </c>
      <c r="AO1078">
        <v>0</v>
      </c>
      <c r="AP1078">
        <v>0</v>
      </c>
      <c r="AQ1078">
        <v>0</v>
      </c>
      <c r="AR1078">
        <v>0</v>
      </c>
      <c r="AS1078">
        <v>0</v>
      </c>
      <c r="AT1078">
        <v>0</v>
      </c>
      <c r="AU1078">
        <v>0</v>
      </c>
      <c r="AV1078">
        <v>0</v>
      </c>
      <c r="AW1078">
        <v>0</v>
      </c>
      <c r="AX1078">
        <v>0</v>
      </c>
      <c r="AY1078">
        <v>0</v>
      </c>
      <c r="AZ1078">
        <v>0</v>
      </c>
      <c r="BA1078">
        <v>0</v>
      </c>
      <c r="BB1078">
        <v>0</v>
      </c>
      <c r="BC1078">
        <v>0</v>
      </c>
      <c r="BD1078">
        <v>0</v>
      </c>
      <c r="BE1078">
        <v>0</v>
      </c>
      <c r="BF1078">
        <v>0</v>
      </c>
      <c r="BG1078">
        <v>0</v>
      </c>
      <c r="BH1078">
        <v>1</v>
      </c>
      <c r="BI1078">
        <v>1</v>
      </c>
      <c r="BJ1078">
        <v>0.2</v>
      </c>
      <c r="BK1078">
        <v>1</v>
      </c>
      <c r="BL1078" s="4">
        <v>50.45</v>
      </c>
      <c r="BM1078" s="4">
        <v>7.57</v>
      </c>
      <c r="BN1078" s="4">
        <v>58.02</v>
      </c>
      <c r="BO1078" s="4">
        <v>58.02</v>
      </c>
      <c r="BQ1078" t="s">
        <v>93</v>
      </c>
      <c r="BR1078" t="s">
        <v>84</v>
      </c>
      <c r="BS1078" s="3">
        <v>43810</v>
      </c>
      <c r="BT1078" s="5">
        <v>0.41944444444444445</v>
      </c>
      <c r="BU1078" t="s">
        <v>1589</v>
      </c>
      <c r="BV1078" t="s">
        <v>86</v>
      </c>
      <c r="BY1078">
        <v>1200</v>
      </c>
      <c r="CA1078" t="s">
        <v>563</v>
      </c>
      <c r="CC1078" t="s">
        <v>91</v>
      </c>
      <c r="CD1078">
        <v>7460</v>
      </c>
      <c r="CE1078" t="s">
        <v>88</v>
      </c>
      <c r="CF1078" s="3">
        <v>43811</v>
      </c>
      <c r="CI1078">
        <v>1</v>
      </c>
      <c r="CJ1078">
        <v>1</v>
      </c>
      <c r="CK1078">
        <v>21</v>
      </c>
      <c r="CL1078" t="s">
        <v>89</v>
      </c>
    </row>
    <row r="1079" spans="1:90">
      <c r="A1079" t="s">
        <v>72</v>
      </c>
      <c r="B1079" t="s">
        <v>73</v>
      </c>
      <c r="C1079" t="s">
        <v>74</v>
      </c>
      <c r="E1079" t="str">
        <f>"FES1162727581"</f>
        <v>FES1162727581</v>
      </c>
      <c r="F1079" s="3">
        <v>43809</v>
      </c>
      <c r="G1079">
        <v>202006</v>
      </c>
      <c r="H1079" t="s">
        <v>75</v>
      </c>
      <c r="I1079" t="s">
        <v>76</v>
      </c>
      <c r="J1079" t="s">
        <v>77</v>
      </c>
      <c r="K1079" t="s">
        <v>78</v>
      </c>
      <c r="L1079" t="s">
        <v>169</v>
      </c>
      <c r="M1079" t="s">
        <v>170</v>
      </c>
      <c r="N1079" t="s">
        <v>772</v>
      </c>
      <c r="O1079" t="s">
        <v>82</v>
      </c>
      <c r="P1079" t="str">
        <f>"2170720165                    "</f>
        <v xml:space="preserve">2170720165                    </v>
      </c>
      <c r="Q1079">
        <v>0</v>
      </c>
      <c r="R1079">
        <v>0</v>
      </c>
      <c r="S1079">
        <v>0</v>
      </c>
      <c r="T1079">
        <v>0</v>
      </c>
      <c r="U1079">
        <v>0</v>
      </c>
      <c r="V1079">
        <v>0</v>
      </c>
      <c r="W1079">
        <v>0</v>
      </c>
      <c r="X1079">
        <v>0</v>
      </c>
      <c r="Y1079">
        <v>0</v>
      </c>
      <c r="Z1079">
        <v>0</v>
      </c>
      <c r="AA1079">
        <v>0</v>
      </c>
      <c r="AB1079">
        <v>0</v>
      </c>
      <c r="AC1079">
        <v>0</v>
      </c>
      <c r="AD1079">
        <v>0</v>
      </c>
      <c r="AE1079">
        <v>0</v>
      </c>
      <c r="AF1079">
        <v>0</v>
      </c>
      <c r="AG1079">
        <v>0</v>
      </c>
      <c r="AH1079">
        <v>0</v>
      </c>
      <c r="AI1079">
        <v>0</v>
      </c>
      <c r="AJ1079">
        <v>0</v>
      </c>
      <c r="AK1079">
        <v>0</v>
      </c>
      <c r="AL1079">
        <v>0</v>
      </c>
      <c r="AM1079">
        <v>9.1199999999999992</v>
      </c>
      <c r="AN1079">
        <v>0</v>
      </c>
      <c r="AO1079">
        <v>0</v>
      </c>
      <c r="AP1079">
        <v>0</v>
      </c>
      <c r="AQ1079">
        <v>0</v>
      </c>
      <c r="AR1079">
        <v>0</v>
      </c>
      <c r="AS1079">
        <v>0</v>
      </c>
      <c r="AT1079">
        <v>0</v>
      </c>
      <c r="AU1079">
        <v>0</v>
      </c>
      <c r="AV1079">
        <v>0</v>
      </c>
      <c r="AW1079">
        <v>0</v>
      </c>
      <c r="AX1079">
        <v>0</v>
      </c>
      <c r="AY1079">
        <v>0</v>
      </c>
      <c r="AZ1079">
        <v>0</v>
      </c>
      <c r="BA1079">
        <v>0</v>
      </c>
      <c r="BB1079">
        <v>0</v>
      </c>
      <c r="BC1079">
        <v>0</v>
      </c>
      <c r="BD1079">
        <v>0</v>
      </c>
      <c r="BE1079">
        <v>0</v>
      </c>
      <c r="BF1079">
        <v>0</v>
      </c>
      <c r="BG1079">
        <v>0</v>
      </c>
      <c r="BH1079">
        <v>1</v>
      </c>
      <c r="BI1079">
        <v>3.4</v>
      </c>
      <c r="BJ1079">
        <v>1.4</v>
      </c>
      <c r="BK1079">
        <v>3.5</v>
      </c>
      <c r="BL1079" s="4">
        <v>53.59</v>
      </c>
      <c r="BM1079" s="4">
        <v>8.0399999999999991</v>
      </c>
      <c r="BN1079" s="4">
        <v>61.63</v>
      </c>
      <c r="BO1079" s="4">
        <v>61.63</v>
      </c>
      <c r="BQ1079" t="s">
        <v>147</v>
      </c>
      <c r="BR1079" t="s">
        <v>84</v>
      </c>
      <c r="BS1079" s="3">
        <v>43810</v>
      </c>
      <c r="BT1079" s="5">
        <v>0.4375</v>
      </c>
      <c r="BU1079" t="s">
        <v>638</v>
      </c>
      <c r="BV1079" t="s">
        <v>86</v>
      </c>
      <c r="BY1079">
        <v>7049.16</v>
      </c>
      <c r="CC1079" t="s">
        <v>170</v>
      </c>
      <c r="CD1079">
        <v>1459</v>
      </c>
      <c r="CE1079" t="s">
        <v>96</v>
      </c>
      <c r="CF1079" s="3">
        <v>43811</v>
      </c>
      <c r="CI1079">
        <v>1</v>
      </c>
      <c r="CJ1079">
        <v>1</v>
      </c>
      <c r="CK1079">
        <v>22</v>
      </c>
      <c r="CL1079" t="s">
        <v>89</v>
      </c>
    </row>
    <row r="1080" spans="1:90">
      <c r="A1080" t="s">
        <v>72</v>
      </c>
      <c r="B1080" t="s">
        <v>73</v>
      </c>
      <c r="C1080" t="s">
        <v>74</v>
      </c>
      <c r="E1080" t="str">
        <f>"FES1162727608"</f>
        <v>FES1162727608</v>
      </c>
      <c r="F1080" s="3">
        <v>43809</v>
      </c>
      <c r="G1080">
        <v>202006</v>
      </c>
      <c r="H1080" t="s">
        <v>75</v>
      </c>
      <c r="I1080" t="s">
        <v>76</v>
      </c>
      <c r="J1080" t="s">
        <v>77</v>
      </c>
      <c r="K1080" t="s">
        <v>78</v>
      </c>
      <c r="L1080" t="s">
        <v>75</v>
      </c>
      <c r="M1080" t="s">
        <v>76</v>
      </c>
      <c r="N1080" t="s">
        <v>1590</v>
      </c>
      <c r="O1080" t="s">
        <v>82</v>
      </c>
      <c r="P1080" t="str">
        <f>"217071101                     "</f>
        <v xml:space="preserve">217071101                     </v>
      </c>
      <c r="Q1080">
        <v>0</v>
      </c>
      <c r="R1080">
        <v>0</v>
      </c>
      <c r="S1080">
        <v>0</v>
      </c>
      <c r="T1080">
        <v>0</v>
      </c>
      <c r="U1080">
        <v>0</v>
      </c>
      <c r="V1080">
        <v>0</v>
      </c>
      <c r="W1080">
        <v>0</v>
      </c>
      <c r="X1080">
        <v>0</v>
      </c>
      <c r="Y1080">
        <v>0</v>
      </c>
      <c r="Z1080">
        <v>0</v>
      </c>
      <c r="AA1080">
        <v>0</v>
      </c>
      <c r="AB1080">
        <v>0</v>
      </c>
      <c r="AC1080">
        <v>0</v>
      </c>
      <c r="AD1080">
        <v>0</v>
      </c>
      <c r="AE1080">
        <v>0</v>
      </c>
      <c r="AF1080">
        <v>0</v>
      </c>
      <c r="AG1080">
        <v>0</v>
      </c>
      <c r="AH1080">
        <v>0</v>
      </c>
      <c r="AI1080">
        <v>0</v>
      </c>
      <c r="AJ1080">
        <v>0</v>
      </c>
      <c r="AK1080">
        <v>0</v>
      </c>
      <c r="AL1080">
        <v>0</v>
      </c>
      <c r="AM1080">
        <v>13.13</v>
      </c>
      <c r="AN1080">
        <v>0</v>
      </c>
      <c r="AO1080">
        <v>0</v>
      </c>
      <c r="AP1080">
        <v>0</v>
      </c>
      <c r="AQ1080">
        <v>0</v>
      </c>
      <c r="AR1080">
        <v>0</v>
      </c>
      <c r="AS1080">
        <v>0</v>
      </c>
      <c r="AT1080">
        <v>0</v>
      </c>
      <c r="AU1080">
        <v>0</v>
      </c>
      <c r="AV1080">
        <v>0</v>
      </c>
      <c r="AW1080">
        <v>0</v>
      </c>
      <c r="AX1080">
        <v>0</v>
      </c>
      <c r="AY1080">
        <v>0</v>
      </c>
      <c r="AZ1080">
        <v>0</v>
      </c>
      <c r="BA1080">
        <v>0</v>
      </c>
      <c r="BB1080">
        <v>0</v>
      </c>
      <c r="BC1080">
        <v>0</v>
      </c>
      <c r="BD1080">
        <v>0</v>
      </c>
      <c r="BE1080">
        <v>0</v>
      </c>
      <c r="BF1080">
        <v>0</v>
      </c>
      <c r="BG1080">
        <v>0</v>
      </c>
      <c r="BH1080">
        <v>1</v>
      </c>
      <c r="BI1080">
        <v>3.7</v>
      </c>
      <c r="BJ1080">
        <v>5.6</v>
      </c>
      <c r="BK1080">
        <v>6</v>
      </c>
      <c r="BL1080" s="4">
        <v>77.2</v>
      </c>
      <c r="BM1080" s="4">
        <v>11.58</v>
      </c>
      <c r="BN1080" s="4">
        <v>88.78</v>
      </c>
      <c r="BO1080" s="4">
        <v>88.78</v>
      </c>
      <c r="BR1080" t="s">
        <v>84</v>
      </c>
      <c r="BS1080" s="3">
        <v>43810</v>
      </c>
      <c r="BT1080" s="5">
        <v>0.25</v>
      </c>
      <c r="BU1080" t="s">
        <v>1591</v>
      </c>
      <c r="BV1080" t="s">
        <v>86</v>
      </c>
      <c r="BY1080">
        <v>27855.07</v>
      </c>
      <c r="CA1080" t="s">
        <v>588</v>
      </c>
      <c r="CC1080" t="s">
        <v>76</v>
      </c>
      <c r="CD1080">
        <v>1600</v>
      </c>
      <c r="CE1080" t="s">
        <v>116</v>
      </c>
      <c r="CI1080">
        <v>1</v>
      </c>
      <c r="CJ1080">
        <v>1</v>
      </c>
      <c r="CK1080">
        <v>22</v>
      </c>
      <c r="CL1080" t="s">
        <v>89</v>
      </c>
    </row>
    <row r="1081" spans="1:90">
      <c r="A1081" t="s">
        <v>72</v>
      </c>
      <c r="B1081" t="s">
        <v>73</v>
      </c>
      <c r="C1081" t="s">
        <v>74</v>
      </c>
      <c r="E1081" t="str">
        <f>"FES1162727568"</f>
        <v>FES1162727568</v>
      </c>
      <c r="F1081" s="3">
        <v>43809</v>
      </c>
      <c r="G1081">
        <v>202006</v>
      </c>
      <c r="H1081" t="s">
        <v>75</v>
      </c>
      <c r="I1081" t="s">
        <v>76</v>
      </c>
      <c r="J1081" t="s">
        <v>77</v>
      </c>
      <c r="K1081" t="s">
        <v>78</v>
      </c>
      <c r="L1081" t="s">
        <v>201</v>
      </c>
      <c r="M1081" t="s">
        <v>202</v>
      </c>
      <c r="N1081" t="s">
        <v>1592</v>
      </c>
      <c r="O1081" t="s">
        <v>82</v>
      </c>
      <c r="P1081" t="str">
        <f>"217071049                     "</f>
        <v xml:space="preserve">217071049                     </v>
      </c>
      <c r="Q1081">
        <v>0</v>
      </c>
      <c r="R1081">
        <v>0</v>
      </c>
      <c r="S1081">
        <v>0</v>
      </c>
      <c r="T1081">
        <v>0</v>
      </c>
      <c r="U1081">
        <v>0</v>
      </c>
      <c r="V1081">
        <v>0</v>
      </c>
      <c r="W1081">
        <v>0</v>
      </c>
      <c r="X1081">
        <v>0</v>
      </c>
      <c r="Y1081">
        <v>0</v>
      </c>
      <c r="Z1081">
        <v>0</v>
      </c>
      <c r="AA1081">
        <v>0</v>
      </c>
      <c r="AB1081">
        <v>0</v>
      </c>
      <c r="AC1081">
        <v>0</v>
      </c>
      <c r="AD1081">
        <v>0</v>
      </c>
      <c r="AE1081">
        <v>0</v>
      </c>
      <c r="AF1081">
        <v>0</v>
      </c>
      <c r="AG1081">
        <v>0</v>
      </c>
      <c r="AH1081">
        <v>0</v>
      </c>
      <c r="AI1081">
        <v>0</v>
      </c>
      <c r="AJ1081">
        <v>0</v>
      </c>
      <c r="AK1081">
        <v>0</v>
      </c>
      <c r="AL1081">
        <v>0</v>
      </c>
      <c r="AM1081">
        <v>8.58</v>
      </c>
      <c r="AN1081">
        <v>0</v>
      </c>
      <c r="AO1081">
        <v>0</v>
      </c>
      <c r="AP1081">
        <v>0</v>
      </c>
      <c r="AQ1081">
        <v>0</v>
      </c>
      <c r="AR1081">
        <v>0</v>
      </c>
      <c r="AS1081">
        <v>0</v>
      </c>
      <c r="AT1081">
        <v>0</v>
      </c>
      <c r="AU1081">
        <v>0</v>
      </c>
      <c r="AV1081">
        <v>0</v>
      </c>
      <c r="AW1081">
        <v>0</v>
      </c>
      <c r="AX1081">
        <v>0</v>
      </c>
      <c r="AY1081">
        <v>0</v>
      </c>
      <c r="AZ1081">
        <v>0</v>
      </c>
      <c r="BA1081">
        <v>0</v>
      </c>
      <c r="BB1081">
        <v>0</v>
      </c>
      <c r="BC1081">
        <v>0</v>
      </c>
      <c r="BD1081">
        <v>0</v>
      </c>
      <c r="BE1081">
        <v>0</v>
      </c>
      <c r="BF1081">
        <v>0</v>
      </c>
      <c r="BG1081">
        <v>0</v>
      </c>
      <c r="BH1081">
        <v>1</v>
      </c>
      <c r="BI1081">
        <v>1</v>
      </c>
      <c r="BJ1081">
        <v>0.2</v>
      </c>
      <c r="BK1081">
        <v>1</v>
      </c>
      <c r="BL1081" s="4">
        <v>50.45</v>
      </c>
      <c r="BM1081" s="4">
        <v>7.57</v>
      </c>
      <c r="BN1081" s="4">
        <v>58.02</v>
      </c>
      <c r="BO1081" s="4">
        <v>58.02</v>
      </c>
      <c r="BQ1081" t="s">
        <v>147</v>
      </c>
      <c r="BR1081" t="s">
        <v>84</v>
      </c>
      <c r="BS1081" s="3">
        <v>43810</v>
      </c>
      <c r="BT1081" s="5">
        <v>0.36041666666666666</v>
      </c>
      <c r="BU1081" t="s">
        <v>1593</v>
      </c>
      <c r="BV1081" t="s">
        <v>86</v>
      </c>
      <c r="BY1081">
        <v>1200</v>
      </c>
      <c r="CA1081" t="s">
        <v>205</v>
      </c>
      <c r="CC1081" t="s">
        <v>202</v>
      </c>
      <c r="CD1081">
        <v>3610</v>
      </c>
      <c r="CE1081" t="s">
        <v>88</v>
      </c>
      <c r="CF1081" s="3">
        <v>43811</v>
      </c>
      <c r="CI1081">
        <v>1</v>
      </c>
      <c r="CJ1081">
        <v>1</v>
      </c>
      <c r="CK1081">
        <v>21</v>
      </c>
      <c r="CL1081" t="s">
        <v>89</v>
      </c>
    </row>
    <row r="1082" spans="1:90">
      <c r="A1082" t="s">
        <v>72</v>
      </c>
      <c r="B1082" t="s">
        <v>73</v>
      </c>
      <c r="C1082" t="s">
        <v>74</v>
      </c>
      <c r="E1082" t="str">
        <f>"FES1162727606"</f>
        <v>FES1162727606</v>
      </c>
      <c r="F1082" s="3">
        <v>43809</v>
      </c>
      <c r="G1082">
        <v>202006</v>
      </c>
      <c r="H1082" t="s">
        <v>75</v>
      </c>
      <c r="I1082" t="s">
        <v>76</v>
      </c>
      <c r="J1082" t="s">
        <v>77</v>
      </c>
      <c r="K1082" t="s">
        <v>78</v>
      </c>
      <c r="L1082" t="s">
        <v>198</v>
      </c>
      <c r="M1082" t="s">
        <v>199</v>
      </c>
      <c r="N1082" t="s">
        <v>496</v>
      </c>
      <c r="O1082" t="s">
        <v>82</v>
      </c>
      <c r="P1082" t="str">
        <f>"2170710099                    "</f>
        <v xml:space="preserve">2170710099                    </v>
      </c>
      <c r="Q1082">
        <v>0</v>
      </c>
      <c r="R1082">
        <v>0</v>
      </c>
      <c r="S1082">
        <v>0</v>
      </c>
      <c r="T1082">
        <v>0</v>
      </c>
      <c r="U1082">
        <v>0</v>
      </c>
      <c r="V1082">
        <v>0</v>
      </c>
      <c r="W1082">
        <v>0</v>
      </c>
      <c r="X1082">
        <v>0</v>
      </c>
      <c r="Y1082">
        <v>0</v>
      </c>
      <c r="Z1082">
        <v>0</v>
      </c>
      <c r="AA1082">
        <v>0</v>
      </c>
      <c r="AB1082">
        <v>0</v>
      </c>
      <c r="AC1082">
        <v>0</v>
      </c>
      <c r="AD1082">
        <v>0</v>
      </c>
      <c r="AE1082">
        <v>0</v>
      </c>
      <c r="AF1082">
        <v>0</v>
      </c>
      <c r="AG1082">
        <v>0</v>
      </c>
      <c r="AH1082">
        <v>0</v>
      </c>
      <c r="AI1082">
        <v>0</v>
      </c>
      <c r="AJ1082">
        <v>0</v>
      </c>
      <c r="AK1082">
        <v>0</v>
      </c>
      <c r="AL1082">
        <v>0</v>
      </c>
      <c r="AM1082">
        <v>23.59</v>
      </c>
      <c r="AN1082">
        <v>0</v>
      </c>
      <c r="AO1082">
        <v>0</v>
      </c>
      <c r="AP1082">
        <v>0</v>
      </c>
      <c r="AQ1082">
        <v>0</v>
      </c>
      <c r="AR1082">
        <v>0</v>
      </c>
      <c r="AS1082">
        <v>0</v>
      </c>
      <c r="AT1082">
        <v>0</v>
      </c>
      <c r="AU1082">
        <v>0</v>
      </c>
      <c r="AV1082">
        <v>0</v>
      </c>
      <c r="AW1082">
        <v>0</v>
      </c>
      <c r="AX1082">
        <v>0</v>
      </c>
      <c r="AY1082">
        <v>0</v>
      </c>
      <c r="AZ1082">
        <v>0</v>
      </c>
      <c r="BA1082">
        <v>0</v>
      </c>
      <c r="BB1082">
        <v>0</v>
      </c>
      <c r="BC1082">
        <v>0</v>
      </c>
      <c r="BD1082">
        <v>0</v>
      </c>
      <c r="BE1082">
        <v>0</v>
      </c>
      <c r="BF1082">
        <v>0</v>
      </c>
      <c r="BG1082">
        <v>0</v>
      </c>
      <c r="BH1082">
        <v>1</v>
      </c>
      <c r="BI1082">
        <v>5.0999999999999996</v>
      </c>
      <c r="BJ1082">
        <v>3.2</v>
      </c>
      <c r="BK1082">
        <v>5.5</v>
      </c>
      <c r="BL1082" s="4">
        <v>138.68</v>
      </c>
      <c r="BM1082" s="4">
        <v>20.8</v>
      </c>
      <c r="BN1082" s="4">
        <v>159.47999999999999</v>
      </c>
      <c r="BO1082" s="4">
        <v>159.47999999999999</v>
      </c>
      <c r="BQ1082" t="s">
        <v>93</v>
      </c>
      <c r="BR1082" t="s">
        <v>84</v>
      </c>
      <c r="BS1082" s="3">
        <v>43810</v>
      </c>
      <c r="BT1082" s="5">
        <v>0.37013888888888885</v>
      </c>
      <c r="BU1082" t="s">
        <v>1594</v>
      </c>
      <c r="BV1082" t="s">
        <v>86</v>
      </c>
      <c r="BY1082">
        <v>15851.47</v>
      </c>
      <c r="CA1082" t="s">
        <v>212</v>
      </c>
      <c r="CC1082" t="s">
        <v>199</v>
      </c>
      <c r="CD1082">
        <v>4052</v>
      </c>
      <c r="CE1082" t="s">
        <v>96</v>
      </c>
      <c r="CF1082" s="3">
        <v>43811</v>
      </c>
      <c r="CI1082">
        <v>1</v>
      </c>
      <c r="CJ1082">
        <v>1</v>
      </c>
      <c r="CK1082">
        <v>21</v>
      </c>
      <c r="CL1082" t="s">
        <v>89</v>
      </c>
    </row>
    <row r="1083" spans="1:90">
      <c r="A1083" t="s">
        <v>72</v>
      </c>
      <c r="B1083" t="s">
        <v>73</v>
      </c>
      <c r="C1083" t="s">
        <v>74</v>
      </c>
      <c r="E1083" t="str">
        <f>"FES1162727600"</f>
        <v>FES1162727600</v>
      </c>
      <c r="F1083" s="3">
        <v>43809</v>
      </c>
      <c r="G1083">
        <v>202006</v>
      </c>
      <c r="H1083" t="s">
        <v>75</v>
      </c>
      <c r="I1083" t="s">
        <v>76</v>
      </c>
      <c r="J1083" t="s">
        <v>77</v>
      </c>
      <c r="K1083" t="s">
        <v>78</v>
      </c>
      <c r="L1083" t="s">
        <v>198</v>
      </c>
      <c r="M1083" t="s">
        <v>199</v>
      </c>
      <c r="N1083" t="s">
        <v>297</v>
      </c>
      <c r="O1083" t="s">
        <v>82</v>
      </c>
      <c r="P1083" t="str">
        <f>"217071092                     "</f>
        <v xml:space="preserve">217071092                     </v>
      </c>
      <c r="Q1083">
        <v>0</v>
      </c>
      <c r="R1083">
        <v>0</v>
      </c>
      <c r="S1083">
        <v>0</v>
      </c>
      <c r="T1083">
        <v>0</v>
      </c>
      <c r="U1083">
        <v>0</v>
      </c>
      <c r="V1083">
        <v>0</v>
      </c>
      <c r="W1083">
        <v>0</v>
      </c>
      <c r="X1083">
        <v>0</v>
      </c>
      <c r="Y1083">
        <v>0</v>
      </c>
      <c r="Z1083">
        <v>0</v>
      </c>
      <c r="AA1083">
        <v>0</v>
      </c>
      <c r="AB1083">
        <v>0</v>
      </c>
      <c r="AC1083">
        <v>0</v>
      </c>
      <c r="AD1083">
        <v>0</v>
      </c>
      <c r="AE1083">
        <v>0</v>
      </c>
      <c r="AF1083">
        <v>0</v>
      </c>
      <c r="AG1083">
        <v>0</v>
      </c>
      <c r="AH1083">
        <v>0</v>
      </c>
      <c r="AI1083">
        <v>0</v>
      </c>
      <c r="AJ1083">
        <v>0</v>
      </c>
      <c r="AK1083">
        <v>0</v>
      </c>
      <c r="AL1083">
        <v>0</v>
      </c>
      <c r="AM1083">
        <v>8.58</v>
      </c>
      <c r="AN1083">
        <v>0</v>
      </c>
      <c r="AO1083">
        <v>0</v>
      </c>
      <c r="AP1083">
        <v>0</v>
      </c>
      <c r="AQ1083">
        <v>0</v>
      </c>
      <c r="AR1083">
        <v>0</v>
      </c>
      <c r="AS1083">
        <v>0</v>
      </c>
      <c r="AT1083">
        <v>0</v>
      </c>
      <c r="AU1083">
        <v>0</v>
      </c>
      <c r="AV1083">
        <v>0</v>
      </c>
      <c r="AW1083">
        <v>0</v>
      </c>
      <c r="AX1083">
        <v>0</v>
      </c>
      <c r="AY1083">
        <v>0</v>
      </c>
      <c r="AZ1083">
        <v>0</v>
      </c>
      <c r="BA1083">
        <v>0</v>
      </c>
      <c r="BB1083">
        <v>0</v>
      </c>
      <c r="BC1083">
        <v>0</v>
      </c>
      <c r="BD1083">
        <v>0</v>
      </c>
      <c r="BE1083">
        <v>0</v>
      </c>
      <c r="BF1083">
        <v>0</v>
      </c>
      <c r="BG1083">
        <v>0</v>
      </c>
      <c r="BH1083">
        <v>1</v>
      </c>
      <c r="BI1083">
        <v>1</v>
      </c>
      <c r="BJ1083">
        <v>1</v>
      </c>
      <c r="BK1083">
        <v>1</v>
      </c>
      <c r="BL1083" s="4">
        <v>50.45</v>
      </c>
      <c r="BM1083" s="4">
        <v>7.57</v>
      </c>
      <c r="BN1083" s="4">
        <v>58.02</v>
      </c>
      <c r="BO1083" s="4">
        <v>58.02</v>
      </c>
      <c r="BQ1083" t="s">
        <v>172</v>
      </c>
      <c r="BR1083" t="s">
        <v>84</v>
      </c>
      <c r="BS1083" s="3">
        <v>43810</v>
      </c>
      <c r="BT1083" s="5">
        <v>0.36944444444444446</v>
      </c>
      <c r="BU1083" t="s">
        <v>542</v>
      </c>
      <c r="BV1083" t="s">
        <v>86</v>
      </c>
      <c r="BY1083">
        <v>4890.8999999999996</v>
      </c>
      <c r="CA1083" t="s">
        <v>299</v>
      </c>
      <c r="CC1083" t="s">
        <v>199</v>
      </c>
      <c r="CD1083">
        <v>4000</v>
      </c>
      <c r="CE1083" t="s">
        <v>96</v>
      </c>
      <c r="CF1083" s="3">
        <v>43811</v>
      </c>
      <c r="CI1083">
        <v>1</v>
      </c>
      <c r="CJ1083">
        <v>1</v>
      </c>
      <c r="CK1083">
        <v>21</v>
      </c>
      <c r="CL1083" t="s">
        <v>89</v>
      </c>
    </row>
    <row r="1084" spans="1:90">
      <c r="A1084" t="s">
        <v>72</v>
      </c>
      <c r="B1084" t="s">
        <v>73</v>
      </c>
      <c r="C1084" t="s">
        <v>74</v>
      </c>
      <c r="E1084" t="str">
        <f>"FES1162727549"</f>
        <v>FES1162727549</v>
      </c>
      <c r="F1084" s="3">
        <v>43809</v>
      </c>
      <c r="G1084">
        <v>202006</v>
      </c>
      <c r="H1084" t="s">
        <v>75</v>
      </c>
      <c r="I1084" t="s">
        <v>76</v>
      </c>
      <c r="J1084" t="s">
        <v>77</v>
      </c>
      <c r="K1084" t="s">
        <v>78</v>
      </c>
      <c r="L1084" t="s">
        <v>332</v>
      </c>
      <c r="M1084" t="s">
        <v>333</v>
      </c>
      <c r="N1084" t="s">
        <v>701</v>
      </c>
      <c r="O1084" t="s">
        <v>82</v>
      </c>
      <c r="P1084" t="str">
        <f>"21707120981                   "</f>
        <v xml:space="preserve">21707120981                   </v>
      </c>
      <c r="Q1084">
        <v>0</v>
      </c>
      <c r="R1084">
        <v>0</v>
      </c>
      <c r="S1084">
        <v>0</v>
      </c>
      <c r="T1084">
        <v>0</v>
      </c>
      <c r="U1084">
        <v>0</v>
      </c>
      <c r="V1084">
        <v>0</v>
      </c>
      <c r="W1084">
        <v>0</v>
      </c>
      <c r="X1084">
        <v>0</v>
      </c>
      <c r="Y1084">
        <v>0</v>
      </c>
      <c r="Z1084">
        <v>0</v>
      </c>
      <c r="AA1084">
        <v>0</v>
      </c>
      <c r="AB1084">
        <v>0</v>
      </c>
      <c r="AC1084">
        <v>0</v>
      </c>
      <c r="AD1084">
        <v>0</v>
      </c>
      <c r="AE1084">
        <v>0</v>
      </c>
      <c r="AF1084">
        <v>0</v>
      </c>
      <c r="AG1084">
        <v>0</v>
      </c>
      <c r="AH1084">
        <v>0</v>
      </c>
      <c r="AI1084">
        <v>0</v>
      </c>
      <c r="AJ1084">
        <v>0</v>
      </c>
      <c r="AK1084">
        <v>0</v>
      </c>
      <c r="AL1084">
        <v>0</v>
      </c>
      <c r="AM1084">
        <v>11.53</v>
      </c>
      <c r="AN1084">
        <v>0</v>
      </c>
      <c r="AO1084">
        <v>0</v>
      </c>
      <c r="AP1084">
        <v>0</v>
      </c>
      <c r="AQ1084">
        <v>0</v>
      </c>
      <c r="AR1084">
        <v>0</v>
      </c>
      <c r="AS1084">
        <v>0</v>
      </c>
      <c r="AT1084">
        <v>0</v>
      </c>
      <c r="AU1084">
        <v>0</v>
      </c>
      <c r="AV1084">
        <v>0</v>
      </c>
      <c r="AW1084">
        <v>0</v>
      </c>
      <c r="AX1084">
        <v>0</v>
      </c>
      <c r="AY1084">
        <v>0</v>
      </c>
      <c r="AZ1084">
        <v>0</v>
      </c>
      <c r="BA1084">
        <v>0</v>
      </c>
      <c r="BB1084">
        <v>0</v>
      </c>
      <c r="BC1084">
        <v>0</v>
      </c>
      <c r="BD1084">
        <v>0</v>
      </c>
      <c r="BE1084">
        <v>0</v>
      </c>
      <c r="BF1084">
        <v>0</v>
      </c>
      <c r="BG1084">
        <v>0</v>
      </c>
      <c r="BH1084">
        <v>1</v>
      </c>
      <c r="BI1084">
        <v>5</v>
      </c>
      <c r="BJ1084">
        <v>3.2</v>
      </c>
      <c r="BK1084">
        <v>5</v>
      </c>
      <c r="BL1084" s="4">
        <v>67.760000000000005</v>
      </c>
      <c r="BM1084" s="4">
        <v>10.16</v>
      </c>
      <c r="BN1084" s="4">
        <v>77.92</v>
      </c>
      <c r="BO1084" s="4">
        <v>77.92</v>
      </c>
      <c r="BQ1084" t="s">
        <v>93</v>
      </c>
      <c r="BR1084" t="s">
        <v>84</v>
      </c>
      <c r="BS1084" s="3">
        <v>43810</v>
      </c>
      <c r="BT1084" s="5">
        <v>0.40138888888888885</v>
      </c>
      <c r="BU1084" t="s">
        <v>1358</v>
      </c>
      <c r="BV1084" t="s">
        <v>86</v>
      </c>
      <c r="BY1084">
        <v>16210.04</v>
      </c>
      <c r="CC1084" t="s">
        <v>333</v>
      </c>
      <c r="CD1084">
        <v>2094</v>
      </c>
      <c r="CE1084" t="s">
        <v>96</v>
      </c>
      <c r="CF1084" s="3">
        <v>43811</v>
      </c>
      <c r="CI1084">
        <v>1</v>
      </c>
      <c r="CJ1084">
        <v>1</v>
      </c>
      <c r="CK1084">
        <v>22</v>
      </c>
      <c r="CL1084" t="s">
        <v>89</v>
      </c>
    </row>
    <row r="1085" spans="1:90">
      <c r="A1085" t="s">
        <v>72</v>
      </c>
      <c r="B1085" t="s">
        <v>73</v>
      </c>
      <c r="C1085" t="s">
        <v>74</v>
      </c>
      <c r="E1085" t="str">
        <f>"FES1162727602"</f>
        <v>FES1162727602</v>
      </c>
      <c r="F1085" s="3">
        <v>43809</v>
      </c>
      <c r="G1085">
        <v>202006</v>
      </c>
      <c r="H1085" t="s">
        <v>75</v>
      </c>
      <c r="I1085" t="s">
        <v>76</v>
      </c>
      <c r="J1085" t="s">
        <v>77</v>
      </c>
      <c r="K1085" t="s">
        <v>78</v>
      </c>
      <c r="L1085" t="s">
        <v>79</v>
      </c>
      <c r="M1085" t="s">
        <v>80</v>
      </c>
      <c r="N1085" t="s">
        <v>388</v>
      </c>
      <c r="O1085" t="s">
        <v>82</v>
      </c>
      <c r="P1085" t="str">
        <f>"2170721090                    "</f>
        <v xml:space="preserve">2170721090                    </v>
      </c>
      <c r="Q1085">
        <v>0</v>
      </c>
      <c r="R1085">
        <v>0</v>
      </c>
      <c r="S1085">
        <v>0</v>
      </c>
      <c r="T1085">
        <v>0</v>
      </c>
      <c r="U1085">
        <v>0</v>
      </c>
      <c r="V1085">
        <v>0</v>
      </c>
      <c r="W1085">
        <v>0</v>
      </c>
      <c r="X1085">
        <v>0</v>
      </c>
      <c r="Y1085">
        <v>0</v>
      </c>
      <c r="Z1085">
        <v>0</v>
      </c>
      <c r="AA1085">
        <v>0</v>
      </c>
      <c r="AB1085">
        <v>0</v>
      </c>
      <c r="AC1085">
        <v>0</v>
      </c>
      <c r="AD1085">
        <v>0</v>
      </c>
      <c r="AE1085">
        <v>0</v>
      </c>
      <c r="AF1085">
        <v>0</v>
      </c>
      <c r="AG1085">
        <v>0</v>
      </c>
      <c r="AH1085">
        <v>0</v>
      </c>
      <c r="AI1085">
        <v>0</v>
      </c>
      <c r="AJ1085">
        <v>0</v>
      </c>
      <c r="AK1085">
        <v>0</v>
      </c>
      <c r="AL1085">
        <v>0</v>
      </c>
      <c r="AM1085">
        <v>47.18</v>
      </c>
      <c r="AN1085">
        <v>0</v>
      </c>
      <c r="AO1085">
        <v>0</v>
      </c>
      <c r="AP1085">
        <v>0</v>
      </c>
      <c r="AQ1085">
        <v>0</v>
      </c>
      <c r="AR1085">
        <v>0</v>
      </c>
      <c r="AS1085">
        <v>0</v>
      </c>
      <c r="AT1085">
        <v>0</v>
      </c>
      <c r="AU1085">
        <v>0</v>
      </c>
      <c r="AV1085">
        <v>0</v>
      </c>
      <c r="AW1085">
        <v>0</v>
      </c>
      <c r="AX1085">
        <v>0</v>
      </c>
      <c r="AY1085">
        <v>0</v>
      </c>
      <c r="AZ1085">
        <v>0</v>
      </c>
      <c r="BA1085">
        <v>0</v>
      </c>
      <c r="BB1085">
        <v>0</v>
      </c>
      <c r="BC1085">
        <v>0</v>
      </c>
      <c r="BD1085">
        <v>0</v>
      </c>
      <c r="BE1085">
        <v>0</v>
      </c>
      <c r="BF1085">
        <v>0</v>
      </c>
      <c r="BG1085">
        <v>0</v>
      </c>
      <c r="BH1085">
        <v>2</v>
      </c>
      <c r="BI1085">
        <v>10.7</v>
      </c>
      <c r="BJ1085">
        <v>10.9</v>
      </c>
      <c r="BK1085">
        <v>11</v>
      </c>
      <c r="BL1085" s="4">
        <v>277.33</v>
      </c>
      <c r="BM1085" s="4">
        <v>41.6</v>
      </c>
      <c r="BN1085" s="4">
        <v>318.93</v>
      </c>
      <c r="BO1085" s="4">
        <v>318.93</v>
      </c>
      <c r="BQ1085" t="s">
        <v>147</v>
      </c>
      <c r="BR1085" t="s">
        <v>84</v>
      </c>
      <c r="BS1085" s="3">
        <v>43810</v>
      </c>
      <c r="BT1085" s="5">
        <v>0.35069444444444442</v>
      </c>
      <c r="BU1085" t="s">
        <v>1595</v>
      </c>
      <c r="BV1085" t="s">
        <v>86</v>
      </c>
      <c r="BY1085">
        <v>54741.47</v>
      </c>
      <c r="CA1085" t="s">
        <v>1156</v>
      </c>
      <c r="CC1085" t="s">
        <v>80</v>
      </c>
      <c r="CD1085">
        <v>6001</v>
      </c>
      <c r="CE1085" t="s">
        <v>122</v>
      </c>
      <c r="CF1085" s="3">
        <v>43811</v>
      </c>
      <c r="CI1085">
        <v>1</v>
      </c>
      <c r="CJ1085">
        <v>1</v>
      </c>
      <c r="CK1085">
        <v>21</v>
      </c>
      <c r="CL1085" t="s">
        <v>89</v>
      </c>
    </row>
    <row r="1086" spans="1:90">
      <c r="A1086" t="s">
        <v>72</v>
      </c>
      <c r="B1086" t="s">
        <v>73</v>
      </c>
      <c r="C1086" t="s">
        <v>74</v>
      </c>
      <c r="E1086" t="str">
        <f>"FES1162727598"</f>
        <v>FES1162727598</v>
      </c>
      <c r="F1086" s="3">
        <v>43809</v>
      </c>
      <c r="G1086">
        <v>202006</v>
      </c>
      <c r="H1086" t="s">
        <v>75</v>
      </c>
      <c r="I1086" t="s">
        <v>76</v>
      </c>
      <c r="J1086" t="s">
        <v>77</v>
      </c>
      <c r="K1086" t="s">
        <v>78</v>
      </c>
      <c r="L1086" t="s">
        <v>340</v>
      </c>
      <c r="M1086" t="s">
        <v>341</v>
      </c>
      <c r="N1086" t="s">
        <v>342</v>
      </c>
      <c r="O1086" t="s">
        <v>82</v>
      </c>
      <c r="P1086" t="str">
        <f>"21707120188                   "</f>
        <v xml:space="preserve">21707120188                   </v>
      </c>
      <c r="Q1086">
        <v>0</v>
      </c>
      <c r="R1086">
        <v>0</v>
      </c>
      <c r="S1086">
        <v>0</v>
      </c>
      <c r="T1086">
        <v>0</v>
      </c>
      <c r="U1086">
        <v>0</v>
      </c>
      <c r="V1086">
        <v>0</v>
      </c>
      <c r="W1086">
        <v>0</v>
      </c>
      <c r="X1086">
        <v>0</v>
      </c>
      <c r="Y1086">
        <v>0</v>
      </c>
      <c r="Z1086">
        <v>0</v>
      </c>
      <c r="AA1086">
        <v>0</v>
      </c>
      <c r="AB1086">
        <v>0</v>
      </c>
      <c r="AC1086">
        <v>0</v>
      </c>
      <c r="AD1086">
        <v>0</v>
      </c>
      <c r="AE1086">
        <v>0</v>
      </c>
      <c r="AF1086">
        <v>0</v>
      </c>
      <c r="AG1086">
        <v>0</v>
      </c>
      <c r="AH1086">
        <v>0</v>
      </c>
      <c r="AI1086">
        <v>0</v>
      </c>
      <c r="AJ1086">
        <v>0</v>
      </c>
      <c r="AK1086">
        <v>0</v>
      </c>
      <c r="AL1086">
        <v>0</v>
      </c>
      <c r="AM1086">
        <v>16.63</v>
      </c>
      <c r="AN1086">
        <v>0</v>
      </c>
      <c r="AO1086">
        <v>0</v>
      </c>
      <c r="AP1086">
        <v>0</v>
      </c>
      <c r="AQ1086">
        <v>0</v>
      </c>
      <c r="AR1086">
        <v>0</v>
      </c>
      <c r="AS1086">
        <v>0</v>
      </c>
      <c r="AT1086">
        <v>0</v>
      </c>
      <c r="AU1086">
        <v>0</v>
      </c>
      <c r="AV1086">
        <v>0</v>
      </c>
      <c r="AW1086">
        <v>0</v>
      </c>
      <c r="AX1086">
        <v>0</v>
      </c>
      <c r="AY1086">
        <v>0</v>
      </c>
      <c r="AZ1086">
        <v>0</v>
      </c>
      <c r="BA1086">
        <v>0</v>
      </c>
      <c r="BB1086">
        <v>0</v>
      </c>
      <c r="BC1086">
        <v>0</v>
      </c>
      <c r="BD1086">
        <v>0</v>
      </c>
      <c r="BE1086">
        <v>0</v>
      </c>
      <c r="BF1086">
        <v>0</v>
      </c>
      <c r="BG1086">
        <v>0</v>
      </c>
      <c r="BH1086">
        <v>1</v>
      </c>
      <c r="BI1086">
        <v>1</v>
      </c>
      <c r="BJ1086">
        <v>0.2</v>
      </c>
      <c r="BK1086">
        <v>1</v>
      </c>
      <c r="BL1086" s="4">
        <v>97.75</v>
      </c>
      <c r="BM1086" s="4">
        <v>14.66</v>
      </c>
      <c r="BN1086" s="4">
        <v>112.41</v>
      </c>
      <c r="BO1086" s="4">
        <v>112.41</v>
      </c>
      <c r="BQ1086" t="s">
        <v>93</v>
      </c>
      <c r="BR1086" t="s">
        <v>84</v>
      </c>
      <c r="BS1086" s="3">
        <v>43810</v>
      </c>
      <c r="BT1086" s="5">
        <v>0.33333333333333331</v>
      </c>
      <c r="BU1086" t="s">
        <v>343</v>
      </c>
      <c r="BV1086" t="s">
        <v>86</v>
      </c>
      <c r="BY1086">
        <v>1200</v>
      </c>
      <c r="CA1086" t="s">
        <v>344</v>
      </c>
      <c r="CC1086" t="s">
        <v>341</v>
      </c>
      <c r="CD1086">
        <v>1947</v>
      </c>
      <c r="CE1086" t="s">
        <v>88</v>
      </c>
      <c r="CF1086" s="3">
        <v>43811</v>
      </c>
      <c r="CI1086">
        <v>1</v>
      </c>
      <c r="CJ1086">
        <v>1</v>
      </c>
      <c r="CK1086">
        <v>23</v>
      </c>
      <c r="CL1086" t="s">
        <v>89</v>
      </c>
    </row>
    <row r="1087" spans="1:90">
      <c r="A1087" t="s">
        <v>72</v>
      </c>
      <c r="B1087" t="s">
        <v>73</v>
      </c>
      <c r="C1087" t="s">
        <v>74</v>
      </c>
      <c r="E1087" t="str">
        <f>"FES1162727613"</f>
        <v>FES1162727613</v>
      </c>
      <c r="F1087" s="3">
        <v>43809</v>
      </c>
      <c r="G1087">
        <v>202006</v>
      </c>
      <c r="H1087" t="s">
        <v>75</v>
      </c>
      <c r="I1087" t="s">
        <v>76</v>
      </c>
      <c r="J1087" t="s">
        <v>77</v>
      </c>
      <c r="K1087" t="s">
        <v>78</v>
      </c>
      <c r="L1087" t="s">
        <v>164</v>
      </c>
      <c r="M1087" t="s">
        <v>165</v>
      </c>
      <c r="N1087" t="s">
        <v>263</v>
      </c>
      <c r="O1087" t="s">
        <v>82</v>
      </c>
      <c r="P1087" t="str">
        <f>"21707100474                   "</f>
        <v xml:space="preserve">21707100474                   </v>
      </c>
      <c r="Q1087">
        <v>0</v>
      </c>
      <c r="R1087">
        <v>0</v>
      </c>
      <c r="S1087">
        <v>0</v>
      </c>
      <c r="T1087">
        <v>0</v>
      </c>
      <c r="U1087">
        <v>0</v>
      </c>
      <c r="V1087">
        <v>0</v>
      </c>
      <c r="W1087">
        <v>0</v>
      </c>
      <c r="X1087">
        <v>0</v>
      </c>
      <c r="Y1087">
        <v>0</v>
      </c>
      <c r="Z1087">
        <v>0</v>
      </c>
      <c r="AA1087">
        <v>0</v>
      </c>
      <c r="AB1087">
        <v>0</v>
      </c>
      <c r="AC1087">
        <v>0</v>
      </c>
      <c r="AD1087">
        <v>0</v>
      </c>
      <c r="AE1087">
        <v>0</v>
      </c>
      <c r="AF1087">
        <v>0</v>
      </c>
      <c r="AG1087">
        <v>0</v>
      </c>
      <c r="AH1087">
        <v>0</v>
      </c>
      <c r="AI1087">
        <v>0</v>
      </c>
      <c r="AJ1087">
        <v>0</v>
      </c>
      <c r="AK1087">
        <v>0</v>
      </c>
      <c r="AL1087">
        <v>0</v>
      </c>
      <c r="AM1087">
        <v>12.87</v>
      </c>
      <c r="AN1087">
        <v>0</v>
      </c>
      <c r="AO1087">
        <v>0</v>
      </c>
      <c r="AP1087">
        <v>0</v>
      </c>
      <c r="AQ1087">
        <v>0</v>
      </c>
      <c r="AR1087">
        <v>0</v>
      </c>
      <c r="AS1087">
        <v>0</v>
      </c>
      <c r="AT1087">
        <v>0</v>
      </c>
      <c r="AU1087">
        <v>0</v>
      </c>
      <c r="AV1087">
        <v>0</v>
      </c>
      <c r="AW1087">
        <v>0</v>
      </c>
      <c r="AX1087">
        <v>0</v>
      </c>
      <c r="AY1087">
        <v>0</v>
      </c>
      <c r="AZ1087">
        <v>0</v>
      </c>
      <c r="BA1087">
        <v>0</v>
      </c>
      <c r="BB1087">
        <v>0</v>
      </c>
      <c r="BC1087">
        <v>0</v>
      </c>
      <c r="BD1087">
        <v>0</v>
      </c>
      <c r="BE1087">
        <v>0</v>
      </c>
      <c r="BF1087">
        <v>0</v>
      </c>
      <c r="BG1087">
        <v>0</v>
      </c>
      <c r="BH1087">
        <v>1</v>
      </c>
      <c r="BI1087">
        <v>1.1000000000000001</v>
      </c>
      <c r="BJ1087">
        <v>2.7</v>
      </c>
      <c r="BK1087">
        <v>3</v>
      </c>
      <c r="BL1087" s="4">
        <v>75.66</v>
      </c>
      <c r="BM1087" s="4">
        <v>11.35</v>
      </c>
      <c r="BN1087" s="4">
        <v>87.01</v>
      </c>
      <c r="BO1087" s="4">
        <v>87.01</v>
      </c>
      <c r="BQ1087" t="s">
        <v>147</v>
      </c>
      <c r="BR1087" t="s">
        <v>84</v>
      </c>
      <c r="BS1087" s="3">
        <v>43810</v>
      </c>
      <c r="BT1087" s="5">
        <v>0.35833333333333334</v>
      </c>
      <c r="BU1087" t="s">
        <v>1596</v>
      </c>
      <c r="BV1087" t="s">
        <v>86</v>
      </c>
      <c r="BY1087">
        <v>13530.62</v>
      </c>
      <c r="CA1087" t="s">
        <v>1361</v>
      </c>
      <c r="CC1087" t="s">
        <v>165</v>
      </c>
      <c r="CD1087">
        <v>5201</v>
      </c>
      <c r="CE1087" t="s">
        <v>88</v>
      </c>
      <c r="CF1087" s="3">
        <v>43811</v>
      </c>
      <c r="CI1087">
        <v>1</v>
      </c>
      <c r="CJ1087">
        <v>1</v>
      </c>
      <c r="CK1087">
        <v>21</v>
      </c>
      <c r="CL1087" t="s">
        <v>89</v>
      </c>
    </row>
    <row r="1088" spans="1:90">
      <c r="A1088" t="s">
        <v>72</v>
      </c>
      <c r="B1088" t="s">
        <v>73</v>
      </c>
      <c r="C1088" t="s">
        <v>74</v>
      </c>
      <c r="E1088" t="str">
        <f>"FES1162727594"</f>
        <v>FES1162727594</v>
      </c>
      <c r="F1088" s="3">
        <v>43809</v>
      </c>
      <c r="G1088">
        <v>202006</v>
      </c>
      <c r="H1088" t="s">
        <v>75</v>
      </c>
      <c r="I1088" t="s">
        <v>76</v>
      </c>
      <c r="J1088" t="s">
        <v>77</v>
      </c>
      <c r="K1088" t="s">
        <v>78</v>
      </c>
      <c r="L1088" t="s">
        <v>79</v>
      </c>
      <c r="M1088" t="s">
        <v>80</v>
      </c>
      <c r="N1088" t="s">
        <v>1597</v>
      </c>
      <c r="O1088" t="s">
        <v>82</v>
      </c>
      <c r="P1088" t="str">
        <f>"217071081                     "</f>
        <v xml:space="preserve">217071081                     </v>
      </c>
      <c r="Q1088">
        <v>0</v>
      </c>
      <c r="R1088">
        <v>0</v>
      </c>
      <c r="S1088">
        <v>0</v>
      </c>
      <c r="T1088">
        <v>0</v>
      </c>
      <c r="U1088">
        <v>0</v>
      </c>
      <c r="V1088">
        <v>0</v>
      </c>
      <c r="W1088">
        <v>0</v>
      </c>
      <c r="X1088">
        <v>0</v>
      </c>
      <c r="Y1088">
        <v>0</v>
      </c>
      <c r="Z1088">
        <v>0</v>
      </c>
      <c r="AA1088">
        <v>0</v>
      </c>
      <c r="AB1088">
        <v>0</v>
      </c>
      <c r="AC1088">
        <v>0</v>
      </c>
      <c r="AD1088">
        <v>0</v>
      </c>
      <c r="AE1088">
        <v>0</v>
      </c>
      <c r="AF1088">
        <v>0</v>
      </c>
      <c r="AG1088">
        <v>0</v>
      </c>
      <c r="AH1088">
        <v>0</v>
      </c>
      <c r="AI1088">
        <v>0</v>
      </c>
      <c r="AJ1088">
        <v>0</v>
      </c>
      <c r="AK1088">
        <v>0</v>
      </c>
      <c r="AL1088">
        <v>0</v>
      </c>
      <c r="AM1088">
        <v>38.6</v>
      </c>
      <c r="AN1088">
        <v>0</v>
      </c>
      <c r="AO1088">
        <v>0</v>
      </c>
      <c r="AP1088">
        <v>0</v>
      </c>
      <c r="AQ1088">
        <v>0</v>
      </c>
      <c r="AR1088">
        <v>0</v>
      </c>
      <c r="AS1088">
        <v>0</v>
      </c>
      <c r="AT1088">
        <v>0</v>
      </c>
      <c r="AU1088">
        <v>0</v>
      </c>
      <c r="AV1088">
        <v>0</v>
      </c>
      <c r="AW1088">
        <v>0</v>
      </c>
      <c r="AX1088">
        <v>0</v>
      </c>
      <c r="AY1088">
        <v>0</v>
      </c>
      <c r="AZ1088">
        <v>0</v>
      </c>
      <c r="BA1088">
        <v>0</v>
      </c>
      <c r="BB1088">
        <v>0</v>
      </c>
      <c r="BC1088">
        <v>0</v>
      </c>
      <c r="BD1088">
        <v>0</v>
      </c>
      <c r="BE1088">
        <v>0</v>
      </c>
      <c r="BF1088">
        <v>0</v>
      </c>
      <c r="BG1088">
        <v>0</v>
      </c>
      <c r="BH1088">
        <v>1</v>
      </c>
      <c r="BI1088">
        <v>5.8</v>
      </c>
      <c r="BJ1088">
        <v>8.8000000000000007</v>
      </c>
      <c r="BK1088">
        <v>9</v>
      </c>
      <c r="BL1088" s="4">
        <v>226.91</v>
      </c>
      <c r="BM1088" s="4">
        <v>34.04</v>
      </c>
      <c r="BN1088" s="4">
        <v>260.95</v>
      </c>
      <c r="BO1088" s="4">
        <v>260.95</v>
      </c>
      <c r="BQ1088" t="s">
        <v>1598</v>
      </c>
      <c r="BR1088" t="s">
        <v>84</v>
      </c>
      <c r="BS1088" s="3">
        <v>43810</v>
      </c>
      <c r="BT1088" s="5">
        <v>0.3611111111111111</v>
      </c>
      <c r="BU1088" t="s">
        <v>1599</v>
      </c>
      <c r="BV1088" t="s">
        <v>86</v>
      </c>
      <c r="BY1088">
        <v>44034.14</v>
      </c>
      <c r="CA1088" t="s">
        <v>131</v>
      </c>
      <c r="CC1088" t="s">
        <v>80</v>
      </c>
      <c r="CD1088">
        <v>6001</v>
      </c>
      <c r="CE1088" t="s">
        <v>96</v>
      </c>
      <c r="CF1088" s="3">
        <v>43811</v>
      </c>
      <c r="CI1088">
        <v>1</v>
      </c>
      <c r="CJ1088">
        <v>1</v>
      </c>
      <c r="CK1088">
        <v>21</v>
      </c>
      <c r="CL1088" t="s">
        <v>89</v>
      </c>
    </row>
    <row r="1089" spans="1:90">
      <c r="A1089" t="s">
        <v>72</v>
      </c>
      <c r="B1089" t="s">
        <v>73</v>
      </c>
      <c r="C1089" t="s">
        <v>74</v>
      </c>
      <c r="E1089" t="str">
        <f>"FES1162727589"</f>
        <v>FES1162727589</v>
      </c>
      <c r="F1089" s="3">
        <v>43809</v>
      </c>
      <c r="G1089">
        <v>202006</v>
      </c>
      <c r="H1089" t="s">
        <v>75</v>
      </c>
      <c r="I1089" t="s">
        <v>76</v>
      </c>
      <c r="J1089" t="s">
        <v>77</v>
      </c>
      <c r="K1089" t="s">
        <v>78</v>
      </c>
      <c r="L1089" t="s">
        <v>164</v>
      </c>
      <c r="M1089" t="s">
        <v>165</v>
      </c>
      <c r="N1089" t="s">
        <v>263</v>
      </c>
      <c r="O1089" t="s">
        <v>82</v>
      </c>
      <c r="P1089" t="str">
        <f>"217071074                     "</f>
        <v xml:space="preserve">217071074                     </v>
      </c>
      <c r="Q1089">
        <v>0</v>
      </c>
      <c r="R1089">
        <v>0</v>
      </c>
      <c r="S1089">
        <v>0</v>
      </c>
      <c r="T1089">
        <v>0</v>
      </c>
      <c r="U1089">
        <v>0</v>
      </c>
      <c r="V1089">
        <v>0</v>
      </c>
      <c r="W1089">
        <v>0</v>
      </c>
      <c r="X1089">
        <v>0</v>
      </c>
      <c r="Y1089">
        <v>0</v>
      </c>
      <c r="Z1089">
        <v>0</v>
      </c>
      <c r="AA1089">
        <v>0</v>
      </c>
      <c r="AB1089">
        <v>0</v>
      </c>
      <c r="AC1089">
        <v>0</v>
      </c>
      <c r="AD1089">
        <v>0</v>
      </c>
      <c r="AE1089">
        <v>0</v>
      </c>
      <c r="AF1089">
        <v>0</v>
      </c>
      <c r="AG1089">
        <v>0</v>
      </c>
      <c r="AH1089">
        <v>0</v>
      </c>
      <c r="AI1089">
        <v>0</v>
      </c>
      <c r="AJ1089">
        <v>0</v>
      </c>
      <c r="AK1089">
        <v>0</v>
      </c>
      <c r="AL1089">
        <v>0</v>
      </c>
      <c r="AM1089">
        <v>81.489999999999995</v>
      </c>
      <c r="AN1089">
        <v>0</v>
      </c>
      <c r="AO1089">
        <v>0</v>
      </c>
      <c r="AP1089">
        <v>0</v>
      </c>
      <c r="AQ1089">
        <v>0</v>
      </c>
      <c r="AR1089">
        <v>0</v>
      </c>
      <c r="AS1089">
        <v>0</v>
      </c>
      <c r="AT1089">
        <v>0</v>
      </c>
      <c r="AU1089">
        <v>0</v>
      </c>
      <c r="AV1089">
        <v>0</v>
      </c>
      <c r="AW1089">
        <v>0</v>
      </c>
      <c r="AX1089">
        <v>0</v>
      </c>
      <c r="AY1089">
        <v>0</v>
      </c>
      <c r="AZ1089">
        <v>0</v>
      </c>
      <c r="BA1089">
        <v>0</v>
      </c>
      <c r="BB1089">
        <v>0</v>
      </c>
      <c r="BC1089">
        <v>0</v>
      </c>
      <c r="BD1089">
        <v>0</v>
      </c>
      <c r="BE1089">
        <v>0</v>
      </c>
      <c r="BF1089">
        <v>0</v>
      </c>
      <c r="BG1089">
        <v>0</v>
      </c>
      <c r="BH1089">
        <v>1</v>
      </c>
      <c r="BI1089">
        <v>8.6999999999999993</v>
      </c>
      <c r="BJ1089">
        <v>18.8</v>
      </c>
      <c r="BK1089">
        <v>19</v>
      </c>
      <c r="BL1089" s="4">
        <v>479</v>
      </c>
      <c r="BM1089" s="4">
        <v>71.849999999999994</v>
      </c>
      <c r="BN1089" s="4">
        <v>550.85</v>
      </c>
      <c r="BO1089" s="4">
        <v>550.85</v>
      </c>
      <c r="BQ1089" t="s">
        <v>147</v>
      </c>
      <c r="BR1089" t="s">
        <v>84</v>
      </c>
      <c r="BS1089" s="3">
        <v>43810</v>
      </c>
      <c r="BT1089" s="5">
        <v>0.42638888888888887</v>
      </c>
      <c r="BU1089" t="s">
        <v>1261</v>
      </c>
      <c r="BV1089" t="s">
        <v>86</v>
      </c>
      <c r="BY1089">
        <v>94248.16</v>
      </c>
      <c r="CA1089" t="s">
        <v>766</v>
      </c>
      <c r="CC1089" t="s">
        <v>165</v>
      </c>
      <c r="CD1089">
        <v>5201</v>
      </c>
      <c r="CE1089" t="s">
        <v>96</v>
      </c>
      <c r="CF1089" s="3">
        <v>43812</v>
      </c>
      <c r="CI1089">
        <v>1</v>
      </c>
      <c r="CJ1089">
        <v>1</v>
      </c>
      <c r="CK1089">
        <v>21</v>
      </c>
      <c r="CL1089" t="s">
        <v>89</v>
      </c>
    </row>
    <row r="1090" spans="1:90">
      <c r="A1090" t="s">
        <v>72</v>
      </c>
      <c r="B1090" t="s">
        <v>73</v>
      </c>
      <c r="C1090" t="s">
        <v>74</v>
      </c>
      <c r="E1090" t="str">
        <f>"FES1162727559"</f>
        <v>FES1162727559</v>
      </c>
      <c r="F1090" s="3">
        <v>43809</v>
      </c>
      <c r="G1090">
        <v>202006</v>
      </c>
      <c r="H1090" t="s">
        <v>75</v>
      </c>
      <c r="I1090" t="s">
        <v>76</v>
      </c>
      <c r="J1090" t="s">
        <v>77</v>
      </c>
      <c r="K1090" t="s">
        <v>78</v>
      </c>
      <c r="L1090" t="s">
        <v>164</v>
      </c>
      <c r="M1090" t="s">
        <v>165</v>
      </c>
      <c r="N1090" t="s">
        <v>263</v>
      </c>
      <c r="O1090" t="s">
        <v>82</v>
      </c>
      <c r="P1090" t="str">
        <f>"217071039                     "</f>
        <v xml:space="preserve">217071039                     </v>
      </c>
      <c r="Q1090">
        <v>0</v>
      </c>
      <c r="R1090">
        <v>0</v>
      </c>
      <c r="S1090">
        <v>0</v>
      </c>
      <c r="T1090">
        <v>0</v>
      </c>
      <c r="U1090">
        <v>0</v>
      </c>
      <c r="V1090">
        <v>0</v>
      </c>
      <c r="W1090">
        <v>0</v>
      </c>
      <c r="X1090">
        <v>0</v>
      </c>
      <c r="Y1090">
        <v>0</v>
      </c>
      <c r="Z1090">
        <v>0</v>
      </c>
      <c r="AA1090">
        <v>0</v>
      </c>
      <c r="AB1090">
        <v>0</v>
      </c>
      <c r="AC1090">
        <v>0</v>
      </c>
      <c r="AD1090">
        <v>0</v>
      </c>
      <c r="AE1090">
        <v>0</v>
      </c>
      <c r="AF1090">
        <v>0</v>
      </c>
      <c r="AG1090">
        <v>0</v>
      </c>
      <c r="AH1090">
        <v>0</v>
      </c>
      <c r="AI1090">
        <v>0</v>
      </c>
      <c r="AJ1090">
        <v>0</v>
      </c>
      <c r="AK1090">
        <v>0</v>
      </c>
      <c r="AL1090">
        <v>0</v>
      </c>
      <c r="AM1090">
        <v>27.88</v>
      </c>
      <c r="AN1090">
        <v>0</v>
      </c>
      <c r="AO1090">
        <v>0</v>
      </c>
      <c r="AP1090">
        <v>0</v>
      </c>
      <c r="AQ1090">
        <v>0</v>
      </c>
      <c r="AR1090">
        <v>0</v>
      </c>
      <c r="AS1090">
        <v>0</v>
      </c>
      <c r="AT1090">
        <v>0</v>
      </c>
      <c r="AU1090">
        <v>0</v>
      </c>
      <c r="AV1090">
        <v>0</v>
      </c>
      <c r="AW1090">
        <v>0</v>
      </c>
      <c r="AX1090">
        <v>0</v>
      </c>
      <c r="AY1090">
        <v>0</v>
      </c>
      <c r="AZ1090">
        <v>0</v>
      </c>
      <c r="BA1090">
        <v>0</v>
      </c>
      <c r="BB1090">
        <v>0</v>
      </c>
      <c r="BC1090">
        <v>0</v>
      </c>
      <c r="BD1090">
        <v>0</v>
      </c>
      <c r="BE1090">
        <v>0</v>
      </c>
      <c r="BF1090">
        <v>0</v>
      </c>
      <c r="BG1090">
        <v>0</v>
      </c>
      <c r="BH1090">
        <v>1</v>
      </c>
      <c r="BI1090">
        <v>4.5</v>
      </c>
      <c r="BJ1090">
        <v>6.3</v>
      </c>
      <c r="BK1090">
        <v>6.5</v>
      </c>
      <c r="BL1090" s="4">
        <v>163.89</v>
      </c>
      <c r="BM1090" s="4">
        <v>24.58</v>
      </c>
      <c r="BN1090" s="4">
        <v>188.47</v>
      </c>
      <c r="BO1090" s="4">
        <v>188.47</v>
      </c>
      <c r="BQ1090" t="s">
        <v>147</v>
      </c>
      <c r="BR1090" t="s">
        <v>84</v>
      </c>
      <c r="BS1090" s="3">
        <v>43810</v>
      </c>
      <c r="BT1090" s="5">
        <v>0.42638888888888887</v>
      </c>
      <c r="BU1090" t="s">
        <v>1261</v>
      </c>
      <c r="BV1090" t="s">
        <v>86</v>
      </c>
      <c r="BY1090">
        <v>31283.82</v>
      </c>
      <c r="CA1090" t="s">
        <v>766</v>
      </c>
      <c r="CC1090" t="s">
        <v>165</v>
      </c>
      <c r="CD1090">
        <v>5201</v>
      </c>
      <c r="CE1090" t="s">
        <v>116</v>
      </c>
      <c r="CF1090" s="3">
        <v>43812</v>
      </c>
      <c r="CI1090">
        <v>1</v>
      </c>
      <c r="CJ1090">
        <v>1</v>
      </c>
      <c r="CK1090">
        <v>21</v>
      </c>
      <c r="CL1090" t="s">
        <v>89</v>
      </c>
    </row>
    <row r="1091" spans="1:90">
      <c r="A1091" t="s">
        <v>72</v>
      </c>
      <c r="B1091" t="s">
        <v>73</v>
      </c>
      <c r="C1091" t="s">
        <v>74</v>
      </c>
      <c r="E1091" t="str">
        <f>"FES1162727605"</f>
        <v>FES1162727605</v>
      </c>
      <c r="F1091" s="3">
        <v>43809</v>
      </c>
      <c r="G1091">
        <v>202006</v>
      </c>
      <c r="H1091" t="s">
        <v>75</v>
      </c>
      <c r="I1091" t="s">
        <v>76</v>
      </c>
      <c r="J1091" t="s">
        <v>77</v>
      </c>
      <c r="K1091" t="s">
        <v>78</v>
      </c>
      <c r="L1091" t="s">
        <v>430</v>
      </c>
      <c r="M1091" t="s">
        <v>431</v>
      </c>
      <c r="N1091" t="s">
        <v>1600</v>
      </c>
      <c r="O1091" t="s">
        <v>82</v>
      </c>
      <c r="P1091" t="str">
        <f>"217071098                     "</f>
        <v xml:space="preserve">217071098                     </v>
      </c>
      <c r="Q1091">
        <v>0</v>
      </c>
      <c r="R1091">
        <v>0</v>
      </c>
      <c r="S1091">
        <v>0</v>
      </c>
      <c r="T1091">
        <v>0</v>
      </c>
      <c r="U1091">
        <v>0</v>
      </c>
      <c r="V1091">
        <v>0</v>
      </c>
      <c r="W1091">
        <v>0</v>
      </c>
      <c r="X1091">
        <v>0</v>
      </c>
      <c r="Y1091">
        <v>0</v>
      </c>
      <c r="Z1091">
        <v>0</v>
      </c>
      <c r="AA1091">
        <v>0</v>
      </c>
      <c r="AB1091">
        <v>0</v>
      </c>
      <c r="AC1091">
        <v>0</v>
      </c>
      <c r="AD1091">
        <v>0</v>
      </c>
      <c r="AE1091">
        <v>0</v>
      </c>
      <c r="AF1091">
        <v>0</v>
      </c>
      <c r="AG1091">
        <v>0</v>
      </c>
      <c r="AH1091">
        <v>0</v>
      </c>
      <c r="AI1091">
        <v>0</v>
      </c>
      <c r="AJ1091">
        <v>0</v>
      </c>
      <c r="AK1091">
        <v>0</v>
      </c>
      <c r="AL1091">
        <v>0</v>
      </c>
      <c r="AM1091">
        <v>12.07</v>
      </c>
      <c r="AN1091">
        <v>0</v>
      </c>
      <c r="AO1091">
        <v>0</v>
      </c>
      <c r="AP1091">
        <v>0</v>
      </c>
      <c r="AQ1091">
        <v>0</v>
      </c>
      <c r="AR1091">
        <v>0</v>
      </c>
      <c r="AS1091">
        <v>0</v>
      </c>
      <c r="AT1091">
        <v>0</v>
      </c>
      <c r="AU1091">
        <v>0</v>
      </c>
      <c r="AV1091">
        <v>0</v>
      </c>
      <c r="AW1091">
        <v>0</v>
      </c>
      <c r="AX1091">
        <v>0</v>
      </c>
      <c r="AY1091">
        <v>0</v>
      </c>
      <c r="AZ1091">
        <v>0</v>
      </c>
      <c r="BA1091">
        <v>0</v>
      </c>
      <c r="BB1091">
        <v>0</v>
      </c>
      <c r="BC1091">
        <v>0</v>
      </c>
      <c r="BD1091">
        <v>0</v>
      </c>
      <c r="BE1091">
        <v>0</v>
      </c>
      <c r="BF1091">
        <v>0</v>
      </c>
      <c r="BG1091">
        <v>0</v>
      </c>
      <c r="BH1091">
        <v>1</v>
      </c>
      <c r="BI1091">
        <v>1</v>
      </c>
      <c r="BJ1091">
        <v>0.2</v>
      </c>
      <c r="BK1091">
        <v>1</v>
      </c>
      <c r="BL1091" s="4">
        <v>70.95</v>
      </c>
      <c r="BM1091" s="4">
        <v>10.64</v>
      </c>
      <c r="BN1091" s="4">
        <v>81.59</v>
      </c>
      <c r="BO1091" s="4">
        <v>81.59</v>
      </c>
      <c r="BQ1091" t="s">
        <v>1601</v>
      </c>
      <c r="BR1091" t="s">
        <v>84</v>
      </c>
      <c r="BS1091" s="3">
        <v>43810</v>
      </c>
      <c r="BT1091" s="5">
        <v>0.43055555555555558</v>
      </c>
      <c r="BU1091" t="s">
        <v>1602</v>
      </c>
      <c r="BV1091" t="s">
        <v>86</v>
      </c>
      <c r="BY1091">
        <v>1200</v>
      </c>
      <c r="CA1091" t="s">
        <v>434</v>
      </c>
      <c r="CC1091" t="s">
        <v>431</v>
      </c>
      <c r="CD1091">
        <v>250</v>
      </c>
      <c r="CE1091" t="s">
        <v>88</v>
      </c>
      <c r="CF1091" s="3">
        <v>43816</v>
      </c>
      <c r="CI1091">
        <v>1</v>
      </c>
      <c r="CJ1091">
        <v>1</v>
      </c>
      <c r="CK1091">
        <v>24</v>
      </c>
      <c r="CL1091" t="s">
        <v>89</v>
      </c>
    </row>
    <row r="1092" spans="1:90">
      <c r="A1092" t="s">
        <v>72</v>
      </c>
      <c r="B1092" t="s">
        <v>73</v>
      </c>
      <c r="C1092" t="s">
        <v>74</v>
      </c>
      <c r="E1092" t="str">
        <f>"FES1162727592"</f>
        <v>FES1162727592</v>
      </c>
      <c r="F1092" s="3">
        <v>43809</v>
      </c>
      <c r="G1092">
        <v>202006</v>
      </c>
      <c r="H1092" t="s">
        <v>75</v>
      </c>
      <c r="I1092" t="s">
        <v>76</v>
      </c>
      <c r="J1092" t="s">
        <v>77</v>
      </c>
      <c r="K1092" t="s">
        <v>78</v>
      </c>
      <c r="L1092" t="s">
        <v>79</v>
      </c>
      <c r="M1092" t="s">
        <v>80</v>
      </c>
      <c r="N1092" t="s">
        <v>1597</v>
      </c>
      <c r="O1092" t="s">
        <v>82</v>
      </c>
      <c r="P1092" t="str">
        <f>"21707140787                   "</f>
        <v xml:space="preserve">21707140787                   </v>
      </c>
      <c r="Q1092">
        <v>0</v>
      </c>
      <c r="R1092">
        <v>0</v>
      </c>
      <c r="S1092">
        <v>0</v>
      </c>
      <c r="T1092">
        <v>0</v>
      </c>
      <c r="U1092">
        <v>0</v>
      </c>
      <c r="V1092">
        <v>0</v>
      </c>
      <c r="W1092">
        <v>0</v>
      </c>
      <c r="X1092">
        <v>0</v>
      </c>
      <c r="Y1092">
        <v>0</v>
      </c>
      <c r="Z1092">
        <v>0</v>
      </c>
      <c r="AA1092">
        <v>0</v>
      </c>
      <c r="AB1092">
        <v>0</v>
      </c>
      <c r="AC1092">
        <v>0</v>
      </c>
      <c r="AD1092">
        <v>0</v>
      </c>
      <c r="AE1092">
        <v>0</v>
      </c>
      <c r="AF1092">
        <v>0</v>
      </c>
      <c r="AG1092">
        <v>0</v>
      </c>
      <c r="AH1092">
        <v>0</v>
      </c>
      <c r="AI1092">
        <v>0</v>
      </c>
      <c r="AJ1092">
        <v>0</v>
      </c>
      <c r="AK1092">
        <v>0</v>
      </c>
      <c r="AL1092">
        <v>0</v>
      </c>
      <c r="AM1092">
        <v>8.58</v>
      </c>
      <c r="AN1092">
        <v>0</v>
      </c>
      <c r="AO1092">
        <v>0</v>
      </c>
      <c r="AP1092">
        <v>0</v>
      </c>
      <c r="AQ1092">
        <v>0</v>
      </c>
      <c r="AR1092">
        <v>0</v>
      </c>
      <c r="AS1092">
        <v>0</v>
      </c>
      <c r="AT1092">
        <v>0</v>
      </c>
      <c r="AU1092">
        <v>0</v>
      </c>
      <c r="AV1092">
        <v>0</v>
      </c>
      <c r="AW1092">
        <v>0</v>
      </c>
      <c r="AX1092">
        <v>0</v>
      </c>
      <c r="AY1092">
        <v>0</v>
      </c>
      <c r="AZ1092">
        <v>0</v>
      </c>
      <c r="BA1092">
        <v>0</v>
      </c>
      <c r="BB1092">
        <v>0</v>
      </c>
      <c r="BC1092">
        <v>0</v>
      </c>
      <c r="BD1092">
        <v>0</v>
      </c>
      <c r="BE1092">
        <v>0</v>
      </c>
      <c r="BF1092">
        <v>0</v>
      </c>
      <c r="BG1092">
        <v>0</v>
      </c>
      <c r="BH1092">
        <v>1</v>
      </c>
      <c r="BI1092">
        <v>1</v>
      </c>
      <c r="BJ1092">
        <v>0.2</v>
      </c>
      <c r="BK1092">
        <v>1</v>
      </c>
      <c r="BL1092" s="4">
        <v>50.45</v>
      </c>
      <c r="BM1092" s="4">
        <v>7.57</v>
      </c>
      <c r="BN1092" s="4">
        <v>58.02</v>
      </c>
      <c r="BO1092" s="4">
        <v>58.02</v>
      </c>
      <c r="BQ1092" t="s">
        <v>1598</v>
      </c>
      <c r="BR1092" t="s">
        <v>84</v>
      </c>
      <c r="BS1092" s="3">
        <v>43810</v>
      </c>
      <c r="BT1092" s="5">
        <v>0.35902777777777778</v>
      </c>
      <c r="BU1092" t="s">
        <v>1599</v>
      </c>
      <c r="BV1092" t="s">
        <v>86</v>
      </c>
      <c r="BY1092">
        <v>1200</v>
      </c>
      <c r="CA1092" t="s">
        <v>131</v>
      </c>
      <c r="CC1092" t="s">
        <v>80</v>
      </c>
      <c r="CD1092">
        <v>6001</v>
      </c>
      <c r="CE1092" t="s">
        <v>88</v>
      </c>
      <c r="CF1092" s="3">
        <v>43811</v>
      </c>
      <c r="CI1092">
        <v>1</v>
      </c>
      <c r="CJ1092">
        <v>1</v>
      </c>
      <c r="CK1092">
        <v>21</v>
      </c>
      <c r="CL1092" t="s">
        <v>89</v>
      </c>
    </row>
    <row r="1093" spans="1:90">
      <c r="A1093" t="s">
        <v>72</v>
      </c>
      <c r="B1093" t="s">
        <v>73</v>
      </c>
      <c r="C1093" t="s">
        <v>74</v>
      </c>
      <c r="E1093" t="str">
        <f>"FES1162727595"</f>
        <v>FES1162727595</v>
      </c>
      <c r="F1093" s="3">
        <v>43809</v>
      </c>
      <c r="G1093">
        <v>202006</v>
      </c>
      <c r="H1093" t="s">
        <v>75</v>
      </c>
      <c r="I1093" t="s">
        <v>76</v>
      </c>
      <c r="J1093" t="s">
        <v>77</v>
      </c>
      <c r="K1093" t="s">
        <v>78</v>
      </c>
      <c r="L1093" t="s">
        <v>79</v>
      </c>
      <c r="M1093" t="s">
        <v>80</v>
      </c>
      <c r="N1093" t="s">
        <v>1603</v>
      </c>
      <c r="O1093" t="s">
        <v>82</v>
      </c>
      <c r="P1093" t="str">
        <f>"2170712083                    "</f>
        <v xml:space="preserve">2170712083                    </v>
      </c>
      <c r="Q1093">
        <v>0</v>
      </c>
      <c r="R1093">
        <v>0</v>
      </c>
      <c r="S1093">
        <v>0</v>
      </c>
      <c r="T1093">
        <v>0</v>
      </c>
      <c r="U1093">
        <v>0</v>
      </c>
      <c r="V1093">
        <v>0</v>
      </c>
      <c r="W1093">
        <v>0</v>
      </c>
      <c r="X1093">
        <v>0</v>
      </c>
      <c r="Y1093">
        <v>0</v>
      </c>
      <c r="Z1093">
        <v>0</v>
      </c>
      <c r="AA1093">
        <v>0</v>
      </c>
      <c r="AB1093">
        <v>0</v>
      </c>
      <c r="AC1093">
        <v>0</v>
      </c>
      <c r="AD1093">
        <v>0</v>
      </c>
      <c r="AE1093">
        <v>0</v>
      </c>
      <c r="AF1093">
        <v>0</v>
      </c>
      <c r="AG1093">
        <v>0</v>
      </c>
      <c r="AH1093">
        <v>0</v>
      </c>
      <c r="AI1093">
        <v>0</v>
      </c>
      <c r="AJ1093">
        <v>0</v>
      </c>
      <c r="AK1093">
        <v>0</v>
      </c>
      <c r="AL1093">
        <v>0</v>
      </c>
      <c r="AM1093">
        <v>8.58</v>
      </c>
      <c r="AN1093">
        <v>0</v>
      </c>
      <c r="AO1093">
        <v>0</v>
      </c>
      <c r="AP1093">
        <v>0</v>
      </c>
      <c r="AQ1093">
        <v>0</v>
      </c>
      <c r="AR1093">
        <v>0</v>
      </c>
      <c r="AS1093">
        <v>0</v>
      </c>
      <c r="AT1093">
        <v>0</v>
      </c>
      <c r="AU1093">
        <v>0</v>
      </c>
      <c r="AV1093">
        <v>0</v>
      </c>
      <c r="AW1093">
        <v>0</v>
      </c>
      <c r="AX1093">
        <v>0</v>
      </c>
      <c r="AY1093">
        <v>0</v>
      </c>
      <c r="AZ1093">
        <v>0</v>
      </c>
      <c r="BA1093">
        <v>0</v>
      </c>
      <c r="BB1093">
        <v>0</v>
      </c>
      <c r="BC1093">
        <v>0</v>
      </c>
      <c r="BD1093">
        <v>0</v>
      </c>
      <c r="BE1093">
        <v>0</v>
      </c>
      <c r="BF1093">
        <v>0</v>
      </c>
      <c r="BG1093">
        <v>0</v>
      </c>
      <c r="BH1093">
        <v>1</v>
      </c>
      <c r="BI1093">
        <v>1</v>
      </c>
      <c r="BJ1093">
        <v>0.2</v>
      </c>
      <c r="BK1093">
        <v>1</v>
      </c>
      <c r="BL1093" s="4">
        <v>50.45</v>
      </c>
      <c r="BM1093" s="4">
        <v>7.57</v>
      </c>
      <c r="BN1093" s="4">
        <v>58.02</v>
      </c>
      <c r="BO1093" s="4">
        <v>58.02</v>
      </c>
      <c r="BQ1093" t="s">
        <v>93</v>
      </c>
      <c r="BR1093" t="s">
        <v>84</v>
      </c>
      <c r="BS1093" s="3">
        <v>43810</v>
      </c>
      <c r="BT1093" s="5">
        <v>0.4284722222222222</v>
      </c>
      <c r="BU1093" t="s">
        <v>1604</v>
      </c>
      <c r="BV1093" t="s">
        <v>86</v>
      </c>
      <c r="BY1093">
        <v>1200</v>
      </c>
      <c r="CA1093" t="s">
        <v>419</v>
      </c>
      <c r="CC1093" t="s">
        <v>80</v>
      </c>
      <c r="CD1093">
        <v>6045</v>
      </c>
      <c r="CE1093" t="s">
        <v>88</v>
      </c>
      <c r="CF1093" s="3">
        <v>43811</v>
      </c>
      <c r="CI1093">
        <v>1</v>
      </c>
      <c r="CJ1093">
        <v>1</v>
      </c>
      <c r="CK1093">
        <v>21</v>
      </c>
      <c r="CL1093" t="s">
        <v>89</v>
      </c>
    </row>
    <row r="1094" spans="1:90">
      <c r="A1094" t="s">
        <v>72</v>
      </c>
      <c r="B1094" t="s">
        <v>73</v>
      </c>
      <c r="C1094" t="s">
        <v>74</v>
      </c>
      <c r="E1094" t="str">
        <f>"FES1162727604"</f>
        <v>FES1162727604</v>
      </c>
      <c r="F1094" s="3">
        <v>43809</v>
      </c>
      <c r="G1094">
        <v>202006</v>
      </c>
      <c r="H1094" t="s">
        <v>75</v>
      </c>
      <c r="I1094" t="s">
        <v>76</v>
      </c>
      <c r="J1094" t="s">
        <v>77</v>
      </c>
      <c r="K1094" t="s">
        <v>78</v>
      </c>
      <c r="L1094" t="s">
        <v>396</v>
      </c>
      <c r="M1094" t="s">
        <v>397</v>
      </c>
      <c r="N1094" t="s">
        <v>398</v>
      </c>
      <c r="O1094" t="s">
        <v>82</v>
      </c>
      <c r="P1094" t="str">
        <f>"217071096                     "</f>
        <v xml:space="preserve">217071096                     </v>
      </c>
      <c r="Q1094">
        <v>0</v>
      </c>
      <c r="R1094">
        <v>0</v>
      </c>
      <c r="S1094">
        <v>0</v>
      </c>
      <c r="T1094">
        <v>0</v>
      </c>
      <c r="U1094">
        <v>0</v>
      </c>
      <c r="V1094">
        <v>0</v>
      </c>
      <c r="W1094">
        <v>0</v>
      </c>
      <c r="X1094">
        <v>0</v>
      </c>
      <c r="Y1094">
        <v>0</v>
      </c>
      <c r="Z1094">
        <v>0</v>
      </c>
      <c r="AA1094">
        <v>0</v>
      </c>
      <c r="AB1094">
        <v>0</v>
      </c>
      <c r="AC1094">
        <v>0</v>
      </c>
      <c r="AD1094">
        <v>0</v>
      </c>
      <c r="AE1094">
        <v>0</v>
      </c>
      <c r="AF1094">
        <v>0</v>
      </c>
      <c r="AG1094">
        <v>0</v>
      </c>
      <c r="AH1094">
        <v>0</v>
      </c>
      <c r="AI1094">
        <v>0</v>
      </c>
      <c r="AJ1094">
        <v>0</v>
      </c>
      <c r="AK1094">
        <v>0</v>
      </c>
      <c r="AL1094">
        <v>0</v>
      </c>
      <c r="AM1094">
        <v>16.63</v>
      </c>
      <c r="AN1094">
        <v>0</v>
      </c>
      <c r="AO1094">
        <v>0</v>
      </c>
      <c r="AP1094">
        <v>0</v>
      </c>
      <c r="AQ1094">
        <v>0</v>
      </c>
      <c r="AR1094">
        <v>0</v>
      </c>
      <c r="AS1094">
        <v>0</v>
      </c>
      <c r="AT1094">
        <v>0</v>
      </c>
      <c r="AU1094">
        <v>0</v>
      </c>
      <c r="AV1094">
        <v>0</v>
      </c>
      <c r="AW1094">
        <v>0</v>
      </c>
      <c r="AX1094">
        <v>0</v>
      </c>
      <c r="AY1094">
        <v>0</v>
      </c>
      <c r="AZ1094">
        <v>0</v>
      </c>
      <c r="BA1094">
        <v>0</v>
      </c>
      <c r="BB1094">
        <v>0</v>
      </c>
      <c r="BC1094">
        <v>0</v>
      </c>
      <c r="BD1094">
        <v>0</v>
      </c>
      <c r="BE1094">
        <v>0</v>
      </c>
      <c r="BF1094">
        <v>0</v>
      </c>
      <c r="BG1094">
        <v>0</v>
      </c>
      <c r="BH1094">
        <v>1</v>
      </c>
      <c r="BI1094">
        <v>1</v>
      </c>
      <c r="BJ1094">
        <v>0.2</v>
      </c>
      <c r="BK1094">
        <v>1</v>
      </c>
      <c r="BL1094" s="4">
        <v>97.75</v>
      </c>
      <c r="BM1094" s="4">
        <v>14.66</v>
      </c>
      <c r="BN1094" s="4">
        <v>112.41</v>
      </c>
      <c r="BO1094" s="4">
        <v>112.41</v>
      </c>
      <c r="BQ1094" t="s">
        <v>93</v>
      </c>
      <c r="BR1094" t="s">
        <v>84</v>
      </c>
      <c r="BS1094" s="3">
        <v>43810</v>
      </c>
      <c r="BT1094" s="5">
        <v>0.5229166666666667</v>
      </c>
      <c r="BU1094" t="s">
        <v>1280</v>
      </c>
      <c r="BV1094" t="s">
        <v>86</v>
      </c>
      <c r="BY1094">
        <v>1200</v>
      </c>
      <c r="CA1094" t="s">
        <v>400</v>
      </c>
      <c r="CC1094" t="s">
        <v>397</v>
      </c>
      <c r="CD1094">
        <v>7130</v>
      </c>
      <c r="CE1094" t="s">
        <v>88</v>
      </c>
      <c r="CF1094" s="3">
        <v>43811</v>
      </c>
      <c r="CI1094">
        <v>1</v>
      </c>
      <c r="CJ1094">
        <v>1</v>
      </c>
      <c r="CK1094">
        <v>23</v>
      </c>
      <c r="CL1094" t="s">
        <v>89</v>
      </c>
    </row>
    <row r="1095" spans="1:90">
      <c r="A1095" t="s">
        <v>72</v>
      </c>
      <c r="B1095" t="s">
        <v>73</v>
      </c>
      <c r="C1095" t="s">
        <v>74</v>
      </c>
      <c r="E1095" t="str">
        <f>"FES1162727593"</f>
        <v>FES1162727593</v>
      </c>
      <c r="F1095" s="3">
        <v>43809</v>
      </c>
      <c r="G1095">
        <v>202006</v>
      </c>
      <c r="H1095" t="s">
        <v>75</v>
      </c>
      <c r="I1095" t="s">
        <v>76</v>
      </c>
      <c r="J1095" t="s">
        <v>77</v>
      </c>
      <c r="K1095" t="s">
        <v>78</v>
      </c>
      <c r="L1095" t="s">
        <v>308</v>
      </c>
      <c r="M1095" t="s">
        <v>308</v>
      </c>
      <c r="N1095" t="s">
        <v>755</v>
      </c>
      <c r="O1095" t="s">
        <v>82</v>
      </c>
      <c r="P1095" t="str">
        <f>"2170710726                    "</f>
        <v xml:space="preserve">2170710726                    </v>
      </c>
      <c r="Q1095">
        <v>0</v>
      </c>
      <c r="R1095">
        <v>0</v>
      </c>
      <c r="S1095">
        <v>0</v>
      </c>
      <c r="T1095">
        <v>0</v>
      </c>
      <c r="U1095">
        <v>0</v>
      </c>
      <c r="V1095">
        <v>0</v>
      </c>
      <c r="W1095">
        <v>0</v>
      </c>
      <c r="X1095">
        <v>0</v>
      </c>
      <c r="Y1095">
        <v>0</v>
      </c>
      <c r="Z1095">
        <v>0</v>
      </c>
      <c r="AA1095">
        <v>0</v>
      </c>
      <c r="AB1095">
        <v>0</v>
      </c>
      <c r="AC1095">
        <v>0</v>
      </c>
      <c r="AD1095">
        <v>0</v>
      </c>
      <c r="AE1095">
        <v>0</v>
      </c>
      <c r="AF1095">
        <v>0</v>
      </c>
      <c r="AG1095">
        <v>0</v>
      </c>
      <c r="AH1095">
        <v>0</v>
      </c>
      <c r="AI1095">
        <v>0</v>
      </c>
      <c r="AJ1095">
        <v>0</v>
      </c>
      <c r="AK1095">
        <v>0</v>
      </c>
      <c r="AL1095">
        <v>0</v>
      </c>
      <c r="AM1095">
        <v>16.63</v>
      </c>
      <c r="AN1095">
        <v>0</v>
      </c>
      <c r="AO1095">
        <v>0</v>
      </c>
      <c r="AP1095">
        <v>0</v>
      </c>
      <c r="AQ1095">
        <v>0</v>
      </c>
      <c r="AR1095">
        <v>0</v>
      </c>
      <c r="AS1095">
        <v>0</v>
      </c>
      <c r="AT1095">
        <v>0</v>
      </c>
      <c r="AU1095">
        <v>0</v>
      </c>
      <c r="AV1095">
        <v>0</v>
      </c>
      <c r="AW1095">
        <v>0</v>
      </c>
      <c r="AX1095">
        <v>0</v>
      </c>
      <c r="AY1095">
        <v>0</v>
      </c>
      <c r="AZ1095">
        <v>0</v>
      </c>
      <c r="BA1095">
        <v>0</v>
      </c>
      <c r="BB1095">
        <v>0</v>
      </c>
      <c r="BC1095">
        <v>0</v>
      </c>
      <c r="BD1095">
        <v>0</v>
      </c>
      <c r="BE1095">
        <v>0</v>
      </c>
      <c r="BF1095">
        <v>0</v>
      </c>
      <c r="BG1095">
        <v>0</v>
      </c>
      <c r="BH1095">
        <v>1</v>
      </c>
      <c r="BI1095">
        <v>1</v>
      </c>
      <c r="BJ1095">
        <v>0.2</v>
      </c>
      <c r="BK1095">
        <v>1</v>
      </c>
      <c r="BL1095" s="4">
        <v>97.75</v>
      </c>
      <c r="BM1095" s="4">
        <v>14.66</v>
      </c>
      <c r="BN1095" s="4">
        <v>112.41</v>
      </c>
      <c r="BO1095" s="4">
        <v>112.41</v>
      </c>
      <c r="BQ1095" t="s">
        <v>147</v>
      </c>
      <c r="BR1095" t="s">
        <v>84</v>
      </c>
      <c r="BS1095" s="3">
        <v>43810</v>
      </c>
      <c r="BT1095" s="5">
        <v>0.47083333333333338</v>
      </c>
      <c r="BU1095" t="s">
        <v>679</v>
      </c>
      <c r="BV1095" t="s">
        <v>86</v>
      </c>
      <c r="BY1095">
        <v>1200</v>
      </c>
      <c r="CA1095" t="s">
        <v>311</v>
      </c>
      <c r="CC1095" t="s">
        <v>308</v>
      </c>
      <c r="CD1095">
        <v>7646</v>
      </c>
      <c r="CE1095" t="s">
        <v>88</v>
      </c>
      <c r="CF1095" s="3">
        <v>43811</v>
      </c>
      <c r="CI1095">
        <v>1</v>
      </c>
      <c r="CJ1095">
        <v>1</v>
      </c>
      <c r="CK1095">
        <v>23</v>
      </c>
      <c r="CL1095" t="s">
        <v>89</v>
      </c>
    </row>
    <row r="1096" spans="1:90">
      <c r="A1096" t="s">
        <v>72</v>
      </c>
      <c r="B1096" t="s">
        <v>73</v>
      </c>
      <c r="C1096" t="s">
        <v>74</v>
      </c>
      <c r="E1096" t="str">
        <f>"FES1162727507"</f>
        <v>FES1162727507</v>
      </c>
      <c r="F1096" s="3">
        <v>43809</v>
      </c>
      <c r="G1096">
        <v>202006</v>
      </c>
      <c r="H1096" t="s">
        <v>75</v>
      </c>
      <c r="I1096" t="s">
        <v>76</v>
      </c>
      <c r="J1096" t="s">
        <v>77</v>
      </c>
      <c r="K1096" t="s">
        <v>78</v>
      </c>
      <c r="L1096" t="s">
        <v>90</v>
      </c>
      <c r="M1096" t="s">
        <v>91</v>
      </c>
      <c r="N1096" t="s">
        <v>677</v>
      </c>
      <c r="O1096" t="s">
        <v>82</v>
      </c>
      <c r="P1096" t="str">
        <f>"2170718764                    "</f>
        <v xml:space="preserve">2170718764                    </v>
      </c>
      <c r="Q1096">
        <v>0</v>
      </c>
      <c r="R1096">
        <v>0</v>
      </c>
      <c r="S1096">
        <v>0</v>
      </c>
      <c r="T1096">
        <v>0</v>
      </c>
      <c r="U1096">
        <v>0</v>
      </c>
      <c r="V1096">
        <v>0</v>
      </c>
      <c r="W1096">
        <v>0</v>
      </c>
      <c r="X1096">
        <v>0</v>
      </c>
      <c r="Y1096">
        <v>0</v>
      </c>
      <c r="Z1096">
        <v>0</v>
      </c>
      <c r="AA1096">
        <v>0</v>
      </c>
      <c r="AB1096">
        <v>0</v>
      </c>
      <c r="AC1096">
        <v>0</v>
      </c>
      <c r="AD1096">
        <v>0</v>
      </c>
      <c r="AE1096">
        <v>0</v>
      </c>
      <c r="AF1096">
        <v>0</v>
      </c>
      <c r="AG1096">
        <v>0</v>
      </c>
      <c r="AH1096">
        <v>0</v>
      </c>
      <c r="AI1096">
        <v>0</v>
      </c>
      <c r="AJ1096">
        <v>0</v>
      </c>
      <c r="AK1096">
        <v>0</v>
      </c>
      <c r="AL1096">
        <v>0</v>
      </c>
      <c r="AM1096">
        <v>8.58</v>
      </c>
      <c r="AN1096">
        <v>0</v>
      </c>
      <c r="AO1096">
        <v>0</v>
      </c>
      <c r="AP1096">
        <v>0</v>
      </c>
      <c r="AQ1096">
        <v>0</v>
      </c>
      <c r="AR1096">
        <v>0</v>
      </c>
      <c r="AS1096">
        <v>0</v>
      </c>
      <c r="AT1096">
        <v>0</v>
      </c>
      <c r="AU1096">
        <v>0</v>
      </c>
      <c r="AV1096">
        <v>0</v>
      </c>
      <c r="AW1096">
        <v>0</v>
      </c>
      <c r="AX1096">
        <v>0</v>
      </c>
      <c r="AY1096">
        <v>0</v>
      </c>
      <c r="AZ1096">
        <v>0</v>
      </c>
      <c r="BA1096">
        <v>0</v>
      </c>
      <c r="BB1096">
        <v>0</v>
      </c>
      <c r="BC1096">
        <v>0</v>
      </c>
      <c r="BD1096">
        <v>0</v>
      </c>
      <c r="BE1096">
        <v>0</v>
      </c>
      <c r="BF1096">
        <v>0</v>
      </c>
      <c r="BG1096">
        <v>0</v>
      </c>
      <c r="BH1096">
        <v>1</v>
      </c>
      <c r="BI1096">
        <v>1</v>
      </c>
      <c r="BJ1096">
        <v>0.2</v>
      </c>
      <c r="BK1096">
        <v>1</v>
      </c>
      <c r="BL1096" s="4">
        <v>50.45</v>
      </c>
      <c r="BM1096" s="4">
        <v>7.57</v>
      </c>
      <c r="BN1096" s="4">
        <v>58.02</v>
      </c>
      <c r="BO1096" s="4">
        <v>58.02</v>
      </c>
      <c r="BR1096" t="s">
        <v>84</v>
      </c>
      <c r="BS1096" s="3">
        <v>43810</v>
      </c>
      <c r="BT1096" s="5">
        <v>0.41736111111111113</v>
      </c>
      <c r="BU1096" t="s">
        <v>1583</v>
      </c>
      <c r="BV1096" t="s">
        <v>86</v>
      </c>
      <c r="BY1096">
        <v>1200</v>
      </c>
      <c r="CA1096" t="s">
        <v>539</v>
      </c>
      <c r="CC1096" t="s">
        <v>91</v>
      </c>
      <c r="CD1096">
        <v>7580</v>
      </c>
      <c r="CE1096" t="s">
        <v>88</v>
      </c>
      <c r="CF1096" s="3">
        <v>43811</v>
      </c>
      <c r="CI1096">
        <v>1</v>
      </c>
      <c r="CJ1096">
        <v>1</v>
      </c>
      <c r="CK1096">
        <v>21</v>
      </c>
      <c r="CL1096" t="s">
        <v>89</v>
      </c>
    </row>
    <row r="1097" spans="1:90">
      <c r="A1097" t="s">
        <v>72</v>
      </c>
      <c r="B1097" t="s">
        <v>73</v>
      </c>
      <c r="C1097" t="s">
        <v>74</v>
      </c>
      <c r="E1097" t="str">
        <f>"FES1162727017"</f>
        <v>FES1162727017</v>
      </c>
      <c r="F1097" s="3">
        <v>43809</v>
      </c>
      <c r="G1097">
        <v>202006</v>
      </c>
      <c r="H1097" t="s">
        <v>75</v>
      </c>
      <c r="I1097" t="s">
        <v>76</v>
      </c>
      <c r="J1097" t="s">
        <v>77</v>
      </c>
      <c r="K1097" t="s">
        <v>78</v>
      </c>
      <c r="L1097" t="s">
        <v>90</v>
      </c>
      <c r="M1097" t="s">
        <v>91</v>
      </c>
      <c r="N1097" t="s">
        <v>1605</v>
      </c>
      <c r="O1097" t="s">
        <v>82</v>
      </c>
      <c r="P1097" t="str">
        <f>"217071123                     "</f>
        <v xml:space="preserve">217071123                     </v>
      </c>
      <c r="Q1097">
        <v>0</v>
      </c>
      <c r="R1097">
        <v>0</v>
      </c>
      <c r="S1097">
        <v>0</v>
      </c>
      <c r="T1097">
        <v>0</v>
      </c>
      <c r="U1097">
        <v>0</v>
      </c>
      <c r="V1097">
        <v>0</v>
      </c>
      <c r="W1097">
        <v>0</v>
      </c>
      <c r="X1097">
        <v>0</v>
      </c>
      <c r="Y1097">
        <v>0</v>
      </c>
      <c r="Z1097">
        <v>0</v>
      </c>
      <c r="AA1097">
        <v>0</v>
      </c>
      <c r="AB1097">
        <v>0</v>
      </c>
      <c r="AC1097">
        <v>0</v>
      </c>
      <c r="AD1097">
        <v>0</v>
      </c>
      <c r="AE1097">
        <v>0</v>
      </c>
      <c r="AF1097">
        <v>0</v>
      </c>
      <c r="AG1097">
        <v>0</v>
      </c>
      <c r="AH1097">
        <v>0</v>
      </c>
      <c r="AI1097">
        <v>0</v>
      </c>
      <c r="AJ1097">
        <v>0</v>
      </c>
      <c r="AK1097">
        <v>0</v>
      </c>
      <c r="AL1097">
        <v>0</v>
      </c>
      <c r="AM1097">
        <v>8.58</v>
      </c>
      <c r="AN1097">
        <v>0</v>
      </c>
      <c r="AO1097">
        <v>0</v>
      </c>
      <c r="AP1097">
        <v>0</v>
      </c>
      <c r="AQ1097">
        <v>0</v>
      </c>
      <c r="AR1097">
        <v>0</v>
      </c>
      <c r="AS1097">
        <v>0</v>
      </c>
      <c r="AT1097">
        <v>0</v>
      </c>
      <c r="AU1097">
        <v>0</v>
      </c>
      <c r="AV1097">
        <v>0</v>
      </c>
      <c r="AW1097">
        <v>0</v>
      </c>
      <c r="AX1097">
        <v>0</v>
      </c>
      <c r="AY1097">
        <v>0</v>
      </c>
      <c r="AZ1097">
        <v>0</v>
      </c>
      <c r="BA1097">
        <v>0</v>
      </c>
      <c r="BB1097">
        <v>0</v>
      </c>
      <c r="BC1097">
        <v>0</v>
      </c>
      <c r="BD1097">
        <v>0</v>
      </c>
      <c r="BE1097">
        <v>0</v>
      </c>
      <c r="BF1097">
        <v>0</v>
      </c>
      <c r="BG1097">
        <v>0</v>
      </c>
      <c r="BH1097">
        <v>1</v>
      </c>
      <c r="BI1097">
        <v>1</v>
      </c>
      <c r="BJ1097">
        <v>0.2</v>
      </c>
      <c r="BK1097">
        <v>1</v>
      </c>
      <c r="BL1097" s="4">
        <v>50.45</v>
      </c>
      <c r="BM1097" s="4">
        <v>7.57</v>
      </c>
      <c r="BN1097" s="4">
        <v>58.02</v>
      </c>
      <c r="BO1097" s="4">
        <v>58.02</v>
      </c>
      <c r="BR1097" t="s">
        <v>84</v>
      </c>
      <c r="BS1097" s="3">
        <v>43810</v>
      </c>
      <c r="BT1097" s="5">
        <v>0.36180555555555555</v>
      </c>
      <c r="BU1097" t="s">
        <v>1197</v>
      </c>
      <c r="BV1097" t="s">
        <v>86</v>
      </c>
      <c r="BY1097">
        <v>1200</v>
      </c>
      <c r="CA1097" t="s">
        <v>145</v>
      </c>
      <c r="CC1097" t="s">
        <v>91</v>
      </c>
      <c r="CD1097">
        <v>8001</v>
      </c>
      <c r="CE1097" t="s">
        <v>88</v>
      </c>
      <c r="CF1097" s="3">
        <v>43811</v>
      </c>
      <c r="CI1097">
        <v>1</v>
      </c>
      <c r="CJ1097">
        <v>1</v>
      </c>
      <c r="CK1097">
        <v>21</v>
      </c>
      <c r="CL1097" t="s">
        <v>89</v>
      </c>
    </row>
    <row r="1098" spans="1:90">
      <c r="A1098" t="s">
        <v>72</v>
      </c>
      <c r="B1098" t="s">
        <v>73</v>
      </c>
      <c r="C1098" t="s">
        <v>74</v>
      </c>
      <c r="E1098" t="str">
        <f>"FES1162727648"</f>
        <v>FES1162727648</v>
      </c>
      <c r="F1098" s="3">
        <v>43809</v>
      </c>
      <c r="G1098">
        <v>202006</v>
      </c>
      <c r="H1098" t="s">
        <v>75</v>
      </c>
      <c r="I1098" t="s">
        <v>76</v>
      </c>
      <c r="J1098" t="s">
        <v>77</v>
      </c>
      <c r="K1098" t="s">
        <v>78</v>
      </c>
      <c r="L1098" t="s">
        <v>308</v>
      </c>
      <c r="M1098" t="s">
        <v>308</v>
      </c>
      <c r="N1098" t="s">
        <v>309</v>
      </c>
      <c r="O1098" t="s">
        <v>82</v>
      </c>
      <c r="P1098" t="str">
        <f>"2170719529                    "</f>
        <v xml:space="preserve">2170719529                    </v>
      </c>
      <c r="Q1098">
        <v>0</v>
      </c>
      <c r="R1098">
        <v>0</v>
      </c>
      <c r="S1098">
        <v>0</v>
      </c>
      <c r="T1098">
        <v>0</v>
      </c>
      <c r="U1098">
        <v>0</v>
      </c>
      <c r="V1098">
        <v>0</v>
      </c>
      <c r="W1098">
        <v>0</v>
      </c>
      <c r="X1098">
        <v>0</v>
      </c>
      <c r="Y1098">
        <v>0</v>
      </c>
      <c r="Z1098">
        <v>0</v>
      </c>
      <c r="AA1098">
        <v>0</v>
      </c>
      <c r="AB1098">
        <v>0</v>
      </c>
      <c r="AC1098">
        <v>0</v>
      </c>
      <c r="AD1098">
        <v>0</v>
      </c>
      <c r="AE1098">
        <v>0</v>
      </c>
      <c r="AF1098">
        <v>0</v>
      </c>
      <c r="AG1098">
        <v>0</v>
      </c>
      <c r="AH1098">
        <v>0</v>
      </c>
      <c r="AI1098">
        <v>0</v>
      </c>
      <c r="AJ1098">
        <v>0</v>
      </c>
      <c r="AK1098">
        <v>0</v>
      </c>
      <c r="AL1098">
        <v>0</v>
      </c>
      <c r="AM1098">
        <v>16.63</v>
      </c>
      <c r="AN1098">
        <v>0</v>
      </c>
      <c r="AO1098">
        <v>0</v>
      </c>
      <c r="AP1098">
        <v>0</v>
      </c>
      <c r="AQ1098">
        <v>0</v>
      </c>
      <c r="AR1098">
        <v>0</v>
      </c>
      <c r="AS1098">
        <v>0</v>
      </c>
      <c r="AT1098">
        <v>0</v>
      </c>
      <c r="AU1098">
        <v>0</v>
      </c>
      <c r="AV1098">
        <v>0</v>
      </c>
      <c r="AW1098">
        <v>0</v>
      </c>
      <c r="AX1098">
        <v>0</v>
      </c>
      <c r="AY1098">
        <v>0</v>
      </c>
      <c r="AZ1098">
        <v>0</v>
      </c>
      <c r="BA1098">
        <v>0</v>
      </c>
      <c r="BB1098">
        <v>0</v>
      </c>
      <c r="BC1098">
        <v>0</v>
      </c>
      <c r="BD1098">
        <v>0</v>
      </c>
      <c r="BE1098">
        <v>0</v>
      </c>
      <c r="BF1098">
        <v>0</v>
      </c>
      <c r="BG1098">
        <v>0</v>
      </c>
      <c r="BH1098">
        <v>1</v>
      </c>
      <c r="BI1098">
        <v>1</v>
      </c>
      <c r="BJ1098">
        <v>0.2</v>
      </c>
      <c r="BK1098">
        <v>1</v>
      </c>
      <c r="BL1098" s="4">
        <v>97.75</v>
      </c>
      <c r="BM1098" s="4">
        <v>14.66</v>
      </c>
      <c r="BN1098" s="4">
        <v>112.41</v>
      </c>
      <c r="BO1098" s="4">
        <v>112.41</v>
      </c>
      <c r="BQ1098" t="s">
        <v>93</v>
      </c>
      <c r="BR1098" t="s">
        <v>84</v>
      </c>
      <c r="BS1098" s="3">
        <v>43810</v>
      </c>
      <c r="BT1098" s="5">
        <v>0.48194444444444445</v>
      </c>
      <c r="BU1098" t="s">
        <v>310</v>
      </c>
      <c r="BV1098" t="s">
        <v>86</v>
      </c>
      <c r="BY1098">
        <v>1200</v>
      </c>
      <c r="CA1098" t="s">
        <v>311</v>
      </c>
      <c r="CC1098" t="s">
        <v>308</v>
      </c>
      <c r="CD1098">
        <v>7646</v>
      </c>
      <c r="CE1098" t="s">
        <v>88</v>
      </c>
      <c r="CF1098" s="3">
        <v>43811</v>
      </c>
      <c r="CI1098">
        <v>1</v>
      </c>
      <c r="CJ1098">
        <v>1</v>
      </c>
      <c r="CK1098">
        <v>23</v>
      </c>
      <c r="CL1098" t="s">
        <v>89</v>
      </c>
    </row>
    <row r="1099" spans="1:90">
      <c r="A1099" t="s">
        <v>72</v>
      </c>
      <c r="B1099" t="s">
        <v>73</v>
      </c>
      <c r="C1099" t="s">
        <v>74</v>
      </c>
      <c r="E1099" t="str">
        <f>"FES1162727635"</f>
        <v>FES1162727635</v>
      </c>
      <c r="F1099" s="3">
        <v>43809</v>
      </c>
      <c r="G1099">
        <v>202006</v>
      </c>
      <c r="H1099" t="s">
        <v>75</v>
      </c>
      <c r="I1099" t="s">
        <v>76</v>
      </c>
      <c r="J1099" t="s">
        <v>77</v>
      </c>
      <c r="K1099" t="s">
        <v>78</v>
      </c>
      <c r="L1099" t="s">
        <v>308</v>
      </c>
      <c r="M1099" t="s">
        <v>308</v>
      </c>
      <c r="N1099" t="s">
        <v>540</v>
      </c>
      <c r="O1099" t="s">
        <v>82</v>
      </c>
      <c r="P1099" t="str">
        <f>"217071136                     "</f>
        <v xml:space="preserve">217071136                     </v>
      </c>
      <c r="Q1099">
        <v>0</v>
      </c>
      <c r="R1099">
        <v>0</v>
      </c>
      <c r="S1099">
        <v>0</v>
      </c>
      <c r="T1099">
        <v>0</v>
      </c>
      <c r="U1099">
        <v>0</v>
      </c>
      <c r="V1099">
        <v>0</v>
      </c>
      <c r="W1099">
        <v>0</v>
      </c>
      <c r="X1099">
        <v>0</v>
      </c>
      <c r="Y1099">
        <v>0</v>
      </c>
      <c r="Z1099">
        <v>0</v>
      </c>
      <c r="AA1099">
        <v>0</v>
      </c>
      <c r="AB1099">
        <v>0</v>
      </c>
      <c r="AC1099">
        <v>0</v>
      </c>
      <c r="AD1099">
        <v>0</v>
      </c>
      <c r="AE1099">
        <v>0</v>
      </c>
      <c r="AF1099">
        <v>0</v>
      </c>
      <c r="AG1099">
        <v>0</v>
      </c>
      <c r="AH1099">
        <v>0</v>
      </c>
      <c r="AI1099">
        <v>0</v>
      </c>
      <c r="AJ1099">
        <v>0</v>
      </c>
      <c r="AK1099">
        <v>0</v>
      </c>
      <c r="AL1099">
        <v>0</v>
      </c>
      <c r="AM1099">
        <v>16.63</v>
      </c>
      <c r="AN1099">
        <v>0</v>
      </c>
      <c r="AO1099">
        <v>0</v>
      </c>
      <c r="AP1099">
        <v>0</v>
      </c>
      <c r="AQ1099">
        <v>0</v>
      </c>
      <c r="AR1099">
        <v>0</v>
      </c>
      <c r="AS1099">
        <v>0</v>
      </c>
      <c r="AT1099">
        <v>0</v>
      </c>
      <c r="AU1099">
        <v>0</v>
      </c>
      <c r="AV1099">
        <v>0</v>
      </c>
      <c r="AW1099">
        <v>0</v>
      </c>
      <c r="AX1099">
        <v>0</v>
      </c>
      <c r="AY1099">
        <v>0</v>
      </c>
      <c r="AZ1099">
        <v>0</v>
      </c>
      <c r="BA1099">
        <v>0</v>
      </c>
      <c r="BB1099">
        <v>0</v>
      </c>
      <c r="BC1099">
        <v>0</v>
      </c>
      <c r="BD1099">
        <v>0</v>
      </c>
      <c r="BE1099">
        <v>0</v>
      </c>
      <c r="BF1099">
        <v>0</v>
      </c>
      <c r="BG1099">
        <v>0</v>
      </c>
      <c r="BH1099">
        <v>1</v>
      </c>
      <c r="BI1099">
        <v>1</v>
      </c>
      <c r="BJ1099">
        <v>0.2</v>
      </c>
      <c r="BK1099">
        <v>1</v>
      </c>
      <c r="BL1099" s="4">
        <v>97.75</v>
      </c>
      <c r="BM1099" s="4">
        <v>14.66</v>
      </c>
      <c r="BN1099" s="4">
        <v>112.41</v>
      </c>
      <c r="BO1099" s="4">
        <v>112.41</v>
      </c>
      <c r="BQ1099" t="s">
        <v>147</v>
      </c>
      <c r="BR1099" t="s">
        <v>84</v>
      </c>
      <c r="BS1099" s="3">
        <v>43810</v>
      </c>
      <c r="BT1099" s="5">
        <v>0.47916666666666669</v>
      </c>
      <c r="BU1099" t="s">
        <v>1576</v>
      </c>
      <c r="BV1099" t="s">
        <v>86</v>
      </c>
      <c r="BY1099">
        <v>1200</v>
      </c>
      <c r="CA1099" t="s">
        <v>311</v>
      </c>
      <c r="CC1099" t="s">
        <v>308</v>
      </c>
      <c r="CD1099">
        <v>7646</v>
      </c>
      <c r="CE1099" t="s">
        <v>88</v>
      </c>
      <c r="CF1099" s="3">
        <v>43811</v>
      </c>
      <c r="CI1099">
        <v>1</v>
      </c>
      <c r="CJ1099">
        <v>1</v>
      </c>
      <c r="CK1099">
        <v>23</v>
      </c>
      <c r="CL1099" t="s">
        <v>89</v>
      </c>
    </row>
    <row r="1100" spans="1:90">
      <c r="A1100" t="s">
        <v>72</v>
      </c>
      <c r="B1100" t="s">
        <v>73</v>
      </c>
      <c r="C1100" t="s">
        <v>74</v>
      </c>
      <c r="E1100" t="str">
        <f>"FES1162727640"</f>
        <v>FES1162727640</v>
      </c>
      <c r="F1100" s="3">
        <v>43809</v>
      </c>
      <c r="G1100">
        <v>202006</v>
      </c>
      <c r="H1100" t="s">
        <v>75</v>
      </c>
      <c r="I1100" t="s">
        <v>76</v>
      </c>
      <c r="J1100" t="s">
        <v>77</v>
      </c>
      <c r="K1100" t="s">
        <v>78</v>
      </c>
      <c r="L1100" t="s">
        <v>75</v>
      </c>
      <c r="M1100" t="s">
        <v>76</v>
      </c>
      <c r="N1100" t="s">
        <v>1590</v>
      </c>
      <c r="O1100" t="s">
        <v>82</v>
      </c>
      <c r="P1100" t="str">
        <f>"217071145                     "</f>
        <v xml:space="preserve">217071145                     </v>
      </c>
      <c r="Q1100">
        <v>0</v>
      </c>
      <c r="R1100">
        <v>0</v>
      </c>
      <c r="S1100">
        <v>0</v>
      </c>
      <c r="T1100">
        <v>0</v>
      </c>
      <c r="U1100">
        <v>0</v>
      </c>
      <c r="V1100">
        <v>0</v>
      </c>
      <c r="W1100">
        <v>0</v>
      </c>
      <c r="X1100">
        <v>0</v>
      </c>
      <c r="Y1100">
        <v>0</v>
      </c>
      <c r="Z1100">
        <v>0</v>
      </c>
      <c r="AA1100">
        <v>0</v>
      </c>
      <c r="AB1100">
        <v>0</v>
      </c>
      <c r="AC1100">
        <v>0</v>
      </c>
      <c r="AD1100">
        <v>0</v>
      </c>
      <c r="AE1100">
        <v>0</v>
      </c>
      <c r="AF1100">
        <v>0</v>
      </c>
      <c r="AG1100">
        <v>0</v>
      </c>
      <c r="AH1100">
        <v>0</v>
      </c>
      <c r="AI1100">
        <v>0</v>
      </c>
      <c r="AJ1100">
        <v>0</v>
      </c>
      <c r="AK1100">
        <v>0</v>
      </c>
      <c r="AL1100">
        <v>0</v>
      </c>
      <c r="AM1100">
        <v>6.71</v>
      </c>
      <c r="AN1100">
        <v>0</v>
      </c>
      <c r="AO1100">
        <v>0</v>
      </c>
      <c r="AP1100">
        <v>0</v>
      </c>
      <c r="AQ1100">
        <v>0</v>
      </c>
      <c r="AR1100">
        <v>0</v>
      </c>
      <c r="AS1100">
        <v>0</v>
      </c>
      <c r="AT1100">
        <v>0</v>
      </c>
      <c r="AU1100">
        <v>0</v>
      </c>
      <c r="AV1100">
        <v>0</v>
      </c>
      <c r="AW1100">
        <v>0</v>
      </c>
      <c r="AX1100">
        <v>0</v>
      </c>
      <c r="AY1100">
        <v>0</v>
      </c>
      <c r="AZ1100">
        <v>0</v>
      </c>
      <c r="BA1100">
        <v>0</v>
      </c>
      <c r="BB1100">
        <v>0</v>
      </c>
      <c r="BC1100">
        <v>0</v>
      </c>
      <c r="BD1100">
        <v>0</v>
      </c>
      <c r="BE1100">
        <v>0</v>
      </c>
      <c r="BF1100">
        <v>0</v>
      </c>
      <c r="BG1100">
        <v>0</v>
      </c>
      <c r="BH1100">
        <v>1</v>
      </c>
      <c r="BI1100">
        <v>1</v>
      </c>
      <c r="BJ1100">
        <v>0.2</v>
      </c>
      <c r="BK1100">
        <v>1</v>
      </c>
      <c r="BL1100" s="4">
        <v>39.42</v>
      </c>
      <c r="BM1100" s="4">
        <v>5.91</v>
      </c>
      <c r="BN1100" s="4">
        <v>45.33</v>
      </c>
      <c r="BO1100" s="4">
        <v>45.33</v>
      </c>
      <c r="BR1100" t="s">
        <v>84</v>
      </c>
      <c r="BS1100" s="3">
        <v>43810</v>
      </c>
      <c r="BT1100" s="5">
        <v>0.25</v>
      </c>
      <c r="BU1100" t="s">
        <v>1591</v>
      </c>
      <c r="BV1100" t="s">
        <v>86</v>
      </c>
      <c r="BY1100">
        <v>1200</v>
      </c>
      <c r="CA1100" t="s">
        <v>588</v>
      </c>
      <c r="CC1100" t="s">
        <v>76</v>
      </c>
      <c r="CD1100">
        <v>1600</v>
      </c>
      <c r="CE1100" t="s">
        <v>88</v>
      </c>
      <c r="CI1100">
        <v>1</v>
      </c>
      <c r="CJ1100">
        <v>1</v>
      </c>
      <c r="CK1100">
        <v>22</v>
      </c>
      <c r="CL1100" t="s">
        <v>89</v>
      </c>
    </row>
    <row r="1101" spans="1:90">
      <c r="A1101" t="s">
        <v>72</v>
      </c>
      <c r="B1101" t="s">
        <v>73</v>
      </c>
      <c r="C1101" t="s">
        <v>74</v>
      </c>
      <c r="E1101" t="str">
        <f>"FES1162727629"</f>
        <v>FES1162727629</v>
      </c>
      <c r="F1101" s="3">
        <v>43809</v>
      </c>
      <c r="G1101">
        <v>202006</v>
      </c>
      <c r="H1101" t="s">
        <v>75</v>
      </c>
      <c r="I1101" t="s">
        <v>76</v>
      </c>
      <c r="J1101" t="s">
        <v>77</v>
      </c>
      <c r="K1101" t="s">
        <v>78</v>
      </c>
      <c r="L1101" t="s">
        <v>164</v>
      </c>
      <c r="M1101" t="s">
        <v>165</v>
      </c>
      <c r="N1101" t="s">
        <v>414</v>
      </c>
      <c r="O1101" t="s">
        <v>82</v>
      </c>
      <c r="P1101" t="str">
        <f>"2170712118                    "</f>
        <v xml:space="preserve">2170712118                    </v>
      </c>
      <c r="Q1101">
        <v>0</v>
      </c>
      <c r="R1101">
        <v>0</v>
      </c>
      <c r="S1101">
        <v>0</v>
      </c>
      <c r="T1101">
        <v>0</v>
      </c>
      <c r="U1101">
        <v>0</v>
      </c>
      <c r="V1101">
        <v>0</v>
      </c>
      <c r="W1101">
        <v>0</v>
      </c>
      <c r="X1101">
        <v>0</v>
      </c>
      <c r="Y1101">
        <v>0</v>
      </c>
      <c r="Z1101">
        <v>0</v>
      </c>
      <c r="AA1101">
        <v>0</v>
      </c>
      <c r="AB1101">
        <v>0</v>
      </c>
      <c r="AC1101">
        <v>0</v>
      </c>
      <c r="AD1101">
        <v>0</v>
      </c>
      <c r="AE1101">
        <v>0</v>
      </c>
      <c r="AF1101">
        <v>0</v>
      </c>
      <c r="AG1101">
        <v>0</v>
      </c>
      <c r="AH1101">
        <v>0</v>
      </c>
      <c r="AI1101">
        <v>0</v>
      </c>
      <c r="AJ1101">
        <v>0</v>
      </c>
      <c r="AK1101">
        <v>0</v>
      </c>
      <c r="AL1101">
        <v>0</v>
      </c>
      <c r="AM1101">
        <v>8.58</v>
      </c>
      <c r="AN1101">
        <v>0</v>
      </c>
      <c r="AO1101">
        <v>0</v>
      </c>
      <c r="AP1101">
        <v>0</v>
      </c>
      <c r="AQ1101">
        <v>0</v>
      </c>
      <c r="AR1101">
        <v>0</v>
      </c>
      <c r="AS1101">
        <v>0</v>
      </c>
      <c r="AT1101">
        <v>0</v>
      </c>
      <c r="AU1101">
        <v>0</v>
      </c>
      <c r="AV1101">
        <v>0</v>
      </c>
      <c r="AW1101">
        <v>0</v>
      </c>
      <c r="AX1101">
        <v>0</v>
      </c>
      <c r="AY1101">
        <v>0</v>
      </c>
      <c r="AZ1101">
        <v>0</v>
      </c>
      <c r="BA1101">
        <v>0</v>
      </c>
      <c r="BB1101">
        <v>0</v>
      </c>
      <c r="BC1101">
        <v>0</v>
      </c>
      <c r="BD1101">
        <v>0</v>
      </c>
      <c r="BE1101">
        <v>0</v>
      </c>
      <c r="BF1101">
        <v>0</v>
      </c>
      <c r="BG1101">
        <v>0</v>
      </c>
      <c r="BH1101">
        <v>1</v>
      </c>
      <c r="BI1101">
        <v>1</v>
      </c>
      <c r="BJ1101">
        <v>0.2</v>
      </c>
      <c r="BK1101">
        <v>1</v>
      </c>
      <c r="BL1101" s="4">
        <v>50.45</v>
      </c>
      <c r="BM1101" s="4">
        <v>7.57</v>
      </c>
      <c r="BN1101" s="4">
        <v>58.02</v>
      </c>
      <c r="BO1101" s="4">
        <v>58.02</v>
      </c>
      <c r="BQ1101" t="s">
        <v>93</v>
      </c>
      <c r="BR1101" t="s">
        <v>84</v>
      </c>
      <c r="BS1101" s="3">
        <v>43810</v>
      </c>
      <c r="BT1101" s="5">
        <v>0.37847222222222227</v>
      </c>
      <c r="BU1101" t="s">
        <v>1606</v>
      </c>
      <c r="BV1101" t="s">
        <v>86</v>
      </c>
      <c r="BY1101">
        <v>1200</v>
      </c>
      <c r="CA1101" t="s">
        <v>168</v>
      </c>
      <c r="CC1101" t="s">
        <v>165</v>
      </c>
      <c r="CD1101">
        <v>5201</v>
      </c>
      <c r="CE1101" t="s">
        <v>88</v>
      </c>
      <c r="CF1101" s="3">
        <v>43812</v>
      </c>
      <c r="CI1101">
        <v>1</v>
      </c>
      <c r="CJ1101">
        <v>1</v>
      </c>
      <c r="CK1101">
        <v>21</v>
      </c>
      <c r="CL1101" t="s">
        <v>89</v>
      </c>
    </row>
    <row r="1102" spans="1:90">
      <c r="A1102" t="s">
        <v>72</v>
      </c>
      <c r="B1102" t="s">
        <v>73</v>
      </c>
      <c r="C1102" t="s">
        <v>74</v>
      </c>
      <c r="E1102" t="str">
        <f>"FES1162727633"</f>
        <v>FES1162727633</v>
      </c>
      <c r="F1102" s="3">
        <v>43809</v>
      </c>
      <c r="G1102">
        <v>202006</v>
      </c>
      <c r="H1102" t="s">
        <v>75</v>
      </c>
      <c r="I1102" t="s">
        <v>76</v>
      </c>
      <c r="J1102" t="s">
        <v>77</v>
      </c>
      <c r="K1102" t="s">
        <v>78</v>
      </c>
      <c r="L1102" t="s">
        <v>79</v>
      </c>
      <c r="M1102" t="s">
        <v>80</v>
      </c>
      <c r="N1102" t="s">
        <v>129</v>
      </c>
      <c r="O1102" t="s">
        <v>82</v>
      </c>
      <c r="P1102" t="str">
        <f>"217071134                     "</f>
        <v xml:space="preserve">217071134                     </v>
      </c>
      <c r="Q1102">
        <v>0</v>
      </c>
      <c r="R1102">
        <v>0</v>
      </c>
      <c r="S1102">
        <v>0</v>
      </c>
      <c r="T1102">
        <v>0</v>
      </c>
      <c r="U1102">
        <v>0</v>
      </c>
      <c r="V1102">
        <v>0</v>
      </c>
      <c r="W1102">
        <v>0</v>
      </c>
      <c r="X1102">
        <v>0</v>
      </c>
      <c r="Y1102">
        <v>0</v>
      </c>
      <c r="Z1102">
        <v>0</v>
      </c>
      <c r="AA1102">
        <v>0</v>
      </c>
      <c r="AB1102">
        <v>0</v>
      </c>
      <c r="AC1102">
        <v>0</v>
      </c>
      <c r="AD1102">
        <v>0</v>
      </c>
      <c r="AE1102">
        <v>0</v>
      </c>
      <c r="AF1102">
        <v>0</v>
      </c>
      <c r="AG1102">
        <v>0</v>
      </c>
      <c r="AH1102">
        <v>0</v>
      </c>
      <c r="AI1102">
        <v>0</v>
      </c>
      <c r="AJ1102">
        <v>0</v>
      </c>
      <c r="AK1102">
        <v>0</v>
      </c>
      <c r="AL1102">
        <v>0</v>
      </c>
      <c r="AM1102">
        <v>8.58</v>
      </c>
      <c r="AN1102">
        <v>0</v>
      </c>
      <c r="AO1102">
        <v>0</v>
      </c>
      <c r="AP1102">
        <v>0</v>
      </c>
      <c r="AQ1102">
        <v>0</v>
      </c>
      <c r="AR1102">
        <v>0</v>
      </c>
      <c r="AS1102">
        <v>0</v>
      </c>
      <c r="AT1102">
        <v>0</v>
      </c>
      <c r="AU1102">
        <v>0</v>
      </c>
      <c r="AV1102">
        <v>0</v>
      </c>
      <c r="AW1102">
        <v>0</v>
      </c>
      <c r="AX1102">
        <v>0</v>
      </c>
      <c r="AY1102">
        <v>0</v>
      </c>
      <c r="AZ1102">
        <v>0</v>
      </c>
      <c r="BA1102">
        <v>0</v>
      </c>
      <c r="BB1102">
        <v>0</v>
      </c>
      <c r="BC1102">
        <v>0</v>
      </c>
      <c r="BD1102">
        <v>0</v>
      </c>
      <c r="BE1102">
        <v>0</v>
      </c>
      <c r="BF1102">
        <v>0</v>
      </c>
      <c r="BG1102">
        <v>0</v>
      </c>
      <c r="BH1102">
        <v>1</v>
      </c>
      <c r="BI1102">
        <v>1</v>
      </c>
      <c r="BJ1102">
        <v>0.2</v>
      </c>
      <c r="BK1102">
        <v>1</v>
      </c>
      <c r="BL1102" s="4">
        <v>50.45</v>
      </c>
      <c r="BM1102" s="4">
        <v>7.57</v>
      </c>
      <c r="BN1102" s="4">
        <v>58.02</v>
      </c>
      <c r="BO1102" s="4">
        <v>58.02</v>
      </c>
      <c r="BQ1102" t="s">
        <v>147</v>
      </c>
      <c r="BR1102" t="s">
        <v>84</v>
      </c>
      <c r="BS1102" s="3">
        <v>43810</v>
      </c>
      <c r="BT1102" s="5">
        <v>0.35555555555555557</v>
      </c>
      <c r="BU1102" t="s">
        <v>1260</v>
      </c>
      <c r="BV1102" t="s">
        <v>86</v>
      </c>
      <c r="BY1102">
        <v>1200</v>
      </c>
      <c r="CA1102" t="s">
        <v>1156</v>
      </c>
      <c r="CC1102" t="s">
        <v>80</v>
      </c>
      <c r="CD1102">
        <v>6001</v>
      </c>
      <c r="CE1102" t="s">
        <v>88</v>
      </c>
      <c r="CF1102" s="3">
        <v>43811</v>
      </c>
      <c r="CI1102">
        <v>1</v>
      </c>
      <c r="CJ1102">
        <v>1</v>
      </c>
      <c r="CK1102">
        <v>21</v>
      </c>
      <c r="CL1102" t="s">
        <v>89</v>
      </c>
    </row>
    <row r="1103" spans="1:90">
      <c r="A1103" t="s">
        <v>72</v>
      </c>
      <c r="B1103" t="s">
        <v>73</v>
      </c>
      <c r="C1103" t="s">
        <v>74</v>
      </c>
      <c r="E1103" t="str">
        <f>"FES1162727630"</f>
        <v>FES1162727630</v>
      </c>
      <c r="F1103" s="3">
        <v>43809</v>
      </c>
      <c r="G1103">
        <v>202006</v>
      </c>
      <c r="H1103" t="s">
        <v>75</v>
      </c>
      <c r="I1103" t="s">
        <v>76</v>
      </c>
      <c r="J1103" t="s">
        <v>77</v>
      </c>
      <c r="K1103" t="s">
        <v>78</v>
      </c>
      <c r="L1103" t="s">
        <v>164</v>
      </c>
      <c r="M1103" t="s">
        <v>165</v>
      </c>
      <c r="N1103" t="s">
        <v>414</v>
      </c>
      <c r="O1103" t="s">
        <v>82</v>
      </c>
      <c r="P1103" t="str">
        <f>"2170721129                    "</f>
        <v xml:space="preserve">2170721129                    </v>
      </c>
      <c r="Q1103">
        <v>0</v>
      </c>
      <c r="R1103">
        <v>0</v>
      </c>
      <c r="S1103">
        <v>0</v>
      </c>
      <c r="T1103">
        <v>0</v>
      </c>
      <c r="U1103">
        <v>0</v>
      </c>
      <c r="V1103">
        <v>0</v>
      </c>
      <c r="W1103">
        <v>0</v>
      </c>
      <c r="X1103">
        <v>0</v>
      </c>
      <c r="Y1103">
        <v>0</v>
      </c>
      <c r="Z1103">
        <v>0</v>
      </c>
      <c r="AA1103">
        <v>0</v>
      </c>
      <c r="AB1103">
        <v>0</v>
      </c>
      <c r="AC1103">
        <v>0</v>
      </c>
      <c r="AD1103">
        <v>0</v>
      </c>
      <c r="AE1103">
        <v>0</v>
      </c>
      <c r="AF1103">
        <v>0</v>
      </c>
      <c r="AG1103">
        <v>0</v>
      </c>
      <c r="AH1103">
        <v>0</v>
      </c>
      <c r="AI1103">
        <v>0</v>
      </c>
      <c r="AJ1103">
        <v>0</v>
      </c>
      <c r="AK1103">
        <v>0</v>
      </c>
      <c r="AL1103">
        <v>0</v>
      </c>
      <c r="AM1103">
        <v>8.58</v>
      </c>
      <c r="AN1103">
        <v>0</v>
      </c>
      <c r="AO1103">
        <v>0</v>
      </c>
      <c r="AP1103">
        <v>0</v>
      </c>
      <c r="AQ1103">
        <v>0</v>
      </c>
      <c r="AR1103">
        <v>0</v>
      </c>
      <c r="AS1103">
        <v>0</v>
      </c>
      <c r="AT1103">
        <v>0</v>
      </c>
      <c r="AU1103">
        <v>0</v>
      </c>
      <c r="AV1103">
        <v>0</v>
      </c>
      <c r="AW1103">
        <v>0</v>
      </c>
      <c r="AX1103">
        <v>0</v>
      </c>
      <c r="AY1103">
        <v>0</v>
      </c>
      <c r="AZ1103">
        <v>0</v>
      </c>
      <c r="BA1103">
        <v>0</v>
      </c>
      <c r="BB1103">
        <v>0</v>
      </c>
      <c r="BC1103">
        <v>0</v>
      </c>
      <c r="BD1103">
        <v>0</v>
      </c>
      <c r="BE1103">
        <v>0</v>
      </c>
      <c r="BF1103">
        <v>0</v>
      </c>
      <c r="BG1103">
        <v>0</v>
      </c>
      <c r="BH1103">
        <v>1</v>
      </c>
      <c r="BI1103">
        <v>1</v>
      </c>
      <c r="BJ1103">
        <v>0.2</v>
      </c>
      <c r="BK1103">
        <v>1</v>
      </c>
      <c r="BL1103" s="4">
        <v>50.45</v>
      </c>
      <c r="BM1103" s="4">
        <v>7.57</v>
      </c>
      <c r="BN1103" s="4">
        <v>58.02</v>
      </c>
      <c r="BO1103" s="4">
        <v>58.02</v>
      </c>
      <c r="BQ1103" t="s">
        <v>93</v>
      </c>
      <c r="BR1103" t="s">
        <v>84</v>
      </c>
      <c r="BS1103" s="3">
        <v>43810</v>
      </c>
      <c r="BT1103" s="5">
        <v>0.37847222222222227</v>
      </c>
      <c r="BU1103" t="s">
        <v>1606</v>
      </c>
      <c r="BV1103" t="s">
        <v>86</v>
      </c>
      <c r="BY1103">
        <v>1200</v>
      </c>
      <c r="CA1103" t="s">
        <v>168</v>
      </c>
      <c r="CC1103" t="s">
        <v>165</v>
      </c>
      <c r="CD1103">
        <v>5201</v>
      </c>
      <c r="CE1103" t="s">
        <v>88</v>
      </c>
      <c r="CF1103" s="3">
        <v>43812</v>
      </c>
      <c r="CI1103">
        <v>1</v>
      </c>
      <c r="CJ1103">
        <v>1</v>
      </c>
      <c r="CK1103">
        <v>21</v>
      </c>
      <c r="CL1103" t="s">
        <v>89</v>
      </c>
    </row>
    <row r="1104" spans="1:90">
      <c r="A1104" t="s">
        <v>72</v>
      </c>
      <c r="B1104" t="s">
        <v>73</v>
      </c>
      <c r="C1104" t="s">
        <v>74</v>
      </c>
      <c r="E1104" t="str">
        <f>"FES1162727607"</f>
        <v>FES1162727607</v>
      </c>
      <c r="F1104" s="3">
        <v>43809</v>
      </c>
      <c r="G1104">
        <v>202006</v>
      </c>
      <c r="H1104" t="s">
        <v>75</v>
      </c>
      <c r="I1104" t="s">
        <v>76</v>
      </c>
      <c r="J1104" t="s">
        <v>77</v>
      </c>
      <c r="K1104" t="s">
        <v>78</v>
      </c>
      <c r="L1104" t="s">
        <v>221</v>
      </c>
      <c r="M1104" t="s">
        <v>222</v>
      </c>
      <c r="N1104" t="s">
        <v>1607</v>
      </c>
      <c r="O1104" t="s">
        <v>82</v>
      </c>
      <c r="P1104" t="str">
        <f>"217071100                     "</f>
        <v xml:space="preserve">217071100                     </v>
      </c>
      <c r="Q1104">
        <v>0</v>
      </c>
      <c r="R1104">
        <v>0</v>
      </c>
      <c r="S1104">
        <v>0</v>
      </c>
      <c r="T1104">
        <v>0</v>
      </c>
      <c r="U1104">
        <v>0</v>
      </c>
      <c r="V1104">
        <v>0</v>
      </c>
      <c r="W1104">
        <v>0</v>
      </c>
      <c r="X1104">
        <v>0</v>
      </c>
      <c r="Y1104">
        <v>0</v>
      </c>
      <c r="Z1104">
        <v>0</v>
      </c>
      <c r="AA1104">
        <v>0</v>
      </c>
      <c r="AB1104">
        <v>0</v>
      </c>
      <c r="AC1104">
        <v>0</v>
      </c>
      <c r="AD1104">
        <v>0</v>
      </c>
      <c r="AE1104">
        <v>0</v>
      </c>
      <c r="AF1104">
        <v>0</v>
      </c>
      <c r="AG1104">
        <v>0</v>
      </c>
      <c r="AH1104">
        <v>0</v>
      </c>
      <c r="AI1104">
        <v>0</v>
      </c>
      <c r="AJ1104">
        <v>0</v>
      </c>
      <c r="AK1104">
        <v>0</v>
      </c>
      <c r="AL1104">
        <v>0</v>
      </c>
      <c r="AM1104">
        <v>8.58</v>
      </c>
      <c r="AN1104">
        <v>0</v>
      </c>
      <c r="AO1104">
        <v>0</v>
      </c>
      <c r="AP1104">
        <v>0</v>
      </c>
      <c r="AQ1104">
        <v>0</v>
      </c>
      <c r="AR1104">
        <v>0</v>
      </c>
      <c r="AS1104">
        <v>0</v>
      </c>
      <c r="AT1104">
        <v>0</v>
      </c>
      <c r="AU1104">
        <v>0</v>
      </c>
      <c r="AV1104">
        <v>0</v>
      </c>
      <c r="AW1104">
        <v>0</v>
      </c>
      <c r="AX1104">
        <v>0</v>
      </c>
      <c r="AY1104">
        <v>0</v>
      </c>
      <c r="AZ1104">
        <v>0</v>
      </c>
      <c r="BA1104">
        <v>0</v>
      </c>
      <c r="BB1104">
        <v>0</v>
      </c>
      <c r="BC1104">
        <v>0</v>
      </c>
      <c r="BD1104">
        <v>0</v>
      </c>
      <c r="BE1104">
        <v>0</v>
      </c>
      <c r="BF1104">
        <v>0</v>
      </c>
      <c r="BG1104">
        <v>0</v>
      </c>
      <c r="BH1104">
        <v>1</v>
      </c>
      <c r="BI1104">
        <v>1</v>
      </c>
      <c r="BJ1104">
        <v>0.2</v>
      </c>
      <c r="BK1104">
        <v>1</v>
      </c>
      <c r="BL1104" s="4">
        <v>50.45</v>
      </c>
      <c r="BM1104" s="4">
        <v>7.57</v>
      </c>
      <c r="BN1104" s="4">
        <v>58.02</v>
      </c>
      <c r="BO1104" s="4">
        <v>58.02</v>
      </c>
      <c r="BR1104" t="s">
        <v>84</v>
      </c>
      <c r="BS1104" s="3">
        <v>43810</v>
      </c>
      <c r="BT1104" s="5">
        <v>0.43402777777777773</v>
      </c>
      <c r="BU1104" t="s">
        <v>1608</v>
      </c>
      <c r="BV1104" t="s">
        <v>86</v>
      </c>
      <c r="BY1104">
        <v>1200</v>
      </c>
      <c r="CA1104" t="s">
        <v>1609</v>
      </c>
      <c r="CC1104" t="s">
        <v>222</v>
      </c>
      <c r="CD1104">
        <v>3201</v>
      </c>
      <c r="CE1104" t="s">
        <v>88</v>
      </c>
      <c r="CF1104" s="3">
        <v>43811</v>
      </c>
      <c r="CI1104">
        <v>1</v>
      </c>
      <c r="CJ1104">
        <v>1</v>
      </c>
      <c r="CK1104">
        <v>21</v>
      </c>
      <c r="CL1104" t="s">
        <v>89</v>
      </c>
    </row>
    <row r="1105" spans="1:90">
      <c r="A1105" t="s">
        <v>72</v>
      </c>
      <c r="B1105" t="s">
        <v>73</v>
      </c>
      <c r="C1105" t="s">
        <v>74</v>
      </c>
      <c r="E1105" t="str">
        <f>"FES1162727610"</f>
        <v>FES1162727610</v>
      </c>
      <c r="F1105" s="3">
        <v>43809</v>
      </c>
      <c r="G1105">
        <v>202006</v>
      </c>
      <c r="H1105" t="s">
        <v>75</v>
      </c>
      <c r="I1105" t="s">
        <v>76</v>
      </c>
      <c r="J1105" t="s">
        <v>77</v>
      </c>
      <c r="K1105" t="s">
        <v>78</v>
      </c>
      <c r="L1105" t="s">
        <v>446</v>
      </c>
      <c r="M1105" t="s">
        <v>447</v>
      </c>
      <c r="N1105" t="s">
        <v>448</v>
      </c>
      <c r="O1105" t="s">
        <v>82</v>
      </c>
      <c r="P1105" t="str">
        <f>"217071102                     "</f>
        <v xml:space="preserve">217071102                     </v>
      </c>
      <c r="Q1105">
        <v>0</v>
      </c>
      <c r="R1105">
        <v>0</v>
      </c>
      <c r="S1105">
        <v>0</v>
      </c>
      <c r="T1105">
        <v>0</v>
      </c>
      <c r="U1105">
        <v>0</v>
      </c>
      <c r="V1105">
        <v>0</v>
      </c>
      <c r="W1105">
        <v>0</v>
      </c>
      <c r="X1105">
        <v>0</v>
      </c>
      <c r="Y1105">
        <v>0</v>
      </c>
      <c r="Z1105">
        <v>0</v>
      </c>
      <c r="AA1105">
        <v>0</v>
      </c>
      <c r="AB1105">
        <v>0</v>
      </c>
      <c r="AC1105">
        <v>0</v>
      </c>
      <c r="AD1105">
        <v>0</v>
      </c>
      <c r="AE1105">
        <v>0</v>
      </c>
      <c r="AF1105">
        <v>0</v>
      </c>
      <c r="AG1105">
        <v>0</v>
      </c>
      <c r="AH1105">
        <v>0</v>
      </c>
      <c r="AI1105">
        <v>0</v>
      </c>
      <c r="AJ1105">
        <v>0</v>
      </c>
      <c r="AK1105">
        <v>0</v>
      </c>
      <c r="AL1105">
        <v>0</v>
      </c>
      <c r="AM1105">
        <v>8.58</v>
      </c>
      <c r="AN1105">
        <v>0</v>
      </c>
      <c r="AO1105">
        <v>0</v>
      </c>
      <c r="AP1105">
        <v>0</v>
      </c>
      <c r="AQ1105">
        <v>0</v>
      </c>
      <c r="AR1105">
        <v>0</v>
      </c>
      <c r="AS1105">
        <v>0</v>
      </c>
      <c r="AT1105">
        <v>0</v>
      </c>
      <c r="AU1105">
        <v>0</v>
      </c>
      <c r="AV1105">
        <v>0</v>
      </c>
      <c r="AW1105">
        <v>0</v>
      </c>
      <c r="AX1105">
        <v>0</v>
      </c>
      <c r="AY1105">
        <v>0</v>
      </c>
      <c r="AZ1105">
        <v>0</v>
      </c>
      <c r="BA1105">
        <v>0</v>
      </c>
      <c r="BB1105">
        <v>0</v>
      </c>
      <c r="BC1105">
        <v>0</v>
      </c>
      <c r="BD1105">
        <v>0</v>
      </c>
      <c r="BE1105">
        <v>0</v>
      </c>
      <c r="BF1105">
        <v>0</v>
      </c>
      <c r="BG1105">
        <v>0</v>
      </c>
      <c r="BH1105">
        <v>1</v>
      </c>
      <c r="BI1105">
        <v>1.3</v>
      </c>
      <c r="BJ1105">
        <v>0.9</v>
      </c>
      <c r="BK1105">
        <v>1.5</v>
      </c>
      <c r="BL1105" s="4">
        <v>50.45</v>
      </c>
      <c r="BM1105" s="4">
        <v>7.57</v>
      </c>
      <c r="BN1105" s="4">
        <v>58.02</v>
      </c>
      <c r="BO1105" s="4">
        <v>58.02</v>
      </c>
      <c r="BQ1105" t="s">
        <v>256</v>
      </c>
      <c r="BR1105" t="s">
        <v>84</v>
      </c>
      <c r="BS1105" s="3">
        <v>43810</v>
      </c>
      <c r="BT1105" s="5">
        <v>0.40763888888888888</v>
      </c>
      <c r="BU1105" t="s">
        <v>1610</v>
      </c>
      <c r="BV1105" t="s">
        <v>86</v>
      </c>
      <c r="BY1105">
        <v>4402.83</v>
      </c>
      <c r="CA1105" t="s">
        <v>212</v>
      </c>
      <c r="CC1105" t="s">
        <v>447</v>
      </c>
      <c r="CD1105">
        <v>4113</v>
      </c>
      <c r="CE1105" t="s">
        <v>96</v>
      </c>
      <c r="CF1105" s="3">
        <v>43811</v>
      </c>
      <c r="CI1105">
        <v>1</v>
      </c>
      <c r="CJ1105">
        <v>1</v>
      </c>
      <c r="CK1105">
        <v>21</v>
      </c>
      <c r="CL1105" t="s">
        <v>89</v>
      </c>
    </row>
    <row r="1106" spans="1:90">
      <c r="A1106" t="s">
        <v>72</v>
      </c>
      <c r="B1106" t="s">
        <v>73</v>
      </c>
      <c r="C1106" t="s">
        <v>74</v>
      </c>
      <c r="E1106" t="str">
        <f>"FES1162727584"</f>
        <v>FES1162727584</v>
      </c>
      <c r="F1106" s="3">
        <v>43809</v>
      </c>
      <c r="G1106">
        <v>202006</v>
      </c>
      <c r="H1106" t="s">
        <v>75</v>
      </c>
      <c r="I1106" t="s">
        <v>76</v>
      </c>
      <c r="J1106" t="s">
        <v>77</v>
      </c>
      <c r="K1106" t="s">
        <v>78</v>
      </c>
      <c r="L1106" t="s">
        <v>198</v>
      </c>
      <c r="M1106" t="s">
        <v>199</v>
      </c>
      <c r="N1106" t="s">
        <v>566</v>
      </c>
      <c r="O1106" t="s">
        <v>82</v>
      </c>
      <c r="P1106" t="str">
        <f>"21707168                      "</f>
        <v xml:space="preserve">21707168                      </v>
      </c>
      <c r="Q1106">
        <v>0</v>
      </c>
      <c r="R1106">
        <v>0</v>
      </c>
      <c r="S1106">
        <v>0</v>
      </c>
      <c r="T1106">
        <v>0</v>
      </c>
      <c r="U1106">
        <v>0</v>
      </c>
      <c r="V1106">
        <v>0</v>
      </c>
      <c r="W1106">
        <v>0</v>
      </c>
      <c r="X1106">
        <v>0</v>
      </c>
      <c r="Y1106">
        <v>0</v>
      </c>
      <c r="Z1106">
        <v>0</v>
      </c>
      <c r="AA1106">
        <v>0</v>
      </c>
      <c r="AB1106">
        <v>0</v>
      </c>
      <c r="AC1106">
        <v>0</v>
      </c>
      <c r="AD1106">
        <v>0</v>
      </c>
      <c r="AE1106">
        <v>0</v>
      </c>
      <c r="AF1106">
        <v>0</v>
      </c>
      <c r="AG1106">
        <v>0</v>
      </c>
      <c r="AH1106">
        <v>0</v>
      </c>
      <c r="AI1106">
        <v>0</v>
      </c>
      <c r="AJ1106">
        <v>0</v>
      </c>
      <c r="AK1106">
        <v>0</v>
      </c>
      <c r="AL1106">
        <v>0</v>
      </c>
      <c r="AM1106">
        <v>19.3</v>
      </c>
      <c r="AN1106">
        <v>0</v>
      </c>
      <c r="AO1106">
        <v>0</v>
      </c>
      <c r="AP1106">
        <v>0</v>
      </c>
      <c r="AQ1106">
        <v>0</v>
      </c>
      <c r="AR1106">
        <v>0</v>
      </c>
      <c r="AS1106">
        <v>0</v>
      </c>
      <c r="AT1106">
        <v>0</v>
      </c>
      <c r="AU1106">
        <v>0</v>
      </c>
      <c r="AV1106">
        <v>0</v>
      </c>
      <c r="AW1106">
        <v>0</v>
      </c>
      <c r="AX1106">
        <v>0</v>
      </c>
      <c r="AY1106">
        <v>0</v>
      </c>
      <c r="AZ1106">
        <v>0</v>
      </c>
      <c r="BA1106">
        <v>0</v>
      </c>
      <c r="BB1106">
        <v>0</v>
      </c>
      <c r="BC1106">
        <v>0</v>
      </c>
      <c r="BD1106">
        <v>0</v>
      </c>
      <c r="BE1106">
        <v>0</v>
      </c>
      <c r="BF1106">
        <v>0</v>
      </c>
      <c r="BG1106">
        <v>0</v>
      </c>
      <c r="BH1106">
        <v>1</v>
      </c>
      <c r="BI1106">
        <v>3.1</v>
      </c>
      <c r="BJ1106">
        <v>4.0999999999999996</v>
      </c>
      <c r="BK1106">
        <v>4.5</v>
      </c>
      <c r="BL1106" s="4">
        <v>113.47</v>
      </c>
      <c r="BM1106" s="4">
        <v>17.02</v>
      </c>
      <c r="BN1106" s="4">
        <v>130.49</v>
      </c>
      <c r="BO1106" s="4">
        <v>130.49</v>
      </c>
      <c r="BQ1106" t="s">
        <v>256</v>
      </c>
      <c r="BR1106" t="s">
        <v>84</v>
      </c>
      <c r="BS1106" s="3">
        <v>43810</v>
      </c>
      <c r="BT1106" s="5">
        <v>0.4201388888888889</v>
      </c>
      <c r="BU1106" t="s">
        <v>1404</v>
      </c>
      <c r="BV1106" t="s">
        <v>86</v>
      </c>
      <c r="BY1106">
        <v>20331.52</v>
      </c>
      <c r="CA1106" t="s">
        <v>941</v>
      </c>
      <c r="CC1106" t="s">
        <v>199</v>
      </c>
      <c r="CD1106">
        <v>4052</v>
      </c>
      <c r="CE1106" t="s">
        <v>116</v>
      </c>
      <c r="CF1106" s="3">
        <v>43811</v>
      </c>
      <c r="CI1106">
        <v>1</v>
      </c>
      <c r="CJ1106">
        <v>1</v>
      </c>
      <c r="CK1106">
        <v>21</v>
      </c>
      <c r="CL1106" t="s">
        <v>89</v>
      </c>
    </row>
    <row r="1107" spans="1:90">
      <c r="A1107" t="s">
        <v>72</v>
      </c>
      <c r="B1107" t="s">
        <v>73</v>
      </c>
      <c r="C1107" t="s">
        <v>74</v>
      </c>
      <c r="E1107" t="str">
        <f>"FES1162728708"</f>
        <v>FES1162728708</v>
      </c>
      <c r="F1107" s="3">
        <v>43818</v>
      </c>
      <c r="G1107">
        <v>202006</v>
      </c>
      <c r="H1107" t="s">
        <v>75</v>
      </c>
      <c r="I1107" t="s">
        <v>76</v>
      </c>
      <c r="J1107" t="s">
        <v>77</v>
      </c>
      <c r="K1107" t="s">
        <v>78</v>
      </c>
      <c r="L1107" t="s">
        <v>714</v>
      </c>
      <c r="M1107" t="s">
        <v>715</v>
      </c>
      <c r="N1107" t="s">
        <v>1015</v>
      </c>
      <c r="O1107" t="s">
        <v>82</v>
      </c>
      <c r="P1107" t="str">
        <f>"2170721907                    "</f>
        <v xml:space="preserve">2170721907                    </v>
      </c>
      <c r="Q1107">
        <v>0</v>
      </c>
      <c r="R1107">
        <v>0</v>
      </c>
      <c r="S1107">
        <v>0</v>
      </c>
      <c r="T1107">
        <v>0</v>
      </c>
      <c r="U1107">
        <v>0</v>
      </c>
      <c r="V1107">
        <v>0</v>
      </c>
      <c r="W1107">
        <v>0</v>
      </c>
      <c r="X1107">
        <v>0</v>
      </c>
      <c r="Y1107">
        <v>0</v>
      </c>
      <c r="Z1107">
        <v>0</v>
      </c>
      <c r="AA1107">
        <v>0</v>
      </c>
      <c r="AB1107">
        <v>0</v>
      </c>
      <c r="AC1107">
        <v>0</v>
      </c>
      <c r="AD1107">
        <v>0</v>
      </c>
      <c r="AE1107">
        <v>0</v>
      </c>
      <c r="AF1107">
        <v>0</v>
      </c>
      <c r="AG1107">
        <v>0</v>
      </c>
      <c r="AH1107">
        <v>0</v>
      </c>
      <c r="AI1107">
        <v>0</v>
      </c>
      <c r="AJ1107">
        <v>0</v>
      </c>
      <c r="AK1107">
        <v>0</v>
      </c>
      <c r="AL1107">
        <v>0</v>
      </c>
      <c r="AM1107">
        <v>8.31</v>
      </c>
      <c r="AN1107">
        <v>0</v>
      </c>
      <c r="AO1107">
        <v>0</v>
      </c>
      <c r="AP1107">
        <v>0</v>
      </c>
      <c r="AQ1107">
        <v>0</v>
      </c>
      <c r="AR1107">
        <v>0</v>
      </c>
      <c r="AS1107">
        <v>0</v>
      </c>
      <c r="AT1107">
        <v>0</v>
      </c>
      <c r="AU1107">
        <v>0</v>
      </c>
      <c r="AV1107">
        <v>0</v>
      </c>
      <c r="AW1107">
        <v>0</v>
      </c>
      <c r="AX1107">
        <v>0</v>
      </c>
      <c r="AY1107">
        <v>0</v>
      </c>
      <c r="AZ1107">
        <v>0</v>
      </c>
      <c r="BA1107">
        <v>0</v>
      </c>
      <c r="BB1107">
        <v>0</v>
      </c>
      <c r="BC1107">
        <v>0</v>
      </c>
      <c r="BD1107">
        <v>0</v>
      </c>
      <c r="BE1107">
        <v>0</v>
      </c>
      <c r="BF1107">
        <v>0</v>
      </c>
      <c r="BG1107">
        <v>0</v>
      </c>
      <c r="BH1107">
        <v>1</v>
      </c>
      <c r="BI1107">
        <v>3</v>
      </c>
      <c r="BJ1107">
        <v>1.2</v>
      </c>
      <c r="BK1107">
        <v>3</v>
      </c>
      <c r="BL1107" s="4">
        <v>48.86</v>
      </c>
      <c r="BM1107" s="4">
        <v>7.33</v>
      </c>
      <c r="BN1107" s="4">
        <v>56.19</v>
      </c>
      <c r="BO1107" s="4">
        <v>56.19</v>
      </c>
      <c r="BQ1107" t="s">
        <v>1016</v>
      </c>
      <c r="BR1107" t="s">
        <v>84</v>
      </c>
      <c r="BS1107" s="3">
        <v>43819</v>
      </c>
      <c r="BT1107" s="5">
        <v>0.38541666666666669</v>
      </c>
      <c r="BU1107" t="s">
        <v>1611</v>
      </c>
      <c r="BV1107" t="s">
        <v>86</v>
      </c>
      <c r="BY1107">
        <v>6192.48</v>
      </c>
      <c r="CA1107" t="s">
        <v>1350</v>
      </c>
      <c r="CC1107" t="s">
        <v>715</v>
      </c>
      <c r="CD1107">
        <v>1559</v>
      </c>
      <c r="CE1107" t="s">
        <v>116</v>
      </c>
      <c r="CF1107" s="3">
        <v>43822</v>
      </c>
      <c r="CI1107">
        <v>1</v>
      </c>
      <c r="CJ1107">
        <v>1</v>
      </c>
      <c r="CK1107">
        <v>22</v>
      </c>
      <c r="CL1107" t="s">
        <v>89</v>
      </c>
    </row>
    <row r="1108" spans="1:90">
      <c r="A1108" t="s">
        <v>72</v>
      </c>
      <c r="B1108" t="s">
        <v>73</v>
      </c>
      <c r="C1108" t="s">
        <v>74</v>
      </c>
      <c r="E1108" t="str">
        <f>"FES1162727571"</f>
        <v>FES1162727571</v>
      </c>
      <c r="F1108" s="3">
        <v>43809</v>
      </c>
      <c r="G1108">
        <v>202006</v>
      </c>
      <c r="H1108" t="s">
        <v>75</v>
      </c>
      <c r="I1108" t="s">
        <v>76</v>
      </c>
      <c r="J1108" t="s">
        <v>77</v>
      </c>
      <c r="K1108" t="s">
        <v>78</v>
      </c>
      <c r="L1108" t="s">
        <v>138</v>
      </c>
      <c r="M1108" t="s">
        <v>139</v>
      </c>
      <c r="N1108" t="s">
        <v>1612</v>
      </c>
      <c r="O1108" t="s">
        <v>82</v>
      </c>
      <c r="P1108" t="str">
        <f>"2170871654                    "</f>
        <v xml:space="preserve">2170871654                    </v>
      </c>
      <c r="Q1108">
        <v>0</v>
      </c>
      <c r="R1108">
        <v>0</v>
      </c>
      <c r="S1108">
        <v>0</v>
      </c>
      <c r="T1108">
        <v>0</v>
      </c>
      <c r="U1108">
        <v>0</v>
      </c>
      <c r="V1108">
        <v>0</v>
      </c>
      <c r="W1108">
        <v>0</v>
      </c>
      <c r="X1108">
        <v>0</v>
      </c>
      <c r="Y1108">
        <v>0</v>
      </c>
      <c r="Z1108">
        <v>0</v>
      </c>
      <c r="AA1108">
        <v>0</v>
      </c>
      <c r="AB1108">
        <v>0</v>
      </c>
      <c r="AC1108">
        <v>0</v>
      </c>
      <c r="AD1108">
        <v>0</v>
      </c>
      <c r="AE1108">
        <v>0</v>
      </c>
      <c r="AF1108">
        <v>0</v>
      </c>
      <c r="AG1108">
        <v>0</v>
      </c>
      <c r="AH1108">
        <v>0</v>
      </c>
      <c r="AI1108">
        <v>0</v>
      </c>
      <c r="AJ1108">
        <v>0</v>
      </c>
      <c r="AK1108">
        <v>0</v>
      </c>
      <c r="AL1108">
        <v>0</v>
      </c>
      <c r="AM1108">
        <v>12.33</v>
      </c>
      <c r="AN1108">
        <v>0</v>
      </c>
      <c r="AO1108">
        <v>0</v>
      </c>
      <c r="AP1108">
        <v>0</v>
      </c>
      <c r="AQ1108">
        <v>0</v>
      </c>
      <c r="AR1108">
        <v>0</v>
      </c>
      <c r="AS1108">
        <v>0</v>
      </c>
      <c r="AT1108">
        <v>0</v>
      </c>
      <c r="AU1108">
        <v>0</v>
      </c>
      <c r="AV1108">
        <v>0</v>
      </c>
      <c r="AW1108">
        <v>0</v>
      </c>
      <c r="AX1108">
        <v>0</v>
      </c>
      <c r="AY1108">
        <v>0</v>
      </c>
      <c r="AZ1108">
        <v>0</v>
      </c>
      <c r="BA1108">
        <v>0</v>
      </c>
      <c r="BB1108">
        <v>0</v>
      </c>
      <c r="BC1108">
        <v>0</v>
      </c>
      <c r="BD1108">
        <v>0</v>
      </c>
      <c r="BE1108">
        <v>0</v>
      </c>
      <c r="BF1108">
        <v>0</v>
      </c>
      <c r="BG1108">
        <v>0</v>
      </c>
      <c r="BH1108">
        <v>1</v>
      </c>
      <c r="BI1108">
        <v>2.1</v>
      </c>
      <c r="BJ1108">
        <v>5.3</v>
      </c>
      <c r="BK1108">
        <v>5.5</v>
      </c>
      <c r="BL1108" s="4">
        <v>72.48</v>
      </c>
      <c r="BM1108" s="4">
        <v>10.87</v>
      </c>
      <c r="BN1108" s="4">
        <v>83.35</v>
      </c>
      <c r="BO1108" s="4">
        <v>83.35</v>
      </c>
      <c r="BR1108" t="s">
        <v>84</v>
      </c>
      <c r="BS1108" s="3">
        <v>43810</v>
      </c>
      <c r="BT1108" s="5">
        <v>0.42569444444444443</v>
      </c>
      <c r="BU1108" t="s">
        <v>1613</v>
      </c>
      <c r="BV1108" t="s">
        <v>86</v>
      </c>
      <c r="BY1108">
        <v>26272.16</v>
      </c>
      <c r="CA1108" t="s">
        <v>230</v>
      </c>
      <c r="CC1108" t="s">
        <v>139</v>
      </c>
      <c r="CD1108">
        <v>1401</v>
      </c>
      <c r="CE1108" t="s">
        <v>116</v>
      </c>
      <c r="CF1108" s="3">
        <v>43811</v>
      </c>
      <c r="CI1108">
        <v>1</v>
      </c>
      <c r="CJ1108">
        <v>1</v>
      </c>
      <c r="CK1108">
        <v>22</v>
      </c>
      <c r="CL1108" t="s">
        <v>89</v>
      </c>
    </row>
    <row r="1109" spans="1:90">
      <c r="A1109" t="s">
        <v>72</v>
      </c>
      <c r="B1109" t="s">
        <v>73</v>
      </c>
      <c r="C1109" t="s">
        <v>74</v>
      </c>
      <c r="E1109" t="str">
        <f>"FES1162727577"</f>
        <v>FES1162727577</v>
      </c>
      <c r="F1109" s="3">
        <v>43809</v>
      </c>
      <c r="G1109">
        <v>202006</v>
      </c>
      <c r="H1109" t="s">
        <v>75</v>
      </c>
      <c r="I1109" t="s">
        <v>76</v>
      </c>
      <c r="J1109" t="s">
        <v>77</v>
      </c>
      <c r="K1109" t="s">
        <v>78</v>
      </c>
      <c r="L1109" t="s">
        <v>667</v>
      </c>
      <c r="M1109" t="s">
        <v>668</v>
      </c>
      <c r="N1109" t="s">
        <v>1526</v>
      </c>
      <c r="O1109" t="s">
        <v>82</v>
      </c>
      <c r="P1109" t="str">
        <f>"217071063                     "</f>
        <v xml:space="preserve">217071063                     </v>
      </c>
      <c r="Q1109">
        <v>0</v>
      </c>
      <c r="R1109">
        <v>0</v>
      </c>
      <c r="S1109">
        <v>0</v>
      </c>
      <c r="T1109">
        <v>0</v>
      </c>
      <c r="U1109">
        <v>0</v>
      </c>
      <c r="V1109">
        <v>0</v>
      </c>
      <c r="W1109">
        <v>0</v>
      </c>
      <c r="X1109">
        <v>0</v>
      </c>
      <c r="Y1109">
        <v>0</v>
      </c>
      <c r="Z1109">
        <v>0</v>
      </c>
      <c r="AA1109">
        <v>0</v>
      </c>
      <c r="AB1109">
        <v>0</v>
      </c>
      <c r="AC1109">
        <v>0</v>
      </c>
      <c r="AD1109">
        <v>0</v>
      </c>
      <c r="AE1109">
        <v>0</v>
      </c>
      <c r="AF1109">
        <v>0</v>
      </c>
      <c r="AG1109">
        <v>0</v>
      </c>
      <c r="AH1109">
        <v>0</v>
      </c>
      <c r="AI1109">
        <v>0</v>
      </c>
      <c r="AJ1109">
        <v>0</v>
      </c>
      <c r="AK1109">
        <v>0</v>
      </c>
      <c r="AL1109">
        <v>0</v>
      </c>
      <c r="AM1109">
        <v>12.07</v>
      </c>
      <c r="AN1109">
        <v>0</v>
      </c>
      <c r="AO1109">
        <v>0</v>
      </c>
      <c r="AP1109">
        <v>0</v>
      </c>
      <c r="AQ1109">
        <v>0</v>
      </c>
      <c r="AR1109">
        <v>0</v>
      </c>
      <c r="AS1109">
        <v>0</v>
      </c>
      <c r="AT1109">
        <v>0</v>
      </c>
      <c r="AU1109">
        <v>0</v>
      </c>
      <c r="AV1109">
        <v>0</v>
      </c>
      <c r="AW1109">
        <v>0</v>
      </c>
      <c r="AX1109">
        <v>0</v>
      </c>
      <c r="AY1109">
        <v>0</v>
      </c>
      <c r="AZ1109">
        <v>0</v>
      </c>
      <c r="BA1109">
        <v>0</v>
      </c>
      <c r="BB1109">
        <v>0</v>
      </c>
      <c r="BC1109">
        <v>0</v>
      </c>
      <c r="BD1109">
        <v>0</v>
      </c>
      <c r="BE1109">
        <v>0</v>
      </c>
      <c r="BF1109">
        <v>0</v>
      </c>
      <c r="BG1109">
        <v>0</v>
      </c>
      <c r="BH1109">
        <v>1</v>
      </c>
      <c r="BI1109">
        <v>1.8</v>
      </c>
      <c r="BJ1109">
        <v>1</v>
      </c>
      <c r="BK1109">
        <v>2</v>
      </c>
      <c r="BL1109" s="4">
        <v>70.95</v>
      </c>
      <c r="BM1109" s="4">
        <v>10.64</v>
      </c>
      <c r="BN1109" s="4">
        <v>81.59</v>
      </c>
      <c r="BO1109" s="4">
        <v>81.59</v>
      </c>
      <c r="BQ1109" t="s">
        <v>147</v>
      </c>
      <c r="BR1109" t="s">
        <v>84</v>
      </c>
      <c r="BS1109" s="3">
        <v>43810</v>
      </c>
      <c r="BT1109" s="5">
        <v>0.3125</v>
      </c>
      <c r="BU1109" t="s">
        <v>142</v>
      </c>
      <c r="BV1109" t="s">
        <v>86</v>
      </c>
      <c r="BY1109">
        <v>4763.8100000000004</v>
      </c>
      <c r="CC1109" t="s">
        <v>668</v>
      </c>
      <c r="CD1109">
        <v>1759</v>
      </c>
      <c r="CE1109" t="s">
        <v>96</v>
      </c>
      <c r="CF1109" s="3">
        <v>43811</v>
      </c>
      <c r="CI1109">
        <v>1</v>
      </c>
      <c r="CJ1109">
        <v>1</v>
      </c>
      <c r="CK1109">
        <v>24</v>
      </c>
      <c r="CL1109" t="s">
        <v>89</v>
      </c>
    </row>
    <row r="1110" spans="1:90">
      <c r="A1110" t="s">
        <v>72</v>
      </c>
      <c r="B1110" t="s">
        <v>73</v>
      </c>
      <c r="C1110" t="s">
        <v>74</v>
      </c>
      <c r="E1110" t="str">
        <f>"FES1162727501"</f>
        <v>FES1162727501</v>
      </c>
      <c r="F1110" s="3">
        <v>43809</v>
      </c>
      <c r="G1110">
        <v>202006</v>
      </c>
      <c r="H1110" t="s">
        <v>75</v>
      </c>
      <c r="I1110" t="s">
        <v>76</v>
      </c>
      <c r="J1110" t="s">
        <v>77</v>
      </c>
      <c r="K1110" t="s">
        <v>78</v>
      </c>
      <c r="L1110" t="s">
        <v>198</v>
      </c>
      <c r="M1110" t="s">
        <v>199</v>
      </c>
      <c r="N1110" t="s">
        <v>1614</v>
      </c>
      <c r="O1110" t="s">
        <v>82</v>
      </c>
      <c r="P1110" t="str">
        <f>"21707100663                   "</f>
        <v xml:space="preserve">21707100663                   </v>
      </c>
      <c r="Q1110">
        <v>0</v>
      </c>
      <c r="R1110">
        <v>0</v>
      </c>
      <c r="S1110">
        <v>0</v>
      </c>
      <c r="T1110">
        <v>0</v>
      </c>
      <c r="U1110">
        <v>0</v>
      </c>
      <c r="V1110">
        <v>0</v>
      </c>
      <c r="W1110">
        <v>0</v>
      </c>
      <c r="X1110">
        <v>0</v>
      </c>
      <c r="Y1110">
        <v>0</v>
      </c>
      <c r="Z1110">
        <v>0</v>
      </c>
      <c r="AA1110">
        <v>0</v>
      </c>
      <c r="AB1110">
        <v>0</v>
      </c>
      <c r="AC1110">
        <v>0</v>
      </c>
      <c r="AD1110">
        <v>0</v>
      </c>
      <c r="AE1110">
        <v>0</v>
      </c>
      <c r="AF1110">
        <v>0</v>
      </c>
      <c r="AG1110">
        <v>0</v>
      </c>
      <c r="AH1110">
        <v>0</v>
      </c>
      <c r="AI1110">
        <v>0</v>
      </c>
      <c r="AJ1110">
        <v>0</v>
      </c>
      <c r="AK1110">
        <v>0</v>
      </c>
      <c r="AL1110">
        <v>0</v>
      </c>
      <c r="AM1110">
        <v>8.58</v>
      </c>
      <c r="AN1110">
        <v>0</v>
      </c>
      <c r="AO1110">
        <v>0</v>
      </c>
      <c r="AP1110">
        <v>0</v>
      </c>
      <c r="AQ1110">
        <v>0</v>
      </c>
      <c r="AR1110">
        <v>0</v>
      </c>
      <c r="AS1110">
        <v>0</v>
      </c>
      <c r="AT1110">
        <v>0</v>
      </c>
      <c r="AU1110">
        <v>0</v>
      </c>
      <c r="AV1110">
        <v>0</v>
      </c>
      <c r="AW1110">
        <v>0</v>
      </c>
      <c r="AX1110">
        <v>0</v>
      </c>
      <c r="AY1110">
        <v>0</v>
      </c>
      <c r="AZ1110">
        <v>0</v>
      </c>
      <c r="BA1110">
        <v>0</v>
      </c>
      <c r="BB1110">
        <v>0</v>
      </c>
      <c r="BC1110">
        <v>0</v>
      </c>
      <c r="BD1110">
        <v>0</v>
      </c>
      <c r="BE1110">
        <v>0</v>
      </c>
      <c r="BF1110">
        <v>0</v>
      </c>
      <c r="BG1110">
        <v>0</v>
      </c>
      <c r="BH1110">
        <v>1</v>
      </c>
      <c r="BI1110">
        <v>1.7</v>
      </c>
      <c r="BJ1110">
        <v>0.9</v>
      </c>
      <c r="BK1110">
        <v>2</v>
      </c>
      <c r="BL1110" s="4">
        <v>50.45</v>
      </c>
      <c r="BM1110" s="4">
        <v>7.57</v>
      </c>
      <c r="BN1110" s="4">
        <v>58.02</v>
      </c>
      <c r="BO1110" s="4">
        <v>58.02</v>
      </c>
      <c r="BQ1110" t="s">
        <v>147</v>
      </c>
      <c r="BR1110" t="s">
        <v>84</v>
      </c>
      <c r="BS1110" s="3">
        <v>43810</v>
      </c>
      <c r="BT1110" s="5">
        <v>0.41944444444444445</v>
      </c>
      <c r="BU1110" t="s">
        <v>1615</v>
      </c>
      <c r="BV1110" t="s">
        <v>86</v>
      </c>
      <c r="BY1110">
        <v>4495.93</v>
      </c>
      <c r="CA1110" t="s">
        <v>281</v>
      </c>
      <c r="CC1110" t="s">
        <v>199</v>
      </c>
      <c r="CD1110">
        <v>4075</v>
      </c>
      <c r="CE1110" t="s">
        <v>116</v>
      </c>
      <c r="CF1110" s="3">
        <v>43811</v>
      </c>
      <c r="CI1110">
        <v>1</v>
      </c>
      <c r="CJ1110">
        <v>1</v>
      </c>
      <c r="CK1110">
        <v>21</v>
      </c>
      <c r="CL1110" t="s">
        <v>89</v>
      </c>
    </row>
    <row r="1111" spans="1:90">
      <c r="A1111" t="s">
        <v>72</v>
      </c>
      <c r="B1111" t="s">
        <v>73</v>
      </c>
      <c r="C1111" t="s">
        <v>74</v>
      </c>
      <c r="E1111" t="str">
        <f>"FES1162727620"</f>
        <v>FES1162727620</v>
      </c>
      <c r="F1111" s="3">
        <v>43809</v>
      </c>
      <c r="G1111">
        <v>202006</v>
      </c>
      <c r="H1111" t="s">
        <v>75</v>
      </c>
      <c r="I1111" t="s">
        <v>76</v>
      </c>
      <c r="J1111" t="s">
        <v>77</v>
      </c>
      <c r="K1111" t="s">
        <v>78</v>
      </c>
      <c r="L1111" t="s">
        <v>138</v>
      </c>
      <c r="M1111" t="s">
        <v>139</v>
      </c>
      <c r="N1111" t="s">
        <v>1616</v>
      </c>
      <c r="O1111" t="s">
        <v>82</v>
      </c>
      <c r="P1111" t="str">
        <f>"217071118                     "</f>
        <v xml:space="preserve">217071118                     </v>
      </c>
      <c r="Q1111">
        <v>0</v>
      </c>
      <c r="R1111">
        <v>0</v>
      </c>
      <c r="S1111">
        <v>0</v>
      </c>
      <c r="T1111">
        <v>0</v>
      </c>
      <c r="U1111">
        <v>0</v>
      </c>
      <c r="V1111">
        <v>0</v>
      </c>
      <c r="W1111">
        <v>0</v>
      </c>
      <c r="X1111">
        <v>0</v>
      </c>
      <c r="Y1111">
        <v>0</v>
      </c>
      <c r="Z1111">
        <v>0</v>
      </c>
      <c r="AA1111">
        <v>0</v>
      </c>
      <c r="AB1111">
        <v>0</v>
      </c>
      <c r="AC1111">
        <v>0</v>
      </c>
      <c r="AD1111">
        <v>0</v>
      </c>
      <c r="AE1111">
        <v>0</v>
      </c>
      <c r="AF1111">
        <v>0</v>
      </c>
      <c r="AG1111">
        <v>0</v>
      </c>
      <c r="AH1111">
        <v>0</v>
      </c>
      <c r="AI1111">
        <v>0</v>
      </c>
      <c r="AJ1111">
        <v>0</v>
      </c>
      <c r="AK1111">
        <v>0</v>
      </c>
      <c r="AL1111">
        <v>0</v>
      </c>
      <c r="AM1111">
        <v>6.71</v>
      </c>
      <c r="AN1111">
        <v>0</v>
      </c>
      <c r="AO1111">
        <v>0</v>
      </c>
      <c r="AP1111">
        <v>0</v>
      </c>
      <c r="AQ1111">
        <v>0</v>
      </c>
      <c r="AR1111">
        <v>0</v>
      </c>
      <c r="AS1111">
        <v>0</v>
      </c>
      <c r="AT1111">
        <v>0</v>
      </c>
      <c r="AU1111">
        <v>0</v>
      </c>
      <c r="AV1111">
        <v>0</v>
      </c>
      <c r="AW1111">
        <v>0</v>
      </c>
      <c r="AX1111">
        <v>0</v>
      </c>
      <c r="AY1111">
        <v>0</v>
      </c>
      <c r="AZ1111">
        <v>0</v>
      </c>
      <c r="BA1111">
        <v>0</v>
      </c>
      <c r="BB1111">
        <v>0</v>
      </c>
      <c r="BC1111">
        <v>0</v>
      </c>
      <c r="BD1111">
        <v>0</v>
      </c>
      <c r="BE1111">
        <v>0</v>
      </c>
      <c r="BF1111">
        <v>0</v>
      </c>
      <c r="BG1111">
        <v>0</v>
      </c>
      <c r="BH1111">
        <v>1</v>
      </c>
      <c r="BI1111">
        <v>1</v>
      </c>
      <c r="BJ1111">
        <v>0.2</v>
      </c>
      <c r="BK1111">
        <v>1</v>
      </c>
      <c r="BL1111" s="4">
        <v>39.42</v>
      </c>
      <c r="BM1111" s="4">
        <v>5.91</v>
      </c>
      <c r="BN1111" s="4">
        <v>45.33</v>
      </c>
      <c r="BO1111" s="4">
        <v>45.33</v>
      </c>
      <c r="BQ1111" t="s">
        <v>1617</v>
      </c>
      <c r="BR1111" t="s">
        <v>84</v>
      </c>
      <c r="BS1111" s="3">
        <v>43810</v>
      </c>
      <c r="BT1111" s="5">
        <v>0.36180555555555555</v>
      </c>
      <c r="BU1111" t="s">
        <v>1618</v>
      </c>
      <c r="BV1111" t="s">
        <v>86</v>
      </c>
      <c r="BY1111">
        <v>1200</v>
      </c>
      <c r="CC1111" t="s">
        <v>139</v>
      </c>
      <c r="CD1111">
        <v>1422</v>
      </c>
      <c r="CE1111" t="s">
        <v>88</v>
      </c>
      <c r="CF1111" s="3">
        <v>43811</v>
      </c>
      <c r="CI1111">
        <v>1</v>
      </c>
      <c r="CJ1111">
        <v>1</v>
      </c>
      <c r="CK1111">
        <v>22</v>
      </c>
      <c r="CL1111" t="s">
        <v>89</v>
      </c>
    </row>
    <row r="1112" spans="1:90">
      <c r="A1112" t="s">
        <v>72</v>
      </c>
      <c r="B1112" t="s">
        <v>73</v>
      </c>
      <c r="C1112" t="s">
        <v>74</v>
      </c>
      <c r="E1112" t="str">
        <f>"FES1162727556"</f>
        <v>FES1162727556</v>
      </c>
      <c r="F1112" s="3">
        <v>43809</v>
      </c>
      <c r="G1112">
        <v>202006</v>
      </c>
      <c r="H1112" t="s">
        <v>75</v>
      </c>
      <c r="I1112" t="s">
        <v>76</v>
      </c>
      <c r="J1112" t="s">
        <v>77</v>
      </c>
      <c r="K1112" t="s">
        <v>78</v>
      </c>
      <c r="L1112" t="s">
        <v>198</v>
      </c>
      <c r="M1112" t="s">
        <v>199</v>
      </c>
      <c r="N1112" t="s">
        <v>485</v>
      </c>
      <c r="O1112" t="s">
        <v>82</v>
      </c>
      <c r="P1112" t="str">
        <f>"2170710347                    "</f>
        <v xml:space="preserve">2170710347                    </v>
      </c>
      <c r="Q1112">
        <v>0</v>
      </c>
      <c r="R1112">
        <v>0</v>
      </c>
      <c r="S1112">
        <v>0</v>
      </c>
      <c r="T1112">
        <v>0</v>
      </c>
      <c r="U1112">
        <v>0</v>
      </c>
      <c r="V1112">
        <v>0</v>
      </c>
      <c r="W1112">
        <v>0</v>
      </c>
      <c r="X1112">
        <v>0</v>
      </c>
      <c r="Y1112">
        <v>0</v>
      </c>
      <c r="Z1112">
        <v>0</v>
      </c>
      <c r="AA1112">
        <v>0</v>
      </c>
      <c r="AB1112">
        <v>0</v>
      </c>
      <c r="AC1112">
        <v>0</v>
      </c>
      <c r="AD1112">
        <v>0</v>
      </c>
      <c r="AE1112">
        <v>0</v>
      </c>
      <c r="AF1112">
        <v>0</v>
      </c>
      <c r="AG1112">
        <v>0</v>
      </c>
      <c r="AH1112">
        <v>0</v>
      </c>
      <c r="AI1112">
        <v>0</v>
      </c>
      <c r="AJ1112">
        <v>0</v>
      </c>
      <c r="AK1112">
        <v>0</v>
      </c>
      <c r="AL1112">
        <v>0</v>
      </c>
      <c r="AM1112">
        <v>8.58</v>
      </c>
      <c r="AN1112">
        <v>0</v>
      </c>
      <c r="AO1112">
        <v>0</v>
      </c>
      <c r="AP1112">
        <v>0</v>
      </c>
      <c r="AQ1112">
        <v>0</v>
      </c>
      <c r="AR1112">
        <v>0</v>
      </c>
      <c r="AS1112">
        <v>0</v>
      </c>
      <c r="AT1112">
        <v>0</v>
      </c>
      <c r="AU1112">
        <v>0</v>
      </c>
      <c r="AV1112">
        <v>0</v>
      </c>
      <c r="AW1112">
        <v>0</v>
      </c>
      <c r="AX1112">
        <v>0</v>
      </c>
      <c r="AY1112">
        <v>0</v>
      </c>
      <c r="AZ1112">
        <v>0</v>
      </c>
      <c r="BA1112">
        <v>0</v>
      </c>
      <c r="BB1112">
        <v>0</v>
      </c>
      <c r="BC1112">
        <v>0</v>
      </c>
      <c r="BD1112">
        <v>0</v>
      </c>
      <c r="BE1112">
        <v>0</v>
      </c>
      <c r="BF1112">
        <v>0</v>
      </c>
      <c r="BG1112">
        <v>0</v>
      </c>
      <c r="BH1112">
        <v>1</v>
      </c>
      <c r="BI1112">
        <v>1</v>
      </c>
      <c r="BJ1112">
        <v>0.2</v>
      </c>
      <c r="BK1112">
        <v>1</v>
      </c>
      <c r="BL1112" s="4">
        <v>50.45</v>
      </c>
      <c r="BM1112" s="4">
        <v>7.57</v>
      </c>
      <c r="BN1112" s="4">
        <v>58.02</v>
      </c>
      <c r="BO1112" s="4">
        <v>58.02</v>
      </c>
      <c r="BQ1112" t="s">
        <v>486</v>
      </c>
      <c r="BR1112" t="s">
        <v>84</v>
      </c>
      <c r="BS1112" s="3">
        <v>43810</v>
      </c>
      <c r="BT1112" s="5">
        <v>0.32430555555555557</v>
      </c>
      <c r="BU1112" t="s">
        <v>742</v>
      </c>
      <c r="BV1112" t="s">
        <v>86</v>
      </c>
      <c r="BY1112">
        <v>1200</v>
      </c>
      <c r="CA1112" t="s">
        <v>488</v>
      </c>
      <c r="CC1112" t="s">
        <v>199</v>
      </c>
      <c r="CD1112">
        <v>4001</v>
      </c>
      <c r="CE1112" t="s">
        <v>88</v>
      </c>
      <c r="CF1112" s="3">
        <v>43811</v>
      </c>
      <c r="CI1112">
        <v>1</v>
      </c>
      <c r="CJ1112">
        <v>1</v>
      </c>
      <c r="CK1112">
        <v>21</v>
      </c>
      <c r="CL1112" t="s">
        <v>89</v>
      </c>
    </row>
    <row r="1113" spans="1:90">
      <c r="A1113" t="s">
        <v>72</v>
      </c>
      <c r="B1113" t="s">
        <v>73</v>
      </c>
      <c r="C1113" t="s">
        <v>74</v>
      </c>
      <c r="E1113" t="str">
        <f>"FES1162727621"</f>
        <v>FES1162727621</v>
      </c>
      <c r="F1113" s="3">
        <v>43809</v>
      </c>
      <c r="G1113">
        <v>202006</v>
      </c>
      <c r="H1113" t="s">
        <v>75</v>
      </c>
      <c r="I1113" t="s">
        <v>76</v>
      </c>
      <c r="J1113" t="s">
        <v>77</v>
      </c>
      <c r="K1113" t="s">
        <v>78</v>
      </c>
      <c r="L1113" t="s">
        <v>169</v>
      </c>
      <c r="M1113" t="s">
        <v>170</v>
      </c>
      <c r="N1113" t="s">
        <v>248</v>
      </c>
      <c r="O1113" t="s">
        <v>82</v>
      </c>
      <c r="P1113" t="str">
        <f>"2170721119                    "</f>
        <v xml:space="preserve">2170721119                    </v>
      </c>
      <c r="Q1113">
        <v>0</v>
      </c>
      <c r="R1113">
        <v>0</v>
      </c>
      <c r="S1113">
        <v>0</v>
      </c>
      <c r="T1113">
        <v>0</v>
      </c>
      <c r="U1113">
        <v>0</v>
      </c>
      <c r="V1113">
        <v>0</v>
      </c>
      <c r="W1113">
        <v>0</v>
      </c>
      <c r="X1113">
        <v>0</v>
      </c>
      <c r="Y1113">
        <v>0</v>
      </c>
      <c r="Z1113">
        <v>0</v>
      </c>
      <c r="AA1113">
        <v>0</v>
      </c>
      <c r="AB1113">
        <v>0</v>
      </c>
      <c r="AC1113">
        <v>0</v>
      </c>
      <c r="AD1113">
        <v>0</v>
      </c>
      <c r="AE1113">
        <v>0</v>
      </c>
      <c r="AF1113">
        <v>0</v>
      </c>
      <c r="AG1113">
        <v>0</v>
      </c>
      <c r="AH1113">
        <v>0</v>
      </c>
      <c r="AI1113">
        <v>0</v>
      </c>
      <c r="AJ1113">
        <v>0</v>
      </c>
      <c r="AK1113">
        <v>0</v>
      </c>
      <c r="AL1113">
        <v>0</v>
      </c>
      <c r="AM1113">
        <v>6.71</v>
      </c>
      <c r="AN1113">
        <v>0</v>
      </c>
      <c r="AO1113">
        <v>0</v>
      </c>
      <c r="AP1113">
        <v>0</v>
      </c>
      <c r="AQ1113">
        <v>0</v>
      </c>
      <c r="AR1113">
        <v>0</v>
      </c>
      <c r="AS1113">
        <v>0</v>
      </c>
      <c r="AT1113">
        <v>0</v>
      </c>
      <c r="AU1113">
        <v>0</v>
      </c>
      <c r="AV1113">
        <v>0</v>
      </c>
      <c r="AW1113">
        <v>0</v>
      </c>
      <c r="AX1113">
        <v>0</v>
      </c>
      <c r="AY1113">
        <v>0</v>
      </c>
      <c r="AZ1113">
        <v>0</v>
      </c>
      <c r="BA1113">
        <v>0</v>
      </c>
      <c r="BB1113">
        <v>0</v>
      </c>
      <c r="BC1113">
        <v>0</v>
      </c>
      <c r="BD1113">
        <v>0</v>
      </c>
      <c r="BE1113">
        <v>0</v>
      </c>
      <c r="BF1113">
        <v>0</v>
      </c>
      <c r="BG1113">
        <v>0</v>
      </c>
      <c r="BH1113">
        <v>1</v>
      </c>
      <c r="BI1113">
        <v>1</v>
      </c>
      <c r="BJ1113">
        <v>0.2</v>
      </c>
      <c r="BK1113">
        <v>1</v>
      </c>
      <c r="BL1113" s="4">
        <v>39.42</v>
      </c>
      <c r="BM1113" s="4">
        <v>5.91</v>
      </c>
      <c r="BN1113" s="4">
        <v>45.33</v>
      </c>
      <c r="BO1113" s="4">
        <v>45.33</v>
      </c>
      <c r="BQ1113" t="s">
        <v>147</v>
      </c>
      <c r="BR1113" t="s">
        <v>84</v>
      </c>
      <c r="BS1113" s="3">
        <v>43810</v>
      </c>
      <c r="BT1113" s="5">
        <v>0.35625000000000001</v>
      </c>
      <c r="BU1113" t="s">
        <v>1619</v>
      </c>
      <c r="BV1113" t="s">
        <v>86</v>
      </c>
      <c r="BY1113">
        <v>1200</v>
      </c>
      <c r="CA1113" t="s">
        <v>250</v>
      </c>
      <c r="CC1113" t="s">
        <v>170</v>
      </c>
      <c r="CD1113">
        <v>1459</v>
      </c>
      <c r="CE1113" t="s">
        <v>88</v>
      </c>
      <c r="CI1113">
        <v>1</v>
      </c>
      <c r="CJ1113">
        <v>1</v>
      </c>
      <c r="CK1113">
        <v>22</v>
      </c>
      <c r="CL1113" t="s">
        <v>89</v>
      </c>
    </row>
    <row r="1114" spans="1:90">
      <c r="A1114" t="s">
        <v>72</v>
      </c>
      <c r="B1114" t="s">
        <v>73</v>
      </c>
      <c r="C1114" t="s">
        <v>74</v>
      </c>
      <c r="E1114" t="str">
        <f>"FES1162727557"</f>
        <v>FES1162727557</v>
      </c>
      <c r="F1114" s="3">
        <v>43809</v>
      </c>
      <c r="G1114">
        <v>202006</v>
      </c>
      <c r="H1114" t="s">
        <v>75</v>
      </c>
      <c r="I1114" t="s">
        <v>76</v>
      </c>
      <c r="J1114" t="s">
        <v>77</v>
      </c>
      <c r="K1114" t="s">
        <v>78</v>
      </c>
      <c r="L1114" t="s">
        <v>332</v>
      </c>
      <c r="M1114" t="s">
        <v>333</v>
      </c>
      <c r="N1114" t="s">
        <v>1620</v>
      </c>
      <c r="O1114" t="s">
        <v>82</v>
      </c>
      <c r="P1114" t="str">
        <f>"2170712036                    "</f>
        <v xml:space="preserve">2170712036                    </v>
      </c>
      <c r="Q1114">
        <v>0</v>
      </c>
      <c r="R1114">
        <v>0</v>
      </c>
      <c r="S1114">
        <v>0</v>
      </c>
      <c r="T1114">
        <v>0</v>
      </c>
      <c r="U1114">
        <v>0</v>
      </c>
      <c r="V1114">
        <v>0</v>
      </c>
      <c r="W1114">
        <v>0</v>
      </c>
      <c r="X1114">
        <v>0</v>
      </c>
      <c r="Y1114">
        <v>0</v>
      </c>
      <c r="Z1114">
        <v>0</v>
      </c>
      <c r="AA1114">
        <v>0</v>
      </c>
      <c r="AB1114">
        <v>0</v>
      </c>
      <c r="AC1114">
        <v>0</v>
      </c>
      <c r="AD1114">
        <v>0</v>
      </c>
      <c r="AE1114">
        <v>0</v>
      </c>
      <c r="AF1114">
        <v>0</v>
      </c>
      <c r="AG1114">
        <v>0</v>
      </c>
      <c r="AH1114">
        <v>0</v>
      </c>
      <c r="AI1114">
        <v>0</v>
      </c>
      <c r="AJ1114">
        <v>0</v>
      </c>
      <c r="AK1114">
        <v>0</v>
      </c>
      <c r="AL1114">
        <v>0</v>
      </c>
      <c r="AM1114">
        <v>6.71</v>
      </c>
      <c r="AN1114">
        <v>0</v>
      </c>
      <c r="AO1114">
        <v>0</v>
      </c>
      <c r="AP1114">
        <v>0</v>
      </c>
      <c r="AQ1114">
        <v>0</v>
      </c>
      <c r="AR1114">
        <v>0</v>
      </c>
      <c r="AS1114">
        <v>0</v>
      </c>
      <c r="AT1114">
        <v>0</v>
      </c>
      <c r="AU1114">
        <v>0</v>
      </c>
      <c r="AV1114">
        <v>0</v>
      </c>
      <c r="AW1114">
        <v>0</v>
      </c>
      <c r="AX1114">
        <v>0</v>
      </c>
      <c r="AY1114">
        <v>0</v>
      </c>
      <c r="AZ1114">
        <v>0</v>
      </c>
      <c r="BA1114">
        <v>0</v>
      </c>
      <c r="BB1114">
        <v>0</v>
      </c>
      <c r="BC1114">
        <v>0</v>
      </c>
      <c r="BD1114">
        <v>0</v>
      </c>
      <c r="BE1114">
        <v>0</v>
      </c>
      <c r="BF1114">
        <v>0</v>
      </c>
      <c r="BG1114">
        <v>0</v>
      </c>
      <c r="BH1114">
        <v>1</v>
      </c>
      <c r="BI1114">
        <v>1</v>
      </c>
      <c r="BJ1114">
        <v>0.2</v>
      </c>
      <c r="BK1114">
        <v>1</v>
      </c>
      <c r="BL1114" s="4">
        <v>39.42</v>
      </c>
      <c r="BM1114" s="4">
        <v>5.91</v>
      </c>
      <c r="BN1114" s="4">
        <v>45.33</v>
      </c>
      <c r="BO1114" s="4">
        <v>45.33</v>
      </c>
      <c r="BR1114" t="s">
        <v>84</v>
      </c>
      <c r="BS1114" s="3">
        <v>43810</v>
      </c>
      <c r="BT1114" s="5">
        <v>0.41666666666666669</v>
      </c>
      <c r="BU1114" t="s">
        <v>1621</v>
      </c>
      <c r="BV1114" t="s">
        <v>86</v>
      </c>
      <c r="BY1114">
        <v>1200</v>
      </c>
      <c r="CC1114" t="s">
        <v>333</v>
      </c>
      <c r="CD1114">
        <v>2049</v>
      </c>
      <c r="CE1114" t="s">
        <v>88</v>
      </c>
      <c r="CF1114" s="3">
        <v>43811</v>
      </c>
      <c r="CI1114">
        <v>1</v>
      </c>
      <c r="CJ1114">
        <v>1</v>
      </c>
      <c r="CK1114">
        <v>22</v>
      </c>
      <c r="CL1114" t="s">
        <v>89</v>
      </c>
    </row>
    <row r="1115" spans="1:90">
      <c r="A1115" t="s">
        <v>72</v>
      </c>
      <c r="B1115" t="s">
        <v>73</v>
      </c>
      <c r="C1115" t="s">
        <v>74</v>
      </c>
      <c r="E1115" t="str">
        <f>"FES1162727586"</f>
        <v>FES1162727586</v>
      </c>
      <c r="F1115" s="3">
        <v>43809</v>
      </c>
      <c r="G1115">
        <v>202006</v>
      </c>
      <c r="H1115" t="s">
        <v>75</v>
      </c>
      <c r="I1115" t="s">
        <v>76</v>
      </c>
      <c r="J1115" t="s">
        <v>77</v>
      </c>
      <c r="K1115" t="s">
        <v>78</v>
      </c>
      <c r="L1115" t="s">
        <v>332</v>
      </c>
      <c r="M1115" t="s">
        <v>333</v>
      </c>
      <c r="N1115" t="s">
        <v>701</v>
      </c>
      <c r="O1115" t="s">
        <v>104</v>
      </c>
      <c r="P1115" t="str">
        <f>"2170710701                    "</f>
        <v xml:space="preserve">2170710701                    </v>
      </c>
      <c r="Q1115">
        <v>0</v>
      </c>
      <c r="R1115">
        <v>0</v>
      </c>
      <c r="S1115">
        <v>0</v>
      </c>
      <c r="T1115">
        <v>0</v>
      </c>
      <c r="U1115">
        <v>0</v>
      </c>
      <c r="V1115">
        <v>0</v>
      </c>
      <c r="W1115">
        <v>0</v>
      </c>
      <c r="X1115">
        <v>0</v>
      </c>
      <c r="Y1115">
        <v>0</v>
      </c>
      <c r="Z1115">
        <v>0</v>
      </c>
      <c r="AA1115">
        <v>0</v>
      </c>
      <c r="AB1115">
        <v>0</v>
      </c>
      <c r="AC1115">
        <v>0</v>
      </c>
      <c r="AD1115">
        <v>0</v>
      </c>
      <c r="AE1115">
        <v>0</v>
      </c>
      <c r="AF1115">
        <v>0</v>
      </c>
      <c r="AG1115">
        <v>0</v>
      </c>
      <c r="AH1115">
        <v>0</v>
      </c>
      <c r="AI1115">
        <v>0</v>
      </c>
      <c r="AJ1115">
        <v>0</v>
      </c>
      <c r="AK1115">
        <v>0</v>
      </c>
      <c r="AL1115">
        <v>0</v>
      </c>
      <c r="AM1115">
        <v>23.78</v>
      </c>
      <c r="AN1115">
        <v>0</v>
      </c>
      <c r="AO1115">
        <v>0</v>
      </c>
      <c r="AP1115">
        <v>0</v>
      </c>
      <c r="AQ1115">
        <v>0</v>
      </c>
      <c r="AR1115">
        <v>0</v>
      </c>
      <c r="AS1115">
        <v>0</v>
      </c>
      <c r="AT1115">
        <v>0</v>
      </c>
      <c r="AU1115">
        <v>0</v>
      </c>
      <c r="AV1115">
        <v>0</v>
      </c>
      <c r="AW1115">
        <v>0</v>
      </c>
      <c r="AX1115">
        <v>0</v>
      </c>
      <c r="AY1115">
        <v>0</v>
      </c>
      <c r="AZ1115">
        <v>0</v>
      </c>
      <c r="BA1115">
        <v>0</v>
      </c>
      <c r="BB1115">
        <v>0</v>
      </c>
      <c r="BC1115">
        <v>0</v>
      </c>
      <c r="BD1115">
        <v>0</v>
      </c>
      <c r="BE1115">
        <v>0</v>
      </c>
      <c r="BF1115">
        <v>0</v>
      </c>
      <c r="BG1115">
        <v>0</v>
      </c>
      <c r="BH1115">
        <v>2</v>
      </c>
      <c r="BI1115">
        <v>30.6</v>
      </c>
      <c r="BJ1115">
        <v>43.1</v>
      </c>
      <c r="BK1115">
        <v>44</v>
      </c>
      <c r="BL1115" s="4">
        <v>144.79</v>
      </c>
      <c r="BM1115" s="4">
        <v>21.72</v>
      </c>
      <c r="BN1115" s="4">
        <v>166.51</v>
      </c>
      <c r="BO1115" s="4">
        <v>166.51</v>
      </c>
      <c r="BQ1115" t="s">
        <v>93</v>
      </c>
      <c r="BR1115" t="s">
        <v>84</v>
      </c>
      <c r="BS1115" s="3">
        <v>43810</v>
      </c>
      <c r="BT1115" s="5">
        <v>0.40208333333333335</v>
      </c>
      <c r="BU1115" t="s">
        <v>1358</v>
      </c>
      <c r="BV1115" t="s">
        <v>86</v>
      </c>
      <c r="BY1115">
        <v>215669.18</v>
      </c>
      <c r="CC1115" t="s">
        <v>333</v>
      </c>
      <c r="CD1115">
        <v>2094</v>
      </c>
      <c r="CE1115" t="s">
        <v>1073</v>
      </c>
      <c r="CF1115" s="3">
        <v>43811</v>
      </c>
      <c r="CI1115">
        <v>1</v>
      </c>
      <c r="CJ1115">
        <v>1</v>
      </c>
      <c r="CK1115" t="s">
        <v>123</v>
      </c>
      <c r="CL1115" t="s">
        <v>89</v>
      </c>
    </row>
    <row r="1116" spans="1:90">
      <c r="A1116" t="s">
        <v>72</v>
      </c>
      <c r="B1116" t="s">
        <v>73</v>
      </c>
      <c r="C1116" t="s">
        <v>74</v>
      </c>
      <c r="E1116" t="str">
        <f>"FES1162727599"</f>
        <v>FES1162727599</v>
      </c>
      <c r="F1116" s="3">
        <v>43809</v>
      </c>
      <c r="G1116">
        <v>202006</v>
      </c>
      <c r="H1116" t="s">
        <v>75</v>
      </c>
      <c r="I1116" t="s">
        <v>76</v>
      </c>
      <c r="J1116" t="s">
        <v>77</v>
      </c>
      <c r="K1116" t="s">
        <v>78</v>
      </c>
      <c r="L1116" t="s">
        <v>221</v>
      </c>
      <c r="M1116" t="s">
        <v>222</v>
      </c>
      <c r="N1116" t="s">
        <v>223</v>
      </c>
      <c r="O1116" t="s">
        <v>104</v>
      </c>
      <c r="P1116" t="str">
        <f>"217071091                     "</f>
        <v xml:space="preserve">217071091                     </v>
      </c>
      <c r="Q1116">
        <v>0</v>
      </c>
      <c r="R1116">
        <v>0</v>
      </c>
      <c r="S1116">
        <v>0</v>
      </c>
      <c r="T1116">
        <v>0</v>
      </c>
      <c r="U1116">
        <v>0</v>
      </c>
      <c r="V1116">
        <v>0</v>
      </c>
      <c r="W1116">
        <v>0</v>
      </c>
      <c r="X1116">
        <v>0</v>
      </c>
      <c r="Y1116">
        <v>0</v>
      </c>
      <c r="Z1116">
        <v>0</v>
      </c>
      <c r="AA1116">
        <v>0</v>
      </c>
      <c r="AB1116">
        <v>0</v>
      </c>
      <c r="AC1116">
        <v>0</v>
      </c>
      <c r="AD1116">
        <v>0</v>
      </c>
      <c r="AE1116">
        <v>0</v>
      </c>
      <c r="AF1116">
        <v>0</v>
      </c>
      <c r="AG1116">
        <v>0</v>
      </c>
      <c r="AH1116">
        <v>0</v>
      </c>
      <c r="AI1116">
        <v>0</v>
      </c>
      <c r="AJ1116">
        <v>0</v>
      </c>
      <c r="AK1116">
        <v>0</v>
      </c>
      <c r="AL1116">
        <v>0</v>
      </c>
      <c r="AM1116">
        <v>29.28</v>
      </c>
      <c r="AN1116">
        <v>0</v>
      </c>
      <c r="AO1116">
        <v>0</v>
      </c>
      <c r="AP1116">
        <v>0</v>
      </c>
      <c r="AQ1116">
        <v>0</v>
      </c>
      <c r="AR1116">
        <v>0</v>
      </c>
      <c r="AS1116">
        <v>0</v>
      </c>
      <c r="AT1116">
        <v>0</v>
      </c>
      <c r="AU1116">
        <v>0</v>
      </c>
      <c r="AV1116">
        <v>0</v>
      </c>
      <c r="AW1116">
        <v>0</v>
      </c>
      <c r="AX1116">
        <v>0</v>
      </c>
      <c r="AY1116">
        <v>0</v>
      </c>
      <c r="AZ1116">
        <v>0</v>
      </c>
      <c r="BA1116">
        <v>0</v>
      </c>
      <c r="BB1116">
        <v>0</v>
      </c>
      <c r="BC1116">
        <v>0</v>
      </c>
      <c r="BD1116">
        <v>0</v>
      </c>
      <c r="BE1116">
        <v>0</v>
      </c>
      <c r="BF1116">
        <v>0</v>
      </c>
      <c r="BG1116">
        <v>0</v>
      </c>
      <c r="BH1116">
        <v>1</v>
      </c>
      <c r="BI1116">
        <v>20.8</v>
      </c>
      <c r="BJ1116">
        <v>31.8</v>
      </c>
      <c r="BK1116">
        <v>32</v>
      </c>
      <c r="BL1116" s="4">
        <v>177.12</v>
      </c>
      <c r="BM1116" s="4">
        <v>26.57</v>
      </c>
      <c r="BN1116" s="4">
        <v>203.69</v>
      </c>
      <c r="BO1116" s="4">
        <v>203.69</v>
      </c>
      <c r="BQ1116" t="s">
        <v>147</v>
      </c>
      <c r="BR1116" t="s">
        <v>84</v>
      </c>
      <c r="BS1116" s="3">
        <v>43810</v>
      </c>
      <c r="BT1116" s="5">
        <v>0.40347222222222223</v>
      </c>
      <c r="BU1116" t="s">
        <v>224</v>
      </c>
      <c r="BV1116" t="s">
        <v>86</v>
      </c>
      <c r="BY1116">
        <v>158861.66</v>
      </c>
      <c r="CA1116" t="s">
        <v>225</v>
      </c>
      <c r="CC1116" t="s">
        <v>222</v>
      </c>
      <c r="CD1116">
        <v>3212</v>
      </c>
      <c r="CE1116" t="s">
        <v>96</v>
      </c>
      <c r="CF1116" s="3">
        <v>43811</v>
      </c>
      <c r="CI1116">
        <v>1</v>
      </c>
      <c r="CJ1116">
        <v>1</v>
      </c>
      <c r="CK1116" t="s">
        <v>741</v>
      </c>
      <c r="CL1116" t="s">
        <v>89</v>
      </c>
    </row>
    <row r="1117" spans="1:90">
      <c r="A1117" t="s">
        <v>331</v>
      </c>
      <c r="B1117" t="s">
        <v>73</v>
      </c>
      <c r="C1117" t="s">
        <v>74</v>
      </c>
      <c r="E1117" t="str">
        <f>"009939387755"</f>
        <v>009939387755</v>
      </c>
      <c r="F1117" s="3">
        <v>43809</v>
      </c>
      <c r="G1117">
        <v>202006</v>
      </c>
      <c r="H1117" t="s">
        <v>201</v>
      </c>
      <c r="I1117" t="s">
        <v>202</v>
      </c>
      <c r="J1117" t="s">
        <v>1622</v>
      </c>
      <c r="K1117" t="s">
        <v>78</v>
      </c>
      <c r="L1117" t="s">
        <v>132</v>
      </c>
      <c r="M1117" t="s">
        <v>133</v>
      </c>
      <c r="N1117" t="s">
        <v>1623</v>
      </c>
      <c r="O1117" t="s">
        <v>82</v>
      </c>
      <c r="P1117" t="str">
        <f>"                              "</f>
        <v xml:space="preserve">                              </v>
      </c>
      <c r="Q1117">
        <v>0</v>
      </c>
      <c r="R1117">
        <v>0</v>
      </c>
      <c r="S1117">
        <v>0</v>
      </c>
      <c r="T1117">
        <v>0</v>
      </c>
      <c r="U1117">
        <v>0</v>
      </c>
      <c r="V1117">
        <v>0</v>
      </c>
      <c r="W1117">
        <v>0</v>
      </c>
      <c r="X1117">
        <v>0</v>
      </c>
      <c r="Y1117">
        <v>0</v>
      </c>
      <c r="Z1117">
        <v>0</v>
      </c>
      <c r="AA1117">
        <v>0</v>
      </c>
      <c r="AB1117">
        <v>0</v>
      </c>
      <c r="AC1117">
        <v>0</v>
      </c>
      <c r="AD1117">
        <v>0</v>
      </c>
      <c r="AE1117">
        <v>0</v>
      </c>
      <c r="AF1117">
        <v>0</v>
      </c>
      <c r="AG1117">
        <v>0</v>
      </c>
      <c r="AH1117">
        <v>0</v>
      </c>
      <c r="AI1117">
        <v>0</v>
      </c>
      <c r="AJ1117">
        <v>0</v>
      </c>
      <c r="AK1117">
        <v>0</v>
      </c>
      <c r="AL1117">
        <v>0</v>
      </c>
      <c r="AM1117">
        <v>8.58</v>
      </c>
      <c r="AN1117">
        <v>0</v>
      </c>
      <c r="AO1117">
        <v>0</v>
      </c>
      <c r="AP1117">
        <v>0</v>
      </c>
      <c r="AQ1117">
        <v>0</v>
      </c>
      <c r="AR1117">
        <v>0</v>
      </c>
      <c r="AS1117">
        <v>0</v>
      </c>
      <c r="AT1117">
        <v>0</v>
      </c>
      <c r="AU1117">
        <v>0</v>
      </c>
      <c r="AV1117">
        <v>0</v>
      </c>
      <c r="AW1117">
        <v>0</v>
      </c>
      <c r="AX1117">
        <v>0</v>
      </c>
      <c r="AY1117">
        <v>0</v>
      </c>
      <c r="AZ1117">
        <v>0</v>
      </c>
      <c r="BA1117">
        <v>0</v>
      </c>
      <c r="BB1117">
        <v>0</v>
      </c>
      <c r="BC1117">
        <v>0</v>
      </c>
      <c r="BD1117">
        <v>0</v>
      </c>
      <c r="BE1117">
        <v>0</v>
      </c>
      <c r="BF1117">
        <v>0</v>
      </c>
      <c r="BG1117">
        <v>0</v>
      </c>
      <c r="BH1117">
        <v>1</v>
      </c>
      <c r="BI1117">
        <v>1</v>
      </c>
      <c r="BJ1117">
        <v>1.6</v>
      </c>
      <c r="BK1117">
        <v>2</v>
      </c>
      <c r="BL1117" s="4">
        <v>50.45</v>
      </c>
      <c r="BM1117" s="4">
        <v>7.57</v>
      </c>
      <c r="BN1117" s="4">
        <v>58.02</v>
      </c>
      <c r="BO1117" s="4">
        <v>58.02</v>
      </c>
      <c r="BR1117" t="s">
        <v>1624</v>
      </c>
      <c r="BS1117" s="3">
        <v>43810</v>
      </c>
      <c r="BT1117" s="5">
        <v>0.5</v>
      </c>
      <c r="BU1117" t="s">
        <v>696</v>
      </c>
      <c r="BV1117" t="s">
        <v>89</v>
      </c>
      <c r="BY1117">
        <v>8138.01</v>
      </c>
      <c r="BZ1117" t="s">
        <v>27</v>
      </c>
      <c r="CA1117" t="s">
        <v>137</v>
      </c>
      <c r="CC1117" t="s">
        <v>133</v>
      </c>
      <c r="CD1117">
        <v>46</v>
      </c>
      <c r="CE1117" t="s">
        <v>96</v>
      </c>
      <c r="CF1117" s="3">
        <v>43811</v>
      </c>
      <c r="CI1117">
        <v>1</v>
      </c>
      <c r="CJ1117">
        <v>1</v>
      </c>
      <c r="CK1117">
        <v>21</v>
      </c>
      <c r="CL1117" t="s">
        <v>89</v>
      </c>
    </row>
    <row r="1118" spans="1:90">
      <c r="A1118" t="s">
        <v>72</v>
      </c>
      <c r="B1118" t="s">
        <v>73</v>
      </c>
      <c r="C1118" t="s">
        <v>74</v>
      </c>
      <c r="E1118" t="str">
        <f>"009937220841"</f>
        <v>009937220841</v>
      </c>
      <c r="F1118" s="3">
        <v>43809</v>
      </c>
      <c r="G1118">
        <v>202006</v>
      </c>
      <c r="H1118" t="s">
        <v>714</v>
      </c>
      <c r="I1118" t="s">
        <v>715</v>
      </c>
      <c r="J1118" t="s">
        <v>716</v>
      </c>
      <c r="K1118" t="s">
        <v>78</v>
      </c>
      <c r="L1118" t="s">
        <v>75</v>
      </c>
      <c r="M1118" t="s">
        <v>76</v>
      </c>
      <c r="N1118" t="s">
        <v>100</v>
      </c>
      <c r="O1118" t="s">
        <v>104</v>
      </c>
      <c r="P1118" t="str">
        <f>"                              "</f>
        <v xml:space="preserve">                              </v>
      </c>
      <c r="Q1118">
        <v>0</v>
      </c>
      <c r="R1118">
        <v>0</v>
      </c>
      <c r="S1118">
        <v>0</v>
      </c>
      <c r="T1118">
        <v>0</v>
      </c>
      <c r="U1118">
        <v>0</v>
      </c>
      <c r="V1118">
        <v>0</v>
      </c>
      <c r="W1118">
        <v>0</v>
      </c>
      <c r="X1118">
        <v>0</v>
      </c>
      <c r="Y1118">
        <v>0</v>
      </c>
      <c r="Z1118">
        <v>0</v>
      </c>
      <c r="AA1118">
        <v>0</v>
      </c>
      <c r="AB1118">
        <v>0</v>
      </c>
      <c r="AC1118">
        <v>0</v>
      </c>
      <c r="AD1118">
        <v>0</v>
      </c>
      <c r="AE1118">
        <v>0</v>
      </c>
      <c r="AF1118">
        <v>0</v>
      </c>
      <c r="AG1118">
        <v>0</v>
      </c>
      <c r="AH1118">
        <v>0</v>
      </c>
      <c r="AI1118">
        <v>0</v>
      </c>
      <c r="AJ1118">
        <v>0</v>
      </c>
      <c r="AK1118">
        <v>0</v>
      </c>
      <c r="AL1118">
        <v>0</v>
      </c>
      <c r="AM1118">
        <v>12.07</v>
      </c>
      <c r="AN1118">
        <v>0</v>
      </c>
      <c r="AO1118">
        <v>0</v>
      </c>
      <c r="AP1118">
        <v>0</v>
      </c>
      <c r="AQ1118">
        <v>0</v>
      </c>
      <c r="AR1118">
        <v>0</v>
      </c>
      <c r="AS1118">
        <v>0</v>
      </c>
      <c r="AT1118">
        <v>0</v>
      </c>
      <c r="AU1118">
        <v>0</v>
      </c>
      <c r="AV1118">
        <v>0</v>
      </c>
      <c r="AW1118">
        <v>0</v>
      </c>
      <c r="AX1118">
        <v>0</v>
      </c>
      <c r="AY1118">
        <v>0</v>
      </c>
      <c r="AZ1118">
        <v>0</v>
      </c>
      <c r="BA1118">
        <v>0</v>
      </c>
      <c r="BB1118">
        <v>0</v>
      </c>
      <c r="BC1118">
        <v>0</v>
      </c>
      <c r="BD1118">
        <v>0</v>
      </c>
      <c r="BE1118">
        <v>0</v>
      </c>
      <c r="BF1118">
        <v>0</v>
      </c>
      <c r="BG1118">
        <v>0</v>
      </c>
      <c r="BH1118">
        <v>1</v>
      </c>
      <c r="BI1118">
        <v>1</v>
      </c>
      <c r="BJ1118">
        <v>0.2</v>
      </c>
      <c r="BK1118">
        <v>1</v>
      </c>
      <c r="BL1118" s="4">
        <v>75.95</v>
      </c>
      <c r="BM1118" s="4">
        <v>11.39</v>
      </c>
      <c r="BN1118" s="4">
        <v>87.34</v>
      </c>
      <c r="BO1118" s="4">
        <v>87.34</v>
      </c>
      <c r="BQ1118" t="s">
        <v>1625</v>
      </c>
      <c r="BR1118" t="s">
        <v>127</v>
      </c>
      <c r="BS1118" s="3">
        <v>43810</v>
      </c>
      <c r="BT1118" s="5">
        <v>0.37916666666666665</v>
      </c>
      <c r="BU1118" t="s">
        <v>154</v>
      </c>
      <c r="BV1118" t="s">
        <v>86</v>
      </c>
      <c r="BY1118">
        <v>1200</v>
      </c>
      <c r="CA1118" t="s">
        <v>155</v>
      </c>
      <c r="CC1118" t="s">
        <v>76</v>
      </c>
      <c r="CD1118">
        <v>1600</v>
      </c>
      <c r="CE1118" t="s">
        <v>96</v>
      </c>
      <c r="CF1118" s="3">
        <v>43811</v>
      </c>
      <c r="CI1118">
        <v>1</v>
      </c>
      <c r="CJ1118">
        <v>1</v>
      </c>
      <c r="CK1118" t="s">
        <v>123</v>
      </c>
      <c r="CL1118" t="s">
        <v>89</v>
      </c>
    </row>
    <row r="1119" spans="1:90">
      <c r="A1119" t="s">
        <v>72</v>
      </c>
      <c r="B1119" t="s">
        <v>73</v>
      </c>
      <c r="C1119" t="s">
        <v>74</v>
      </c>
      <c r="E1119" t="str">
        <f>"FES1162727797"</f>
        <v>FES1162727797</v>
      </c>
      <c r="F1119" s="3">
        <v>43810</v>
      </c>
      <c r="G1119">
        <v>202006</v>
      </c>
      <c r="H1119" t="s">
        <v>75</v>
      </c>
      <c r="I1119" t="s">
        <v>76</v>
      </c>
      <c r="J1119" t="s">
        <v>77</v>
      </c>
      <c r="K1119" t="s">
        <v>78</v>
      </c>
      <c r="L1119" t="s">
        <v>213</v>
      </c>
      <c r="M1119" t="s">
        <v>214</v>
      </c>
      <c r="N1119" t="s">
        <v>1121</v>
      </c>
      <c r="O1119" t="s">
        <v>82</v>
      </c>
      <c r="P1119" t="str">
        <f>"21707187676                   "</f>
        <v xml:space="preserve">21707187676                   </v>
      </c>
      <c r="Q1119">
        <v>0</v>
      </c>
      <c r="R1119">
        <v>0</v>
      </c>
      <c r="S1119">
        <v>0</v>
      </c>
      <c r="T1119">
        <v>0</v>
      </c>
      <c r="U1119">
        <v>0</v>
      </c>
      <c r="V1119">
        <v>0</v>
      </c>
      <c r="W1119">
        <v>0</v>
      </c>
      <c r="X1119">
        <v>0</v>
      </c>
      <c r="Y1119">
        <v>0</v>
      </c>
      <c r="Z1119">
        <v>0</v>
      </c>
      <c r="AA1119">
        <v>0</v>
      </c>
      <c r="AB1119">
        <v>0</v>
      </c>
      <c r="AC1119">
        <v>0</v>
      </c>
      <c r="AD1119">
        <v>0</v>
      </c>
      <c r="AE1119">
        <v>0</v>
      </c>
      <c r="AF1119">
        <v>0</v>
      </c>
      <c r="AG1119">
        <v>0</v>
      </c>
      <c r="AH1119">
        <v>0</v>
      </c>
      <c r="AI1119">
        <v>0</v>
      </c>
      <c r="AJ1119">
        <v>0</v>
      </c>
      <c r="AK1119">
        <v>0</v>
      </c>
      <c r="AL1119">
        <v>0</v>
      </c>
      <c r="AM1119">
        <v>17.16</v>
      </c>
      <c r="AN1119">
        <v>0</v>
      </c>
      <c r="AO1119">
        <v>0</v>
      </c>
      <c r="AP1119">
        <v>0</v>
      </c>
      <c r="AQ1119">
        <v>0</v>
      </c>
      <c r="AR1119">
        <v>0</v>
      </c>
      <c r="AS1119">
        <v>0</v>
      </c>
      <c r="AT1119">
        <v>0</v>
      </c>
      <c r="AU1119">
        <v>0</v>
      </c>
      <c r="AV1119">
        <v>0</v>
      </c>
      <c r="AW1119">
        <v>0</v>
      </c>
      <c r="AX1119">
        <v>0</v>
      </c>
      <c r="AY1119">
        <v>0</v>
      </c>
      <c r="AZ1119">
        <v>0</v>
      </c>
      <c r="BA1119">
        <v>0</v>
      </c>
      <c r="BB1119">
        <v>0</v>
      </c>
      <c r="BC1119">
        <v>0</v>
      </c>
      <c r="BD1119">
        <v>0</v>
      </c>
      <c r="BE1119">
        <v>0</v>
      </c>
      <c r="BF1119">
        <v>0</v>
      </c>
      <c r="BG1119">
        <v>0</v>
      </c>
      <c r="BH1119">
        <v>2</v>
      </c>
      <c r="BI1119">
        <v>3.6</v>
      </c>
      <c r="BJ1119">
        <v>3.4</v>
      </c>
      <c r="BK1119">
        <v>4</v>
      </c>
      <c r="BL1119" s="4">
        <v>100.87</v>
      </c>
      <c r="BM1119" s="4">
        <v>15.13</v>
      </c>
      <c r="BN1119" s="4">
        <v>116</v>
      </c>
      <c r="BO1119" s="4">
        <v>116</v>
      </c>
      <c r="BQ1119" t="s">
        <v>147</v>
      </c>
      <c r="BR1119" t="s">
        <v>84</v>
      </c>
      <c r="BS1119" s="3">
        <v>43819</v>
      </c>
      <c r="BT1119" s="5">
        <v>0.35069444444444442</v>
      </c>
      <c r="BU1119" t="s">
        <v>1626</v>
      </c>
      <c r="BV1119" t="s">
        <v>89</v>
      </c>
      <c r="BW1119" t="s">
        <v>1627</v>
      </c>
      <c r="BX1119" t="s">
        <v>1100</v>
      </c>
      <c r="BY1119">
        <v>8490.7199999999993</v>
      </c>
      <c r="CA1119" t="s">
        <v>99</v>
      </c>
      <c r="CC1119" t="s">
        <v>214</v>
      </c>
      <c r="CD1119">
        <v>6229</v>
      </c>
      <c r="CE1119" t="s">
        <v>1628</v>
      </c>
      <c r="CF1119" s="3">
        <v>43823</v>
      </c>
      <c r="CI1119">
        <v>1</v>
      </c>
      <c r="CJ1119">
        <v>7</v>
      </c>
      <c r="CK1119">
        <v>21</v>
      </c>
      <c r="CL1119" t="s">
        <v>89</v>
      </c>
    </row>
    <row r="1120" spans="1:90">
      <c r="A1120" t="s">
        <v>72</v>
      </c>
      <c r="B1120" t="s">
        <v>73</v>
      </c>
      <c r="C1120" t="s">
        <v>74</v>
      </c>
      <c r="E1120" t="str">
        <f>"FES1162727566"</f>
        <v>FES1162727566</v>
      </c>
      <c r="F1120" s="3">
        <v>43809</v>
      </c>
      <c r="G1120">
        <v>202006</v>
      </c>
      <c r="H1120" t="s">
        <v>75</v>
      </c>
      <c r="I1120" t="s">
        <v>76</v>
      </c>
      <c r="J1120" t="s">
        <v>100</v>
      </c>
      <c r="K1120" t="s">
        <v>78</v>
      </c>
      <c r="L1120" t="s">
        <v>169</v>
      </c>
      <c r="M1120" t="s">
        <v>170</v>
      </c>
      <c r="N1120" t="s">
        <v>1629</v>
      </c>
      <c r="O1120" t="s">
        <v>104</v>
      </c>
      <c r="P1120" t="str">
        <f>"217071047                     "</f>
        <v xml:space="preserve">217071047                     </v>
      </c>
      <c r="Q1120">
        <v>0</v>
      </c>
      <c r="R1120">
        <v>0</v>
      </c>
      <c r="S1120">
        <v>0</v>
      </c>
      <c r="T1120">
        <v>0</v>
      </c>
      <c r="U1120">
        <v>0</v>
      </c>
      <c r="V1120">
        <v>0</v>
      </c>
      <c r="W1120">
        <v>0</v>
      </c>
      <c r="X1120">
        <v>0</v>
      </c>
      <c r="Y1120">
        <v>0</v>
      </c>
      <c r="Z1120">
        <v>0</v>
      </c>
      <c r="AA1120">
        <v>0</v>
      </c>
      <c r="AB1120">
        <v>0</v>
      </c>
      <c r="AC1120">
        <v>0</v>
      </c>
      <c r="AD1120">
        <v>0</v>
      </c>
      <c r="AE1120">
        <v>0</v>
      </c>
      <c r="AF1120">
        <v>0</v>
      </c>
      <c r="AG1120">
        <v>0</v>
      </c>
      <c r="AH1120">
        <v>0</v>
      </c>
      <c r="AI1120">
        <v>0</v>
      </c>
      <c r="AJ1120">
        <v>0</v>
      </c>
      <c r="AK1120">
        <v>0</v>
      </c>
      <c r="AL1120">
        <v>0</v>
      </c>
      <c r="AM1120">
        <v>18.13</v>
      </c>
      <c r="AN1120">
        <v>0</v>
      </c>
      <c r="AO1120">
        <v>0</v>
      </c>
      <c r="AP1120">
        <v>0</v>
      </c>
      <c r="AQ1120">
        <v>0</v>
      </c>
      <c r="AR1120">
        <v>0</v>
      </c>
      <c r="AS1120">
        <v>0</v>
      </c>
      <c r="AT1120">
        <v>0</v>
      </c>
      <c r="AU1120">
        <v>0</v>
      </c>
      <c r="AV1120">
        <v>0</v>
      </c>
      <c r="AW1120">
        <v>0</v>
      </c>
      <c r="AX1120">
        <v>0</v>
      </c>
      <c r="AY1120">
        <v>0</v>
      </c>
      <c r="AZ1120">
        <v>0</v>
      </c>
      <c r="BA1120">
        <v>0</v>
      </c>
      <c r="BB1120">
        <v>0</v>
      </c>
      <c r="BC1120">
        <v>0</v>
      </c>
      <c r="BD1120">
        <v>0</v>
      </c>
      <c r="BE1120">
        <v>0</v>
      </c>
      <c r="BF1120">
        <v>0</v>
      </c>
      <c r="BG1120">
        <v>0</v>
      </c>
      <c r="BH1120">
        <v>1</v>
      </c>
      <c r="BI1120">
        <v>14.8</v>
      </c>
      <c r="BJ1120">
        <v>29.8</v>
      </c>
      <c r="BK1120">
        <v>30</v>
      </c>
      <c r="BL1120" s="4">
        <v>111.56</v>
      </c>
      <c r="BM1120" s="4">
        <v>16.73</v>
      </c>
      <c r="BN1120" s="4">
        <v>128.29</v>
      </c>
      <c r="BO1120" s="4">
        <v>128.29</v>
      </c>
      <c r="BQ1120" t="s">
        <v>135</v>
      </c>
      <c r="BR1120" t="s">
        <v>105</v>
      </c>
      <c r="BS1120" s="3">
        <v>43811</v>
      </c>
      <c r="BT1120" s="5">
        <v>0.33958333333333335</v>
      </c>
      <c r="BU1120" t="s">
        <v>1630</v>
      </c>
      <c r="BV1120" t="s">
        <v>89</v>
      </c>
      <c r="BW1120" t="s">
        <v>149</v>
      </c>
      <c r="BX1120" t="s">
        <v>1631</v>
      </c>
      <c r="BY1120">
        <v>148930.66</v>
      </c>
      <c r="CA1120" t="s">
        <v>250</v>
      </c>
      <c r="CC1120" t="s">
        <v>170</v>
      </c>
      <c r="CD1120">
        <v>1459</v>
      </c>
      <c r="CE1120" t="s">
        <v>96</v>
      </c>
      <c r="CF1120" s="3">
        <v>43816</v>
      </c>
      <c r="CI1120">
        <v>1</v>
      </c>
      <c r="CJ1120">
        <v>2</v>
      </c>
      <c r="CK1120" t="s">
        <v>123</v>
      </c>
      <c r="CL1120" t="s">
        <v>89</v>
      </c>
    </row>
    <row r="1121" spans="1:90">
      <c r="A1121" t="s">
        <v>72</v>
      </c>
      <c r="B1121" t="s">
        <v>73</v>
      </c>
      <c r="C1121" t="s">
        <v>74</v>
      </c>
      <c r="E1121" t="str">
        <f>"FES1162726108"</f>
        <v>FES1162726108</v>
      </c>
      <c r="F1121" s="3">
        <v>43801</v>
      </c>
      <c r="G1121">
        <v>202006</v>
      </c>
      <c r="H1121" t="s">
        <v>75</v>
      </c>
      <c r="I1121" t="s">
        <v>76</v>
      </c>
      <c r="J1121" t="s">
        <v>100</v>
      </c>
      <c r="K1121" t="s">
        <v>78</v>
      </c>
      <c r="L1121" t="s">
        <v>138</v>
      </c>
      <c r="M1121" t="s">
        <v>139</v>
      </c>
      <c r="N1121" t="s">
        <v>1632</v>
      </c>
      <c r="O1121" t="s">
        <v>104</v>
      </c>
      <c r="P1121" t="str">
        <f>"214721345832                  "</f>
        <v xml:space="preserve">214721345832                  </v>
      </c>
      <c r="Q1121">
        <v>0</v>
      </c>
      <c r="R1121">
        <v>0</v>
      </c>
      <c r="S1121">
        <v>0</v>
      </c>
      <c r="T1121">
        <v>0</v>
      </c>
      <c r="U1121">
        <v>0</v>
      </c>
      <c r="V1121">
        <v>0</v>
      </c>
      <c r="W1121">
        <v>0</v>
      </c>
      <c r="X1121">
        <v>0</v>
      </c>
      <c r="Y1121">
        <v>0</v>
      </c>
      <c r="Z1121">
        <v>0</v>
      </c>
      <c r="AA1121">
        <v>0</v>
      </c>
      <c r="AB1121">
        <v>0</v>
      </c>
      <c r="AC1121">
        <v>0</v>
      </c>
      <c r="AD1121">
        <v>0</v>
      </c>
      <c r="AE1121">
        <v>0</v>
      </c>
      <c r="AF1121">
        <v>0</v>
      </c>
      <c r="AG1121">
        <v>0</v>
      </c>
      <c r="AH1121">
        <v>0</v>
      </c>
      <c r="AI1121">
        <v>0</v>
      </c>
      <c r="AJ1121">
        <v>0</v>
      </c>
      <c r="AK1121">
        <v>0</v>
      </c>
      <c r="AL1121">
        <v>0</v>
      </c>
      <c r="AM1121">
        <v>14.09</v>
      </c>
      <c r="AN1121">
        <v>0</v>
      </c>
      <c r="AO1121">
        <v>0</v>
      </c>
      <c r="AP1121">
        <v>0</v>
      </c>
      <c r="AQ1121">
        <v>0</v>
      </c>
      <c r="AR1121">
        <v>0</v>
      </c>
      <c r="AS1121">
        <v>0</v>
      </c>
      <c r="AT1121">
        <v>0</v>
      </c>
      <c r="AU1121">
        <v>0</v>
      </c>
      <c r="AV1121">
        <v>0</v>
      </c>
      <c r="AW1121">
        <v>0</v>
      </c>
      <c r="AX1121">
        <v>0</v>
      </c>
      <c r="AY1121">
        <v>0</v>
      </c>
      <c r="AZ1121">
        <v>0</v>
      </c>
      <c r="BA1121">
        <v>0</v>
      </c>
      <c r="BB1121">
        <v>0</v>
      </c>
      <c r="BC1121">
        <v>0</v>
      </c>
      <c r="BD1121">
        <v>0</v>
      </c>
      <c r="BE1121">
        <v>0</v>
      </c>
      <c r="BF1121">
        <v>0</v>
      </c>
      <c r="BG1121">
        <v>0</v>
      </c>
      <c r="BH1121">
        <v>2</v>
      </c>
      <c r="BI1121">
        <v>19.899999999999999</v>
      </c>
      <c r="BJ1121">
        <v>6.7</v>
      </c>
      <c r="BK1121">
        <v>20</v>
      </c>
      <c r="BL1121" s="4">
        <v>87.82</v>
      </c>
      <c r="BM1121" s="4">
        <v>13.17</v>
      </c>
      <c r="BN1121" s="4">
        <v>100.99</v>
      </c>
      <c r="BO1121" s="4">
        <v>100.99</v>
      </c>
      <c r="BQ1121" t="s">
        <v>1633</v>
      </c>
      <c r="BR1121" t="s">
        <v>105</v>
      </c>
      <c r="BS1121" s="3">
        <v>43810</v>
      </c>
      <c r="BT1121" s="5">
        <v>0.51666666666666672</v>
      </c>
      <c r="BU1121" t="s">
        <v>675</v>
      </c>
      <c r="BV1121" t="s">
        <v>89</v>
      </c>
      <c r="BW1121" t="s">
        <v>618</v>
      </c>
      <c r="BX1121" t="s">
        <v>619</v>
      </c>
      <c r="BY1121">
        <v>33316.42</v>
      </c>
      <c r="CA1121" t="s">
        <v>620</v>
      </c>
      <c r="CC1121" t="s">
        <v>139</v>
      </c>
      <c r="CD1121">
        <v>1406</v>
      </c>
      <c r="CE1121" t="s">
        <v>1634</v>
      </c>
      <c r="CF1121" s="3">
        <v>43816</v>
      </c>
      <c r="CI1121">
        <v>1</v>
      </c>
      <c r="CJ1121">
        <v>7</v>
      </c>
      <c r="CK1121" t="s">
        <v>123</v>
      </c>
      <c r="CL1121" t="s">
        <v>89</v>
      </c>
    </row>
    <row r="1122" spans="1:90">
      <c r="A1122" t="s">
        <v>72</v>
      </c>
      <c r="B1122" t="s">
        <v>73</v>
      </c>
      <c r="C1122" t="s">
        <v>74</v>
      </c>
      <c r="E1122" t="str">
        <f>"FES1162727729"</f>
        <v>FES1162727729</v>
      </c>
      <c r="F1122" s="3">
        <v>43810</v>
      </c>
      <c r="G1122">
        <v>202006</v>
      </c>
      <c r="H1122" t="s">
        <v>75</v>
      </c>
      <c r="I1122" t="s">
        <v>76</v>
      </c>
      <c r="J1122" t="s">
        <v>77</v>
      </c>
      <c r="K1122" t="s">
        <v>78</v>
      </c>
      <c r="L1122" t="s">
        <v>455</v>
      </c>
      <c r="M1122" t="s">
        <v>456</v>
      </c>
      <c r="N1122" t="s">
        <v>457</v>
      </c>
      <c r="O1122" t="s">
        <v>104</v>
      </c>
      <c r="P1122" t="str">
        <f>"217021020                     "</f>
        <v xml:space="preserve">217021020                     </v>
      </c>
      <c r="Q1122">
        <v>0</v>
      </c>
      <c r="R1122">
        <v>0</v>
      </c>
      <c r="S1122">
        <v>0</v>
      </c>
      <c r="T1122">
        <v>0</v>
      </c>
      <c r="U1122">
        <v>0</v>
      </c>
      <c r="V1122">
        <v>0</v>
      </c>
      <c r="W1122">
        <v>0</v>
      </c>
      <c r="X1122">
        <v>0</v>
      </c>
      <c r="Y1122">
        <v>0</v>
      </c>
      <c r="Z1122">
        <v>0</v>
      </c>
      <c r="AA1122">
        <v>0</v>
      </c>
      <c r="AB1122">
        <v>0</v>
      </c>
      <c r="AC1122">
        <v>0</v>
      </c>
      <c r="AD1122">
        <v>0</v>
      </c>
      <c r="AE1122">
        <v>0</v>
      </c>
      <c r="AF1122">
        <v>0</v>
      </c>
      <c r="AG1122">
        <v>0</v>
      </c>
      <c r="AH1122">
        <v>0</v>
      </c>
      <c r="AI1122">
        <v>0</v>
      </c>
      <c r="AJ1122">
        <v>0</v>
      </c>
      <c r="AK1122">
        <v>0</v>
      </c>
      <c r="AL1122">
        <v>0</v>
      </c>
      <c r="AM1122">
        <v>12.07</v>
      </c>
      <c r="AN1122">
        <v>0</v>
      </c>
      <c r="AO1122">
        <v>0</v>
      </c>
      <c r="AP1122">
        <v>0</v>
      </c>
      <c r="AQ1122">
        <v>0</v>
      </c>
      <c r="AR1122">
        <v>0</v>
      </c>
      <c r="AS1122">
        <v>0</v>
      </c>
      <c r="AT1122">
        <v>0</v>
      </c>
      <c r="AU1122">
        <v>0</v>
      </c>
      <c r="AV1122">
        <v>0</v>
      </c>
      <c r="AW1122">
        <v>0</v>
      </c>
      <c r="AX1122">
        <v>0</v>
      </c>
      <c r="AY1122">
        <v>0</v>
      </c>
      <c r="AZ1122">
        <v>0</v>
      </c>
      <c r="BA1122">
        <v>0</v>
      </c>
      <c r="BB1122">
        <v>0</v>
      </c>
      <c r="BC1122">
        <v>0</v>
      </c>
      <c r="BD1122">
        <v>0</v>
      </c>
      <c r="BE1122">
        <v>0</v>
      </c>
      <c r="BF1122">
        <v>0</v>
      </c>
      <c r="BG1122">
        <v>0</v>
      </c>
      <c r="BH1122">
        <v>1</v>
      </c>
      <c r="BI1122">
        <v>1.5</v>
      </c>
      <c r="BJ1122">
        <v>1.1000000000000001</v>
      </c>
      <c r="BK1122">
        <v>2</v>
      </c>
      <c r="BL1122" s="4">
        <v>75.95</v>
      </c>
      <c r="BM1122" s="4">
        <v>11.39</v>
      </c>
      <c r="BN1122" s="4">
        <v>87.34</v>
      </c>
      <c r="BO1122" s="4">
        <v>87.34</v>
      </c>
      <c r="BP1122" t="s">
        <v>1076</v>
      </c>
      <c r="BR1122" t="s">
        <v>84</v>
      </c>
      <c r="BS1122" s="3">
        <v>43812</v>
      </c>
      <c r="BT1122" s="5">
        <v>0.54166666666666663</v>
      </c>
      <c r="BU1122" t="s">
        <v>1381</v>
      </c>
      <c r="BV1122" t="s">
        <v>89</v>
      </c>
      <c r="BW1122" t="s">
        <v>506</v>
      </c>
      <c r="BX1122" t="s">
        <v>524</v>
      </c>
      <c r="BY1122">
        <v>5554.33</v>
      </c>
      <c r="CA1122" t="s">
        <v>225</v>
      </c>
      <c r="CC1122" t="s">
        <v>456</v>
      </c>
      <c r="CD1122">
        <v>3699</v>
      </c>
      <c r="CE1122" t="s">
        <v>116</v>
      </c>
      <c r="CF1122" s="3">
        <v>43816</v>
      </c>
      <c r="CI1122">
        <v>1</v>
      </c>
      <c r="CJ1122">
        <v>2</v>
      </c>
      <c r="CK1122" t="s">
        <v>1164</v>
      </c>
      <c r="CL1122" t="s">
        <v>89</v>
      </c>
    </row>
    <row r="1123" spans="1:90">
      <c r="A1123" t="s">
        <v>72</v>
      </c>
      <c r="B1123" t="s">
        <v>73</v>
      </c>
      <c r="C1123" t="s">
        <v>74</v>
      </c>
      <c r="E1123" t="str">
        <f>"009939401610"</f>
        <v>009939401610</v>
      </c>
      <c r="F1123" s="3">
        <v>43804</v>
      </c>
      <c r="G1123">
        <v>202006</v>
      </c>
      <c r="H1123" t="s">
        <v>213</v>
      </c>
      <c r="I1123" t="s">
        <v>214</v>
      </c>
      <c r="J1123" t="s">
        <v>1635</v>
      </c>
      <c r="K1123" t="s">
        <v>78</v>
      </c>
      <c r="L1123" t="s">
        <v>90</v>
      </c>
      <c r="M1123" t="s">
        <v>91</v>
      </c>
      <c r="N1123" t="s">
        <v>1636</v>
      </c>
      <c r="O1123" t="s">
        <v>1637</v>
      </c>
      <c r="P1123" t="str">
        <f>"                              "</f>
        <v xml:space="preserve">                              </v>
      </c>
      <c r="Q1123">
        <v>0</v>
      </c>
      <c r="R1123">
        <v>0</v>
      </c>
      <c r="S1123">
        <v>0</v>
      </c>
      <c r="T1123">
        <v>0</v>
      </c>
      <c r="U1123">
        <v>0</v>
      </c>
      <c r="V1123">
        <v>0</v>
      </c>
      <c r="W1123">
        <v>0</v>
      </c>
      <c r="X1123">
        <v>0</v>
      </c>
      <c r="Y1123">
        <v>0</v>
      </c>
      <c r="Z1123">
        <v>0</v>
      </c>
      <c r="AA1123">
        <v>0</v>
      </c>
      <c r="AB1123">
        <v>0</v>
      </c>
      <c r="AC1123">
        <v>0</v>
      </c>
      <c r="AD1123">
        <v>0</v>
      </c>
      <c r="AE1123">
        <v>0</v>
      </c>
      <c r="AF1123">
        <v>0</v>
      </c>
      <c r="AG1123">
        <v>0</v>
      </c>
      <c r="AH1123">
        <v>0</v>
      </c>
      <c r="AI1123">
        <v>0</v>
      </c>
      <c r="AJ1123">
        <v>0</v>
      </c>
      <c r="AK1123">
        <v>0</v>
      </c>
      <c r="AL1123">
        <v>0</v>
      </c>
      <c r="AM1123">
        <v>0</v>
      </c>
      <c r="AN1123">
        <v>0</v>
      </c>
      <c r="AO1123">
        <v>0</v>
      </c>
      <c r="AP1123">
        <v>0</v>
      </c>
      <c r="AQ1123">
        <v>0</v>
      </c>
      <c r="AR1123">
        <v>0</v>
      </c>
      <c r="AS1123">
        <v>0</v>
      </c>
      <c r="AT1123">
        <v>0</v>
      </c>
      <c r="AU1123">
        <v>0</v>
      </c>
      <c r="AV1123">
        <v>0</v>
      </c>
      <c r="AW1123">
        <v>0</v>
      </c>
      <c r="AX1123">
        <v>0</v>
      </c>
      <c r="AY1123">
        <v>0</v>
      </c>
      <c r="AZ1123">
        <v>0</v>
      </c>
      <c r="BA1123">
        <v>0</v>
      </c>
      <c r="BB1123">
        <v>0</v>
      </c>
      <c r="BC1123">
        <v>0</v>
      </c>
      <c r="BD1123">
        <v>0</v>
      </c>
      <c r="BE1123">
        <v>0</v>
      </c>
      <c r="BF1123">
        <v>0</v>
      </c>
      <c r="BG1123">
        <v>0</v>
      </c>
      <c r="BH1123">
        <v>1</v>
      </c>
      <c r="BI1123">
        <v>1</v>
      </c>
      <c r="BJ1123">
        <v>1200</v>
      </c>
      <c r="BK1123">
        <v>1200</v>
      </c>
      <c r="BL1123" s="4">
        <v>438.26</v>
      </c>
      <c r="BM1123" s="4">
        <v>65.739999999999995</v>
      </c>
      <c r="BN1123" s="4">
        <v>504</v>
      </c>
      <c r="BO1123" s="4">
        <v>504</v>
      </c>
      <c r="BR1123" t="s">
        <v>1638</v>
      </c>
      <c r="BS1123" s="3">
        <v>43805</v>
      </c>
      <c r="BT1123" s="5">
        <v>0.38194444444444442</v>
      </c>
      <c r="BU1123" t="s">
        <v>1639</v>
      </c>
      <c r="BV1123" t="s">
        <v>86</v>
      </c>
      <c r="BY1123">
        <v>1200</v>
      </c>
      <c r="BZ1123" t="s">
        <v>27</v>
      </c>
      <c r="CC1123" t="s">
        <v>91</v>
      </c>
      <c r="CD1123">
        <v>7405</v>
      </c>
      <c r="CE1123" t="s">
        <v>96</v>
      </c>
      <c r="CF1123" s="3">
        <v>43808</v>
      </c>
      <c r="CI1123">
        <v>0</v>
      </c>
      <c r="CJ1123">
        <v>0</v>
      </c>
      <c r="CK1123">
        <v>-1</v>
      </c>
      <c r="CL1123" t="s">
        <v>89</v>
      </c>
    </row>
    <row r="1124" spans="1:90">
      <c r="A1124" t="s">
        <v>72</v>
      </c>
      <c r="B1124" t="s">
        <v>73</v>
      </c>
      <c r="C1124" t="s">
        <v>74</v>
      </c>
      <c r="E1124" t="str">
        <f>"FES1162727914"</f>
        <v>FES1162727914</v>
      </c>
      <c r="F1124" s="3">
        <v>43810</v>
      </c>
      <c r="G1124">
        <v>202006</v>
      </c>
      <c r="H1124" t="s">
        <v>75</v>
      </c>
      <c r="I1124" t="s">
        <v>76</v>
      </c>
      <c r="J1124" t="s">
        <v>77</v>
      </c>
      <c r="K1124" t="s">
        <v>78</v>
      </c>
      <c r="L1124" t="s">
        <v>109</v>
      </c>
      <c r="M1124" t="s">
        <v>91</v>
      </c>
      <c r="N1124" t="s">
        <v>110</v>
      </c>
      <c r="O1124" t="s">
        <v>104</v>
      </c>
      <c r="P1124" t="str">
        <f>"2170721393                    "</f>
        <v xml:space="preserve">2170721393                    </v>
      </c>
      <c r="Q1124">
        <v>0</v>
      </c>
      <c r="R1124">
        <v>0</v>
      </c>
      <c r="S1124">
        <v>0</v>
      </c>
      <c r="T1124">
        <v>0</v>
      </c>
      <c r="U1124">
        <v>0</v>
      </c>
      <c r="V1124">
        <v>0</v>
      </c>
      <c r="W1124">
        <v>0</v>
      </c>
      <c r="X1124">
        <v>0</v>
      </c>
      <c r="Y1124">
        <v>0</v>
      </c>
      <c r="Z1124">
        <v>0</v>
      </c>
      <c r="AA1124">
        <v>0</v>
      </c>
      <c r="AB1124">
        <v>0</v>
      </c>
      <c r="AC1124">
        <v>0</v>
      </c>
      <c r="AD1124">
        <v>0</v>
      </c>
      <c r="AE1124">
        <v>0</v>
      </c>
      <c r="AF1124">
        <v>0</v>
      </c>
      <c r="AG1124">
        <v>0</v>
      </c>
      <c r="AH1124">
        <v>0</v>
      </c>
      <c r="AI1124">
        <v>0</v>
      </c>
      <c r="AJ1124">
        <v>0</v>
      </c>
      <c r="AK1124">
        <v>0</v>
      </c>
      <c r="AL1124">
        <v>0</v>
      </c>
      <c r="AM1124">
        <v>35.630000000000003</v>
      </c>
      <c r="AN1124">
        <v>0</v>
      </c>
      <c r="AO1124">
        <v>0</v>
      </c>
      <c r="AP1124">
        <v>0</v>
      </c>
      <c r="AQ1124">
        <v>0</v>
      </c>
      <c r="AR1124">
        <v>0</v>
      </c>
      <c r="AS1124">
        <v>0</v>
      </c>
      <c r="AT1124">
        <v>0</v>
      </c>
      <c r="AU1124">
        <v>0</v>
      </c>
      <c r="AV1124">
        <v>0</v>
      </c>
      <c r="AW1124">
        <v>0</v>
      </c>
      <c r="AX1124">
        <v>0</v>
      </c>
      <c r="AY1124">
        <v>0</v>
      </c>
      <c r="AZ1124">
        <v>0</v>
      </c>
      <c r="BA1124">
        <v>0</v>
      </c>
      <c r="BB1124">
        <v>0</v>
      </c>
      <c r="BC1124">
        <v>0</v>
      </c>
      <c r="BD1124">
        <v>0</v>
      </c>
      <c r="BE1124">
        <v>0</v>
      </c>
      <c r="BF1124">
        <v>0</v>
      </c>
      <c r="BG1124">
        <v>0</v>
      </c>
      <c r="BH1124">
        <v>1</v>
      </c>
      <c r="BI1124">
        <v>22.7</v>
      </c>
      <c r="BJ1124">
        <v>38.4</v>
      </c>
      <c r="BK1124">
        <v>39</v>
      </c>
      <c r="BL1124" s="4">
        <v>214.42</v>
      </c>
      <c r="BM1124" s="4">
        <v>32.159999999999997</v>
      </c>
      <c r="BN1124" s="4">
        <v>246.58</v>
      </c>
      <c r="BO1124" s="4">
        <v>246.58</v>
      </c>
      <c r="BQ1124" t="s">
        <v>147</v>
      </c>
      <c r="BR1124" t="s">
        <v>84</v>
      </c>
      <c r="BS1124" s="3">
        <v>43811</v>
      </c>
      <c r="BT1124" s="5">
        <v>0.33333333333333331</v>
      </c>
      <c r="BU1124" t="s">
        <v>730</v>
      </c>
      <c r="BV1124" t="s">
        <v>86</v>
      </c>
      <c r="BY1124">
        <v>192208.33</v>
      </c>
      <c r="CA1124" t="s">
        <v>112</v>
      </c>
      <c r="CC1124" t="s">
        <v>91</v>
      </c>
      <c r="CD1124">
        <v>7405</v>
      </c>
      <c r="CE1124" t="s">
        <v>96</v>
      </c>
      <c r="CF1124" s="3">
        <v>43812</v>
      </c>
      <c r="CI1124">
        <v>2</v>
      </c>
      <c r="CJ1124">
        <v>1</v>
      </c>
      <c r="CK1124" t="s">
        <v>113</v>
      </c>
      <c r="CL1124" t="s">
        <v>89</v>
      </c>
    </row>
    <row r="1125" spans="1:90">
      <c r="A1125" t="s">
        <v>331</v>
      </c>
      <c r="B1125" t="s">
        <v>73</v>
      </c>
      <c r="C1125" t="s">
        <v>74</v>
      </c>
      <c r="E1125" t="str">
        <f>"009937220833"</f>
        <v>009937220833</v>
      </c>
      <c r="F1125" s="3">
        <v>43810</v>
      </c>
      <c r="G1125">
        <v>202006</v>
      </c>
      <c r="H1125" t="s">
        <v>138</v>
      </c>
      <c r="I1125" t="s">
        <v>139</v>
      </c>
      <c r="J1125" t="s">
        <v>1640</v>
      </c>
      <c r="K1125" t="s">
        <v>78</v>
      </c>
      <c r="L1125" t="s">
        <v>75</v>
      </c>
      <c r="M1125" t="s">
        <v>76</v>
      </c>
      <c r="N1125" t="s">
        <v>100</v>
      </c>
      <c r="O1125" t="s">
        <v>104</v>
      </c>
      <c r="P1125" t="str">
        <f>"                              "</f>
        <v xml:space="preserve">                              </v>
      </c>
      <c r="Q1125">
        <v>0</v>
      </c>
      <c r="R1125">
        <v>0</v>
      </c>
      <c r="S1125">
        <v>0</v>
      </c>
      <c r="T1125">
        <v>0</v>
      </c>
      <c r="U1125">
        <v>0</v>
      </c>
      <c r="V1125">
        <v>0</v>
      </c>
      <c r="W1125">
        <v>0</v>
      </c>
      <c r="X1125">
        <v>0</v>
      </c>
      <c r="Y1125">
        <v>0</v>
      </c>
      <c r="Z1125">
        <v>0</v>
      </c>
      <c r="AA1125">
        <v>0</v>
      </c>
      <c r="AB1125">
        <v>0</v>
      </c>
      <c r="AC1125">
        <v>0</v>
      </c>
      <c r="AD1125">
        <v>0</v>
      </c>
      <c r="AE1125">
        <v>0</v>
      </c>
      <c r="AF1125">
        <v>0</v>
      </c>
      <c r="AG1125">
        <v>0</v>
      </c>
      <c r="AH1125">
        <v>0</v>
      </c>
      <c r="AI1125">
        <v>0</v>
      </c>
      <c r="AJ1125">
        <v>0</v>
      </c>
      <c r="AK1125">
        <v>0</v>
      </c>
      <c r="AL1125">
        <v>0</v>
      </c>
      <c r="AM1125">
        <v>12.07</v>
      </c>
      <c r="AN1125">
        <v>0</v>
      </c>
      <c r="AO1125">
        <v>0</v>
      </c>
      <c r="AP1125">
        <v>0</v>
      </c>
      <c r="AQ1125">
        <v>0</v>
      </c>
      <c r="AR1125">
        <v>0</v>
      </c>
      <c r="AS1125">
        <v>0</v>
      </c>
      <c r="AT1125">
        <v>0</v>
      </c>
      <c r="AU1125">
        <v>0</v>
      </c>
      <c r="AV1125">
        <v>0</v>
      </c>
      <c r="AW1125">
        <v>0</v>
      </c>
      <c r="AX1125">
        <v>0</v>
      </c>
      <c r="AY1125">
        <v>0</v>
      </c>
      <c r="AZ1125">
        <v>0</v>
      </c>
      <c r="BA1125">
        <v>0</v>
      </c>
      <c r="BB1125">
        <v>0</v>
      </c>
      <c r="BC1125">
        <v>0</v>
      </c>
      <c r="BD1125">
        <v>0</v>
      </c>
      <c r="BE1125">
        <v>0</v>
      </c>
      <c r="BF1125">
        <v>0</v>
      </c>
      <c r="BG1125">
        <v>0</v>
      </c>
      <c r="BH1125">
        <v>1</v>
      </c>
      <c r="BI1125">
        <v>11</v>
      </c>
      <c r="BJ1125">
        <v>6.4</v>
      </c>
      <c r="BK1125">
        <v>11</v>
      </c>
      <c r="BL1125" s="4">
        <v>75.95</v>
      </c>
      <c r="BM1125" s="4">
        <v>11.39</v>
      </c>
      <c r="BN1125" s="4">
        <v>87.34</v>
      </c>
      <c r="BO1125" s="4">
        <v>87.34</v>
      </c>
      <c r="BQ1125" t="s">
        <v>1641</v>
      </c>
      <c r="BR1125" t="s">
        <v>1642</v>
      </c>
      <c r="BS1125" s="3">
        <v>43811</v>
      </c>
      <c r="BT1125" s="5">
        <v>0.36458333333333331</v>
      </c>
      <c r="BU1125" t="s">
        <v>154</v>
      </c>
      <c r="BV1125" t="s">
        <v>86</v>
      </c>
      <c r="BY1125">
        <v>32000</v>
      </c>
      <c r="CA1125" t="s">
        <v>155</v>
      </c>
      <c r="CC1125" t="s">
        <v>76</v>
      </c>
      <c r="CD1125">
        <v>1600</v>
      </c>
      <c r="CE1125" t="s">
        <v>96</v>
      </c>
      <c r="CF1125" s="3">
        <v>43812</v>
      </c>
      <c r="CI1125">
        <v>1</v>
      </c>
      <c r="CJ1125">
        <v>1</v>
      </c>
      <c r="CK1125" t="s">
        <v>123</v>
      </c>
      <c r="CL1125" t="s">
        <v>89</v>
      </c>
    </row>
    <row r="1126" spans="1:90">
      <c r="A1126" t="s">
        <v>72</v>
      </c>
      <c r="B1126" t="s">
        <v>73</v>
      </c>
      <c r="C1126" t="s">
        <v>74</v>
      </c>
      <c r="E1126" t="str">
        <f>"019911311464"</f>
        <v>019911311464</v>
      </c>
      <c r="F1126" s="3">
        <v>43812</v>
      </c>
      <c r="G1126">
        <v>202006</v>
      </c>
      <c r="H1126" t="s">
        <v>90</v>
      </c>
      <c r="I1126" t="s">
        <v>91</v>
      </c>
      <c r="J1126" t="s">
        <v>100</v>
      </c>
      <c r="K1126" t="s">
        <v>78</v>
      </c>
      <c r="L1126" t="s">
        <v>75</v>
      </c>
      <c r="M1126" t="s">
        <v>76</v>
      </c>
      <c r="N1126" t="s">
        <v>125</v>
      </c>
      <c r="O1126" t="s">
        <v>104</v>
      </c>
      <c r="P1126" t="str">
        <f>"1703                          "</f>
        <v xml:space="preserve">1703                          </v>
      </c>
      <c r="Q1126">
        <v>0</v>
      </c>
      <c r="R1126">
        <v>0</v>
      </c>
      <c r="S1126">
        <v>0</v>
      </c>
      <c r="T1126">
        <v>0</v>
      </c>
      <c r="U1126">
        <v>0</v>
      </c>
      <c r="V1126">
        <v>0</v>
      </c>
      <c r="W1126">
        <v>0</v>
      </c>
      <c r="X1126">
        <v>0</v>
      </c>
      <c r="Y1126">
        <v>0</v>
      </c>
      <c r="Z1126">
        <v>0</v>
      </c>
      <c r="AA1126">
        <v>0</v>
      </c>
      <c r="AB1126">
        <v>0</v>
      </c>
      <c r="AC1126">
        <v>0</v>
      </c>
      <c r="AD1126">
        <v>0</v>
      </c>
      <c r="AE1126">
        <v>0</v>
      </c>
      <c r="AF1126">
        <v>0</v>
      </c>
      <c r="AG1126">
        <v>0</v>
      </c>
      <c r="AH1126">
        <v>0</v>
      </c>
      <c r="AI1126">
        <v>0</v>
      </c>
      <c r="AJ1126">
        <v>0</v>
      </c>
      <c r="AK1126">
        <v>0</v>
      </c>
      <c r="AL1126">
        <v>0</v>
      </c>
      <c r="AM1126">
        <v>23.59</v>
      </c>
      <c r="AN1126">
        <v>0</v>
      </c>
      <c r="AO1126">
        <v>0</v>
      </c>
      <c r="AP1126">
        <v>0</v>
      </c>
      <c r="AQ1126">
        <v>0</v>
      </c>
      <c r="AR1126">
        <v>0</v>
      </c>
      <c r="AS1126">
        <v>0</v>
      </c>
      <c r="AT1126">
        <v>0</v>
      </c>
      <c r="AU1126">
        <v>0</v>
      </c>
      <c r="AV1126">
        <v>0</v>
      </c>
      <c r="AW1126">
        <v>0</v>
      </c>
      <c r="AX1126">
        <v>0</v>
      </c>
      <c r="AY1126">
        <v>0</v>
      </c>
      <c r="AZ1126">
        <v>0</v>
      </c>
      <c r="BA1126">
        <v>0</v>
      </c>
      <c r="BB1126">
        <v>0</v>
      </c>
      <c r="BC1126">
        <v>0</v>
      </c>
      <c r="BD1126">
        <v>0</v>
      </c>
      <c r="BE1126">
        <v>0</v>
      </c>
      <c r="BF1126">
        <v>0</v>
      </c>
      <c r="BG1126">
        <v>0</v>
      </c>
      <c r="BH1126">
        <v>1</v>
      </c>
      <c r="BI1126">
        <v>9.1999999999999993</v>
      </c>
      <c r="BJ1126">
        <v>22.1</v>
      </c>
      <c r="BK1126">
        <v>23</v>
      </c>
      <c r="BL1126" s="4">
        <v>143.66</v>
      </c>
      <c r="BM1126" s="4">
        <v>21.55</v>
      </c>
      <c r="BN1126" s="4">
        <v>165.21</v>
      </c>
      <c r="BO1126" s="4">
        <v>165.21</v>
      </c>
      <c r="BQ1126" t="s">
        <v>126</v>
      </c>
      <c r="BR1126" t="s">
        <v>127</v>
      </c>
      <c r="BS1126" s="3">
        <v>43816</v>
      </c>
      <c r="BT1126" s="5">
        <v>0.36874999999999997</v>
      </c>
      <c r="BU1126" t="s">
        <v>154</v>
      </c>
      <c r="BV1126" t="s">
        <v>86</v>
      </c>
      <c r="BY1126">
        <v>110748.3</v>
      </c>
      <c r="CA1126" t="s">
        <v>155</v>
      </c>
      <c r="CC1126" t="s">
        <v>76</v>
      </c>
      <c r="CD1126">
        <v>1620</v>
      </c>
      <c r="CE1126" t="s">
        <v>116</v>
      </c>
      <c r="CF1126" s="3">
        <v>43817</v>
      </c>
      <c r="CI1126">
        <v>2</v>
      </c>
      <c r="CJ1126">
        <v>2</v>
      </c>
      <c r="CK1126" t="s">
        <v>113</v>
      </c>
      <c r="CL1126" t="s">
        <v>89</v>
      </c>
    </row>
    <row r="1127" spans="1:90">
      <c r="A1127" t="s">
        <v>72</v>
      </c>
      <c r="B1127" t="s">
        <v>73</v>
      </c>
      <c r="C1127" t="s">
        <v>74</v>
      </c>
      <c r="E1127" t="str">
        <f>"FES1162728190"</f>
        <v>FES1162728190</v>
      </c>
      <c r="F1127" s="3">
        <v>43812</v>
      </c>
      <c r="G1127">
        <v>202006</v>
      </c>
      <c r="H1127" t="s">
        <v>75</v>
      </c>
      <c r="I1127" t="s">
        <v>76</v>
      </c>
      <c r="J1127" t="s">
        <v>77</v>
      </c>
      <c r="K1127" t="s">
        <v>78</v>
      </c>
      <c r="L1127" t="s">
        <v>75</v>
      </c>
      <c r="M1127" t="s">
        <v>76</v>
      </c>
      <c r="N1127" t="s">
        <v>1337</v>
      </c>
      <c r="O1127" t="s">
        <v>104</v>
      </c>
      <c r="P1127" t="str">
        <f>"217071522                     "</f>
        <v xml:space="preserve">217071522                     </v>
      </c>
      <c r="Q1127">
        <v>0</v>
      </c>
      <c r="R1127">
        <v>0</v>
      </c>
      <c r="S1127">
        <v>0</v>
      </c>
      <c r="T1127">
        <v>0</v>
      </c>
      <c r="U1127">
        <v>0</v>
      </c>
      <c r="V1127">
        <v>0</v>
      </c>
      <c r="W1127">
        <v>0</v>
      </c>
      <c r="X1127">
        <v>0</v>
      </c>
      <c r="Y1127">
        <v>0</v>
      </c>
      <c r="Z1127">
        <v>0</v>
      </c>
      <c r="AA1127">
        <v>0</v>
      </c>
      <c r="AB1127">
        <v>0</v>
      </c>
      <c r="AC1127">
        <v>0</v>
      </c>
      <c r="AD1127">
        <v>0</v>
      </c>
      <c r="AE1127">
        <v>0</v>
      </c>
      <c r="AF1127">
        <v>0</v>
      </c>
      <c r="AG1127">
        <v>0</v>
      </c>
      <c r="AH1127">
        <v>0</v>
      </c>
      <c r="AI1127">
        <v>0</v>
      </c>
      <c r="AJ1127">
        <v>0</v>
      </c>
      <c r="AK1127">
        <v>0</v>
      </c>
      <c r="AL1127">
        <v>0</v>
      </c>
      <c r="AM1127">
        <v>14.09</v>
      </c>
      <c r="AN1127">
        <v>0</v>
      </c>
      <c r="AO1127">
        <v>0</v>
      </c>
      <c r="AP1127">
        <v>0</v>
      </c>
      <c r="AQ1127">
        <v>0</v>
      </c>
      <c r="AR1127">
        <v>0</v>
      </c>
      <c r="AS1127">
        <v>0</v>
      </c>
      <c r="AT1127">
        <v>0</v>
      </c>
      <c r="AU1127">
        <v>0</v>
      </c>
      <c r="AV1127">
        <v>0</v>
      </c>
      <c r="AW1127">
        <v>0</v>
      </c>
      <c r="AX1127">
        <v>0</v>
      </c>
      <c r="AY1127">
        <v>0</v>
      </c>
      <c r="AZ1127">
        <v>0</v>
      </c>
      <c r="BA1127">
        <v>0</v>
      </c>
      <c r="BB1127">
        <v>0</v>
      </c>
      <c r="BC1127">
        <v>0</v>
      </c>
      <c r="BD1127">
        <v>0</v>
      </c>
      <c r="BE1127">
        <v>0</v>
      </c>
      <c r="BF1127">
        <v>0</v>
      </c>
      <c r="BG1127">
        <v>0</v>
      </c>
      <c r="BH1127">
        <v>2</v>
      </c>
      <c r="BI1127">
        <v>20</v>
      </c>
      <c r="BJ1127">
        <v>5.0999999999999996</v>
      </c>
      <c r="BK1127">
        <v>20</v>
      </c>
      <c r="BL1127" s="4">
        <v>87.82</v>
      </c>
      <c r="BM1127" s="4">
        <v>13.17</v>
      </c>
      <c r="BN1127" s="4">
        <v>100.99</v>
      </c>
      <c r="BO1127" s="4">
        <v>100.99</v>
      </c>
      <c r="BQ1127" t="s">
        <v>1338</v>
      </c>
      <c r="BR1127" t="s">
        <v>84</v>
      </c>
      <c r="BS1127" s="3">
        <v>43816</v>
      </c>
      <c r="BT1127" s="5">
        <v>0.375</v>
      </c>
      <c r="BU1127" t="s">
        <v>1643</v>
      </c>
      <c r="BV1127" t="s">
        <v>86</v>
      </c>
      <c r="BY1127">
        <v>25252</v>
      </c>
      <c r="CA1127" t="s">
        <v>155</v>
      </c>
      <c r="CC1127" t="s">
        <v>76</v>
      </c>
      <c r="CD1127">
        <v>1601</v>
      </c>
      <c r="CE1127" t="s">
        <v>413</v>
      </c>
      <c r="CF1127" s="3">
        <v>43817</v>
      </c>
      <c r="CI1127">
        <v>1</v>
      </c>
      <c r="CJ1127">
        <v>2</v>
      </c>
      <c r="CK1127" t="s">
        <v>123</v>
      </c>
      <c r="CL1127" t="s">
        <v>89</v>
      </c>
    </row>
    <row r="1128" spans="1:90">
      <c r="A1128" t="s">
        <v>72</v>
      </c>
      <c r="B1128" t="s">
        <v>73</v>
      </c>
      <c r="C1128" t="s">
        <v>74</v>
      </c>
      <c r="E1128" t="str">
        <f>"FES1162728900"</f>
        <v>FES1162728900</v>
      </c>
      <c r="F1128" s="3">
        <v>43818</v>
      </c>
      <c r="G1128">
        <v>202006</v>
      </c>
      <c r="H1128" t="s">
        <v>75</v>
      </c>
      <c r="I1128" t="s">
        <v>76</v>
      </c>
      <c r="J1128" t="s">
        <v>77</v>
      </c>
      <c r="K1128" t="s">
        <v>78</v>
      </c>
      <c r="L1128" t="s">
        <v>169</v>
      </c>
      <c r="M1128" t="s">
        <v>170</v>
      </c>
      <c r="N1128" t="s">
        <v>248</v>
      </c>
      <c r="O1128" t="s">
        <v>82</v>
      </c>
      <c r="P1128" t="str">
        <f>"2170720282                    "</f>
        <v xml:space="preserve">2170720282                    </v>
      </c>
      <c r="Q1128">
        <v>0</v>
      </c>
      <c r="R1128">
        <v>0</v>
      </c>
      <c r="S1128">
        <v>0</v>
      </c>
      <c r="T1128">
        <v>0</v>
      </c>
      <c r="U1128">
        <v>0</v>
      </c>
      <c r="V1128">
        <v>0</v>
      </c>
      <c r="W1128">
        <v>0</v>
      </c>
      <c r="X1128">
        <v>0</v>
      </c>
      <c r="Y1128">
        <v>0</v>
      </c>
      <c r="Z1128">
        <v>0</v>
      </c>
      <c r="AA1128">
        <v>0</v>
      </c>
      <c r="AB1128">
        <v>0</v>
      </c>
      <c r="AC1128">
        <v>0</v>
      </c>
      <c r="AD1128">
        <v>0</v>
      </c>
      <c r="AE1128">
        <v>0</v>
      </c>
      <c r="AF1128">
        <v>0</v>
      </c>
      <c r="AG1128">
        <v>0</v>
      </c>
      <c r="AH1128">
        <v>0</v>
      </c>
      <c r="AI1128">
        <v>0</v>
      </c>
      <c r="AJ1128">
        <v>0</v>
      </c>
      <c r="AK1128">
        <v>0</v>
      </c>
      <c r="AL1128">
        <v>0</v>
      </c>
      <c r="AM1128">
        <v>6.71</v>
      </c>
      <c r="AN1128">
        <v>0</v>
      </c>
      <c r="AO1128">
        <v>0</v>
      </c>
      <c r="AP1128">
        <v>0</v>
      </c>
      <c r="AQ1128">
        <v>0</v>
      </c>
      <c r="AR1128">
        <v>0</v>
      </c>
      <c r="AS1128">
        <v>0</v>
      </c>
      <c r="AT1128">
        <v>0</v>
      </c>
      <c r="AU1128">
        <v>0</v>
      </c>
      <c r="AV1128">
        <v>0</v>
      </c>
      <c r="AW1128">
        <v>0</v>
      </c>
      <c r="AX1128">
        <v>0</v>
      </c>
      <c r="AY1128">
        <v>0</v>
      </c>
      <c r="AZ1128">
        <v>0</v>
      </c>
      <c r="BA1128">
        <v>0</v>
      </c>
      <c r="BB1128">
        <v>0</v>
      </c>
      <c r="BC1128">
        <v>0</v>
      </c>
      <c r="BD1128">
        <v>0</v>
      </c>
      <c r="BE1128">
        <v>0</v>
      </c>
      <c r="BF1128">
        <v>0</v>
      </c>
      <c r="BG1128">
        <v>0</v>
      </c>
      <c r="BH1128">
        <v>1</v>
      </c>
      <c r="BI1128">
        <v>1</v>
      </c>
      <c r="BJ1128">
        <v>0.2</v>
      </c>
      <c r="BK1128">
        <v>1</v>
      </c>
      <c r="BL1128" s="4">
        <v>39.42</v>
      </c>
      <c r="BM1128" s="4">
        <v>5.91</v>
      </c>
      <c r="BN1128" s="4">
        <v>45.33</v>
      </c>
      <c r="BO1128" s="4">
        <v>45.33</v>
      </c>
      <c r="BQ1128" t="s">
        <v>147</v>
      </c>
      <c r="BR1128" t="s">
        <v>84</v>
      </c>
      <c r="BS1128" s="3">
        <v>43819</v>
      </c>
      <c r="BT1128" s="5">
        <v>0.35138888888888892</v>
      </c>
      <c r="BU1128" t="s">
        <v>1644</v>
      </c>
      <c r="BV1128" t="s">
        <v>86</v>
      </c>
      <c r="BY1128">
        <v>1200</v>
      </c>
      <c r="CA1128" t="s">
        <v>250</v>
      </c>
      <c r="CC1128" t="s">
        <v>170</v>
      </c>
      <c r="CD1128">
        <v>1459</v>
      </c>
      <c r="CE1128" t="s">
        <v>88</v>
      </c>
      <c r="CF1128" s="3">
        <v>43822</v>
      </c>
      <c r="CI1128">
        <v>1</v>
      </c>
      <c r="CJ1128">
        <v>1</v>
      </c>
      <c r="CK1128">
        <v>22</v>
      </c>
      <c r="CL1128" t="s">
        <v>89</v>
      </c>
    </row>
    <row r="1129" spans="1:90">
      <c r="A1129" t="s">
        <v>72</v>
      </c>
      <c r="B1129" t="s">
        <v>73</v>
      </c>
      <c r="C1129" t="s">
        <v>74</v>
      </c>
      <c r="E1129" t="str">
        <f>"FES1162728086"</f>
        <v>FES1162728086</v>
      </c>
      <c r="F1129" s="3">
        <v>43811</v>
      </c>
      <c r="G1129">
        <v>202006</v>
      </c>
      <c r="H1129" t="s">
        <v>75</v>
      </c>
      <c r="I1129" t="s">
        <v>76</v>
      </c>
      <c r="J1129" t="s">
        <v>77</v>
      </c>
      <c r="K1129" t="s">
        <v>78</v>
      </c>
      <c r="L1129" t="s">
        <v>201</v>
      </c>
      <c r="M1129" t="s">
        <v>202</v>
      </c>
      <c r="N1129" t="s">
        <v>1469</v>
      </c>
      <c r="O1129" t="s">
        <v>82</v>
      </c>
      <c r="P1129" t="str">
        <f>"2170718408                    "</f>
        <v xml:space="preserve">2170718408                    </v>
      </c>
      <c r="Q1129">
        <v>0</v>
      </c>
      <c r="R1129">
        <v>0</v>
      </c>
      <c r="S1129">
        <v>0</v>
      </c>
      <c r="T1129">
        <v>0</v>
      </c>
      <c r="U1129">
        <v>0</v>
      </c>
      <c r="V1129">
        <v>0</v>
      </c>
      <c r="W1129">
        <v>0</v>
      </c>
      <c r="X1129">
        <v>0</v>
      </c>
      <c r="Y1129">
        <v>0</v>
      </c>
      <c r="Z1129">
        <v>0</v>
      </c>
      <c r="AA1129">
        <v>0</v>
      </c>
      <c r="AB1129">
        <v>0</v>
      </c>
      <c r="AC1129">
        <v>0</v>
      </c>
      <c r="AD1129">
        <v>0</v>
      </c>
      <c r="AE1129">
        <v>0</v>
      </c>
      <c r="AF1129">
        <v>0</v>
      </c>
      <c r="AG1129">
        <v>0</v>
      </c>
      <c r="AH1129">
        <v>0</v>
      </c>
      <c r="AI1129">
        <v>0</v>
      </c>
      <c r="AJ1129">
        <v>0</v>
      </c>
      <c r="AK1129">
        <v>0</v>
      </c>
      <c r="AL1129">
        <v>0</v>
      </c>
      <c r="AM1129">
        <v>8.58</v>
      </c>
      <c r="AN1129">
        <v>0</v>
      </c>
      <c r="AO1129">
        <v>0</v>
      </c>
      <c r="AP1129">
        <v>0</v>
      </c>
      <c r="AQ1129">
        <v>0</v>
      </c>
      <c r="AR1129">
        <v>0</v>
      </c>
      <c r="AS1129">
        <v>0</v>
      </c>
      <c r="AT1129">
        <v>0</v>
      </c>
      <c r="AU1129">
        <v>0</v>
      </c>
      <c r="AV1129">
        <v>0</v>
      </c>
      <c r="AW1129">
        <v>0</v>
      </c>
      <c r="AX1129">
        <v>0</v>
      </c>
      <c r="AY1129">
        <v>0</v>
      </c>
      <c r="AZ1129">
        <v>0</v>
      </c>
      <c r="BA1129">
        <v>0</v>
      </c>
      <c r="BB1129">
        <v>0</v>
      </c>
      <c r="BC1129">
        <v>0</v>
      </c>
      <c r="BD1129">
        <v>0</v>
      </c>
      <c r="BE1129">
        <v>0</v>
      </c>
      <c r="BF1129">
        <v>0</v>
      </c>
      <c r="BG1129">
        <v>0</v>
      </c>
      <c r="BH1129">
        <v>1</v>
      </c>
      <c r="BI1129">
        <v>1</v>
      </c>
      <c r="BJ1129">
        <v>0.2</v>
      </c>
      <c r="BK1129">
        <v>1</v>
      </c>
      <c r="BL1129" s="4">
        <v>50.45</v>
      </c>
      <c r="BM1129" s="4">
        <v>7.57</v>
      </c>
      <c r="BN1129" s="4">
        <v>58.02</v>
      </c>
      <c r="BO1129" s="4">
        <v>58.02</v>
      </c>
      <c r="BQ1129" t="s">
        <v>93</v>
      </c>
      <c r="BR1129" t="s">
        <v>84</v>
      </c>
      <c r="BS1129" s="3">
        <v>43812</v>
      </c>
      <c r="BT1129" s="5">
        <v>0.48472222222222222</v>
      </c>
      <c r="BU1129" t="s">
        <v>1470</v>
      </c>
      <c r="BV1129" t="s">
        <v>89</v>
      </c>
      <c r="BW1129" t="s">
        <v>506</v>
      </c>
      <c r="BX1129" t="s">
        <v>1163</v>
      </c>
      <c r="BY1129">
        <v>1200</v>
      </c>
      <c r="CA1129" t="s">
        <v>205</v>
      </c>
      <c r="CC1129" t="s">
        <v>202</v>
      </c>
      <c r="CD1129">
        <v>3610</v>
      </c>
      <c r="CE1129" t="s">
        <v>88</v>
      </c>
      <c r="CF1129" s="3">
        <v>43816</v>
      </c>
      <c r="CI1129">
        <v>1</v>
      </c>
      <c r="CJ1129">
        <v>1</v>
      </c>
      <c r="CK1129">
        <v>21</v>
      </c>
      <c r="CL1129" t="s">
        <v>89</v>
      </c>
    </row>
    <row r="1130" spans="1:90">
      <c r="A1130" t="s">
        <v>72</v>
      </c>
      <c r="B1130" t="s">
        <v>73</v>
      </c>
      <c r="C1130" t="s">
        <v>74</v>
      </c>
      <c r="E1130" t="str">
        <f>"FES1162728037"</f>
        <v>FES1162728037</v>
      </c>
      <c r="F1130" s="3">
        <v>43811</v>
      </c>
      <c r="G1130">
        <v>202006</v>
      </c>
      <c r="H1130" t="s">
        <v>75</v>
      </c>
      <c r="I1130" t="s">
        <v>76</v>
      </c>
      <c r="J1130" t="s">
        <v>77</v>
      </c>
      <c r="K1130" t="s">
        <v>78</v>
      </c>
      <c r="L1130" t="s">
        <v>340</v>
      </c>
      <c r="M1130" t="s">
        <v>341</v>
      </c>
      <c r="N1130" t="s">
        <v>342</v>
      </c>
      <c r="O1130" t="s">
        <v>82</v>
      </c>
      <c r="P1130" t="str">
        <f>"2170712470                    "</f>
        <v xml:space="preserve">2170712470                    </v>
      </c>
      <c r="Q1130">
        <v>0</v>
      </c>
      <c r="R1130">
        <v>0</v>
      </c>
      <c r="S1130">
        <v>0</v>
      </c>
      <c r="T1130">
        <v>0</v>
      </c>
      <c r="U1130">
        <v>0</v>
      </c>
      <c r="V1130">
        <v>0</v>
      </c>
      <c r="W1130">
        <v>0</v>
      </c>
      <c r="X1130">
        <v>0</v>
      </c>
      <c r="Y1130">
        <v>0</v>
      </c>
      <c r="Z1130">
        <v>0</v>
      </c>
      <c r="AA1130">
        <v>0</v>
      </c>
      <c r="AB1130">
        <v>0</v>
      </c>
      <c r="AC1130">
        <v>0</v>
      </c>
      <c r="AD1130">
        <v>0</v>
      </c>
      <c r="AE1130">
        <v>0</v>
      </c>
      <c r="AF1130">
        <v>0</v>
      </c>
      <c r="AG1130">
        <v>0</v>
      </c>
      <c r="AH1130">
        <v>0</v>
      </c>
      <c r="AI1130">
        <v>0</v>
      </c>
      <c r="AJ1130">
        <v>0</v>
      </c>
      <c r="AK1130">
        <v>0</v>
      </c>
      <c r="AL1130">
        <v>0</v>
      </c>
      <c r="AM1130">
        <v>20.39</v>
      </c>
      <c r="AN1130">
        <v>0</v>
      </c>
      <c r="AO1130">
        <v>0</v>
      </c>
      <c r="AP1130">
        <v>0</v>
      </c>
      <c r="AQ1130">
        <v>0</v>
      </c>
      <c r="AR1130">
        <v>0</v>
      </c>
      <c r="AS1130">
        <v>0</v>
      </c>
      <c r="AT1130">
        <v>0</v>
      </c>
      <c r="AU1130">
        <v>0</v>
      </c>
      <c r="AV1130">
        <v>0</v>
      </c>
      <c r="AW1130">
        <v>0</v>
      </c>
      <c r="AX1130">
        <v>0</v>
      </c>
      <c r="AY1130">
        <v>0</v>
      </c>
      <c r="AZ1130">
        <v>0</v>
      </c>
      <c r="BA1130">
        <v>0</v>
      </c>
      <c r="BB1130">
        <v>0</v>
      </c>
      <c r="BC1130">
        <v>0</v>
      </c>
      <c r="BD1130">
        <v>0</v>
      </c>
      <c r="BE1130">
        <v>0</v>
      </c>
      <c r="BF1130">
        <v>0</v>
      </c>
      <c r="BG1130">
        <v>0</v>
      </c>
      <c r="BH1130">
        <v>1</v>
      </c>
      <c r="BI1130">
        <v>2.2999999999999998</v>
      </c>
      <c r="BJ1130">
        <v>1.6</v>
      </c>
      <c r="BK1130">
        <v>2.5</v>
      </c>
      <c r="BL1130" s="4">
        <v>119.83</v>
      </c>
      <c r="BM1130" s="4">
        <v>17.97</v>
      </c>
      <c r="BN1130" s="4">
        <v>137.80000000000001</v>
      </c>
      <c r="BO1130" s="4">
        <v>137.80000000000001</v>
      </c>
      <c r="BQ1130" t="s">
        <v>93</v>
      </c>
      <c r="BR1130" t="s">
        <v>84</v>
      </c>
      <c r="BS1130" s="3">
        <v>43812</v>
      </c>
      <c r="BT1130" s="5">
        <v>0.33333333333333331</v>
      </c>
      <c r="BU1130" t="s">
        <v>1645</v>
      </c>
      <c r="BV1130" t="s">
        <v>86</v>
      </c>
      <c r="BY1130">
        <v>8085.79</v>
      </c>
      <c r="CC1130" t="s">
        <v>341</v>
      </c>
      <c r="CD1130">
        <v>1947</v>
      </c>
      <c r="CE1130" t="s">
        <v>96</v>
      </c>
      <c r="CF1130" s="3">
        <v>43816</v>
      </c>
      <c r="CI1130">
        <v>1</v>
      </c>
      <c r="CJ1130">
        <v>1</v>
      </c>
      <c r="CK1130">
        <v>23</v>
      </c>
      <c r="CL1130" t="s">
        <v>89</v>
      </c>
    </row>
    <row r="1131" spans="1:90">
      <c r="A1131" t="s">
        <v>72</v>
      </c>
      <c r="B1131" t="s">
        <v>73</v>
      </c>
      <c r="C1131" t="s">
        <v>74</v>
      </c>
      <c r="E1131" t="str">
        <f>"FES1162727985"</f>
        <v>FES1162727985</v>
      </c>
      <c r="F1131" s="3">
        <v>43811</v>
      </c>
      <c r="G1131">
        <v>202006</v>
      </c>
      <c r="H1131" t="s">
        <v>75</v>
      </c>
      <c r="I1131" t="s">
        <v>76</v>
      </c>
      <c r="J1131" t="s">
        <v>77</v>
      </c>
      <c r="K1131" t="s">
        <v>78</v>
      </c>
      <c r="L1131" t="s">
        <v>164</v>
      </c>
      <c r="M1131" t="s">
        <v>165</v>
      </c>
      <c r="N1131" t="s">
        <v>263</v>
      </c>
      <c r="O1131" t="s">
        <v>82</v>
      </c>
      <c r="P1131" t="str">
        <f>"2170719092                    "</f>
        <v xml:space="preserve">2170719092                    </v>
      </c>
      <c r="Q1131">
        <v>0</v>
      </c>
      <c r="R1131">
        <v>0</v>
      </c>
      <c r="S1131">
        <v>0</v>
      </c>
      <c r="T1131">
        <v>0</v>
      </c>
      <c r="U1131">
        <v>0</v>
      </c>
      <c r="V1131">
        <v>0</v>
      </c>
      <c r="W1131">
        <v>0</v>
      </c>
      <c r="X1131">
        <v>0</v>
      </c>
      <c r="Y1131">
        <v>0</v>
      </c>
      <c r="Z1131">
        <v>0</v>
      </c>
      <c r="AA1131">
        <v>0</v>
      </c>
      <c r="AB1131">
        <v>0</v>
      </c>
      <c r="AC1131">
        <v>0</v>
      </c>
      <c r="AD1131">
        <v>0</v>
      </c>
      <c r="AE1131">
        <v>0</v>
      </c>
      <c r="AF1131">
        <v>0</v>
      </c>
      <c r="AG1131">
        <v>0</v>
      </c>
      <c r="AH1131">
        <v>0</v>
      </c>
      <c r="AI1131">
        <v>0</v>
      </c>
      <c r="AJ1131">
        <v>0</v>
      </c>
      <c r="AK1131">
        <v>0</v>
      </c>
      <c r="AL1131">
        <v>0</v>
      </c>
      <c r="AM1131">
        <v>77.2</v>
      </c>
      <c r="AN1131">
        <v>0</v>
      </c>
      <c r="AO1131">
        <v>0</v>
      </c>
      <c r="AP1131">
        <v>0</v>
      </c>
      <c r="AQ1131">
        <v>0</v>
      </c>
      <c r="AR1131">
        <v>0</v>
      </c>
      <c r="AS1131">
        <v>0</v>
      </c>
      <c r="AT1131">
        <v>0</v>
      </c>
      <c r="AU1131">
        <v>0</v>
      </c>
      <c r="AV1131">
        <v>0</v>
      </c>
      <c r="AW1131">
        <v>0</v>
      </c>
      <c r="AX1131">
        <v>0</v>
      </c>
      <c r="AY1131">
        <v>0</v>
      </c>
      <c r="AZ1131">
        <v>0</v>
      </c>
      <c r="BA1131">
        <v>0</v>
      </c>
      <c r="BB1131">
        <v>0</v>
      </c>
      <c r="BC1131">
        <v>0</v>
      </c>
      <c r="BD1131">
        <v>0</v>
      </c>
      <c r="BE1131">
        <v>0</v>
      </c>
      <c r="BF1131">
        <v>0</v>
      </c>
      <c r="BG1131">
        <v>0</v>
      </c>
      <c r="BH1131">
        <v>1</v>
      </c>
      <c r="BI1131">
        <v>17.399999999999999</v>
      </c>
      <c r="BJ1131">
        <v>18</v>
      </c>
      <c r="BK1131">
        <v>18</v>
      </c>
      <c r="BL1131" s="4">
        <v>453.79</v>
      </c>
      <c r="BM1131" s="4">
        <v>68.069999999999993</v>
      </c>
      <c r="BN1131" s="4">
        <v>521.86</v>
      </c>
      <c r="BO1131" s="4">
        <v>521.86</v>
      </c>
      <c r="BQ1131" t="s">
        <v>147</v>
      </c>
      <c r="BR1131" t="s">
        <v>84</v>
      </c>
      <c r="BS1131" s="3">
        <v>43812</v>
      </c>
      <c r="BT1131" s="5">
        <v>0.43055555555555558</v>
      </c>
      <c r="BU1131" t="s">
        <v>1646</v>
      </c>
      <c r="BV1131" t="s">
        <v>86</v>
      </c>
      <c r="BY1131">
        <v>90034.559999999998</v>
      </c>
      <c r="CA1131" t="s">
        <v>1647</v>
      </c>
      <c r="CC1131" t="s">
        <v>165</v>
      </c>
      <c r="CD1131">
        <v>5201</v>
      </c>
      <c r="CE1131" t="s">
        <v>96</v>
      </c>
      <c r="CF1131" s="3">
        <v>43816</v>
      </c>
      <c r="CI1131">
        <v>1</v>
      </c>
      <c r="CJ1131">
        <v>1</v>
      </c>
      <c r="CK1131">
        <v>21</v>
      </c>
      <c r="CL1131" t="s">
        <v>89</v>
      </c>
    </row>
    <row r="1132" spans="1:90">
      <c r="A1132" t="s">
        <v>72</v>
      </c>
      <c r="B1132" t="s">
        <v>73</v>
      </c>
      <c r="C1132" t="s">
        <v>74</v>
      </c>
      <c r="E1132" t="str">
        <f>"FES1162728205"</f>
        <v>FES1162728205</v>
      </c>
      <c r="F1132" s="3">
        <v>43811</v>
      </c>
      <c r="G1132">
        <v>202006</v>
      </c>
      <c r="H1132" t="s">
        <v>75</v>
      </c>
      <c r="I1132" t="s">
        <v>76</v>
      </c>
      <c r="J1132" t="s">
        <v>77</v>
      </c>
      <c r="K1132" t="s">
        <v>78</v>
      </c>
      <c r="L1132" t="s">
        <v>79</v>
      </c>
      <c r="M1132" t="s">
        <v>80</v>
      </c>
      <c r="N1132" t="s">
        <v>129</v>
      </c>
      <c r="O1132" t="s">
        <v>82</v>
      </c>
      <c r="P1132" t="str">
        <f>"21707121453                   "</f>
        <v xml:space="preserve">21707121453                   </v>
      </c>
      <c r="Q1132">
        <v>0</v>
      </c>
      <c r="R1132">
        <v>0</v>
      </c>
      <c r="S1132">
        <v>0</v>
      </c>
      <c r="T1132">
        <v>0</v>
      </c>
      <c r="U1132">
        <v>0</v>
      </c>
      <c r="V1132">
        <v>0</v>
      </c>
      <c r="W1132">
        <v>0</v>
      </c>
      <c r="X1132">
        <v>0</v>
      </c>
      <c r="Y1132">
        <v>0</v>
      </c>
      <c r="Z1132">
        <v>0</v>
      </c>
      <c r="AA1132">
        <v>0</v>
      </c>
      <c r="AB1132">
        <v>0</v>
      </c>
      <c r="AC1132">
        <v>0</v>
      </c>
      <c r="AD1132">
        <v>0</v>
      </c>
      <c r="AE1132">
        <v>0</v>
      </c>
      <c r="AF1132">
        <v>0</v>
      </c>
      <c r="AG1132">
        <v>0</v>
      </c>
      <c r="AH1132">
        <v>0</v>
      </c>
      <c r="AI1132">
        <v>0</v>
      </c>
      <c r="AJ1132">
        <v>0</v>
      </c>
      <c r="AK1132">
        <v>0</v>
      </c>
      <c r="AL1132">
        <v>0</v>
      </c>
      <c r="AM1132">
        <v>21.45</v>
      </c>
      <c r="AN1132">
        <v>0</v>
      </c>
      <c r="AO1132">
        <v>0</v>
      </c>
      <c r="AP1132">
        <v>0</v>
      </c>
      <c r="AQ1132">
        <v>0</v>
      </c>
      <c r="AR1132">
        <v>0</v>
      </c>
      <c r="AS1132">
        <v>0</v>
      </c>
      <c r="AT1132">
        <v>0</v>
      </c>
      <c r="AU1132">
        <v>0</v>
      </c>
      <c r="AV1132">
        <v>0</v>
      </c>
      <c r="AW1132">
        <v>0</v>
      </c>
      <c r="AX1132">
        <v>0</v>
      </c>
      <c r="AY1132">
        <v>0</v>
      </c>
      <c r="AZ1132">
        <v>0</v>
      </c>
      <c r="BA1132">
        <v>0</v>
      </c>
      <c r="BB1132">
        <v>0</v>
      </c>
      <c r="BC1132">
        <v>0</v>
      </c>
      <c r="BD1132">
        <v>0</v>
      </c>
      <c r="BE1132">
        <v>0</v>
      </c>
      <c r="BF1132">
        <v>0</v>
      </c>
      <c r="BG1132">
        <v>0</v>
      </c>
      <c r="BH1132">
        <v>1</v>
      </c>
      <c r="BI1132">
        <v>4.7</v>
      </c>
      <c r="BJ1132">
        <v>1.7</v>
      </c>
      <c r="BK1132">
        <v>5</v>
      </c>
      <c r="BL1132" s="4">
        <v>126.08</v>
      </c>
      <c r="BM1132" s="4">
        <v>18.91</v>
      </c>
      <c r="BN1132" s="4">
        <v>144.99</v>
      </c>
      <c r="BO1132" s="4">
        <v>144.99</v>
      </c>
      <c r="BQ1132" t="s">
        <v>147</v>
      </c>
      <c r="BR1132" t="s">
        <v>84</v>
      </c>
      <c r="BS1132" s="3">
        <v>43812</v>
      </c>
      <c r="BT1132" s="5">
        <v>0.38541666666666669</v>
      </c>
      <c r="BU1132" t="s">
        <v>1648</v>
      </c>
      <c r="BV1132" t="s">
        <v>86</v>
      </c>
      <c r="BY1132">
        <v>8275.76</v>
      </c>
      <c r="CA1132" t="s">
        <v>131</v>
      </c>
      <c r="CC1132" t="s">
        <v>80</v>
      </c>
      <c r="CD1132">
        <v>6001</v>
      </c>
      <c r="CE1132" t="s">
        <v>96</v>
      </c>
      <c r="CF1132" s="3">
        <v>43816</v>
      </c>
      <c r="CI1132">
        <v>1</v>
      </c>
      <c r="CJ1132">
        <v>1</v>
      </c>
      <c r="CK1132">
        <v>21</v>
      </c>
      <c r="CL1132" t="s">
        <v>89</v>
      </c>
    </row>
    <row r="1133" spans="1:90">
      <c r="A1133" t="s">
        <v>72</v>
      </c>
      <c r="B1133" t="s">
        <v>73</v>
      </c>
      <c r="C1133" t="s">
        <v>74</v>
      </c>
      <c r="E1133" t="str">
        <f>"FES1162728249"</f>
        <v>FES1162728249</v>
      </c>
      <c r="F1133" s="3">
        <v>43811</v>
      </c>
      <c r="G1133">
        <v>202006</v>
      </c>
      <c r="H1133" t="s">
        <v>75</v>
      </c>
      <c r="I1133" t="s">
        <v>76</v>
      </c>
      <c r="J1133" t="s">
        <v>77</v>
      </c>
      <c r="K1133" t="s">
        <v>78</v>
      </c>
      <c r="L1133" t="s">
        <v>79</v>
      </c>
      <c r="M1133" t="s">
        <v>80</v>
      </c>
      <c r="N1133" t="s">
        <v>175</v>
      </c>
      <c r="O1133" t="s">
        <v>82</v>
      </c>
      <c r="P1133" t="str">
        <f>"2170710597                    "</f>
        <v xml:space="preserve">2170710597                    </v>
      </c>
      <c r="Q1133">
        <v>0</v>
      </c>
      <c r="R1133">
        <v>0</v>
      </c>
      <c r="S1133">
        <v>0</v>
      </c>
      <c r="T1133">
        <v>0</v>
      </c>
      <c r="U1133">
        <v>0</v>
      </c>
      <c r="V1133">
        <v>0</v>
      </c>
      <c r="W1133">
        <v>0</v>
      </c>
      <c r="X1133">
        <v>0</v>
      </c>
      <c r="Y1133">
        <v>0</v>
      </c>
      <c r="Z1133">
        <v>0</v>
      </c>
      <c r="AA1133">
        <v>0</v>
      </c>
      <c r="AB1133">
        <v>0</v>
      </c>
      <c r="AC1133">
        <v>0</v>
      </c>
      <c r="AD1133">
        <v>0</v>
      </c>
      <c r="AE1133">
        <v>0</v>
      </c>
      <c r="AF1133">
        <v>0</v>
      </c>
      <c r="AG1133">
        <v>0</v>
      </c>
      <c r="AH1133">
        <v>0</v>
      </c>
      <c r="AI1133">
        <v>0</v>
      </c>
      <c r="AJ1133">
        <v>0</v>
      </c>
      <c r="AK1133">
        <v>0</v>
      </c>
      <c r="AL1133">
        <v>0</v>
      </c>
      <c r="AM1133">
        <v>10.73</v>
      </c>
      <c r="AN1133">
        <v>0</v>
      </c>
      <c r="AO1133">
        <v>0</v>
      </c>
      <c r="AP1133">
        <v>0</v>
      </c>
      <c r="AQ1133">
        <v>0</v>
      </c>
      <c r="AR1133">
        <v>0</v>
      </c>
      <c r="AS1133">
        <v>0</v>
      </c>
      <c r="AT1133">
        <v>0</v>
      </c>
      <c r="AU1133">
        <v>0</v>
      </c>
      <c r="AV1133">
        <v>0</v>
      </c>
      <c r="AW1133">
        <v>0</v>
      </c>
      <c r="AX1133">
        <v>0</v>
      </c>
      <c r="AY1133">
        <v>0</v>
      </c>
      <c r="AZ1133">
        <v>0</v>
      </c>
      <c r="BA1133">
        <v>0</v>
      </c>
      <c r="BB1133">
        <v>0</v>
      </c>
      <c r="BC1133">
        <v>0</v>
      </c>
      <c r="BD1133">
        <v>0</v>
      </c>
      <c r="BE1133">
        <v>0</v>
      </c>
      <c r="BF1133">
        <v>0</v>
      </c>
      <c r="BG1133">
        <v>0</v>
      </c>
      <c r="BH1133">
        <v>1</v>
      </c>
      <c r="BI1133">
        <v>2.2999999999999998</v>
      </c>
      <c r="BJ1133">
        <v>1.5</v>
      </c>
      <c r="BK1133">
        <v>2.5</v>
      </c>
      <c r="BL1133" s="4">
        <v>63.06</v>
      </c>
      <c r="BM1133" s="4">
        <v>9.4600000000000009</v>
      </c>
      <c r="BN1133" s="4">
        <v>72.52</v>
      </c>
      <c r="BO1133" s="4">
        <v>72.52</v>
      </c>
      <c r="BQ1133" t="s">
        <v>147</v>
      </c>
      <c r="BR1133" t="s">
        <v>84</v>
      </c>
      <c r="BS1133" s="3">
        <v>43817</v>
      </c>
      <c r="BT1133" s="5">
        <v>0.75</v>
      </c>
      <c r="BU1133" t="s">
        <v>617</v>
      </c>
      <c r="BV1133" t="s">
        <v>89</v>
      </c>
      <c r="BW1133" t="s">
        <v>1254</v>
      </c>
      <c r="BX1133" t="s">
        <v>594</v>
      </c>
      <c r="BY1133">
        <v>7391.09</v>
      </c>
      <c r="CA1133" t="s">
        <v>620</v>
      </c>
      <c r="CC1133" t="s">
        <v>80</v>
      </c>
      <c r="CD1133">
        <v>6001</v>
      </c>
      <c r="CE1133" t="s">
        <v>96</v>
      </c>
      <c r="CF1133" s="3">
        <v>43819</v>
      </c>
      <c r="CI1133">
        <v>1</v>
      </c>
      <c r="CJ1133">
        <v>4</v>
      </c>
      <c r="CK1133">
        <v>21</v>
      </c>
      <c r="CL1133" t="s">
        <v>89</v>
      </c>
    </row>
    <row r="1134" spans="1:90">
      <c r="A1134" t="s">
        <v>72</v>
      </c>
      <c r="B1134" t="s">
        <v>73</v>
      </c>
      <c r="C1134" t="s">
        <v>74</v>
      </c>
      <c r="E1134" t="str">
        <f>"FES1162728090"</f>
        <v>FES1162728090</v>
      </c>
      <c r="F1134" s="3">
        <v>43811</v>
      </c>
      <c r="G1134">
        <v>202006</v>
      </c>
      <c r="H1134" t="s">
        <v>75</v>
      </c>
      <c r="I1134" t="s">
        <v>76</v>
      </c>
      <c r="J1134" t="s">
        <v>77</v>
      </c>
      <c r="K1134" t="s">
        <v>78</v>
      </c>
      <c r="L1134" t="s">
        <v>79</v>
      </c>
      <c r="M1134" t="s">
        <v>80</v>
      </c>
      <c r="N1134" t="s">
        <v>1486</v>
      </c>
      <c r="O1134" t="s">
        <v>82</v>
      </c>
      <c r="P1134" t="str">
        <f>"2170718440                    "</f>
        <v xml:space="preserve">2170718440                    </v>
      </c>
      <c r="Q1134">
        <v>0</v>
      </c>
      <c r="R1134">
        <v>0</v>
      </c>
      <c r="S1134">
        <v>0</v>
      </c>
      <c r="T1134">
        <v>0</v>
      </c>
      <c r="U1134">
        <v>0</v>
      </c>
      <c r="V1134">
        <v>0</v>
      </c>
      <c r="W1134">
        <v>0</v>
      </c>
      <c r="X1134">
        <v>0</v>
      </c>
      <c r="Y1134">
        <v>0</v>
      </c>
      <c r="Z1134">
        <v>0</v>
      </c>
      <c r="AA1134">
        <v>0</v>
      </c>
      <c r="AB1134">
        <v>0</v>
      </c>
      <c r="AC1134">
        <v>0</v>
      </c>
      <c r="AD1134">
        <v>0</v>
      </c>
      <c r="AE1134">
        <v>0</v>
      </c>
      <c r="AF1134">
        <v>0</v>
      </c>
      <c r="AG1134">
        <v>0</v>
      </c>
      <c r="AH1134">
        <v>0</v>
      </c>
      <c r="AI1134">
        <v>0</v>
      </c>
      <c r="AJ1134">
        <v>0</v>
      </c>
      <c r="AK1134">
        <v>0</v>
      </c>
      <c r="AL1134">
        <v>0</v>
      </c>
      <c r="AM1134">
        <v>8.58</v>
      </c>
      <c r="AN1134">
        <v>0</v>
      </c>
      <c r="AO1134">
        <v>0</v>
      </c>
      <c r="AP1134">
        <v>0</v>
      </c>
      <c r="AQ1134">
        <v>0</v>
      </c>
      <c r="AR1134">
        <v>0</v>
      </c>
      <c r="AS1134">
        <v>0</v>
      </c>
      <c r="AT1134">
        <v>0</v>
      </c>
      <c r="AU1134">
        <v>0</v>
      </c>
      <c r="AV1134">
        <v>0</v>
      </c>
      <c r="AW1134">
        <v>0</v>
      </c>
      <c r="AX1134">
        <v>0</v>
      </c>
      <c r="AY1134">
        <v>0</v>
      </c>
      <c r="AZ1134">
        <v>0</v>
      </c>
      <c r="BA1134">
        <v>0</v>
      </c>
      <c r="BB1134">
        <v>0</v>
      </c>
      <c r="BC1134">
        <v>0</v>
      </c>
      <c r="BD1134">
        <v>0</v>
      </c>
      <c r="BE1134">
        <v>0</v>
      </c>
      <c r="BF1134">
        <v>0</v>
      </c>
      <c r="BG1134">
        <v>0</v>
      </c>
      <c r="BH1134">
        <v>1</v>
      </c>
      <c r="BI1134">
        <v>1.7</v>
      </c>
      <c r="BJ1134">
        <v>1.8</v>
      </c>
      <c r="BK1134">
        <v>2</v>
      </c>
      <c r="BL1134" s="4">
        <v>50.45</v>
      </c>
      <c r="BM1134" s="4">
        <v>7.57</v>
      </c>
      <c r="BN1134" s="4">
        <v>58.02</v>
      </c>
      <c r="BO1134" s="4">
        <v>58.02</v>
      </c>
      <c r="BQ1134" t="s">
        <v>147</v>
      </c>
      <c r="BR1134" t="s">
        <v>84</v>
      </c>
      <c r="BS1134" s="3">
        <v>43812</v>
      </c>
      <c r="BT1134" s="5">
        <v>0.35000000000000003</v>
      </c>
      <c r="BU1134" t="s">
        <v>1649</v>
      </c>
      <c r="BV1134" t="s">
        <v>86</v>
      </c>
      <c r="BY1134">
        <v>8872.42</v>
      </c>
      <c r="CA1134" t="s">
        <v>131</v>
      </c>
      <c r="CC1134" t="s">
        <v>80</v>
      </c>
      <c r="CD1134">
        <v>6001</v>
      </c>
      <c r="CE1134" t="s">
        <v>96</v>
      </c>
      <c r="CF1134" s="3">
        <v>43816</v>
      </c>
      <c r="CI1134">
        <v>1</v>
      </c>
      <c r="CJ1134">
        <v>1</v>
      </c>
      <c r="CK1134">
        <v>21</v>
      </c>
      <c r="CL1134" t="s">
        <v>89</v>
      </c>
    </row>
    <row r="1135" spans="1:90">
      <c r="A1135" t="s">
        <v>72</v>
      </c>
      <c r="B1135" t="s">
        <v>73</v>
      </c>
      <c r="C1135" t="s">
        <v>74</v>
      </c>
      <c r="E1135" t="str">
        <f>"FES1162728112"</f>
        <v>FES1162728112</v>
      </c>
      <c r="F1135" s="3">
        <v>43811</v>
      </c>
      <c r="G1135">
        <v>202006</v>
      </c>
      <c r="H1135" t="s">
        <v>75</v>
      </c>
      <c r="I1135" t="s">
        <v>76</v>
      </c>
      <c r="J1135" t="s">
        <v>77</v>
      </c>
      <c r="K1135" t="s">
        <v>78</v>
      </c>
      <c r="L1135" t="s">
        <v>79</v>
      </c>
      <c r="M1135" t="s">
        <v>80</v>
      </c>
      <c r="N1135" t="s">
        <v>1650</v>
      </c>
      <c r="O1135" t="s">
        <v>82</v>
      </c>
      <c r="P1135" t="str">
        <f>"2170718647                    "</f>
        <v xml:space="preserve">2170718647                    </v>
      </c>
      <c r="Q1135">
        <v>0</v>
      </c>
      <c r="R1135">
        <v>0</v>
      </c>
      <c r="S1135">
        <v>0</v>
      </c>
      <c r="T1135">
        <v>0</v>
      </c>
      <c r="U1135">
        <v>0</v>
      </c>
      <c r="V1135">
        <v>0</v>
      </c>
      <c r="W1135">
        <v>0</v>
      </c>
      <c r="X1135">
        <v>0</v>
      </c>
      <c r="Y1135">
        <v>0</v>
      </c>
      <c r="Z1135">
        <v>0</v>
      </c>
      <c r="AA1135">
        <v>0</v>
      </c>
      <c r="AB1135">
        <v>0</v>
      </c>
      <c r="AC1135">
        <v>0</v>
      </c>
      <c r="AD1135">
        <v>0</v>
      </c>
      <c r="AE1135">
        <v>0</v>
      </c>
      <c r="AF1135">
        <v>0</v>
      </c>
      <c r="AG1135">
        <v>0</v>
      </c>
      <c r="AH1135">
        <v>0</v>
      </c>
      <c r="AI1135">
        <v>0</v>
      </c>
      <c r="AJ1135">
        <v>0</v>
      </c>
      <c r="AK1135">
        <v>0</v>
      </c>
      <c r="AL1135">
        <v>0</v>
      </c>
      <c r="AM1135">
        <v>8.58</v>
      </c>
      <c r="AN1135">
        <v>0</v>
      </c>
      <c r="AO1135">
        <v>0</v>
      </c>
      <c r="AP1135">
        <v>0</v>
      </c>
      <c r="AQ1135">
        <v>0</v>
      </c>
      <c r="AR1135">
        <v>0</v>
      </c>
      <c r="AS1135">
        <v>0</v>
      </c>
      <c r="AT1135">
        <v>0</v>
      </c>
      <c r="AU1135">
        <v>0</v>
      </c>
      <c r="AV1135">
        <v>0</v>
      </c>
      <c r="AW1135">
        <v>0</v>
      </c>
      <c r="AX1135">
        <v>0</v>
      </c>
      <c r="AY1135">
        <v>0</v>
      </c>
      <c r="AZ1135">
        <v>0</v>
      </c>
      <c r="BA1135">
        <v>0</v>
      </c>
      <c r="BB1135">
        <v>0</v>
      </c>
      <c r="BC1135">
        <v>0</v>
      </c>
      <c r="BD1135">
        <v>0</v>
      </c>
      <c r="BE1135">
        <v>0</v>
      </c>
      <c r="BF1135">
        <v>0</v>
      </c>
      <c r="BG1135">
        <v>0</v>
      </c>
      <c r="BH1135">
        <v>1</v>
      </c>
      <c r="BI1135">
        <v>1.7</v>
      </c>
      <c r="BJ1135">
        <v>1.7</v>
      </c>
      <c r="BK1135">
        <v>2</v>
      </c>
      <c r="BL1135" s="4">
        <v>50.45</v>
      </c>
      <c r="BM1135" s="4">
        <v>7.57</v>
      </c>
      <c r="BN1135" s="4">
        <v>58.02</v>
      </c>
      <c r="BO1135" s="4">
        <v>58.02</v>
      </c>
      <c r="BQ1135" t="s">
        <v>135</v>
      </c>
      <c r="BR1135" t="s">
        <v>84</v>
      </c>
      <c r="BS1135" s="3">
        <v>43812</v>
      </c>
      <c r="BT1135" s="5">
        <v>0.38263888888888892</v>
      </c>
      <c r="BU1135" t="s">
        <v>1651</v>
      </c>
      <c r="BV1135" t="s">
        <v>86</v>
      </c>
      <c r="BY1135">
        <v>8334.0400000000009</v>
      </c>
      <c r="CA1135" t="s">
        <v>185</v>
      </c>
      <c r="CC1135" t="s">
        <v>80</v>
      </c>
      <c r="CD1135">
        <v>6012</v>
      </c>
      <c r="CE1135" t="s">
        <v>96</v>
      </c>
      <c r="CF1135" s="3">
        <v>43816</v>
      </c>
      <c r="CI1135">
        <v>1</v>
      </c>
      <c r="CJ1135">
        <v>1</v>
      </c>
      <c r="CK1135">
        <v>21</v>
      </c>
      <c r="CL1135" t="s">
        <v>89</v>
      </c>
    </row>
    <row r="1136" spans="1:90">
      <c r="A1136" t="s">
        <v>72</v>
      </c>
      <c r="B1136" t="s">
        <v>73</v>
      </c>
      <c r="C1136" t="s">
        <v>74</v>
      </c>
      <c r="E1136" t="str">
        <f>"FES1162728133"</f>
        <v>FES1162728133</v>
      </c>
      <c r="F1136" s="3">
        <v>43811</v>
      </c>
      <c r="G1136">
        <v>202006</v>
      </c>
      <c r="H1136" t="s">
        <v>75</v>
      </c>
      <c r="I1136" t="s">
        <v>76</v>
      </c>
      <c r="J1136" t="s">
        <v>77</v>
      </c>
      <c r="K1136" t="s">
        <v>78</v>
      </c>
      <c r="L1136" t="s">
        <v>332</v>
      </c>
      <c r="M1136" t="s">
        <v>333</v>
      </c>
      <c r="N1136" t="s">
        <v>701</v>
      </c>
      <c r="O1136" t="s">
        <v>82</v>
      </c>
      <c r="P1136" t="str">
        <f>"2170719082                    "</f>
        <v xml:space="preserve">2170719082                    </v>
      </c>
      <c r="Q1136">
        <v>0</v>
      </c>
      <c r="R1136">
        <v>0</v>
      </c>
      <c r="S1136">
        <v>0</v>
      </c>
      <c r="T1136">
        <v>0</v>
      </c>
      <c r="U1136">
        <v>0</v>
      </c>
      <c r="V1136">
        <v>0</v>
      </c>
      <c r="W1136">
        <v>0</v>
      </c>
      <c r="X1136">
        <v>0</v>
      </c>
      <c r="Y1136">
        <v>0</v>
      </c>
      <c r="Z1136">
        <v>0</v>
      </c>
      <c r="AA1136">
        <v>0</v>
      </c>
      <c r="AB1136">
        <v>0</v>
      </c>
      <c r="AC1136">
        <v>0</v>
      </c>
      <c r="AD1136">
        <v>0</v>
      </c>
      <c r="AE1136">
        <v>0</v>
      </c>
      <c r="AF1136">
        <v>0</v>
      </c>
      <c r="AG1136">
        <v>0</v>
      </c>
      <c r="AH1136">
        <v>0</v>
      </c>
      <c r="AI1136">
        <v>0</v>
      </c>
      <c r="AJ1136">
        <v>0</v>
      </c>
      <c r="AK1136">
        <v>0</v>
      </c>
      <c r="AL1136">
        <v>0</v>
      </c>
      <c r="AM1136">
        <v>19.559999999999999</v>
      </c>
      <c r="AN1136">
        <v>0</v>
      </c>
      <c r="AO1136">
        <v>0</v>
      </c>
      <c r="AP1136">
        <v>0</v>
      </c>
      <c r="AQ1136">
        <v>0</v>
      </c>
      <c r="AR1136">
        <v>0</v>
      </c>
      <c r="AS1136">
        <v>0</v>
      </c>
      <c r="AT1136">
        <v>0</v>
      </c>
      <c r="AU1136">
        <v>0</v>
      </c>
      <c r="AV1136">
        <v>0</v>
      </c>
      <c r="AW1136">
        <v>0</v>
      </c>
      <c r="AX1136">
        <v>0</v>
      </c>
      <c r="AY1136">
        <v>0</v>
      </c>
      <c r="AZ1136">
        <v>0</v>
      </c>
      <c r="BA1136">
        <v>0</v>
      </c>
      <c r="BB1136">
        <v>0</v>
      </c>
      <c r="BC1136">
        <v>0</v>
      </c>
      <c r="BD1136">
        <v>0</v>
      </c>
      <c r="BE1136">
        <v>0</v>
      </c>
      <c r="BF1136">
        <v>0</v>
      </c>
      <c r="BG1136">
        <v>0</v>
      </c>
      <c r="BH1136">
        <v>1</v>
      </c>
      <c r="BI1136">
        <v>10</v>
      </c>
      <c r="BJ1136">
        <v>3.6</v>
      </c>
      <c r="BK1136">
        <v>10</v>
      </c>
      <c r="BL1136" s="4">
        <v>114.99</v>
      </c>
      <c r="BM1136" s="4">
        <v>17.25</v>
      </c>
      <c r="BN1136" s="4">
        <v>132.24</v>
      </c>
      <c r="BO1136" s="4">
        <v>132.24</v>
      </c>
      <c r="BQ1136" t="s">
        <v>93</v>
      </c>
      <c r="BR1136" t="s">
        <v>84</v>
      </c>
      <c r="BS1136" s="3">
        <v>43812</v>
      </c>
      <c r="BT1136" s="5">
        <v>0.34930555555555554</v>
      </c>
      <c r="BU1136" t="s">
        <v>1652</v>
      </c>
      <c r="BV1136" t="s">
        <v>86</v>
      </c>
      <c r="BY1136">
        <v>18000</v>
      </c>
      <c r="CA1136" t="s">
        <v>700</v>
      </c>
      <c r="CC1136" t="s">
        <v>333</v>
      </c>
      <c r="CD1136">
        <v>2094</v>
      </c>
      <c r="CE1136" t="s">
        <v>116</v>
      </c>
      <c r="CF1136" s="3">
        <v>43816</v>
      </c>
      <c r="CI1136">
        <v>1</v>
      </c>
      <c r="CJ1136">
        <v>1</v>
      </c>
      <c r="CK1136">
        <v>22</v>
      </c>
      <c r="CL1136" t="s">
        <v>89</v>
      </c>
    </row>
    <row r="1137" spans="1:90">
      <c r="A1137" t="s">
        <v>72</v>
      </c>
      <c r="B1137" t="s">
        <v>73</v>
      </c>
      <c r="C1137" t="s">
        <v>74</v>
      </c>
      <c r="E1137" t="str">
        <f>"FES1162728076"</f>
        <v>FES1162728076</v>
      </c>
      <c r="F1137" s="3">
        <v>43811</v>
      </c>
      <c r="G1137">
        <v>202006</v>
      </c>
      <c r="H1137" t="s">
        <v>75</v>
      </c>
      <c r="I1137" t="s">
        <v>76</v>
      </c>
      <c r="J1137" t="s">
        <v>77</v>
      </c>
      <c r="K1137" t="s">
        <v>78</v>
      </c>
      <c r="L1137" t="s">
        <v>198</v>
      </c>
      <c r="M1137" t="s">
        <v>199</v>
      </c>
      <c r="N1137" t="s">
        <v>1653</v>
      </c>
      <c r="O1137" t="s">
        <v>82</v>
      </c>
      <c r="P1137" t="str">
        <f>"2170748327                    "</f>
        <v xml:space="preserve">2170748327                    </v>
      </c>
      <c r="Q1137">
        <v>0</v>
      </c>
      <c r="R1137">
        <v>0</v>
      </c>
      <c r="S1137">
        <v>0</v>
      </c>
      <c r="T1137">
        <v>0</v>
      </c>
      <c r="U1137">
        <v>0</v>
      </c>
      <c r="V1137">
        <v>0</v>
      </c>
      <c r="W1137">
        <v>0</v>
      </c>
      <c r="X1137">
        <v>0</v>
      </c>
      <c r="Y1137">
        <v>0</v>
      </c>
      <c r="Z1137">
        <v>0</v>
      </c>
      <c r="AA1137">
        <v>0</v>
      </c>
      <c r="AB1137">
        <v>0</v>
      </c>
      <c r="AC1137">
        <v>0</v>
      </c>
      <c r="AD1137">
        <v>0</v>
      </c>
      <c r="AE1137">
        <v>0</v>
      </c>
      <c r="AF1137">
        <v>0</v>
      </c>
      <c r="AG1137">
        <v>0</v>
      </c>
      <c r="AH1137">
        <v>0</v>
      </c>
      <c r="AI1137">
        <v>0</v>
      </c>
      <c r="AJ1137">
        <v>0</v>
      </c>
      <c r="AK1137">
        <v>0</v>
      </c>
      <c r="AL1137">
        <v>0</v>
      </c>
      <c r="AM1137">
        <v>8.58</v>
      </c>
      <c r="AN1137">
        <v>0</v>
      </c>
      <c r="AO1137">
        <v>0</v>
      </c>
      <c r="AP1137">
        <v>0</v>
      </c>
      <c r="AQ1137">
        <v>0</v>
      </c>
      <c r="AR1137">
        <v>0</v>
      </c>
      <c r="AS1137">
        <v>0</v>
      </c>
      <c r="AT1137">
        <v>0</v>
      </c>
      <c r="AU1137">
        <v>0</v>
      </c>
      <c r="AV1137">
        <v>0</v>
      </c>
      <c r="AW1137">
        <v>0</v>
      </c>
      <c r="AX1137">
        <v>0</v>
      </c>
      <c r="AY1137">
        <v>0</v>
      </c>
      <c r="AZ1137">
        <v>0</v>
      </c>
      <c r="BA1137">
        <v>0</v>
      </c>
      <c r="BB1137">
        <v>0</v>
      </c>
      <c r="BC1137">
        <v>0</v>
      </c>
      <c r="BD1137">
        <v>0</v>
      </c>
      <c r="BE1137">
        <v>0</v>
      </c>
      <c r="BF1137">
        <v>0</v>
      </c>
      <c r="BG1137">
        <v>0</v>
      </c>
      <c r="BH1137">
        <v>1</v>
      </c>
      <c r="BI1137">
        <v>1</v>
      </c>
      <c r="BJ1137">
        <v>0.2</v>
      </c>
      <c r="BK1137">
        <v>1</v>
      </c>
      <c r="BL1137" s="4">
        <v>50.45</v>
      </c>
      <c r="BM1137" s="4">
        <v>7.57</v>
      </c>
      <c r="BN1137" s="4">
        <v>58.02</v>
      </c>
      <c r="BO1137" s="4">
        <v>58.02</v>
      </c>
      <c r="BQ1137" t="s">
        <v>93</v>
      </c>
      <c r="BR1137" t="s">
        <v>84</v>
      </c>
      <c r="BS1137" s="3">
        <v>43812</v>
      </c>
      <c r="BT1137" s="5">
        <v>0.375</v>
      </c>
      <c r="BU1137" t="s">
        <v>1654</v>
      </c>
      <c r="BV1137" t="s">
        <v>86</v>
      </c>
      <c r="BY1137">
        <v>1200</v>
      </c>
      <c r="CA1137" t="s">
        <v>281</v>
      </c>
      <c r="CC1137" t="s">
        <v>199</v>
      </c>
      <c r="CD1137">
        <v>4001</v>
      </c>
      <c r="CE1137" t="s">
        <v>88</v>
      </c>
      <c r="CF1137" s="3">
        <v>43816</v>
      </c>
      <c r="CI1137">
        <v>1</v>
      </c>
      <c r="CJ1137">
        <v>1</v>
      </c>
      <c r="CK1137">
        <v>21</v>
      </c>
      <c r="CL1137" t="s">
        <v>89</v>
      </c>
    </row>
    <row r="1138" spans="1:90">
      <c r="A1138" t="s">
        <v>72</v>
      </c>
      <c r="B1138" t="s">
        <v>73</v>
      </c>
      <c r="C1138" t="s">
        <v>74</v>
      </c>
      <c r="E1138" t="str">
        <f>"FES1162727963"</f>
        <v>FES1162727963</v>
      </c>
      <c r="F1138" s="3">
        <v>43811</v>
      </c>
      <c r="G1138">
        <v>202006</v>
      </c>
      <c r="H1138" t="s">
        <v>75</v>
      </c>
      <c r="I1138" t="s">
        <v>76</v>
      </c>
      <c r="J1138" t="s">
        <v>77</v>
      </c>
      <c r="K1138" t="s">
        <v>78</v>
      </c>
      <c r="L1138" t="s">
        <v>332</v>
      </c>
      <c r="M1138" t="s">
        <v>333</v>
      </c>
      <c r="N1138" t="s">
        <v>1655</v>
      </c>
      <c r="O1138" t="s">
        <v>82</v>
      </c>
      <c r="P1138" t="str">
        <f>"2170718389                    "</f>
        <v xml:space="preserve">2170718389                    </v>
      </c>
      <c r="Q1138">
        <v>0</v>
      </c>
      <c r="R1138">
        <v>0</v>
      </c>
      <c r="S1138">
        <v>0</v>
      </c>
      <c r="T1138">
        <v>0</v>
      </c>
      <c r="U1138">
        <v>0</v>
      </c>
      <c r="V1138">
        <v>0</v>
      </c>
      <c r="W1138">
        <v>0</v>
      </c>
      <c r="X1138">
        <v>0</v>
      </c>
      <c r="Y1138">
        <v>0</v>
      </c>
      <c r="Z1138">
        <v>0</v>
      </c>
      <c r="AA1138">
        <v>0</v>
      </c>
      <c r="AB1138">
        <v>0</v>
      </c>
      <c r="AC1138">
        <v>0</v>
      </c>
      <c r="AD1138">
        <v>0</v>
      </c>
      <c r="AE1138">
        <v>0</v>
      </c>
      <c r="AF1138">
        <v>0</v>
      </c>
      <c r="AG1138">
        <v>0</v>
      </c>
      <c r="AH1138">
        <v>0</v>
      </c>
      <c r="AI1138">
        <v>0</v>
      </c>
      <c r="AJ1138">
        <v>0</v>
      </c>
      <c r="AK1138">
        <v>0</v>
      </c>
      <c r="AL1138">
        <v>0</v>
      </c>
      <c r="AM1138">
        <v>6.71</v>
      </c>
      <c r="AN1138">
        <v>0</v>
      </c>
      <c r="AO1138">
        <v>0</v>
      </c>
      <c r="AP1138">
        <v>0</v>
      </c>
      <c r="AQ1138">
        <v>0</v>
      </c>
      <c r="AR1138">
        <v>0</v>
      </c>
      <c r="AS1138">
        <v>0</v>
      </c>
      <c r="AT1138">
        <v>0</v>
      </c>
      <c r="AU1138">
        <v>0</v>
      </c>
      <c r="AV1138">
        <v>0</v>
      </c>
      <c r="AW1138">
        <v>0</v>
      </c>
      <c r="AX1138">
        <v>0</v>
      </c>
      <c r="AY1138">
        <v>0</v>
      </c>
      <c r="AZ1138">
        <v>0</v>
      </c>
      <c r="BA1138">
        <v>0</v>
      </c>
      <c r="BB1138">
        <v>0</v>
      </c>
      <c r="BC1138">
        <v>0</v>
      </c>
      <c r="BD1138">
        <v>0</v>
      </c>
      <c r="BE1138">
        <v>0</v>
      </c>
      <c r="BF1138">
        <v>0</v>
      </c>
      <c r="BG1138">
        <v>0</v>
      </c>
      <c r="BH1138">
        <v>1</v>
      </c>
      <c r="BI1138">
        <v>1</v>
      </c>
      <c r="BJ1138">
        <v>0.2</v>
      </c>
      <c r="BK1138">
        <v>1</v>
      </c>
      <c r="BL1138" s="4">
        <v>39.42</v>
      </c>
      <c r="BM1138" s="4">
        <v>5.91</v>
      </c>
      <c r="BN1138" s="4">
        <v>45.33</v>
      </c>
      <c r="BO1138" s="4">
        <v>45.33</v>
      </c>
      <c r="BQ1138" t="s">
        <v>1656</v>
      </c>
      <c r="BR1138" t="s">
        <v>84</v>
      </c>
      <c r="BS1138" s="3">
        <v>43812</v>
      </c>
      <c r="BT1138" s="5">
        <v>0.3125</v>
      </c>
      <c r="BU1138" t="s">
        <v>1657</v>
      </c>
      <c r="BV1138" t="s">
        <v>86</v>
      </c>
      <c r="BY1138">
        <v>1200</v>
      </c>
      <c r="CA1138" t="s">
        <v>1658</v>
      </c>
      <c r="CC1138" t="s">
        <v>333</v>
      </c>
      <c r="CD1138">
        <v>2042</v>
      </c>
      <c r="CE1138" t="s">
        <v>88</v>
      </c>
      <c r="CF1138" s="3">
        <v>43816</v>
      </c>
      <c r="CI1138">
        <v>1</v>
      </c>
      <c r="CJ1138">
        <v>1</v>
      </c>
      <c r="CK1138">
        <v>22</v>
      </c>
      <c r="CL1138" t="s">
        <v>89</v>
      </c>
    </row>
    <row r="1139" spans="1:90">
      <c r="A1139" t="s">
        <v>72</v>
      </c>
      <c r="B1139" t="s">
        <v>73</v>
      </c>
      <c r="C1139" t="s">
        <v>74</v>
      </c>
      <c r="E1139" t="str">
        <f>"FES1162728210"</f>
        <v>FES1162728210</v>
      </c>
      <c r="F1139" s="3">
        <v>43811</v>
      </c>
      <c r="G1139">
        <v>202006</v>
      </c>
      <c r="H1139" t="s">
        <v>75</v>
      </c>
      <c r="I1139" t="s">
        <v>76</v>
      </c>
      <c r="J1139" t="s">
        <v>77</v>
      </c>
      <c r="K1139" t="s">
        <v>78</v>
      </c>
      <c r="L1139" t="s">
        <v>90</v>
      </c>
      <c r="M1139" t="s">
        <v>91</v>
      </c>
      <c r="N1139" t="s">
        <v>1063</v>
      </c>
      <c r="O1139" t="s">
        <v>82</v>
      </c>
      <c r="P1139" t="str">
        <f>"2170721552                    "</f>
        <v xml:space="preserve">2170721552                    </v>
      </c>
      <c r="Q1139">
        <v>0</v>
      </c>
      <c r="R1139">
        <v>0</v>
      </c>
      <c r="S1139">
        <v>0</v>
      </c>
      <c r="T1139">
        <v>0</v>
      </c>
      <c r="U1139">
        <v>0</v>
      </c>
      <c r="V1139">
        <v>0</v>
      </c>
      <c r="W1139">
        <v>0</v>
      </c>
      <c r="X1139">
        <v>0</v>
      </c>
      <c r="Y1139">
        <v>0</v>
      </c>
      <c r="Z1139">
        <v>0</v>
      </c>
      <c r="AA1139">
        <v>0</v>
      </c>
      <c r="AB1139">
        <v>0</v>
      </c>
      <c r="AC1139">
        <v>0</v>
      </c>
      <c r="AD1139">
        <v>0</v>
      </c>
      <c r="AE1139">
        <v>0</v>
      </c>
      <c r="AF1139">
        <v>0</v>
      </c>
      <c r="AG1139">
        <v>0</v>
      </c>
      <c r="AH1139">
        <v>0</v>
      </c>
      <c r="AI1139">
        <v>0</v>
      </c>
      <c r="AJ1139">
        <v>0</v>
      </c>
      <c r="AK1139">
        <v>0</v>
      </c>
      <c r="AL1139">
        <v>0</v>
      </c>
      <c r="AM1139">
        <v>12.87</v>
      </c>
      <c r="AN1139">
        <v>0</v>
      </c>
      <c r="AO1139">
        <v>0</v>
      </c>
      <c r="AP1139">
        <v>0</v>
      </c>
      <c r="AQ1139">
        <v>0</v>
      </c>
      <c r="AR1139">
        <v>0</v>
      </c>
      <c r="AS1139">
        <v>0</v>
      </c>
      <c r="AT1139">
        <v>0</v>
      </c>
      <c r="AU1139">
        <v>0</v>
      </c>
      <c r="AV1139">
        <v>0</v>
      </c>
      <c r="AW1139">
        <v>0</v>
      </c>
      <c r="AX1139">
        <v>0</v>
      </c>
      <c r="AY1139">
        <v>0</v>
      </c>
      <c r="AZ1139">
        <v>0</v>
      </c>
      <c r="BA1139">
        <v>0</v>
      </c>
      <c r="BB1139">
        <v>0</v>
      </c>
      <c r="BC1139">
        <v>0</v>
      </c>
      <c r="BD1139">
        <v>0</v>
      </c>
      <c r="BE1139">
        <v>0</v>
      </c>
      <c r="BF1139">
        <v>0</v>
      </c>
      <c r="BG1139">
        <v>0</v>
      </c>
      <c r="BH1139">
        <v>1</v>
      </c>
      <c r="BI1139">
        <v>3</v>
      </c>
      <c r="BJ1139">
        <v>1.7</v>
      </c>
      <c r="BK1139">
        <v>3</v>
      </c>
      <c r="BL1139" s="4">
        <v>75.66</v>
      </c>
      <c r="BM1139" s="4">
        <v>11.35</v>
      </c>
      <c r="BN1139" s="4">
        <v>87.01</v>
      </c>
      <c r="BO1139" s="4">
        <v>87.01</v>
      </c>
      <c r="BR1139" t="s">
        <v>84</v>
      </c>
      <c r="BS1139" s="3">
        <v>43812</v>
      </c>
      <c r="BT1139" s="5">
        <v>0.45208333333333334</v>
      </c>
      <c r="BU1139" t="s">
        <v>1659</v>
      </c>
      <c r="BV1139" t="s">
        <v>89</v>
      </c>
      <c r="BW1139" t="s">
        <v>593</v>
      </c>
      <c r="BX1139" t="s">
        <v>284</v>
      </c>
      <c r="BY1139">
        <v>8649</v>
      </c>
      <c r="CA1139" t="s">
        <v>563</v>
      </c>
      <c r="CC1139" t="s">
        <v>91</v>
      </c>
      <c r="CD1139">
        <v>7460</v>
      </c>
      <c r="CE1139" t="s">
        <v>116</v>
      </c>
      <c r="CF1139" s="3">
        <v>43812</v>
      </c>
      <c r="CI1139">
        <v>1</v>
      </c>
      <c r="CJ1139">
        <v>1</v>
      </c>
      <c r="CK1139">
        <v>21</v>
      </c>
      <c r="CL1139" t="s">
        <v>89</v>
      </c>
    </row>
    <row r="1140" spans="1:90">
      <c r="A1140" t="s">
        <v>72</v>
      </c>
      <c r="B1140" t="s">
        <v>73</v>
      </c>
      <c r="C1140" t="s">
        <v>74</v>
      </c>
      <c r="E1140" t="str">
        <f>"FES1162728203"</f>
        <v>FES1162728203</v>
      </c>
      <c r="F1140" s="3">
        <v>43811</v>
      </c>
      <c r="G1140">
        <v>202006</v>
      </c>
      <c r="H1140" t="s">
        <v>75</v>
      </c>
      <c r="I1140" t="s">
        <v>76</v>
      </c>
      <c r="J1140" t="s">
        <v>77</v>
      </c>
      <c r="K1140" t="s">
        <v>78</v>
      </c>
      <c r="L1140" t="s">
        <v>90</v>
      </c>
      <c r="M1140" t="s">
        <v>91</v>
      </c>
      <c r="N1140" t="s">
        <v>219</v>
      </c>
      <c r="O1140" t="s">
        <v>82</v>
      </c>
      <c r="P1140" t="str">
        <f>"217071539                     "</f>
        <v xml:space="preserve">217071539                     </v>
      </c>
      <c r="Q1140">
        <v>0</v>
      </c>
      <c r="R1140">
        <v>0</v>
      </c>
      <c r="S1140">
        <v>0</v>
      </c>
      <c r="T1140">
        <v>0</v>
      </c>
      <c r="U1140">
        <v>0</v>
      </c>
      <c r="V1140">
        <v>0</v>
      </c>
      <c r="W1140">
        <v>0</v>
      </c>
      <c r="X1140">
        <v>0</v>
      </c>
      <c r="Y1140">
        <v>0</v>
      </c>
      <c r="Z1140">
        <v>0</v>
      </c>
      <c r="AA1140">
        <v>0</v>
      </c>
      <c r="AB1140">
        <v>0</v>
      </c>
      <c r="AC1140">
        <v>0</v>
      </c>
      <c r="AD1140">
        <v>0</v>
      </c>
      <c r="AE1140">
        <v>0</v>
      </c>
      <c r="AF1140">
        <v>0</v>
      </c>
      <c r="AG1140">
        <v>0</v>
      </c>
      <c r="AH1140">
        <v>0</v>
      </c>
      <c r="AI1140">
        <v>0</v>
      </c>
      <c r="AJ1140">
        <v>0</v>
      </c>
      <c r="AK1140">
        <v>0</v>
      </c>
      <c r="AL1140">
        <v>0</v>
      </c>
      <c r="AM1140">
        <v>8.58</v>
      </c>
      <c r="AN1140">
        <v>0</v>
      </c>
      <c r="AO1140">
        <v>0</v>
      </c>
      <c r="AP1140">
        <v>0</v>
      </c>
      <c r="AQ1140">
        <v>0</v>
      </c>
      <c r="AR1140">
        <v>0</v>
      </c>
      <c r="AS1140">
        <v>0</v>
      </c>
      <c r="AT1140">
        <v>0</v>
      </c>
      <c r="AU1140">
        <v>0</v>
      </c>
      <c r="AV1140">
        <v>0</v>
      </c>
      <c r="AW1140">
        <v>0</v>
      </c>
      <c r="AX1140">
        <v>0</v>
      </c>
      <c r="AY1140">
        <v>0</v>
      </c>
      <c r="AZ1140">
        <v>0</v>
      </c>
      <c r="BA1140">
        <v>0</v>
      </c>
      <c r="BB1140">
        <v>0</v>
      </c>
      <c r="BC1140">
        <v>0</v>
      </c>
      <c r="BD1140">
        <v>0</v>
      </c>
      <c r="BE1140">
        <v>0</v>
      </c>
      <c r="BF1140">
        <v>0</v>
      </c>
      <c r="BG1140">
        <v>0</v>
      </c>
      <c r="BH1140">
        <v>1</v>
      </c>
      <c r="BI1140">
        <v>0.9</v>
      </c>
      <c r="BJ1140">
        <v>0.7</v>
      </c>
      <c r="BK1140">
        <v>1</v>
      </c>
      <c r="BL1140" s="4">
        <v>50.45</v>
      </c>
      <c r="BM1140" s="4">
        <v>7.57</v>
      </c>
      <c r="BN1140" s="4">
        <v>58.02</v>
      </c>
      <c r="BO1140" s="4">
        <v>58.02</v>
      </c>
      <c r="BQ1140" t="s">
        <v>147</v>
      </c>
      <c r="BR1140" t="s">
        <v>84</v>
      </c>
      <c r="BS1140" s="3">
        <v>43812</v>
      </c>
      <c r="BT1140" s="5">
        <v>0.36319444444444443</v>
      </c>
      <c r="BU1140" t="s">
        <v>220</v>
      </c>
      <c r="BV1140" t="s">
        <v>86</v>
      </c>
      <c r="BY1140">
        <v>3379.48</v>
      </c>
      <c r="CA1140" t="s">
        <v>112</v>
      </c>
      <c r="CC1140" t="s">
        <v>91</v>
      </c>
      <c r="CD1140">
        <v>7441</v>
      </c>
      <c r="CE1140" t="s">
        <v>96</v>
      </c>
      <c r="CF1140" s="3">
        <v>43816</v>
      </c>
      <c r="CI1140">
        <v>1</v>
      </c>
      <c r="CJ1140">
        <v>1</v>
      </c>
      <c r="CK1140">
        <v>21</v>
      </c>
      <c r="CL1140" t="s">
        <v>89</v>
      </c>
    </row>
    <row r="1141" spans="1:90">
      <c r="A1141" t="s">
        <v>72</v>
      </c>
      <c r="B1141" t="s">
        <v>73</v>
      </c>
      <c r="C1141" t="s">
        <v>74</v>
      </c>
      <c r="E1141" t="str">
        <f>"FES1162728177"</f>
        <v>FES1162728177</v>
      </c>
      <c r="F1141" s="3">
        <v>43811</v>
      </c>
      <c r="G1141">
        <v>202006</v>
      </c>
      <c r="H1141" t="s">
        <v>75</v>
      </c>
      <c r="I1141" t="s">
        <v>76</v>
      </c>
      <c r="J1141" t="s">
        <v>77</v>
      </c>
      <c r="K1141" t="s">
        <v>78</v>
      </c>
      <c r="L1141" t="s">
        <v>1183</v>
      </c>
      <c r="M1141" t="s">
        <v>1184</v>
      </c>
      <c r="N1141" t="s">
        <v>1185</v>
      </c>
      <c r="O1141" t="s">
        <v>82</v>
      </c>
      <c r="P1141" t="str">
        <f>"2170721503                    "</f>
        <v xml:space="preserve">2170721503                    </v>
      </c>
      <c r="Q1141">
        <v>0</v>
      </c>
      <c r="R1141">
        <v>0</v>
      </c>
      <c r="S1141">
        <v>0</v>
      </c>
      <c r="T1141">
        <v>0</v>
      </c>
      <c r="U1141">
        <v>0</v>
      </c>
      <c r="V1141">
        <v>0</v>
      </c>
      <c r="W1141">
        <v>0</v>
      </c>
      <c r="X1141">
        <v>0</v>
      </c>
      <c r="Y1141">
        <v>0</v>
      </c>
      <c r="Z1141">
        <v>0</v>
      </c>
      <c r="AA1141">
        <v>0</v>
      </c>
      <c r="AB1141">
        <v>0</v>
      </c>
      <c r="AC1141">
        <v>0</v>
      </c>
      <c r="AD1141">
        <v>0</v>
      </c>
      <c r="AE1141">
        <v>0</v>
      </c>
      <c r="AF1141">
        <v>0</v>
      </c>
      <c r="AG1141">
        <v>0</v>
      </c>
      <c r="AH1141">
        <v>0</v>
      </c>
      <c r="AI1141">
        <v>0</v>
      </c>
      <c r="AJ1141">
        <v>0</v>
      </c>
      <c r="AK1141">
        <v>0</v>
      </c>
      <c r="AL1141">
        <v>0</v>
      </c>
      <c r="AM1141">
        <v>35.409999999999997</v>
      </c>
      <c r="AN1141">
        <v>0</v>
      </c>
      <c r="AO1141">
        <v>0</v>
      </c>
      <c r="AP1141">
        <v>0</v>
      </c>
      <c r="AQ1141">
        <v>0</v>
      </c>
      <c r="AR1141">
        <v>0</v>
      </c>
      <c r="AS1141">
        <v>0</v>
      </c>
      <c r="AT1141">
        <v>0</v>
      </c>
      <c r="AU1141">
        <v>0</v>
      </c>
      <c r="AV1141">
        <v>0</v>
      </c>
      <c r="AW1141">
        <v>0</v>
      </c>
      <c r="AX1141">
        <v>0</v>
      </c>
      <c r="AY1141">
        <v>0</v>
      </c>
      <c r="AZ1141">
        <v>0</v>
      </c>
      <c r="BA1141">
        <v>0</v>
      </c>
      <c r="BB1141">
        <v>0</v>
      </c>
      <c r="BC1141">
        <v>0</v>
      </c>
      <c r="BD1141">
        <v>0</v>
      </c>
      <c r="BE1141">
        <v>0</v>
      </c>
      <c r="BF1141">
        <v>0</v>
      </c>
      <c r="BG1141">
        <v>0</v>
      </c>
      <c r="BH1141">
        <v>1</v>
      </c>
      <c r="BI1141">
        <v>3.1</v>
      </c>
      <c r="BJ1141">
        <v>4.3</v>
      </c>
      <c r="BK1141">
        <v>4.5</v>
      </c>
      <c r="BL1141" s="4">
        <v>208.13</v>
      </c>
      <c r="BM1141" s="4">
        <v>31.22</v>
      </c>
      <c r="BN1141" s="4">
        <v>239.35</v>
      </c>
      <c r="BO1141" s="4">
        <v>239.35</v>
      </c>
      <c r="BQ1141" t="s">
        <v>93</v>
      </c>
      <c r="BR1141" t="s">
        <v>84</v>
      </c>
      <c r="BS1141" s="3">
        <v>43812</v>
      </c>
      <c r="BT1141" s="5">
        <v>0.41666666666666669</v>
      </c>
      <c r="BU1141" t="s">
        <v>1186</v>
      </c>
      <c r="BV1141" t="s">
        <v>86</v>
      </c>
      <c r="BY1141">
        <v>21422.880000000001</v>
      </c>
      <c r="CA1141" t="s">
        <v>1187</v>
      </c>
      <c r="CC1141" t="s">
        <v>1184</v>
      </c>
      <c r="CD1141">
        <v>3370</v>
      </c>
      <c r="CE1141" t="s">
        <v>116</v>
      </c>
      <c r="CF1141" s="3">
        <v>43817</v>
      </c>
      <c r="CI1141">
        <v>3</v>
      </c>
      <c r="CJ1141">
        <v>1</v>
      </c>
      <c r="CK1141">
        <v>23</v>
      </c>
      <c r="CL1141" t="s">
        <v>89</v>
      </c>
    </row>
    <row r="1142" spans="1:90">
      <c r="A1142" t="s">
        <v>72</v>
      </c>
      <c r="B1142" t="s">
        <v>73</v>
      </c>
      <c r="C1142" t="s">
        <v>74</v>
      </c>
      <c r="E1142" t="str">
        <f>"FES1162728097"</f>
        <v>FES1162728097</v>
      </c>
      <c r="F1142" s="3">
        <v>43811</v>
      </c>
      <c r="G1142">
        <v>202006</v>
      </c>
      <c r="H1142" t="s">
        <v>75</v>
      </c>
      <c r="I1142" t="s">
        <v>76</v>
      </c>
      <c r="J1142" t="s">
        <v>77</v>
      </c>
      <c r="K1142" t="s">
        <v>78</v>
      </c>
      <c r="L1142" t="s">
        <v>198</v>
      </c>
      <c r="M1142" t="s">
        <v>199</v>
      </c>
      <c r="N1142" t="s">
        <v>485</v>
      </c>
      <c r="O1142" t="s">
        <v>82</v>
      </c>
      <c r="P1142" t="str">
        <f>"2170718552                    "</f>
        <v xml:space="preserve">2170718552                    </v>
      </c>
      <c r="Q1142">
        <v>0</v>
      </c>
      <c r="R1142">
        <v>0</v>
      </c>
      <c r="S1142">
        <v>0</v>
      </c>
      <c r="T1142">
        <v>0</v>
      </c>
      <c r="U1142">
        <v>0</v>
      </c>
      <c r="V1142">
        <v>0</v>
      </c>
      <c r="W1142">
        <v>0</v>
      </c>
      <c r="X1142">
        <v>0</v>
      </c>
      <c r="Y1142">
        <v>0</v>
      </c>
      <c r="Z1142">
        <v>0</v>
      </c>
      <c r="AA1142">
        <v>0</v>
      </c>
      <c r="AB1142">
        <v>0</v>
      </c>
      <c r="AC1142">
        <v>0</v>
      </c>
      <c r="AD1142">
        <v>0</v>
      </c>
      <c r="AE1142">
        <v>0</v>
      </c>
      <c r="AF1142">
        <v>0</v>
      </c>
      <c r="AG1142">
        <v>0</v>
      </c>
      <c r="AH1142">
        <v>0</v>
      </c>
      <c r="AI1142">
        <v>0</v>
      </c>
      <c r="AJ1142">
        <v>0</v>
      </c>
      <c r="AK1142">
        <v>0</v>
      </c>
      <c r="AL1142">
        <v>0</v>
      </c>
      <c r="AM1142">
        <v>8.58</v>
      </c>
      <c r="AN1142">
        <v>0</v>
      </c>
      <c r="AO1142">
        <v>0</v>
      </c>
      <c r="AP1142">
        <v>0</v>
      </c>
      <c r="AQ1142">
        <v>0</v>
      </c>
      <c r="AR1142">
        <v>0</v>
      </c>
      <c r="AS1142">
        <v>0</v>
      </c>
      <c r="AT1142">
        <v>0</v>
      </c>
      <c r="AU1142">
        <v>0</v>
      </c>
      <c r="AV1142">
        <v>0</v>
      </c>
      <c r="AW1142">
        <v>0</v>
      </c>
      <c r="AX1142">
        <v>0</v>
      </c>
      <c r="AY1142">
        <v>0</v>
      </c>
      <c r="AZ1142">
        <v>0</v>
      </c>
      <c r="BA1142">
        <v>0</v>
      </c>
      <c r="BB1142">
        <v>0</v>
      </c>
      <c r="BC1142">
        <v>0</v>
      </c>
      <c r="BD1142">
        <v>0</v>
      </c>
      <c r="BE1142">
        <v>0</v>
      </c>
      <c r="BF1142">
        <v>0</v>
      </c>
      <c r="BG1142">
        <v>0</v>
      </c>
      <c r="BH1142">
        <v>1</v>
      </c>
      <c r="BI1142">
        <v>0.5</v>
      </c>
      <c r="BJ1142">
        <v>1.5</v>
      </c>
      <c r="BK1142">
        <v>1.5</v>
      </c>
      <c r="BL1142" s="4">
        <v>50.45</v>
      </c>
      <c r="BM1142" s="4">
        <v>7.57</v>
      </c>
      <c r="BN1142" s="4">
        <v>58.02</v>
      </c>
      <c r="BO1142" s="4">
        <v>58.02</v>
      </c>
      <c r="BQ1142" t="s">
        <v>486</v>
      </c>
      <c r="BR1142" t="s">
        <v>84</v>
      </c>
      <c r="BS1142" s="3">
        <v>43812</v>
      </c>
      <c r="BT1142" s="5">
        <v>0.35486111111111113</v>
      </c>
      <c r="BU1142" t="s">
        <v>1660</v>
      </c>
      <c r="BV1142" t="s">
        <v>86</v>
      </c>
      <c r="BY1142">
        <v>7265.16</v>
      </c>
      <c r="CA1142" t="s">
        <v>1661</v>
      </c>
      <c r="CC1142" t="s">
        <v>199</v>
      </c>
      <c r="CD1142">
        <v>4001</v>
      </c>
      <c r="CE1142" t="s">
        <v>96</v>
      </c>
      <c r="CF1142" s="3">
        <v>43816</v>
      </c>
      <c r="CI1142">
        <v>1</v>
      </c>
      <c r="CJ1142">
        <v>1</v>
      </c>
      <c r="CK1142">
        <v>21</v>
      </c>
      <c r="CL1142" t="s">
        <v>89</v>
      </c>
    </row>
    <row r="1143" spans="1:90">
      <c r="A1143" t="s">
        <v>72</v>
      </c>
      <c r="B1143" t="s">
        <v>73</v>
      </c>
      <c r="C1143" t="s">
        <v>74</v>
      </c>
      <c r="E1143" t="str">
        <f>"FES1162728094"</f>
        <v>FES1162728094</v>
      </c>
      <c r="F1143" s="3">
        <v>43811</v>
      </c>
      <c r="G1143">
        <v>202006</v>
      </c>
      <c r="H1143" t="s">
        <v>75</v>
      </c>
      <c r="I1143" t="s">
        <v>76</v>
      </c>
      <c r="J1143" t="s">
        <v>77</v>
      </c>
      <c r="K1143" t="s">
        <v>78</v>
      </c>
      <c r="L1143" t="s">
        <v>221</v>
      </c>
      <c r="M1143" t="s">
        <v>222</v>
      </c>
      <c r="N1143" t="s">
        <v>1662</v>
      </c>
      <c r="O1143" t="s">
        <v>82</v>
      </c>
      <c r="P1143" t="str">
        <f>"2170718258                    "</f>
        <v xml:space="preserve">2170718258                    </v>
      </c>
      <c r="Q1143">
        <v>0</v>
      </c>
      <c r="R1143">
        <v>0</v>
      </c>
      <c r="S1143">
        <v>0</v>
      </c>
      <c r="T1143">
        <v>0</v>
      </c>
      <c r="U1143">
        <v>0</v>
      </c>
      <c r="V1143">
        <v>0</v>
      </c>
      <c r="W1143">
        <v>0</v>
      </c>
      <c r="X1143">
        <v>0</v>
      </c>
      <c r="Y1143">
        <v>0</v>
      </c>
      <c r="Z1143">
        <v>0</v>
      </c>
      <c r="AA1143">
        <v>0</v>
      </c>
      <c r="AB1143">
        <v>0</v>
      </c>
      <c r="AC1143">
        <v>0</v>
      </c>
      <c r="AD1143">
        <v>0</v>
      </c>
      <c r="AE1143">
        <v>0</v>
      </c>
      <c r="AF1143">
        <v>0</v>
      </c>
      <c r="AG1143">
        <v>0</v>
      </c>
      <c r="AH1143">
        <v>0</v>
      </c>
      <c r="AI1143">
        <v>0</v>
      </c>
      <c r="AJ1143">
        <v>0</v>
      </c>
      <c r="AK1143">
        <v>0</v>
      </c>
      <c r="AL1143">
        <v>0</v>
      </c>
      <c r="AM1143">
        <v>8.58</v>
      </c>
      <c r="AN1143">
        <v>0</v>
      </c>
      <c r="AO1143">
        <v>0</v>
      </c>
      <c r="AP1143">
        <v>0</v>
      </c>
      <c r="AQ1143">
        <v>0</v>
      </c>
      <c r="AR1143">
        <v>0</v>
      </c>
      <c r="AS1143">
        <v>0</v>
      </c>
      <c r="AT1143">
        <v>0</v>
      </c>
      <c r="AU1143">
        <v>0</v>
      </c>
      <c r="AV1143">
        <v>0</v>
      </c>
      <c r="AW1143">
        <v>0</v>
      </c>
      <c r="AX1143">
        <v>0</v>
      </c>
      <c r="AY1143">
        <v>0</v>
      </c>
      <c r="AZ1143">
        <v>0</v>
      </c>
      <c r="BA1143">
        <v>0</v>
      </c>
      <c r="BB1143">
        <v>0</v>
      </c>
      <c r="BC1143">
        <v>0</v>
      </c>
      <c r="BD1143">
        <v>0</v>
      </c>
      <c r="BE1143">
        <v>0</v>
      </c>
      <c r="BF1143">
        <v>0</v>
      </c>
      <c r="BG1143">
        <v>0</v>
      </c>
      <c r="BH1143">
        <v>1</v>
      </c>
      <c r="BI1143">
        <v>1.2</v>
      </c>
      <c r="BJ1143">
        <v>1.6</v>
      </c>
      <c r="BK1143">
        <v>2</v>
      </c>
      <c r="BL1143" s="4">
        <v>50.45</v>
      </c>
      <c r="BM1143" s="4">
        <v>7.57</v>
      </c>
      <c r="BN1143" s="4">
        <v>58.02</v>
      </c>
      <c r="BO1143" s="4">
        <v>58.02</v>
      </c>
      <c r="BQ1143" t="s">
        <v>147</v>
      </c>
      <c r="BR1143" t="s">
        <v>84</v>
      </c>
      <c r="BS1143" s="3">
        <v>43812</v>
      </c>
      <c r="BT1143" s="5">
        <v>0.4375</v>
      </c>
      <c r="BU1143" t="s">
        <v>1663</v>
      </c>
      <c r="BV1143" t="s">
        <v>86</v>
      </c>
      <c r="BY1143">
        <v>8214.5400000000009</v>
      </c>
      <c r="CA1143" t="s">
        <v>1488</v>
      </c>
      <c r="CC1143" t="s">
        <v>222</v>
      </c>
      <c r="CD1143">
        <v>3201</v>
      </c>
      <c r="CE1143" t="s">
        <v>96</v>
      </c>
      <c r="CF1143" s="3">
        <v>43816</v>
      </c>
      <c r="CI1143">
        <v>1</v>
      </c>
      <c r="CJ1143">
        <v>1</v>
      </c>
      <c r="CK1143">
        <v>21</v>
      </c>
      <c r="CL1143" t="s">
        <v>89</v>
      </c>
    </row>
    <row r="1144" spans="1:90">
      <c r="A1144" t="s">
        <v>72</v>
      </c>
      <c r="B1144" t="s">
        <v>73</v>
      </c>
      <c r="C1144" t="s">
        <v>74</v>
      </c>
      <c r="E1144" t="str">
        <f>"FES1162728183"</f>
        <v>FES1162728183</v>
      </c>
      <c r="F1144" s="3">
        <v>43811</v>
      </c>
      <c r="G1144">
        <v>202006</v>
      </c>
      <c r="H1144" t="s">
        <v>75</v>
      </c>
      <c r="I1144" t="s">
        <v>76</v>
      </c>
      <c r="J1144" t="s">
        <v>77</v>
      </c>
      <c r="K1144" t="s">
        <v>78</v>
      </c>
      <c r="L1144" t="s">
        <v>198</v>
      </c>
      <c r="M1144" t="s">
        <v>199</v>
      </c>
      <c r="N1144" t="s">
        <v>280</v>
      </c>
      <c r="O1144" t="s">
        <v>82</v>
      </c>
      <c r="P1144" t="str">
        <f>"21707121514                   "</f>
        <v xml:space="preserve">21707121514                   </v>
      </c>
      <c r="Q1144">
        <v>0</v>
      </c>
      <c r="R1144">
        <v>0</v>
      </c>
      <c r="S1144">
        <v>0</v>
      </c>
      <c r="T1144">
        <v>0</v>
      </c>
      <c r="U1144">
        <v>0</v>
      </c>
      <c r="V1144">
        <v>0</v>
      </c>
      <c r="W1144">
        <v>0</v>
      </c>
      <c r="X1144">
        <v>0</v>
      </c>
      <c r="Y1144">
        <v>0</v>
      </c>
      <c r="Z1144">
        <v>0</v>
      </c>
      <c r="AA1144">
        <v>0</v>
      </c>
      <c r="AB1144">
        <v>0</v>
      </c>
      <c r="AC1144">
        <v>0</v>
      </c>
      <c r="AD1144">
        <v>0</v>
      </c>
      <c r="AE1144">
        <v>0</v>
      </c>
      <c r="AF1144">
        <v>0</v>
      </c>
      <c r="AG1144">
        <v>0</v>
      </c>
      <c r="AH1144">
        <v>0</v>
      </c>
      <c r="AI1144">
        <v>0</v>
      </c>
      <c r="AJ1144">
        <v>0</v>
      </c>
      <c r="AK1144">
        <v>0</v>
      </c>
      <c r="AL1144">
        <v>0</v>
      </c>
      <c r="AM1144">
        <v>8.58</v>
      </c>
      <c r="AN1144">
        <v>0</v>
      </c>
      <c r="AO1144">
        <v>0</v>
      </c>
      <c r="AP1144">
        <v>0</v>
      </c>
      <c r="AQ1144">
        <v>0</v>
      </c>
      <c r="AR1144">
        <v>0</v>
      </c>
      <c r="AS1144">
        <v>0</v>
      </c>
      <c r="AT1144">
        <v>0</v>
      </c>
      <c r="AU1144">
        <v>0</v>
      </c>
      <c r="AV1144">
        <v>0</v>
      </c>
      <c r="AW1144">
        <v>0</v>
      </c>
      <c r="AX1144">
        <v>0</v>
      </c>
      <c r="AY1144">
        <v>0</v>
      </c>
      <c r="AZ1144">
        <v>0</v>
      </c>
      <c r="BA1144">
        <v>0</v>
      </c>
      <c r="BB1144">
        <v>0</v>
      </c>
      <c r="BC1144">
        <v>0</v>
      </c>
      <c r="BD1144">
        <v>0</v>
      </c>
      <c r="BE1144">
        <v>0</v>
      </c>
      <c r="BF1144">
        <v>0</v>
      </c>
      <c r="BG1144">
        <v>0</v>
      </c>
      <c r="BH1144">
        <v>1</v>
      </c>
      <c r="BI1144">
        <v>1</v>
      </c>
      <c r="BJ1144">
        <v>1.1000000000000001</v>
      </c>
      <c r="BK1144">
        <v>1.5</v>
      </c>
      <c r="BL1144" s="4">
        <v>50.45</v>
      </c>
      <c r="BM1144" s="4">
        <v>7.57</v>
      </c>
      <c r="BN1144" s="4">
        <v>58.02</v>
      </c>
      <c r="BO1144" s="4">
        <v>58.02</v>
      </c>
      <c r="BQ1144" t="s">
        <v>147</v>
      </c>
      <c r="BR1144" t="s">
        <v>84</v>
      </c>
      <c r="BS1144" s="3">
        <v>43812</v>
      </c>
      <c r="BT1144" s="5">
        <v>0.35694444444444445</v>
      </c>
      <c r="BU1144" t="s">
        <v>1664</v>
      </c>
      <c r="BV1144" t="s">
        <v>86</v>
      </c>
      <c r="BY1144">
        <v>5739.03</v>
      </c>
      <c r="CA1144" t="s">
        <v>281</v>
      </c>
      <c r="CC1144" t="s">
        <v>199</v>
      </c>
      <c r="CD1144">
        <v>4001</v>
      </c>
      <c r="CE1144" t="s">
        <v>96</v>
      </c>
      <c r="CF1144" s="3">
        <v>43816</v>
      </c>
      <c r="CI1144">
        <v>1</v>
      </c>
      <c r="CJ1144">
        <v>1</v>
      </c>
      <c r="CK1144">
        <v>21</v>
      </c>
      <c r="CL1144" t="s">
        <v>89</v>
      </c>
    </row>
    <row r="1145" spans="1:90">
      <c r="A1145" t="s">
        <v>72</v>
      </c>
      <c r="B1145" t="s">
        <v>73</v>
      </c>
      <c r="C1145" t="s">
        <v>74</v>
      </c>
      <c r="E1145" t="str">
        <f>"FES1162728245"</f>
        <v>FES1162728245</v>
      </c>
      <c r="F1145" s="3">
        <v>43811</v>
      </c>
      <c r="G1145">
        <v>202006</v>
      </c>
      <c r="H1145" t="s">
        <v>75</v>
      </c>
      <c r="I1145" t="s">
        <v>76</v>
      </c>
      <c r="J1145" t="s">
        <v>77</v>
      </c>
      <c r="K1145" t="s">
        <v>78</v>
      </c>
      <c r="L1145" t="s">
        <v>90</v>
      </c>
      <c r="M1145" t="s">
        <v>91</v>
      </c>
      <c r="N1145" t="s">
        <v>219</v>
      </c>
      <c r="O1145" t="s">
        <v>82</v>
      </c>
      <c r="P1145" t="str">
        <f>"2170715858                    "</f>
        <v xml:space="preserve">2170715858                    </v>
      </c>
      <c r="Q1145">
        <v>0</v>
      </c>
      <c r="R1145">
        <v>0</v>
      </c>
      <c r="S1145">
        <v>0</v>
      </c>
      <c r="T1145">
        <v>0</v>
      </c>
      <c r="U1145">
        <v>0</v>
      </c>
      <c r="V1145">
        <v>0</v>
      </c>
      <c r="W1145">
        <v>0</v>
      </c>
      <c r="X1145">
        <v>0</v>
      </c>
      <c r="Y1145">
        <v>0</v>
      </c>
      <c r="Z1145">
        <v>0</v>
      </c>
      <c r="AA1145">
        <v>0</v>
      </c>
      <c r="AB1145">
        <v>0</v>
      </c>
      <c r="AC1145">
        <v>0</v>
      </c>
      <c r="AD1145">
        <v>0</v>
      </c>
      <c r="AE1145">
        <v>0</v>
      </c>
      <c r="AF1145">
        <v>0</v>
      </c>
      <c r="AG1145">
        <v>0</v>
      </c>
      <c r="AH1145">
        <v>0</v>
      </c>
      <c r="AI1145">
        <v>0</v>
      </c>
      <c r="AJ1145">
        <v>0</v>
      </c>
      <c r="AK1145">
        <v>0</v>
      </c>
      <c r="AL1145">
        <v>0</v>
      </c>
      <c r="AM1145">
        <v>8.58</v>
      </c>
      <c r="AN1145">
        <v>0</v>
      </c>
      <c r="AO1145">
        <v>0</v>
      </c>
      <c r="AP1145">
        <v>0</v>
      </c>
      <c r="AQ1145">
        <v>0</v>
      </c>
      <c r="AR1145">
        <v>0</v>
      </c>
      <c r="AS1145">
        <v>0</v>
      </c>
      <c r="AT1145">
        <v>0</v>
      </c>
      <c r="AU1145">
        <v>0</v>
      </c>
      <c r="AV1145">
        <v>0</v>
      </c>
      <c r="AW1145">
        <v>0</v>
      </c>
      <c r="AX1145">
        <v>0</v>
      </c>
      <c r="AY1145">
        <v>0</v>
      </c>
      <c r="AZ1145">
        <v>0</v>
      </c>
      <c r="BA1145">
        <v>0</v>
      </c>
      <c r="BB1145">
        <v>0</v>
      </c>
      <c r="BC1145">
        <v>0</v>
      </c>
      <c r="BD1145">
        <v>0</v>
      </c>
      <c r="BE1145">
        <v>0</v>
      </c>
      <c r="BF1145">
        <v>0</v>
      </c>
      <c r="BG1145">
        <v>0</v>
      </c>
      <c r="BH1145">
        <v>1</v>
      </c>
      <c r="BI1145">
        <v>1</v>
      </c>
      <c r="BJ1145">
        <v>0.2</v>
      </c>
      <c r="BK1145">
        <v>1</v>
      </c>
      <c r="BL1145" s="4">
        <v>50.45</v>
      </c>
      <c r="BM1145" s="4">
        <v>7.57</v>
      </c>
      <c r="BN1145" s="4">
        <v>58.02</v>
      </c>
      <c r="BO1145" s="4">
        <v>58.02</v>
      </c>
      <c r="BQ1145" t="s">
        <v>147</v>
      </c>
      <c r="BR1145" t="s">
        <v>84</v>
      </c>
      <c r="BS1145" s="3">
        <v>43812</v>
      </c>
      <c r="BT1145" s="5">
        <v>0.36249999999999999</v>
      </c>
      <c r="BU1145" t="s">
        <v>220</v>
      </c>
      <c r="BV1145" t="s">
        <v>86</v>
      </c>
      <c r="BY1145">
        <v>1200</v>
      </c>
      <c r="CA1145" t="s">
        <v>112</v>
      </c>
      <c r="CC1145" t="s">
        <v>91</v>
      </c>
      <c r="CD1145">
        <v>7441</v>
      </c>
      <c r="CE1145" t="s">
        <v>88</v>
      </c>
      <c r="CF1145" s="3">
        <v>43816</v>
      </c>
      <c r="CI1145">
        <v>1</v>
      </c>
      <c r="CJ1145">
        <v>1</v>
      </c>
      <c r="CK1145">
        <v>21</v>
      </c>
      <c r="CL1145" t="s">
        <v>89</v>
      </c>
    </row>
    <row r="1146" spans="1:90">
      <c r="A1146" t="s">
        <v>72</v>
      </c>
      <c r="B1146" t="s">
        <v>73</v>
      </c>
      <c r="C1146" t="s">
        <v>74</v>
      </c>
      <c r="E1146" t="str">
        <f>"FES1162728225"</f>
        <v>FES1162728225</v>
      </c>
      <c r="F1146" s="3">
        <v>43811</v>
      </c>
      <c r="G1146">
        <v>202006</v>
      </c>
      <c r="H1146" t="s">
        <v>75</v>
      </c>
      <c r="I1146" t="s">
        <v>76</v>
      </c>
      <c r="J1146" t="s">
        <v>77</v>
      </c>
      <c r="K1146" t="s">
        <v>78</v>
      </c>
      <c r="L1146" t="s">
        <v>186</v>
      </c>
      <c r="M1146" t="s">
        <v>187</v>
      </c>
      <c r="N1146" t="s">
        <v>266</v>
      </c>
      <c r="O1146" t="s">
        <v>82</v>
      </c>
      <c r="P1146" t="str">
        <f>"2170712457                    "</f>
        <v xml:space="preserve">2170712457                    </v>
      </c>
      <c r="Q1146">
        <v>0</v>
      </c>
      <c r="R1146">
        <v>0</v>
      </c>
      <c r="S1146">
        <v>0</v>
      </c>
      <c r="T1146">
        <v>0</v>
      </c>
      <c r="U1146">
        <v>0</v>
      </c>
      <c r="V1146">
        <v>0</v>
      </c>
      <c r="W1146">
        <v>0</v>
      </c>
      <c r="X1146">
        <v>0</v>
      </c>
      <c r="Y1146">
        <v>0</v>
      </c>
      <c r="Z1146">
        <v>0</v>
      </c>
      <c r="AA1146">
        <v>0</v>
      </c>
      <c r="AB1146">
        <v>0</v>
      </c>
      <c r="AC1146">
        <v>0</v>
      </c>
      <c r="AD1146">
        <v>0</v>
      </c>
      <c r="AE1146">
        <v>0</v>
      </c>
      <c r="AF1146">
        <v>0</v>
      </c>
      <c r="AG1146">
        <v>0</v>
      </c>
      <c r="AH1146">
        <v>0</v>
      </c>
      <c r="AI1146">
        <v>0</v>
      </c>
      <c r="AJ1146">
        <v>0</v>
      </c>
      <c r="AK1146">
        <v>0</v>
      </c>
      <c r="AL1146">
        <v>0</v>
      </c>
      <c r="AM1146">
        <v>16.63</v>
      </c>
      <c r="AN1146">
        <v>0</v>
      </c>
      <c r="AO1146">
        <v>0</v>
      </c>
      <c r="AP1146">
        <v>0</v>
      </c>
      <c r="AQ1146">
        <v>0</v>
      </c>
      <c r="AR1146">
        <v>0</v>
      </c>
      <c r="AS1146">
        <v>0</v>
      </c>
      <c r="AT1146">
        <v>0</v>
      </c>
      <c r="AU1146">
        <v>0</v>
      </c>
      <c r="AV1146">
        <v>0</v>
      </c>
      <c r="AW1146">
        <v>0</v>
      </c>
      <c r="AX1146">
        <v>0</v>
      </c>
      <c r="AY1146">
        <v>0</v>
      </c>
      <c r="AZ1146">
        <v>0</v>
      </c>
      <c r="BA1146">
        <v>0</v>
      </c>
      <c r="BB1146">
        <v>0</v>
      </c>
      <c r="BC1146">
        <v>0</v>
      </c>
      <c r="BD1146">
        <v>0</v>
      </c>
      <c r="BE1146">
        <v>0</v>
      </c>
      <c r="BF1146">
        <v>0</v>
      </c>
      <c r="BG1146">
        <v>0</v>
      </c>
      <c r="BH1146">
        <v>1</v>
      </c>
      <c r="BI1146">
        <v>1</v>
      </c>
      <c r="BJ1146">
        <v>0.2</v>
      </c>
      <c r="BK1146">
        <v>1</v>
      </c>
      <c r="BL1146" s="4">
        <v>97.75</v>
      </c>
      <c r="BM1146" s="4">
        <v>14.66</v>
      </c>
      <c r="BN1146" s="4">
        <v>112.41</v>
      </c>
      <c r="BO1146" s="4">
        <v>112.41</v>
      </c>
      <c r="BQ1146" t="s">
        <v>135</v>
      </c>
      <c r="BR1146" t="s">
        <v>84</v>
      </c>
      <c r="BS1146" s="3">
        <v>43818</v>
      </c>
      <c r="BT1146" s="5">
        <v>0.39999999999999997</v>
      </c>
      <c r="BU1146" t="s">
        <v>1665</v>
      </c>
      <c r="BV1146" t="s">
        <v>89</v>
      </c>
      <c r="BW1146" t="s">
        <v>1575</v>
      </c>
      <c r="BX1146" t="s">
        <v>284</v>
      </c>
      <c r="BY1146">
        <v>1200</v>
      </c>
      <c r="CA1146" t="s">
        <v>1205</v>
      </c>
      <c r="CC1146" t="s">
        <v>187</v>
      </c>
      <c r="CD1146">
        <v>6850</v>
      </c>
      <c r="CE1146" t="s">
        <v>88</v>
      </c>
      <c r="CF1146" s="3">
        <v>43819</v>
      </c>
      <c r="CI1146">
        <v>3</v>
      </c>
      <c r="CJ1146">
        <v>5</v>
      </c>
      <c r="CK1146">
        <v>23</v>
      </c>
      <c r="CL1146" t="s">
        <v>89</v>
      </c>
    </row>
    <row r="1147" spans="1:90">
      <c r="A1147" t="s">
        <v>72</v>
      </c>
      <c r="B1147" t="s">
        <v>73</v>
      </c>
      <c r="C1147" t="s">
        <v>74</v>
      </c>
      <c r="E1147" t="str">
        <f>"FES1162728079"</f>
        <v>FES1162728079</v>
      </c>
      <c r="F1147" s="3">
        <v>43811</v>
      </c>
      <c r="G1147">
        <v>202006</v>
      </c>
      <c r="H1147" t="s">
        <v>75</v>
      </c>
      <c r="I1147" t="s">
        <v>76</v>
      </c>
      <c r="J1147" t="s">
        <v>77</v>
      </c>
      <c r="K1147" t="s">
        <v>78</v>
      </c>
      <c r="L1147" t="s">
        <v>198</v>
      </c>
      <c r="M1147" t="s">
        <v>199</v>
      </c>
      <c r="N1147" t="s">
        <v>297</v>
      </c>
      <c r="O1147" t="s">
        <v>82</v>
      </c>
      <c r="P1147" t="str">
        <f>"2170713848                    "</f>
        <v xml:space="preserve">2170713848                    </v>
      </c>
      <c r="Q1147">
        <v>0</v>
      </c>
      <c r="R1147">
        <v>0</v>
      </c>
      <c r="S1147">
        <v>0</v>
      </c>
      <c r="T1147">
        <v>0</v>
      </c>
      <c r="U1147">
        <v>0</v>
      </c>
      <c r="V1147">
        <v>0</v>
      </c>
      <c r="W1147">
        <v>0</v>
      </c>
      <c r="X1147">
        <v>0</v>
      </c>
      <c r="Y1147">
        <v>0</v>
      </c>
      <c r="Z1147">
        <v>0</v>
      </c>
      <c r="AA1147">
        <v>0</v>
      </c>
      <c r="AB1147">
        <v>0</v>
      </c>
      <c r="AC1147">
        <v>0</v>
      </c>
      <c r="AD1147">
        <v>0</v>
      </c>
      <c r="AE1147">
        <v>0</v>
      </c>
      <c r="AF1147">
        <v>0</v>
      </c>
      <c r="AG1147">
        <v>0</v>
      </c>
      <c r="AH1147">
        <v>0</v>
      </c>
      <c r="AI1147">
        <v>0</v>
      </c>
      <c r="AJ1147">
        <v>0</v>
      </c>
      <c r="AK1147">
        <v>0</v>
      </c>
      <c r="AL1147">
        <v>0</v>
      </c>
      <c r="AM1147">
        <v>8.58</v>
      </c>
      <c r="AN1147">
        <v>0</v>
      </c>
      <c r="AO1147">
        <v>0</v>
      </c>
      <c r="AP1147">
        <v>0</v>
      </c>
      <c r="AQ1147">
        <v>0</v>
      </c>
      <c r="AR1147">
        <v>0</v>
      </c>
      <c r="AS1147">
        <v>0</v>
      </c>
      <c r="AT1147">
        <v>0</v>
      </c>
      <c r="AU1147">
        <v>0</v>
      </c>
      <c r="AV1147">
        <v>0</v>
      </c>
      <c r="AW1147">
        <v>0</v>
      </c>
      <c r="AX1147">
        <v>0</v>
      </c>
      <c r="AY1147">
        <v>0</v>
      </c>
      <c r="AZ1147">
        <v>0</v>
      </c>
      <c r="BA1147">
        <v>0</v>
      </c>
      <c r="BB1147">
        <v>0</v>
      </c>
      <c r="BC1147">
        <v>0</v>
      </c>
      <c r="BD1147">
        <v>0</v>
      </c>
      <c r="BE1147">
        <v>0</v>
      </c>
      <c r="BF1147">
        <v>0</v>
      </c>
      <c r="BG1147">
        <v>0</v>
      </c>
      <c r="BH1147">
        <v>1</v>
      </c>
      <c r="BI1147">
        <v>1</v>
      </c>
      <c r="BJ1147">
        <v>0.2</v>
      </c>
      <c r="BK1147">
        <v>1</v>
      </c>
      <c r="BL1147" s="4">
        <v>50.45</v>
      </c>
      <c r="BM1147" s="4">
        <v>7.57</v>
      </c>
      <c r="BN1147" s="4">
        <v>58.02</v>
      </c>
      <c r="BO1147" s="4">
        <v>58.02</v>
      </c>
      <c r="BQ1147" t="s">
        <v>172</v>
      </c>
      <c r="BR1147" t="s">
        <v>84</v>
      </c>
      <c r="BS1147" s="3">
        <v>43812</v>
      </c>
      <c r="BT1147" s="5">
        <v>0.38680555555555557</v>
      </c>
      <c r="BU1147" t="s">
        <v>1666</v>
      </c>
      <c r="BV1147" t="s">
        <v>86</v>
      </c>
      <c r="BY1147">
        <v>1200</v>
      </c>
      <c r="CA1147" t="s">
        <v>1667</v>
      </c>
      <c r="CC1147" t="s">
        <v>199</v>
      </c>
      <c r="CD1147">
        <v>4000</v>
      </c>
      <c r="CE1147" t="s">
        <v>88</v>
      </c>
      <c r="CF1147" s="3">
        <v>43816</v>
      </c>
      <c r="CI1147">
        <v>1</v>
      </c>
      <c r="CJ1147">
        <v>1</v>
      </c>
      <c r="CK1147">
        <v>21</v>
      </c>
      <c r="CL1147" t="s">
        <v>89</v>
      </c>
    </row>
    <row r="1148" spans="1:90">
      <c r="A1148" t="s">
        <v>72</v>
      </c>
      <c r="B1148" t="s">
        <v>73</v>
      </c>
      <c r="C1148" t="s">
        <v>74</v>
      </c>
      <c r="E1148" t="str">
        <f>"FES1162728095"</f>
        <v>FES1162728095</v>
      </c>
      <c r="F1148" s="3">
        <v>43811</v>
      </c>
      <c r="G1148">
        <v>202006</v>
      </c>
      <c r="H1148" t="s">
        <v>75</v>
      </c>
      <c r="I1148" t="s">
        <v>76</v>
      </c>
      <c r="J1148" t="s">
        <v>77</v>
      </c>
      <c r="K1148" t="s">
        <v>78</v>
      </c>
      <c r="L1148" t="s">
        <v>201</v>
      </c>
      <c r="M1148" t="s">
        <v>202</v>
      </c>
      <c r="N1148" t="s">
        <v>375</v>
      </c>
      <c r="O1148" t="s">
        <v>82</v>
      </c>
      <c r="P1148" t="str">
        <f>"2170718353                    "</f>
        <v xml:space="preserve">2170718353                    </v>
      </c>
      <c r="Q1148">
        <v>0</v>
      </c>
      <c r="R1148">
        <v>0</v>
      </c>
      <c r="S1148">
        <v>0</v>
      </c>
      <c r="T1148">
        <v>0</v>
      </c>
      <c r="U1148">
        <v>0</v>
      </c>
      <c r="V1148">
        <v>0</v>
      </c>
      <c r="W1148">
        <v>0</v>
      </c>
      <c r="X1148">
        <v>0</v>
      </c>
      <c r="Y1148">
        <v>0</v>
      </c>
      <c r="Z1148">
        <v>0</v>
      </c>
      <c r="AA1148">
        <v>0</v>
      </c>
      <c r="AB1148">
        <v>0</v>
      </c>
      <c r="AC1148">
        <v>0</v>
      </c>
      <c r="AD1148">
        <v>0</v>
      </c>
      <c r="AE1148">
        <v>0</v>
      </c>
      <c r="AF1148">
        <v>0</v>
      </c>
      <c r="AG1148">
        <v>0</v>
      </c>
      <c r="AH1148">
        <v>0</v>
      </c>
      <c r="AI1148">
        <v>0</v>
      </c>
      <c r="AJ1148">
        <v>0</v>
      </c>
      <c r="AK1148">
        <v>0</v>
      </c>
      <c r="AL1148">
        <v>0</v>
      </c>
      <c r="AM1148">
        <v>8.58</v>
      </c>
      <c r="AN1148">
        <v>0</v>
      </c>
      <c r="AO1148">
        <v>0</v>
      </c>
      <c r="AP1148">
        <v>0</v>
      </c>
      <c r="AQ1148">
        <v>0</v>
      </c>
      <c r="AR1148">
        <v>0</v>
      </c>
      <c r="AS1148">
        <v>0</v>
      </c>
      <c r="AT1148">
        <v>0</v>
      </c>
      <c r="AU1148">
        <v>0</v>
      </c>
      <c r="AV1148">
        <v>0</v>
      </c>
      <c r="AW1148">
        <v>0</v>
      </c>
      <c r="AX1148">
        <v>0</v>
      </c>
      <c r="AY1148">
        <v>0</v>
      </c>
      <c r="AZ1148">
        <v>0</v>
      </c>
      <c r="BA1148">
        <v>0</v>
      </c>
      <c r="BB1148">
        <v>0</v>
      </c>
      <c r="BC1148">
        <v>0</v>
      </c>
      <c r="BD1148">
        <v>0</v>
      </c>
      <c r="BE1148">
        <v>0</v>
      </c>
      <c r="BF1148">
        <v>0</v>
      </c>
      <c r="BG1148">
        <v>0</v>
      </c>
      <c r="BH1148">
        <v>1</v>
      </c>
      <c r="BI1148">
        <v>1</v>
      </c>
      <c r="BJ1148">
        <v>0.2</v>
      </c>
      <c r="BK1148">
        <v>1</v>
      </c>
      <c r="BL1148" s="4">
        <v>50.45</v>
      </c>
      <c r="BM1148" s="4">
        <v>7.57</v>
      </c>
      <c r="BN1148" s="4">
        <v>58.02</v>
      </c>
      <c r="BO1148" s="4">
        <v>58.02</v>
      </c>
      <c r="BQ1148" t="s">
        <v>135</v>
      </c>
      <c r="BR1148" t="s">
        <v>84</v>
      </c>
      <c r="BS1148" s="3">
        <v>43812</v>
      </c>
      <c r="BT1148" s="5">
        <v>0.50555555555555554</v>
      </c>
      <c r="BU1148" t="s">
        <v>1668</v>
      </c>
      <c r="BV1148" t="s">
        <v>86</v>
      </c>
      <c r="BY1148">
        <v>1200</v>
      </c>
      <c r="CA1148" t="s">
        <v>205</v>
      </c>
      <c r="CC1148" t="s">
        <v>202</v>
      </c>
      <c r="CD1148">
        <v>3610</v>
      </c>
      <c r="CE1148" t="s">
        <v>88</v>
      </c>
      <c r="CF1148" s="3">
        <v>43816</v>
      </c>
      <c r="CI1148">
        <v>1</v>
      </c>
      <c r="CJ1148">
        <v>1</v>
      </c>
      <c r="CK1148">
        <v>21</v>
      </c>
      <c r="CL1148" t="s">
        <v>89</v>
      </c>
    </row>
    <row r="1149" spans="1:90">
      <c r="A1149" t="s">
        <v>72</v>
      </c>
      <c r="B1149" t="s">
        <v>73</v>
      </c>
      <c r="C1149" t="s">
        <v>74</v>
      </c>
      <c r="E1149" t="str">
        <f>"FES1162728144"</f>
        <v>FES1162728144</v>
      </c>
      <c r="F1149" s="3">
        <v>43811</v>
      </c>
      <c r="G1149">
        <v>202006</v>
      </c>
      <c r="H1149" t="s">
        <v>75</v>
      </c>
      <c r="I1149" t="s">
        <v>76</v>
      </c>
      <c r="J1149" t="s">
        <v>77</v>
      </c>
      <c r="K1149" t="s">
        <v>78</v>
      </c>
      <c r="L1149" t="s">
        <v>446</v>
      </c>
      <c r="M1149" t="s">
        <v>447</v>
      </c>
      <c r="N1149" t="s">
        <v>930</v>
      </c>
      <c r="O1149" t="s">
        <v>82</v>
      </c>
      <c r="P1149" t="str">
        <f>"2170719946                    "</f>
        <v xml:space="preserve">2170719946                    </v>
      </c>
      <c r="Q1149">
        <v>0</v>
      </c>
      <c r="R1149">
        <v>0</v>
      </c>
      <c r="S1149">
        <v>0</v>
      </c>
      <c r="T1149">
        <v>0</v>
      </c>
      <c r="U1149">
        <v>0</v>
      </c>
      <c r="V1149">
        <v>0</v>
      </c>
      <c r="W1149">
        <v>0</v>
      </c>
      <c r="X1149">
        <v>0</v>
      </c>
      <c r="Y1149">
        <v>0</v>
      </c>
      <c r="Z1149">
        <v>0</v>
      </c>
      <c r="AA1149">
        <v>0</v>
      </c>
      <c r="AB1149">
        <v>0</v>
      </c>
      <c r="AC1149">
        <v>0</v>
      </c>
      <c r="AD1149">
        <v>0</v>
      </c>
      <c r="AE1149">
        <v>0</v>
      </c>
      <c r="AF1149">
        <v>0</v>
      </c>
      <c r="AG1149">
        <v>0</v>
      </c>
      <c r="AH1149">
        <v>0</v>
      </c>
      <c r="AI1149">
        <v>0</v>
      </c>
      <c r="AJ1149">
        <v>0</v>
      </c>
      <c r="AK1149">
        <v>0</v>
      </c>
      <c r="AL1149">
        <v>0</v>
      </c>
      <c r="AM1149">
        <v>8.58</v>
      </c>
      <c r="AN1149">
        <v>0</v>
      </c>
      <c r="AO1149">
        <v>0</v>
      </c>
      <c r="AP1149">
        <v>0</v>
      </c>
      <c r="AQ1149">
        <v>0</v>
      </c>
      <c r="AR1149">
        <v>0</v>
      </c>
      <c r="AS1149">
        <v>0</v>
      </c>
      <c r="AT1149">
        <v>0</v>
      </c>
      <c r="AU1149">
        <v>0</v>
      </c>
      <c r="AV1149">
        <v>0</v>
      </c>
      <c r="AW1149">
        <v>0</v>
      </c>
      <c r="AX1149">
        <v>0</v>
      </c>
      <c r="AY1149">
        <v>0</v>
      </c>
      <c r="AZ1149">
        <v>0</v>
      </c>
      <c r="BA1149">
        <v>0</v>
      </c>
      <c r="BB1149">
        <v>0</v>
      </c>
      <c r="BC1149">
        <v>0</v>
      </c>
      <c r="BD1149">
        <v>0</v>
      </c>
      <c r="BE1149">
        <v>0</v>
      </c>
      <c r="BF1149">
        <v>0</v>
      </c>
      <c r="BG1149">
        <v>0</v>
      </c>
      <c r="BH1149">
        <v>1</v>
      </c>
      <c r="BI1149">
        <v>1</v>
      </c>
      <c r="BJ1149">
        <v>0.2</v>
      </c>
      <c r="BK1149">
        <v>1</v>
      </c>
      <c r="BL1149" s="4">
        <v>50.45</v>
      </c>
      <c r="BM1149" s="4">
        <v>7.57</v>
      </c>
      <c r="BN1149" s="4">
        <v>58.02</v>
      </c>
      <c r="BO1149" s="4">
        <v>58.02</v>
      </c>
      <c r="BQ1149" t="s">
        <v>931</v>
      </c>
      <c r="BR1149" t="s">
        <v>84</v>
      </c>
      <c r="BS1149" s="3">
        <v>43812</v>
      </c>
      <c r="BT1149" s="5">
        <v>0.37638888888888888</v>
      </c>
      <c r="BU1149" t="s">
        <v>1669</v>
      </c>
      <c r="BV1149" t="s">
        <v>86</v>
      </c>
      <c r="BY1149">
        <v>1200</v>
      </c>
      <c r="CA1149" t="s">
        <v>212</v>
      </c>
      <c r="CC1149" t="s">
        <v>447</v>
      </c>
      <c r="CD1149">
        <v>4133</v>
      </c>
      <c r="CE1149" t="s">
        <v>88</v>
      </c>
      <c r="CF1149" s="3">
        <v>43816</v>
      </c>
      <c r="CI1149">
        <v>1</v>
      </c>
      <c r="CJ1149">
        <v>1</v>
      </c>
      <c r="CK1149">
        <v>21</v>
      </c>
      <c r="CL1149" t="s">
        <v>89</v>
      </c>
    </row>
    <row r="1150" spans="1:90">
      <c r="A1150" t="s">
        <v>72</v>
      </c>
      <c r="B1150" t="s">
        <v>73</v>
      </c>
      <c r="C1150" t="s">
        <v>74</v>
      </c>
      <c r="E1150" t="str">
        <f>"FES1162728145"</f>
        <v>FES1162728145</v>
      </c>
      <c r="F1150" s="3">
        <v>43811</v>
      </c>
      <c r="G1150">
        <v>202006</v>
      </c>
      <c r="H1150" t="s">
        <v>75</v>
      </c>
      <c r="I1150" t="s">
        <v>76</v>
      </c>
      <c r="J1150" t="s">
        <v>77</v>
      </c>
      <c r="K1150" t="s">
        <v>78</v>
      </c>
      <c r="L1150" t="s">
        <v>201</v>
      </c>
      <c r="M1150" t="s">
        <v>202</v>
      </c>
      <c r="N1150" t="s">
        <v>511</v>
      </c>
      <c r="O1150" t="s">
        <v>82</v>
      </c>
      <c r="P1150" t="str">
        <f>"2170720592                    "</f>
        <v xml:space="preserve">2170720592                    </v>
      </c>
      <c r="Q1150">
        <v>0</v>
      </c>
      <c r="R1150">
        <v>0</v>
      </c>
      <c r="S1150">
        <v>0</v>
      </c>
      <c r="T1150">
        <v>0</v>
      </c>
      <c r="U1150">
        <v>0</v>
      </c>
      <c r="V1150">
        <v>0</v>
      </c>
      <c r="W1150">
        <v>0</v>
      </c>
      <c r="X1150">
        <v>0</v>
      </c>
      <c r="Y1150">
        <v>0</v>
      </c>
      <c r="Z1150">
        <v>0</v>
      </c>
      <c r="AA1150">
        <v>0</v>
      </c>
      <c r="AB1150">
        <v>0</v>
      </c>
      <c r="AC1150">
        <v>0</v>
      </c>
      <c r="AD1150">
        <v>0</v>
      </c>
      <c r="AE1150">
        <v>0</v>
      </c>
      <c r="AF1150">
        <v>0</v>
      </c>
      <c r="AG1150">
        <v>0</v>
      </c>
      <c r="AH1150">
        <v>0</v>
      </c>
      <c r="AI1150">
        <v>0</v>
      </c>
      <c r="AJ1150">
        <v>0</v>
      </c>
      <c r="AK1150">
        <v>0</v>
      </c>
      <c r="AL1150">
        <v>0</v>
      </c>
      <c r="AM1150">
        <v>8.58</v>
      </c>
      <c r="AN1150">
        <v>0</v>
      </c>
      <c r="AO1150">
        <v>0</v>
      </c>
      <c r="AP1150">
        <v>0</v>
      </c>
      <c r="AQ1150">
        <v>0</v>
      </c>
      <c r="AR1150">
        <v>0</v>
      </c>
      <c r="AS1150">
        <v>0</v>
      </c>
      <c r="AT1150">
        <v>0</v>
      </c>
      <c r="AU1150">
        <v>0</v>
      </c>
      <c r="AV1150">
        <v>0</v>
      </c>
      <c r="AW1150">
        <v>0</v>
      </c>
      <c r="AX1150">
        <v>0</v>
      </c>
      <c r="AY1150">
        <v>0</v>
      </c>
      <c r="AZ1150">
        <v>0</v>
      </c>
      <c r="BA1150">
        <v>0</v>
      </c>
      <c r="BB1150">
        <v>0</v>
      </c>
      <c r="BC1150">
        <v>0</v>
      </c>
      <c r="BD1150">
        <v>0</v>
      </c>
      <c r="BE1150">
        <v>0</v>
      </c>
      <c r="BF1150">
        <v>0</v>
      </c>
      <c r="BG1150">
        <v>0</v>
      </c>
      <c r="BH1150">
        <v>1</v>
      </c>
      <c r="BI1150">
        <v>1</v>
      </c>
      <c r="BJ1150">
        <v>0.2</v>
      </c>
      <c r="BK1150">
        <v>1</v>
      </c>
      <c r="BL1150" s="4">
        <v>50.45</v>
      </c>
      <c r="BM1150" s="4">
        <v>7.57</v>
      </c>
      <c r="BN1150" s="4">
        <v>58.02</v>
      </c>
      <c r="BO1150" s="4">
        <v>58.02</v>
      </c>
      <c r="BQ1150" t="s">
        <v>93</v>
      </c>
      <c r="BR1150" t="s">
        <v>84</v>
      </c>
      <c r="BS1150" s="3">
        <v>43812</v>
      </c>
      <c r="BT1150" s="5">
        <v>0.41736111111111113</v>
      </c>
      <c r="BU1150" t="s">
        <v>512</v>
      </c>
      <c r="BV1150" t="s">
        <v>86</v>
      </c>
      <c r="BY1150">
        <v>1200</v>
      </c>
      <c r="CA1150" t="s">
        <v>288</v>
      </c>
      <c r="CC1150" t="s">
        <v>202</v>
      </c>
      <c r="CD1150">
        <v>3610</v>
      </c>
      <c r="CE1150" t="s">
        <v>88</v>
      </c>
      <c r="CF1150" s="3">
        <v>43816</v>
      </c>
      <c r="CI1150">
        <v>1</v>
      </c>
      <c r="CJ1150">
        <v>1</v>
      </c>
      <c r="CK1150">
        <v>21</v>
      </c>
      <c r="CL1150" t="s">
        <v>89</v>
      </c>
    </row>
    <row r="1151" spans="1:90">
      <c r="A1151" t="s">
        <v>72</v>
      </c>
      <c r="B1151" t="s">
        <v>73</v>
      </c>
      <c r="C1151" t="s">
        <v>74</v>
      </c>
      <c r="E1151" t="str">
        <f>"FES1162728209"</f>
        <v>FES1162728209</v>
      </c>
      <c r="F1151" s="3">
        <v>43811</v>
      </c>
      <c r="G1151">
        <v>202006</v>
      </c>
      <c r="H1151" t="s">
        <v>75</v>
      </c>
      <c r="I1151" t="s">
        <v>76</v>
      </c>
      <c r="J1151" t="s">
        <v>77</v>
      </c>
      <c r="K1151" t="s">
        <v>78</v>
      </c>
      <c r="L1151" t="s">
        <v>90</v>
      </c>
      <c r="M1151" t="s">
        <v>91</v>
      </c>
      <c r="N1151" t="s">
        <v>990</v>
      </c>
      <c r="O1151" t="s">
        <v>82</v>
      </c>
      <c r="P1151" t="str">
        <f>"2170721550                    "</f>
        <v xml:space="preserve">2170721550                    </v>
      </c>
      <c r="Q1151">
        <v>0</v>
      </c>
      <c r="R1151">
        <v>0</v>
      </c>
      <c r="S1151">
        <v>0</v>
      </c>
      <c r="T1151">
        <v>0</v>
      </c>
      <c r="U1151">
        <v>0</v>
      </c>
      <c r="V1151">
        <v>0</v>
      </c>
      <c r="W1151">
        <v>0</v>
      </c>
      <c r="X1151">
        <v>0</v>
      </c>
      <c r="Y1151">
        <v>0</v>
      </c>
      <c r="Z1151">
        <v>0</v>
      </c>
      <c r="AA1151">
        <v>0</v>
      </c>
      <c r="AB1151">
        <v>0</v>
      </c>
      <c r="AC1151">
        <v>0</v>
      </c>
      <c r="AD1151">
        <v>0</v>
      </c>
      <c r="AE1151">
        <v>0</v>
      </c>
      <c r="AF1151">
        <v>0</v>
      </c>
      <c r="AG1151">
        <v>0</v>
      </c>
      <c r="AH1151">
        <v>0</v>
      </c>
      <c r="AI1151">
        <v>0</v>
      </c>
      <c r="AJ1151">
        <v>0</v>
      </c>
      <c r="AK1151">
        <v>0</v>
      </c>
      <c r="AL1151">
        <v>0</v>
      </c>
      <c r="AM1151">
        <v>8.58</v>
      </c>
      <c r="AN1151">
        <v>0</v>
      </c>
      <c r="AO1151">
        <v>0</v>
      </c>
      <c r="AP1151">
        <v>0</v>
      </c>
      <c r="AQ1151">
        <v>0</v>
      </c>
      <c r="AR1151">
        <v>0</v>
      </c>
      <c r="AS1151">
        <v>0</v>
      </c>
      <c r="AT1151">
        <v>0</v>
      </c>
      <c r="AU1151">
        <v>0</v>
      </c>
      <c r="AV1151">
        <v>0</v>
      </c>
      <c r="AW1151">
        <v>0</v>
      </c>
      <c r="AX1151">
        <v>0</v>
      </c>
      <c r="AY1151">
        <v>0</v>
      </c>
      <c r="AZ1151">
        <v>0</v>
      </c>
      <c r="BA1151">
        <v>0</v>
      </c>
      <c r="BB1151">
        <v>0</v>
      </c>
      <c r="BC1151">
        <v>0</v>
      </c>
      <c r="BD1151">
        <v>0</v>
      </c>
      <c r="BE1151">
        <v>0</v>
      </c>
      <c r="BF1151">
        <v>0</v>
      </c>
      <c r="BG1151">
        <v>0</v>
      </c>
      <c r="BH1151">
        <v>1</v>
      </c>
      <c r="BI1151">
        <v>1</v>
      </c>
      <c r="BJ1151">
        <v>0.2</v>
      </c>
      <c r="BK1151">
        <v>1</v>
      </c>
      <c r="BL1151" s="4">
        <v>50.45</v>
      </c>
      <c r="BM1151" s="4">
        <v>7.57</v>
      </c>
      <c r="BN1151" s="4">
        <v>58.02</v>
      </c>
      <c r="BO1151" s="4">
        <v>58.02</v>
      </c>
      <c r="BQ1151" t="s">
        <v>93</v>
      </c>
      <c r="BR1151" t="s">
        <v>84</v>
      </c>
      <c r="BS1151" s="3">
        <v>43812</v>
      </c>
      <c r="BT1151" s="5">
        <v>0.3444444444444445</v>
      </c>
      <c r="BU1151" t="s">
        <v>1670</v>
      </c>
      <c r="BV1151" t="s">
        <v>86</v>
      </c>
      <c r="BY1151">
        <v>1200</v>
      </c>
      <c r="CA1151" t="s">
        <v>1671</v>
      </c>
      <c r="CC1151" t="s">
        <v>91</v>
      </c>
      <c r="CD1151">
        <v>7925</v>
      </c>
      <c r="CE1151" t="s">
        <v>88</v>
      </c>
      <c r="CF1151" s="3">
        <v>43816</v>
      </c>
      <c r="CI1151">
        <v>1</v>
      </c>
      <c r="CJ1151">
        <v>1</v>
      </c>
      <c r="CK1151">
        <v>21</v>
      </c>
      <c r="CL1151" t="s">
        <v>89</v>
      </c>
    </row>
    <row r="1152" spans="1:90">
      <c r="A1152" t="s">
        <v>72</v>
      </c>
      <c r="B1152" t="s">
        <v>73</v>
      </c>
      <c r="C1152" t="s">
        <v>74</v>
      </c>
      <c r="E1152" t="str">
        <f>"FES1162728191"</f>
        <v>FES1162728191</v>
      </c>
      <c r="F1152" s="3">
        <v>43811</v>
      </c>
      <c r="G1152">
        <v>202006</v>
      </c>
      <c r="H1152" t="s">
        <v>75</v>
      </c>
      <c r="I1152" t="s">
        <v>76</v>
      </c>
      <c r="J1152" t="s">
        <v>77</v>
      </c>
      <c r="K1152" t="s">
        <v>78</v>
      </c>
      <c r="L1152" t="s">
        <v>90</v>
      </c>
      <c r="M1152" t="s">
        <v>91</v>
      </c>
      <c r="N1152" t="s">
        <v>207</v>
      </c>
      <c r="O1152" t="s">
        <v>82</v>
      </c>
      <c r="P1152" t="str">
        <f>"217071253                     "</f>
        <v xml:space="preserve">217071253                     </v>
      </c>
      <c r="Q1152">
        <v>0</v>
      </c>
      <c r="R1152">
        <v>0</v>
      </c>
      <c r="S1152">
        <v>0</v>
      </c>
      <c r="T1152">
        <v>0</v>
      </c>
      <c r="U1152">
        <v>0</v>
      </c>
      <c r="V1152">
        <v>0</v>
      </c>
      <c r="W1152">
        <v>0</v>
      </c>
      <c r="X1152">
        <v>0</v>
      </c>
      <c r="Y1152">
        <v>0</v>
      </c>
      <c r="Z1152">
        <v>0</v>
      </c>
      <c r="AA1152">
        <v>0</v>
      </c>
      <c r="AB1152">
        <v>0</v>
      </c>
      <c r="AC1152">
        <v>0</v>
      </c>
      <c r="AD1152">
        <v>0</v>
      </c>
      <c r="AE1152">
        <v>0</v>
      </c>
      <c r="AF1152">
        <v>0</v>
      </c>
      <c r="AG1152">
        <v>0</v>
      </c>
      <c r="AH1152">
        <v>0</v>
      </c>
      <c r="AI1152">
        <v>0</v>
      </c>
      <c r="AJ1152">
        <v>0</v>
      </c>
      <c r="AK1152">
        <v>0</v>
      </c>
      <c r="AL1152">
        <v>0</v>
      </c>
      <c r="AM1152">
        <v>8.58</v>
      </c>
      <c r="AN1152">
        <v>0</v>
      </c>
      <c r="AO1152">
        <v>0</v>
      </c>
      <c r="AP1152">
        <v>0</v>
      </c>
      <c r="AQ1152">
        <v>0</v>
      </c>
      <c r="AR1152">
        <v>0</v>
      </c>
      <c r="AS1152">
        <v>0</v>
      </c>
      <c r="AT1152">
        <v>0</v>
      </c>
      <c r="AU1152">
        <v>0</v>
      </c>
      <c r="AV1152">
        <v>0</v>
      </c>
      <c r="AW1152">
        <v>0</v>
      </c>
      <c r="AX1152">
        <v>0</v>
      </c>
      <c r="AY1152">
        <v>0</v>
      </c>
      <c r="AZ1152">
        <v>0</v>
      </c>
      <c r="BA1152">
        <v>0</v>
      </c>
      <c r="BB1152">
        <v>0</v>
      </c>
      <c r="BC1152">
        <v>0</v>
      </c>
      <c r="BD1152">
        <v>0</v>
      </c>
      <c r="BE1152">
        <v>0</v>
      </c>
      <c r="BF1152">
        <v>0</v>
      </c>
      <c r="BG1152">
        <v>0</v>
      </c>
      <c r="BH1152">
        <v>1</v>
      </c>
      <c r="BI1152">
        <v>1</v>
      </c>
      <c r="BJ1152">
        <v>0.2</v>
      </c>
      <c r="BK1152">
        <v>1</v>
      </c>
      <c r="BL1152" s="4">
        <v>50.45</v>
      </c>
      <c r="BM1152" s="4">
        <v>7.57</v>
      </c>
      <c r="BN1152" s="4">
        <v>58.02</v>
      </c>
      <c r="BO1152" s="4">
        <v>58.02</v>
      </c>
      <c r="BQ1152" t="s">
        <v>147</v>
      </c>
      <c r="BR1152" t="s">
        <v>84</v>
      </c>
      <c r="BS1152" s="3">
        <v>43812</v>
      </c>
      <c r="BT1152" s="5">
        <v>0.37013888888888885</v>
      </c>
      <c r="BU1152" t="s">
        <v>747</v>
      </c>
      <c r="BV1152" t="s">
        <v>86</v>
      </c>
      <c r="BY1152">
        <v>1200</v>
      </c>
      <c r="CA1152" t="s">
        <v>209</v>
      </c>
      <c r="CC1152" t="s">
        <v>91</v>
      </c>
      <c r="CD1152">
        <v>7441</v>
      </c>
      <c r="CE1152" t="s">
        <v>88</v>
      </c>
      <c r="CF1152" s="3">
        <v>43816</v>
      </c>
      <c r="CI1152">
        <v>1</v>
      </c>
      <c r="CJ1152">
        <v>1</v>
      </c>
      <c r="CK1152">
        <v>21</v>
      </c>
      <c r="CL1152" t="s">
        <v>89</v>
      </c>
    </row>
    <row r="1153" spans="1:90">
      <c r="A1153" t="s">
        <v>72</v>
      </c>
      <c r="B1153" t="s">
        <v>73</v>
      </c>
      <c r="C1153" t="s">
        <v>74</v>
      </c>
      <c r="E1153" t="str">
        <f>"FES1162728223"</f>
        <v>FES1162728223</v>
      </c>
      <c r="F1153" s="3">
        <v>43811</v>
      </c>
      <c r="G1153">
        <v>202006</v>
      </c>
      <c r="H1153" t="s">
        <v>75</v>
      </c>
      <c r="I1153" t="s">
        <v>76</v>
      </c>
      <c r="J1153" t="s">
        <v>77</v>
      </c>
      <c r="K1153" t="s">
        <v>78</v>
      </c>
      <c r="L1153" t="s">
        <v>90</v>
      </c>
      <c r="M1153" t="s">
        <v>91</v>
      </c>
      <c r="N1153" t="s">
        <v>110</v>
      </c>
      <c r="O1153" t="s">
        <v>82</v>
      </c>
      <c r="P1153" t="str">
        <f>"2170715757                    "</f>
        <v xml:space="preserve">2170715757                    </v>
      </c>
      <c r="Q1153">
        <v>0</v>
      </c>
      <c r="R1153">
        <v>0</v>
      </c>
      <c r="S1153">
        <v>0</v>
      </c>
      <c r="T1153">
        <v>0</v>
      </c>
      <c r="U1153">
        <v>0</v>
      </c>
      <c r="V1153">
        <v>0</v>
      </c>
      <c r="W1153">
        <v>0</v>
      </c>
      <c r="X1153">
        <v>0</v>
      </c>
      <c r="Y1153">
        <v>0</v>
      </c>
      <c r="Z1153">
        <v>0</v>
      </c>
      <c r="AA1153">
        <v>0</v>
      </c>
      <c r="AB1153">
        <v>0</v>
      </c>
      <c r="AC1153">
        <v>0</v>
      </c>
      <c r="AD1153">
        <v>0</v>
      </c>
      <c r="AE1153">
        <v>0</v>
      </c>
      <c r="AF1153">
        <v>0</v>
      </c>
      <c r="AG1153">
        <v>0</v>
      </c>
      <c r="AH1153">
        <v>0</v>
      </c>
      <c r="AI1153">
        <v>0</v>
      </c>
      <c r="AJ1153">
        <v>0</v>
      </c>
      <c r="AK1153">
        <v>0</v>
      </c>
      <c r="AL1153">
        <v>0</v>
      </c>
      <c r="AM1153">
        <v>8.58</v>
      </c>
      <c r="AN1153">
        <v>0</v>
      </c>
      <c r="AO1153">
        <v>0</v>
      </c>
      <c r="AP1153">
        <v>0</v>
      </c>
      <c r="AQ1153">
        <v>0</v>
      </c>
      <c r="AR1153">
        <v>0</v>
      </c>
      <c r="AS1153">
        <v>0</v>
      </c>
      <c r="AT1153">
        <v>0</v>
      </c>
      <c r="AU1153">
        <v>0</v>
      </c>
      <c r="AV1153">
        <v>0</v>
      </c>
      <c r="AW1153">
        <v>0</v>
      </c>
      <c r="AX1153">
        <v>0</v>
      </c>
      <c r="AY1153">
        <v>0</v>
      </c>
      <c r="AZ1153">
        <v>0</v>
      </c>
      <c r="BA1153">
        <v>0</v>
      </c>
      <c r="BB1153">
        <v>0</v>
      </c>
      <c r="BC1153">
        <v>0</v>
      </c>
      <c r="BD1153">
        <v>0</v>
      </c>
      <c r="BE1153">
        <v>0</v>
      </c>
      <c r="BF1153">
        <v>0</v>
      </c>
      <c r="BG1153">
        <v>0</v>
      </c>
      <c r="BH1153">
        <v>1</v>
      </c>
      <c r="BI1153">
        <v>1</v>
      </c>
      <c r="BJ1153">
        <v>0.2</v>
      </c>
      <c r="BK1153">
        <v>1</v>
      </c>
      <c r="BL1153" s="4">
        <v>50.45</v>
      </c>
      <c r="BM1153" s="4">
        <v>7.57</v>
      </c>
      <c r="BN1153" s="4">
        <v>58.02</v>
      </c>
      <c r="BO1153" s="4">
        <v>58.02</v>
      </c>
      <c r="BQ1153" t="s">
        <v>147</v>
      </c>
      <c r="BR1153" t="s">
        <v>84</v>
      </c>
      <c r="BS1153" s="3">
        <v>43812</v>
      </c>
      <c r="BT1153" s="5">
        <v>0.33680555555555558</v>
      </c>
      <c r="BU1153" t="s">
        <v>1672</v>
      </c>
      <c r="BV1153" t="s">
        <v>86</v>
      </c>
      <c r="BY1153">
        <v>1200</v>
      </c>
      <c r="CA1153" t="s">
        <v>112</v>
      </c>
      <c r="CC1153" t="s">
        <v>91</v>
      </c>
      <c r="CD1153">
        <v>7405</v>
      </c>
      <c r="CE1153" t="s">
        <v>88</v>
      </c>
      <c r="CF1153" s="3">
        <v>43816</v>
      </c>
      <c r="CI1153">
        <v>1</v>
      </c>
      <c r="CJ1153">
        <v>1</v>
      </c>
      <c r="CK1153">
        <v>21</v>
      </c>
      <c r="CL1153" t="s">
        <v>89</v>
      </c>
    </row>
    <row r="1154" spans="1:90">
      <c r="A1154" t="s">
        <v>72</v>
      </c>
      <c r="B1154" t="s">
        <v>73</v>
      </c>
      <c r="C1154" t="s">
        <v>74</v>
      </c>
      <c r="E1154" t="str">
        <f>"FES1162728065"</f>
        <v>FES1162728065</v>
      </c>
      <c r="F1154" s="3">
        <v>43811</v>
      </c>
      <c r="G1154">
        <v>202006</v>
      </c>
      <c r="H1154" t="s">
        <v>75</v>
      </c>
      <c r="I1154" t="s">
        <v>76</v>
      </c>
      <c r="J1154" t="s">
        <v>77</v>
      </c>
      <c r="K1154" t="s">
        <v>78</v>
      </c>
      <c r="L1154" t="s">
        <v>201</v>
      </c>
      <c r="M1154" t="s">
        <v>202</v>
      </c>
      <c r="N1154" t="s">
        <v>203</v>
      </c>
      <c r="O1154" t="s">
        <v>82</v>
      </c>
      <c r="P1154" t="str">
        <f>"2170718194                    "</f>
        <v xml:space="preserve">2170718194                    </v>
      </c>
      <c r="Q1154">
        <v>0</v>
      </c>
      <c r="R1154">
        <v>0</v>
      </c>
      <c r="S1154">
        <v>0</v>
      </c>
      <c r="T1154">
        <v>0</v>
      </c>
      <c r="U1154">
        <v>0</v>
      </c>
      <c r="V1154">
        <v>0</v>
      </c>
      <c r="W1154">
        <v>0</v>
      </c>
      <c r="X1154">
        <v>0</v>
      </c>
      <c r="Y1154">
        <v>0</v>
      </c>
      <c r="Z1154">
        <v>0</v>
      </c>
      <c r="AA1154">
        <v>0</v>
      </c>
      <c r="AB1154">
        <v>0</v>
      </c>
      <c r="AC1154">
        <v>0</v>
      </c>
      <c r="AD1154">
        <v>0</v>
      </c>
      <c r="AE1154">
        <v>0</v>
      </c>
      <c r="AF1154">
        <v>0</v>
      </c>
      <c r="AG1154">
        <v>0</v>
      </c>
      <c r="AH1154">
        <v>0</v>
      </c>
      <c r="AI1154">
        <v>0</v>
      </c>
      <c r="AJ1154">
        <v>0</v>
      </c>
      <c r="AK1154">
        <v>0</v>
      </c>
      <c r="AL1154">
        <v>0</v>
      </c>
      <c r="AM1154">
        <v>8.58</v>
      </c>
      <c r="AN1154">
        <v>0</v>
      </c>
      <c r="AO1154">
        <v>0</v>
      </c>
      <c r="AP1154">
        <v>0</v>
      </c>
      <c r="AQ1154">
        <v>0</v>
      </c>
      <c r="AR1154">
        <v>0</v>
      </c>
      <c r="AS1154">
        <v>0</v>
      </c>
      <c r="AT1154">
        <v>0</v>
      </c>
      <c r="AU1154">
        <v>0</v>
      </c>
      <c r="AV1154">
        <v>0</v>
      </c>
      <c r="AW1154">
        <v>0</v>
      </c>
      <c r="AX1154">
        <v>0</v>
      </c>
      <c r="AY1154">
        <v>0</v>
      </c>
      <c r="AZ1154">
        <v>0</v>
      </c>
      <c r="BA1154">
        <v>0</v>
      </c>
      <c r="BB1154">
        <v>0</v>
      </c>
      <c r="BC1154">
        <v>0</v>
      </c>
      <c r="BD1154">
        <v>0</v>
      </c>
      <c r="BE1154">
        <v>0</v>
      </c>
      <c r="BF1154">
        <v>0</v>
      </c>
      <c r="BG1154">
        <v>0</v>
      </c>
      <c r="BH1154">
        <v>1</v>
      </c>
      <c r="BI1154">
        <v>1</v>
      </c>
      <c r="BJ1154">
        <v>0.2</v>
      </c>
      <c r="BK1154">
        <v>1</v>
      </c>
      <c r="BL1154" s="4">
        <v>50.45</v>
      </c>
      <c r="BM1154" s="4">
        <v>7.57</v>
      </c>
      <c r="BN1154" s="4">
        <v>58.02</v>
      </c>
      <c r="BO1154" s="4">
        <v>58.02</v>
      </c>
      <c r="BQ1154" t="s">
        <v>147</v>
      </c>
      <c r="BR1154" t="s">
        <v>84</v>
      </c>
      <c r="BS1154" s="3">
        <v>43812</v>
      </c>
      <c r="BT1154" s="5">
        <v>0.35972222222222222</v>
      </c>
      <c r="BU1154" t="s">
        <v>204</v>
      </c>
      <c r="BV1154" t="s">
        <v>86</v>
      </c>
      <c r="BY1154">
        <v>1200</v>
      </c>
      <c r="CA1154" t="s">
        <v>205</v>
      </c>
      <c r="CC1154" t="s">
        <v>202</v>
      </c>
      <c r="CD1154">
        <v>3610</v>
      </c>
      <c r="CE1154" t="s">
        <v>88</v>
      </c>
      <c r="CF1154" s="3">
        <v>43816</v>
      </c>
      <c r="CI1154">
        <v>1</v>
      </c>
      <c r="CJ1154">
        <v>1</v>
      </c>
      <c r="CK1154">
        <v>21</v>
      </c>
      <c r="CL1154" t="s">
        <v>89</v>
      </c>
    </row>
    <row r="1155" spans="1:90">
      <c r="A1155" t="s">
        <v>72</v>
      </c>
      <c r="B1155" t="s">
        <v>73</v>
      </c>
      <c r="C1155" t="s">
        <v>74</v>
      </c>
      <c r="E1155" t="str">
        <f>"FES1162728078"</f>
        <v>FES1162728078</v>
      </c>
      <c r="F1155" s="3">
        <v>43811</v>
      </c>
      <c r="G1155">
        <v>202006</v>
      </c>
      <c r="H1155" t="s">
        <v>75</v>
      </c>
      <c r="I1155" t="s">
        <v>76</v>
      </c>
      <c r="J1155" t="s">
        <v>77</v>
      </c>
      <c r="K1155" t="s">
        <v>78</v>
      </c>
      <c r="L1155" t="s">
        <v>221</v>
      </c>
      <c r="M1155" t="s">
        <v>222</v>
      </c>
      <c r="N1155" t="s">
        <v>223</v>
      </c>
      <c r="O1155" t="s">
        <v>82</v>
      </c>
      <c r="P1155" t="str">
        <f>"21707183474                   "</f>
        <v xml:space="preserve">21707183474                   </v>
      </c>
      <c r="Q1155">
        <v>0</v>
      </c>
      <c r="R1155">
        <v>0</v>
      </c>
      <c r="S1155">
        <v>0</v>
      </c>
      <c r="T1155">
        <v>0</v>
      </c>
      <c r="U1155">
        <v>0</v>
      </c>
      <c r="V1155">
        <v>0</v>
      </c>
      <c r="W1155">
        <v>0</v>
      </c>
      <c r="X1155">
        <v>0</v>
      </c>
      <c r="Y1155">
        <v>0</v>
      </c>
      <c r="Z1155">
        <v>0</v>
      </c>
      <c r="AA1155">
        <v>0</v>
      </c>
      <c r="AB1155">
        <v>0</v>
      </c>
      <c r="AC1155">
        <v>0</v>
      </c>
      <c r="AD1155">
        <v>0</v>
      </c>
      <c r="AE1155">
        <v>0</v>
      </c>
      <c r="AF1155">
        <v>0</v>
      </c>
      <c r="AG1155">
        <v>0</v>
      </c>
      <c r="AH1155">
        <v>0</v>
      </c>
      <c r="AI1155">
        <v>0</v>
      </c>
      <c r="AJ1155">
        <v>0</v>
      </c>
      <c r="AK1155">
        <v>0</v>
      </c>
      <c r="AL1155">
        <v>0</v>
      </c>
      <c r="AM1155">
        <v>8.58</v>
      </c>
      <c r="AN1155">
        <v>0</v>
      </c>
      <c r="AO1155">
        <v>0</v>
      </c>
      <c r="AP1155">
        <v>0</v>
      </c>
      <c r="AQ1155">
        <v>0</v>
      </c>
      <c r="AR1155">
        <v>0</v>
      </c>
      <c r="AS1155">
        <v>0</v>
      </c>
      <c r="AT1155">
        <v>0</v>
      </c>
      <c r="AU1155">
        <v>0</v>
      </c>
      <c r="AV1155">
        <v>0</v>
      </c>
      <c r="AW1155">
        <v>0</v>
      </c>
      <c r="AX1155">
        <v>0</v>
      </c>
      <c r="AY1155">
        <v>0</v>
      </c>
      <c r="AZ1155">
        <v>0</v>
      </c>
      <c r="BA1155">
        <v>0</v>
      </c>
      <c r="BB1155">
        <v>0</v>
      </c>
      <c r="BC1155">
        <v>0</v>
      </c>
      <c r="BD1155">
        <v>0</v>
      </c>
      <c r="BE1155">
        <v>0</v>
      </c>
      <c r="BF1155">
        <v>0</v>
      </c>
      <c r="BG1155">
        <v>0</v>
      </c>
      <c r="BH1155">
        <v>1</v>
      </c>
      <c r="BI1155">
        <v>1</v>
      </c>
      <c r="BJ1155">
        <v>0.2</v>
      </c>
      <c r="BK1155">
        <v>1</v>
      </c>
      <c r="BL1155" s="4">
        <v>50.45</v>
      </c>
      <c r="BM1155" s="4">
        <v>7.57</v>
      </c>
      <c r="BN1155" s="4">
        <v>58.02</v>
      </c>
      <c r="BO1155" s="4">
        <v>58.02</v>
      </c>
      <c r="BQ1155" t="s">
        <v>147</v>
      </c>
      <c r="BR1155" t="s">
        <v>84</v>
      </c>
      <c r="BS1155" s="3">
        <v>43812</v>
      </c>
      <c r="BT1155" s="5">
        <v>0.3979166666666667</v>
      </c>
      <c r="BU1155" t="s">
        <v>224</v>
      </c>
      <c r="BV1155" t="s">
        <v>86</v>
      </c>
      <c r="BY1155">
        <v>1200</v>
      </c>
      <c r="CA1155" t="s">
        <v>225</v>
      </c>
      <c r="CC1155" t="s">
        <v>222</v>
      </c>
      <c r="CD1155">
        <v>3212</v>
      </c>
      <c r="CE1155" t="s">
        <v>88</v>
      </c>
      <c r="CF1155" s="3">
        <v>43816</v>
      </c>
      <c r="CI1155">
        <v>1</v>
      </c>
      <c r="CJ1155">
        <v>1</v>
      </c>
      <c r="CK1155">
        <v>21</v>
      </c>
      <c r="CL1155" t="s">
        <v>89</v>
      </c>
    </row>
    <row r="1156" spans="1:90">
      <c r="A1156" t="s">
        <v>72</v>
      </c>
      <c r="B1156" t="s">
        <v>73</v>
      </c>
      <c r="C1156" t="s">
        <v>74</v>
      </c>
      <c r="E1156" t="str">
        <f>"FES1162728062"</f>
        <v>FES1162728062</v>
      </c>
      <c r="F1156" s="3">
        <v>43811</v>
      </c>
      <c r="G1156">
        <v>202006</v>
      </c>
      <c r="H1156" t="s">
        <v>75</v>
      </c>
      <c r="I1156" t="s">
        <v>76</v>
      </c>
      <c r="J1156" t="s">
        <v>77</v>
      </c>
      <c r="K1156" t="s">
        <v>78</v>
      </c>
      <c r="L1156" t="s">
        <v>221</v>
      </c>
      <c r="M1156" t="s">
        <v>222</v>
      </c>
      <c r="N1156" t="s">
        <v>1673</v>
      </c>
      <c r="O1156" t="s">
        <v>82</v>
      </c>
      <c r="P1156" t="str">
        <f>"2170718150                    "</f>
        <v xml:space="preserve">2170718150                    </v>
      </c>
      <c r="Q1156">
        <v>0</v>
      </c>
      <c r="R1156">
        <v>0</v>
      </c>
      <c r="S1156">
        <v>0</v>
      </c>
      <c r="T1156">
        <v>0</v>
      </c>
      <c r="U1156">
        <v>0</v>
      </c>
      <c r="V1156">
        <v>0</v>
      </c>
      <c r="W1156">
        <v>0</v>
      </c>
      <c r="X1156">
        <v>0</v>
      </c>
      <c r="Y1156">
        <v>0</v>
      </c>
      <c r="Z1156">
        <v>0</v>
      </c>
      <c r="AA1156">
        <v>0</v>
      </c>
      <c r="AB1156">
        <v>0</v>
      </c>
      <c r="AC1156">
        <v>0</v>
      </c>
      <c r="AD1156">
        <v>0</v>
      </c>
      <c r="AE1156">
        <v>0</v>
      </c>
      <c r="AF1156">
        <v>0</v>
      </c>
      <c r="AG1156">
        <v>0</v>
      </c>
      <c r="AH1156">
        <v>0</v>
      </c>
      <c r="AI1156">
        <v>0</v>
      </c>
      <c r="AJ1156">
        <v>0</v>
      </c>
      <c r="AK1156">
        <v>0</v>
      </c>
      <c r="AL1156">
        <v>0</v>
      </c>
      <c r="AM1156">
        <v>8.58</v>
      </c>
      <c r="AN1156">
        <v>0</v>
      </c>
      <c r="AO1156">
        <v>0</v>
      </c>
      <c r="AP1156">
        <v>0</v>
      </c>
      <c r="AQ1156">
        <v>0</v>
      </c>
      <c r="AR1156">
        <v>0</v>
      </c>
      <c r="AS1156">
        <v>0</v>
      </c>
      <c r="AT1156">
        <v>0</v>
      </c>
      <c r="AU1156">
        <v>0</v>
      </c>
      <c r="AV1156">
        <v>0</v>
      </c>
      <c r="AW1156">
        <v>0</v>
      </c>
      <c r="AX1156">
        <v>0</v>
      </c>
      <c r="AY1156">
        <v>0</v>
      </c>
      <c r="AZ1156">
        <v>0</v>
      </c>
      <c r="BA1156">
        <v>0</v>
      </c>
      <c r="BB1156">
        <v>0</v>
      </c>
      <c r="BC1156">
        <v>0</v>
      </c>
      <c r="BD1156">
        <v>0</v>
      </c>
      <c r="BE1156">
        <v>0</v>
      </c>
      <c r="BF1156">
        <v>0</v>
      </c>
      <c r="BG1156">
        <v>0</v>
      </c>
      <c r="BH1156">
        <v>1</v>
      </c>
      <c r="BI1156">
        <v>1</v>
      </c>
      <c r="BJ1156">
        <v>0.2</v>
      </c>
      <c r="BK1156">
        <v>1</v>
      </c>
      <c r="BL1156" s="4">
        <v>50.45</v>
      </c>
      <c r="BM1156" s="4">
        <v>7.57</v>
      </c>
      <c r="BN1156" s="4">
        <v>58.02</v>
      </c>
      <c r="BO1156" s="4">
        <v>58.02</v>
      </c>
      <c r="BQ1156" t="s">
        <v>1674</v>
      </c>
      <c r="BR1156" t="s">
        <v>84</v>
      </c>
      <c r="BS1156" s="3">
        <v>43812</v>
      </c>
      <c r="BT1156" s="5">
        <v>0.42777777777777781</v>
      </c>
      <c r="BU1156" t="s">
        <v>1675</v>
      </c>
      <c r="BV1156" t="s">
        <v>86</v>
      </c>
      <c r="BY1156">
        <v>1200</v>
      </c>
      <c r="CA1156" t="s">
        <v>1609</v>
      </c>
      <c r="CC1156" t="s">
        <v>222</v>
      </c>
      <c r="CD1156">
        <v>3201</v>
      </c>
      <c r="CE1156" t="s">
        <v>88</v>
      </c>
      <c r="CF1156" s="3">
        <v>43816</v>
      </c>
      <c r="CI1156">
        <v>1</v>
      </c>
      <c r="CJ1156">
        <v>1</v>
      </c>
      <c r="CK1156">
        <v>21</v>
      </c>
      <c r="CL1156" t="s">
        <v>89</v>
      </c>
    </row>
    <row r="1157" spans="1:90">
      <c r="A1157" t="s">
        <v>72</v>
      </c>
      <c r="B1157" t="s">
        <v>73</v>
      </c>
      <c r="C1157" t="s">
        <v>74</v>
      </c>
      <c r="E1157" t="str">
        <f>"FES1162727994"</f>
        <v>FES1162727994</v>
      </c>
      <c r="F1157" s="3">
        <v>43811</v>
      </c>
      <c r="G1157">
        <v>202006</v>
      </c>
      <c r="H1157" t="s">
        <v>75</v>
      </c>
      <c r="I1157" t="s">
        <v>76</v>
      </c>
      <c r="J1157" t="s">
        <v>77</v>
      </c>
      <c r="K1157" t="s">
        <v>78</v>
      </c>
      <c r="L1157" t="s">
        <v>169</v>
      </c>
      <c r="M1157" t="s">
        <v>170</v>
      </c>
      <c r="N1157" t="s">
        <v>1676</v>
      </c>
      <c r="O1157" t="s">
        <v>82</v>
      </c>
      <c r="P1157" t="str">
        <f>"2170719236                    "</f>
        <v xml:space="preserve">2170719236                    </v>
      </c>
      <c r="Q1157">
        <v>0</v>
      </c>
      <c r="R1157">
        <v>0</v>
      </c>
      <c r="S1157">
        <v>0</v>
      </c>
      <c r="T1157">
        <v>0</v>
      </c>
      <c r="U1157">
        <v>0</v>
      </c>
      <c r="V1157">
        <v>0</v>
      </c>
      <c r="W1157">
        <v>0</v>
      </c>
      <c r="X1157">
        <v>0</v>
      </c>
      <c r="Y1157">
        <v>0</v>
      </c>
      <c r="Z1157">
        <v>0</v>
      </c>
      <c r="AA1157">
        <v>0</v>
      </c>
      <c r="AB1157">
        <v>0</v>
      </c>
      <c r="AC1157">
        <v>0</v>
      </c>
      <c r="AD1157">
        <v>0</v>
      </c>
      <c r="AE1157">
        <v>0</v>
      </c>
      <c r="AF1157">
        <v>0</v>
      </c>
      <c r="AG1157">
        <v>0</v>
      </c>
      <c r="AH1157">
        <v>0</v>
      </c>
      <c r="AI1157">
        <v>0</v>
      </c>
      <c r="AJ1157">
        <v>0</v>
      </c>
      <c r="AK1157">
        <v>0</v>
      </c>
      <c r="AL1157">
        <v>0</v>
      </c>
      <c r="AM1157">
        <v>6.71</v>
      </c>
      <c r="AN1157">
        <v>0</v>
      </c>
      <c r="AO1157">
        <v>0</v>
      </c>
      <c r="AP1157">
        <v>0</v>
      </c>
      <c r="AQ1157">
        <v>0</v>
      </c>
      <c r="AR1157">
        <v>0</v>
      </c>
      <c r="AS1157">
        <v>0</v>
      </c>
      <c r="AT1157">
        <v>0</v>
      </c>
      <c r="AU1157">
        <v>0</v>
      </c>
      <c r="AV1157">
        <v>0</v>
      </c>
      <c r="AW1157">
        <v>0</v>
      </c>
      <c r="AX1157">
        <v>0</v>
      </c>
      <c r="AY1157">
        <v>0</v>
      </c>
      <c r="AZ1157">
        <v>0</v>
      </c>
      <c r="BA1157">
        <v>0</v>
      </c>
      <c r="BB1157">
        <v>0</v>
      </c>
      <c r="BC1157">
        <v>0</v>
      </c>
      <c r="BD1157">
        <v>0</v>
      </c>
      <c r="BE1157">
        <v>0</v>
      </c>
      <c r="BF1157">
        <v>0</v>
      </c>
      <c r="BG1157">
        <v>0</v>
      </c>
      <c r="BH1157">
        <v>1</v>
      </c>
      <c r="BI1157">
        <v>1</v>
      </c>
      <c r="BJ1157">
        <v>0.2</v>
      </c>
      <c r="BK1157">
        <v>1</v>
      </c>
      <c r="BL1157" s="4">
        <v>39.42</v>
      </c>
      <c r="BM1157" s="4">
        <v>5.91</v>
      </c>
      <c r="BN1157" s="4">
        <v>45.33</v>
      </c>
      <c r="BO1157" s="4">
        <v>45.33</v>
      </c>
      <c r="BQ1157" t="s">
        <v>147</v>
      </c>
      <c r="BR1157" t="s">
        <v>84</v>
      </c>
      <c r="BS1157" s="3">
        <v>43816</v>
      </c>
      <c r="BT1157" s="5">
        <v>0.3520833333333333</v>
      </c>
      <c r="BU1157" t="s">
        <v>1677</v>
      </c>
      <c r="BV1157" t="s">
        <v>89</v>
      </c>
      <c r="BW1157" t="s">
        <v>149</v>
      </c>
      <c r="BX1157" t="s">
        <v>1678</v>
      </c>
      <c r="BY1157">
        <v>1200</v>
      </c>
      <c r="CA1157" t="s">
        <v>174</v>
      </c>
      <c r="CC1157" t="s">
        <v>170</v>
      </c>
      <c r="CD1157">
        <v>1460</v>
      </c>
      <c r="CE1157" t="s">
        <v>88</v>
      </c>
      <c r="CF1157" s="3">
        <v>43817</v>
      </c>
      <c r="CI1157">
        <v>1</v>
      </c>
      <c r="CJ1157">
        <v>3</v>
      </c>
      <c r="CK1157">
        <v>22</v>
      </c>
      <c r="CL1157" t="s">
        <v>89</v>
      </c>
    </row>
    <row r="1158" spans="1:90">
      <c r="A1158" t="s">
        <v>72</v>
      </c>
      <c r="B1158" t="s">
        <v>73</v>
      </c>
      <c r="C1158" t="s">
        <v>74</v>
      </c>
      <c r="E1158" t="str">
        <f>"FES1162727974"</f>
        <v>FES1162727974</v>
      </c>
      <c r="F1158" s="3">
        <v>43811</v>
      </c>
      <c r="G1158">
        <v>202006</v>
      </c>
      <c r="H1158" t="s">
        <v>75</v>
      </c>
      <c r="I1158" t="s">
        <v>76</v>
      </c>
      <c r="J1158" t="s">
        <v>77</v>
      </c>
      <c r="K1158" t="s">
        <v>78</v>
      </c>
      <c r="L1158" t="s">
        <v>1679</v>
      </c>
      <c r="M1158" t="s">
        <v>1680</v>
      </c>
      <c r="N1158" t="s">
        <v>1681</v>
      </c>
      <c r="O1158" t="s">
        <v>82</v>
      </c>
      <c r="P1158" t="str">
        <f>"2170718940                    "</f>
        <v xml:space="preserve">2170718940                    </v>
      </c>
      <c r="Q1158">
        <v>0</v>
      </c>
      <c r="R1158">
        <v>0</v>
      </c>
      <c r="S1158">
        <v>0</v>
      </c>
      <c r="T1158">
        <v>0</v>
      </c>
      <c r="U1158">
        <v>0</v>
      </c>
      <c r="V1158">
        <v>0</v>
      </c>
      <c r="W1158">
        <v>0</v>
      </c>
      <c r="X1158">
        <v>0</v>
      </c>
      <c r="Y1158">
        <v>0</v>
      </c>
      <c r="Z1158">
        <v>0</v>
      </c>
      <c r="AA1158">
        <v>0</v>
      </c>
      <c r="AB1158">
        <v>0</v>
      </c>
      <c r="AC1158">
        <v>0</v>
      </c>
      <c r="AD1158">
        <v>0</v>
      </c>
      <c r="AE1158">
        <v>0</v>
      </c>
      <c r="AF1158">
        <v>0</v>
      </c>
      <c r="AG1158">
        <v>0</v>
      </c>
      <c r="AH1158">
        <v>0</v>
      </c>
      <c r="AI1158">
        <v>0</v>
      </c>
      <c r="AJ1158">
        <v>0</v>
      </c>
      <c r="AK1158">
        <v>0</v>
      </c>
      <c r="AL1158">
        <v>0</v>
      </c>
      <c r="AM1158">
        <v>12.07</v>
      </c>
      <c r="AN1158">
        <v>0</v>
      </c>
      <c r="AO1158">
        <v>0</v>
      </c>
      <c r="AP1158">
        <v>0</v>
      </c>
      <c r="AQ1158">
        <v>0</v>
      </c>
      <c r="AR1158">
        <v>0</v>
      </c>
      <c r="AS1158">
        <v>0</v>
      </c>
      <c r="AT1158">
        <v>0</v>
      </c>
      <c r="AU1158">
        <v>0</v>
      </c>
      <c r="AV1158">
        <v>0</v>
      </c>
      <c r="AW1158">
        <v>0</v>
      </c>
      <c r="AX1158">
        <v>0</v>
      </c>
      <c r="AY1158">
        <v>0</v>
      </c>
      <c r="AZ1158">
        <v>0</v>
      </c>
      <c r="BA1158">
        <v>0</v>
      </c>
      <c r="BB1158">
        <v>0</v>
      </c>
      <c r="BC1158">
        <v>0</v>
      </c>
      <c r="BD1158">
        <v>0</v>
      </c>
      <c r="BE1158">
        <v>0</v>
      </c>
      <c r="BF1158">
        <v>0</v>
      </c>
      <c r="BG1158">
        <v>0</v>
      </c>
      <c r="BH1158">
        <v>1</v>
      </c>
      <c r="BI1158">
        <v>1</v>
      </c>
      <c r="BJ1158">
        <v>0.2</v>
      </c>
      <c r="BK1158">
        <v>1</v>
      </c>
      <c r="BL1158" s="4">
        <v>70.95</v>
      </c>
      <c r="BM1158" s="4">
        <v>10.64</v>
      </c>
      <c r="BN1158" s="4">
        <v>81.59</v>
      </c>
      <c r="BO1158" s="4">
        <v>81.59</v>
      </c>
      <c r="BQ1158" t="s">
        <v>147</v>
      </c>
      <c r="BR1158" t="s">
        <v>84</v>
      </c>
      <c r="BS1158" s="3">
        <v>43812</v>
      </c>
      <c r="BT1158" s="5">
        <v>0.38125000000000003</v>
      </c>
      <c r="BU1158" t="s">
        <v>1682</v>
      </c>
      <c r="BV1158" t="s">
        <v>86</v>
      </c>
      <c r="BY1158">
        <v>1200</v>
      </c>
      <c r="CA1158" t="s">
        <v>1683</v>
      </c>
      <c r="CC1158" t="s">
        <v>1680</v>
      </c>
      <c r="CD1158">
        <v>2210</v>
      </c>
      <c r="CE1158" t="s">
        <v>88</v>
      </c>
      <c r="CF1158" s="3">
        <v>43816</v>
      </c>
      <c r="CI1158">
        <v>1</v>
      </c>
      <c r="CJ1158">
        <v>1</v>
      </c>
      <c r="CK1158">
        <v>24</v>
      </c>
      <c r="CL1158" t="s">
        <v>89</v>
      </c>
    </row>
    <row r="1159" spans="1:90">
      <c r="A1159" t="s">
        <v>72</v>
      </c>
      <c r="B1159" t="s">
        <v>73</v>
      </c>
      <c r="C1159" t="s">
        <v>74</v>
      </c>
      <c r="E1159" t="str">
        <f>"FES1162728096"</f>
        <v>FES1162728096</v>
      </c>
      <c r="F1159" s="3">
        <v>43811</v>
      </c>
      <c r="G1159">
        <v>202006</v>
      </c>
      <c r="H1159" t="s">
        <v>75</v>
      </c>
      <c r="I1159" t="s">
        <v>76</v>
      </c>
      <c r="J1159" t="s">
        <v>77</v>
      </c>
      <c r="K1159" t="s">
        <v>78</v>
      </c>
      <c r="L1159" t="s">
        <v>90</v>
      </c>
      <c r="M1159" t="s">
        <v>91</v>
      </c>
      <c r="N1159" t="s">
        <v>110</v>
      </c>
      <c r="O1159" t="s">
        <v>82</v>
      </c>
      <c r="P1159" t="str">
        <f>"2170718541                    "</f>
        <v xml:space="preserve">2170718541                    </v>
      </c>
      <c r="Q1159">
        <v>0</v>
      </c>
      <c r="R1159">
        <v>0</v>
      </c>
      <c r="S1159">
        <v>0</v>
      </c>
      <c r="T1159">
        <v>0</v>
      </c>
      <c r="U1159">
        <v>0</v>
      </c>
      <c r="V1159">
        <v>0</v>
      </c>
      <c r="W1159">
        <v>0</v>
      </c>
      <c r="X1159">
        <v>0</v>
      </c>
      <c r="Y1159">
        <v>0</v>
      </c>
      <c r="Z1159">
        <v>0</v>
      </c>
      <c r="AA1159">
        <v>0</v>
      </c>
      <c r="AB1159">
        <v>0</v>
      </c>
      <c r="AC1159">
        <v>0</v>
      </c>
      <c r="AD1159">
        <v>0</v>
      </c>
      <c r="AE1159">
        <v>0</v>
      </c>
      <c r="AF1159">
        <v>0</v>
      </c>
      <c r="AG1159">
        <v>0</v>
      </c>
      <c r="AH1159">
        <v>0</v>
      </c>
      <c r="AI1159">
        <v>0</v>
      </c>
      <c r="AJ1159">
        <v>0</v>
      </c>
      <c r="AK1159">
        <v>0</v>
      </c>
      <c r="AL1159">
        <v>0</v>
      </c>
      <c r="AM1159">
        <v>32.17</v>
      </c>
      <c r="AN1159">
        <v>0</v>
      </c>
      <c r="AO1159">
        <v>0</v>
      </c>
      <c r="AP1159">
        <v>0</v>
      </c>
      <c r="AQ1159">
        <v>0</v>
      </c>
      <c r="AR1159">
        <v>0</v>
      </c>
      <c r="AS1159">
        <v>0</v>
      </c>
      <c r="AT1159">
        <v>0</v>
      </c>
      <c r="AU1159">
        <v>0</v>
      </c>
      <c r="AV1159">
        <v>0</v>
      </c>
      <c r="AW1159">
        <v>0</v>
      </c>
      <c r="AX1159">
        <v>0</v>
      </c>
      <c r="AY1159">
        <v>0</v>
      </c>
      <c r="AZ1159">
        <v>0</v>
      </c>
      <c r="BA1159">
        <v>0</v>
      </c>
      <c r="BB1159">
        <v>0</v>
      </c>
      <c r="BC1159">
        <v>0</v>
      </c>
      <c r="BD1159">
        <v>0</v>
      </c>
      <c r="BE1159">
        <v>0</v>
      </c>
      <c r="BF1159">
        <v>0</v>
      </c>
      <c r="BG1159">
        <v>0</v>
      </c>
      <c r="BH1159">
        <v>1</v>
      </c>
      <c r="BI1159">
        <v>7.5</v>
      </c>
      <c r="BJ1159">
        <v>6</v>
      </c>
      <c r="BK1159">
        <v>7.5</v>
      </c>
      <c r="BL1159" s="4">
        <v>189.1</v>
      </c>
      <c r="BM1159" s="4">
        <v>28.37</v>
      </c>
      <c r="BN1159" s="4">
        <v>217.47</v>
      </c>
      <c r="BO1159" s="4">
        <v>217.47</v>
      </c>
      <c r="BQ1159" t="s">
        <v>147</v>
      </c>
      <c r="BR1159" t="s">
        <v>84</v>
      </c>
      <c r="BS1159" s="3">
        <v>43812</v>
      </c>
      <c r="BT1159" s="5">
        <v>0.33680555555555558</v>
      </c>
      <c r="BU1159" t="s">
        <v>1672</v>
      </c>
      <c r="BV1159" t="s">
        <v>86</v>
      </c>
      <c r="BY1159">
        <v>30038.81</v>
      </c>
      <c r="CA1159" t="s">
        <v>112</v>
      </c>
      <c r="CC1159" t="s">
        <v>91</v>
      </c>
      <c r="CD1159">
        <v>7405</v>
      </c>
      <c r="CE1159" t="s">
        <v>116</v>
      </c>
      <c r="CF1159" s="3">
        <v>43816</v>
      </c>
      <c r="CI1159">
        <v>1</v>
      </c>
      <c r="CJ1159">
        <v>1</v>
      </c>
      <c r="CK1159">
        <v>21</v>
      </c>
      <c r="CL1159" t="s">
        <v>89</v>
      </c>
    </row>
    <row r="1160" spans="1:90">
      <c r="A1160" t="s">
        <v>72</v>
      </c>
      <c r="B1160" t="s">
        <v>73</v>
      </c>
      <c r="C1160" t="s">
        <v>74</v>
      </c>
      <c r="E1160" t="str">
        <f>"FES1162728088"</f>
        <v>FES1162728088</v>
      </c>
      <c r="F1160" s="3">
        <v>43811</v>
      </c>
      <c r="G1160">
        <v>202006</v>
      </c>
      <c r="H1160" t="s">
        <v>75</v>
      </c>
      <c r="I1160" t="s">
        <v>76</v>
      </c>
      <c r="J1160" t="s">
        <v>77</v>
      </c>
      <c r="K1160" t="s">
        <v>78</v>
      </c>
      <c r="L1160" t="s">
        <v>151</v>
      </c>
      <c r="M1160" t="s">
        <v>102</v>
      </c>
      <c r="N1160" t="s">
        <v>103</v>
      </c>
      <c r="O1160" t="s">
        <v>82</v>
      </c>
      <c r="P1160" t="str">
        <f>"2170718413                    "</f>
        <v xml:space="preserve">2170718413                    </v>
      </c>
      <c r="Q1160">
        <v>0</v>
      </c>
      <c r="R1160">
        <v>0</v>
      </c>
      <c r="S1160">
        <v>0</v>
      </c>
      <c r="T1160">
        <v>0</v>
      </c>
      <c r="U1160">
        <v>0</v>
      </c>
      <c r="V1160">
        <v>0</v>
      </c>
      <c r="W1160">
        <v>0</v>
      </c>
      <c r="X1160">
        <v>0</v>
      </c>
      <c r="Y1160">
        <v>0</v>
      </c>
      <c r="Z1160">
        <v>0</v>
      </c>
      <c r="AA1160">
        <v>0</v>
      </c>
      <c r="AB1160">
        <v>0</v>
      </c>
      <c r="AC1160">
        <v>0</v>
      </c>
      <c r="AD1160">
        <v>0</v>
      </c>
      <c r="AE1160">
        <v>0</v>
      </c>
      <c r="AF1160">
        <v>0</v>
      </c>
      <c r="AG1160">
        <v>0</v>
      </c>
      <c r="AH1160">
        <v>0</v>
      </c>
      <c r="AI1160">
        <v>0</v>
      </c>
      <c r="AJ1160">
        <v>0</v>
      </c>
      <c r="AK1160">
        <v>0</v>
      </c>
      <c r="AL1160">
        <v>0</v>
      </c>
      <c r="AM1160">
        <v>8.58</v>
      </c>
      <c r="AN1160">
        <v>0</v>
      </c>
      <c r="AO1160">
        <v>0</v>
      </c>
      <c r="AP1160">
        <v>0</v>
      </c>
      <c r="AQ1160">
        <v>0</v>
      </c>
      <c r="AR1160">
        <v>0</v>
      </c>
      <c r="AS1160">
        <v>0</v>
      </c>
      <c r="AT1160">
        <v>0</v>
      </c>
      <c r="AU1160">
        <v>0</v>
      </c>
      <c r="AV1160">
        <v>0</v>
      </c>
      <c r="AW1160">
        <v>0</v>
      </c>
      <c r="AX1160">
        <v>0</v>
      </c>
      <c r="AY1160">
        <v>0</v>
      </c>
      <c r="AZ1160">
        <v>0</v>
      </c>
      <c r="BA1160">
        <v>0</v>
      </c>
      <c r="BB1160">
        <v>0</v>
      </c>
      <c r="BC1160">
        <v>0</v>
      </c>
      <c r="BD1160">
        <v>0</v>
      </c>
      <c r="BE1160">
        <v>0</v>
      </c>
      <c r="BF1160">
        <v>0</v>
      </c>
      <c r="BG1160">
        <v>0</v>
      </c>
      <c r="BH1160">
        <v>1</v>
      </c>
      <c r="BI1160">
        <v>1</v>
      </c>
      <c r="BJ1160">
        <v>0.2</v>
      </c>
      <c r="BK1160">
        <v>1</v>
      </c>
      <c r="BL1160" s="4">
        <v>50.45</v>
      </c>
      <c r="BM1160" s="4">
        <v>7.57</v>
      </c>
      <c r="BN1160" s="4">
        <v>58.02</v>
      </c>
      <c r="BO1160" s="4">
        <v>58.02</v>
      </c>
      <c r="BQ1160" t="s">
        <v>93</v>
      </c>
      <c r="BR1160" t="s">
        <v>84</v>
      </c>
      <c r="BS1160" s="3">
        <v>43812</v>
      </c>
      <c r="BT1160" s="5">
        <v>0.375</v>
      </c>
      <c r="BU1160" t="s">
        <v>106</v>
      </c>
      <c r="BV1160" t="s">
        <v>86</v>
      </c>
      <c r="BY1160">
        <v>1200</v>
      </c>
      <c r="CA1160" t="s">
        <v>107</v>
      </c>
      <c r="CC1160" t="s">
        <v>102</v>
      </c>
      <c r="CD1160">
        <v>1</v>
      </c>
      <c r="CE1160" t="s">
        <v>88</v>
      </c>
      <c r="CF1160" s="3">
        <v>43816</v>
      </c>
      <c r="CI1160">
        <v>1</v>
      </c>
      <c r="CJ1160">
        <v>1</v>
      </c>
      <c r="CK1160">
        <v>21</v>
      </c>
      <c r="CL1160" t="s">
        <v>89</v>
      </c>
    </row>
    <row r="1161" spans="1:90">
      <c r="A1161" t="s">
        <v>72</v>
      </c>
      <c r="B1161" t="s">
        <v>73</v>
      </c>
      <c r="C1161" t="s">
        <v>74</v>
      </c>
      <c r="E1161" t="str">
        <f>"FES1162727984"</f>
        <v>FES1162727984</v>
      </c>
      <c r="F1161" s="3">
        <v>43811</v>
      </c>
      <c r="G1161">
        <v>202006</v>
      </c>
      <c r="H1161" t="s">
        <v>75</v>
      </c>
      <c r="I1161" t="s">
        <v>76</v>
      </c>
      <c r="J1161" t="s">
        <v>77</v>
      </c>
      <c r="K1161" t="s">
        <v>78</v>
      </c>
      <c r="L1161" t="s">
        <v>332</v>
      </c>
      <c r="M1161" t="s">
        <v>333</v>
      </c>
      <c r="N1161" t="s">
        <v>1684</v>
      </c>
      <c r="O1161" t="s">
        <v>82</v>
      </c>
      <c r="P1161" t="str">
        <f>"2170719075                    "</f>
        <v xml:space="preserve">2170719075                    </v>
      </c>
      <c r="Q1161">
        <v>0</v>
      </c>
      <c r="R1161">
        <v>0</v>
      </c>
      <c r="S1161">
        <v>0</v>
      </c>
      <c r="T1161">
        <v>0</v>
      </c>
      <c r="U1161">
        <v>0</v>
      </c>
      <c r="V1161">
        <v>0</v>
      </c>
      <c r="W1161">
        <v>0</v>
      </c>
      <c r="X1161">
        <v>0</v>
      </c>
      <c r="Y1161">
        <v>0</v>
      </c>
      <c r="Z1161">
        <v>0</v>
      </c>
      <c r="AA1161">
        <v>0</v>
      </c>
      <c r="AB1161">
        <v>0</v>
      </c>
      <c r="AC1161">
        <v>0</v>
      </c>
      <c r="AD1161">
        <v>0</v>
      </c>
      <c r="AE1161">
        <v>0</v>
      </c>
      <c r="AF1161">
        <v>0</v>
      </c>
      <c r="AG1161">
        <v>0</v>
      </c>
      <c r="AH1161">
        <v>0</v>
      </c>
      <c r="AI1161">
        <v>0</v>
      </c>
      <c r="AJ1161">
        <v>0</v>
      </c>
      <c r="AK1161">
        <v>0</v>
      </c>
      <c r="AL1161">
        <v>0</v>
      </c>
      <c r="AM1161">
        <v>6.71</v>
      </c>
      <c r="AN1161">
        <v>0</v>
      </c>
      <c r="AO1161">
        <v>0</v>
      </c>
      <c r="AP1161">
        <v>0</v>
      </c>
      <c r="AQ1161">
        <v>0</v>
      </c>
      <c r="AR1161">
        <v>0</v>
      </c>
      <c r="AS1161">
        <v>0</v>
      </c>
      <c r="AT1161">
        <v>0</v>
      </c>
      <c r="AU1161">
        <v>0</v>
      </c>
      <c r="AV1161">
        <v>0</v>
      </c>
      <c r="AW1161">
        <v>0</v>
      </c>
      <c r="AX1161">
        <v>0</v>
      </c>
      <c r="AY1161">
        <v>0</v>
      </c>
      <c r="AZ1161">
        <v>0</v>
      </c>
      <c r="BA1161">
        <v>0</v>
      </c>
      <c r="BB1161">
        <v>0</v>
      </c>
      <c r="BC1161">
        <v>0</v>
      </c>
      <c r="BD1161">
        <v>0</v>
      </c>
      <c r="BE1161">
        <v>0</v>
      </c>
      <c r="BF1161">
        <v>0</v>
      </c>
      <c r="BG1161">
        <v>0</v>
      </c>
      <c r="BH1161">
        <v>1</v>
      </c>
      <c r="BI1161">
        <v>1</v>
      </c>
      <c r="BJ1161">
        <v>0.2</v>
      </c>
      <c r="BK1161">
        <v>1</v>
      </c>
      <c r="BL1161" s="4">
        <v>39.42</v>
      </c>
      <c r="BM1161" s="4">
        <v>5.91</v>
      </c>
      <c r="BN1161" s="4">
        <v>45.33</v>
      </c>
      <c r="BO1161" s="4">
        <v>45.33</v>
      </c>
      <c r="BQ1161" t="s">
        <v>1685</v>
      </c>
      <c r="BR1161" t="s">
        <v>84</v>
      </c>
      <c r="BS1161" s="3">
        <v>43812</v>
      </c>
      <c r="BT1161" s="5">
        <v>0.4236111111111111</v>
      </c>
      <c r="BU1161" t="s">
        <v>1686</v>
      </c>
      <c r="BV1161" t="s">
        <v>86</v>
      </c>
      <c r="BY1161">
        <v>1200</v>
      </c>
      <c r="CC1161" t="s">
        <v>333</v>
      </c>
      <c r="CD1161">
        <v>2091</v>
      </c>
      <c r="CE1161" t="s">
        <v>88</v>
      </c>
      <c r="CF1161" s="3">
        <v>43816</v>
      </c>
      <c r="CI1161">
        <v>1</v>
      </c>
      <c r="CJ1161">
        <v>1</v>
      </c>
      <c r="CK1161">
        <v>22</v>
      </c>
      <c r="CL1161" t="s">
        <v>89</v>
      </c>
    </row>
    <row r="1162" spans="1:90">
      <c r="A1162" t="s">
        <v>72</v>
      </c>
      <c r="B1162" t="s">
        <v>73</v>
      </c>
      <c r="C1162" t="s">
        <v>74</v>
      </c>
      <c r="E1162" t="str">
        <f>"FES1162728045"</f>
        <v>FES1162728045</v>
      </c>
      <c r="F1162" s="3">
        <v>43811</v>
      </c>
      <c r="G1162">
        <v>202006</v>
      </c>
      <c r="H1162" t="s">
        <v>75</v>
      </c>
      <c r="I1162" t="s">
        <v>76</v>
      </c>
      <c r="J1162" t="s">
        <v>77</v>
      </c>
      <c r="K1162" t="s">
        <v>78</v>
      </c>
      <c r="L1162" t="s">
        <v>332</v>
      </c>
      <c r="M1162" t="s">
        <v>333</v>
      </c>
      <c r="N1162" t="s">
        <v>701</v>
      </c>
      <c r="O1162" t="s">
        <v>82</v>
      </c>
      <c r="P1162" t="str">
        <f>"217071480                     "</f>
        <v xml:space="preserve">217071480                     </v>
      </c>
      <c r="Q1162">
        <v>0</v>
      </c>
      <c r="R1162">
        <v>0</v>
      </c>
      <c r="S1162">
        <v>0</v>
      </c>
      <c r="T1162">
        <v>0</v>
      </c>
      <c r="U1162">
        <v>0</v>
      </c>
      <c r="V1162">
        <v>0</v>
      </c>
      <c r="W1162">
        <v>0</v>
      </c>
      <c r="X1162">
        <v>0</v>
      </c>
      <c r="Y1162">
        <v>0</v>
      </c>
      <c r="Z1162">
        <v>0</v>
      </c>
      <c r="AA1162">
        <v>0</v>
      </c>
      <c r="AB1162">
        <v>0</v>
      </c>
      <c r="AC1162">
        <v>0</v>
      </c>
      <c r="AD1162">
        <v>0</v>
      </c>
      <c r="AE1162">
        <v>0</v>
      </c>
      <c r="AF1162">
        <v>0</v>
      </c>
      <c r="AG1162">
        <v>0</v>
      </c>
      <c r="AH1162">
        <v>0</v>
      </c>
      <c r="AI1162">
        <v>0</v>
      </c>
      <c r="AJ1162">
        <v>0</v>
      </c>
      <c r="AK1162">
        <v>0</v>
      </c>
      <c r="AL1162">
        <v>0</v>
      </c>
      <c r="AM1162">
        <v>6.71</v>
      </c>
      <c r="AN1162">
        <v>0</v>
      </c>
      <c r="AO1162">
        <v>0</v>
      </c>
      <c r="AP1162">
        <v>0</v>
      </c>
      <c r="AQ1162">
        <v>0</v>
      </c>
      <c r="AR1162">
        <v>0</v>
      </c>
      <c r="AS1162">
        <v>0</v>
      </c>
      <c r="AT1162">
        <v>0</v>
      </c>
      <c r="AU1162">
        <v>0</v>
      </c>
      <c r="AV1162">
        <v>0</v>
      </c>
      <c r="AW1162">
        <v>0</v>
      </c>
      <c r="AX1162">
        <v>0</v>
      </c>
      <c r="AY1162">
        <v>0</v>
      </c>
      <c r="AZ1162">
        <v>0</v>
      </c>
      <c r="BA1162">
        <v>0</v>
      </c>
      <c r="BB1162">
        <v>0</v>
      </c>
      <c r="BC1162">
        <v>0</v>
      </c>
      <c r="BD1162">
        <v>0</v>
      </c>
      <c r="BE1162">
        <v>0</v>
      </c>
      <c r="BF1162">
        <v>0</v>
      </c>
      <c r="BG1162">
        <v>0</v>
      </c>
      <c r="BH1162">
        <v>1</v>
      </c>
      <c r="BI1162">
        <v>1</v>
      </c>
      <c r="BJ1162">
        <v>0.2</v>
      </c>
      <c r="BK1162">
        <v>1</v>
      </c>
      <c r="BL1162" s="4">
        <v>39.42</v>
      </c>
      <c r="BM1162" s="4">
        <v>5.91</v>
      </c>
      <c r="BN1162" s="4">
        <v>45.33</v>
      </c>
      <c r="BO1162" s="4">
        <v>45.33</v>
      </c>
      <c r="BQ1162" t="s">
        <v>93</v>
      </c>
      <c r="BR1162" t="s">
        <v>84</v>
      </c>
      <c r="BS1162" s="3">
        <v>43812</v>
      </c>
      <c r="BT1162" s="5">
        <v>0.35069444444444442</v>
      </c>
      <c r="BU1162" t="s">
        <v>708</v>
      </c>
      <c r="BV1162" t="s">
        <v>86</v>
      </c>
      <c r="BY1162">
        <v>1200</v>
      </c>
      <c r="CA1162" t="s">
        <v>700</v>
      </c>
      <c r="CC1162" t="s">
        <v>333</v>
      </c>
      <c r="CD1162">
        <v>2094</v>
      </c>
      <c r="CE1162" t="s">
        <v>88</v>
      </c>
      <c r="CF1162" s="3">
        <v>43816</v>
      </c>
      <c r="CI1162">
        <v>1</v>
      </c>
      <c r="CJ1162">
        <v>1</v>
      </c>
      <c r="CK1162">
        <v>22</v>
      </c>
      <c r="CL1162" t="s">
        <v>89</v>
      </c>
    </row>
    <row r="1163" spans="1:90">
      <c r="A1163" t="s">
        <v>72</v>
      </c>
      <c r="B1163" t="s">
        <v>73</v>
      </c>
      <c r="C1163" t="s">
        <v>74</v>
      </c>
      <c r="E1163" t="str">
        <f>"FES1162728063"</f>
        <v>FES1162728063</v>
      </c>
      <c r="F1163" s="3">
        <v>43811</v>
      </c>
      <c r="G1163">
        <v>202006</v>
      </c>
      <c r="H1163" t="s">
        <v>75</v>
      </c>
      <c r="I1163" t="s">
        <v>76</v>
      </c>
      <c r="J1163" t="s">
        <v>77</v>
      </c>
      <c r="K1163" t="s">
        <v>78</v>
      </c>
      <c r="L1163" t="s">
        <v>169</v>
      </c>
      <c r="M1163" t="s">
        <v>170</v>
      </c>
      <c r="N1163" t="s">
        <v>1687</v>
      </c>
      <c r="O1163" t="s">
        <v>82</v>
      </c>
      <c r="P1163" t="str">
        <f>"2170718163                    "</f>
        <v xml:space="preserve">2170718163                    </v>
      </c>
      <c r="Q1163">
        <v>0</v>
      </c>
      <c r="R1163">
        <v>0</v>
      </c>
      <c r="S1163">
        <v>0</v>
      </c>
      <c r="T1163">
        <v>0</v>
      </c>
      <c r="U1163">
        <v>0</v>
      </c>
      <c r="V1163">
        <v>0</v>
      </c>
      <c r="W1163">
        <v>0</v>
      </c>
      <c r="X1163">
        <v>0</v>
      </c>
      <c r="Y1163">
        <v>0</v>
      </c>
      <c r="Z1163">
        <v>0</v>
      </c>
      <c r="AA1163">
        <v>0</v>
      </c>
      <c r="AB1163">
        <v>0</v>
      </c>
      <c r="AC1163">
        <v>0</v>
      </c>
      <c r="AD1163">
        <v>0</v>
      </c>
      <c r="AE1163">
        <v>0</v>
      </c>
      <c r="AF1163">
        <v>0</v>
      </c>
      <c r="AG1163">
        <v>0</v>
      </c>
      <c r="AH1163">
        <v>0</v>
      </c>
      <c r="AI1163">
        <v>0</v>
      </c>
      <c r="AJ1163">
        <v>0</v>
      </c>
      <c r="AK1163">
        <v>0</v>
      </c>
      <c r="AL1163">
        <v>0</v>
      </c>
      <c r="AM1163">
        <v>6.71</v>
      </c>
      <c r="AN1163">
        <v>0</v>
      </c>
      <c r="AO1163">
        <v>0</v>
      </c>
      <c r="AP1163">
        <v>0</v>
      </c>
      <c r="AQ1163">
        <v>0</v>
      </c>
      <c r="AR1163">
        <v>0</v>
      </c>
      <c r="AS1163">
        <v>0</v>
      </c>
      <c r="AT1163">
        <v>0</v>
      </c>
      <c r="AU1163">
        <v>0</v>
      </c>
      <c r="AV1163">
        <v>0</v>
      </c>
      <c r="AW1163">
        <v>0</v>
      </c>
      <c r="AX1163">
        <v>0</v>
      </c>
      <c r="AY1163">
        <v>0</v>
      </c>
      <c r="AZ1163">
        <v>0</v>
      </c>
      <c r="BA1163">
        <v>0</v>
      </c>
      <c r="BB1163">
        <v>0</v>
      </c>
      <c r="BC1163">
        <v>0</v>
      </c>
      <c r="BD1163">
        <v>0</v>
      </c>
      <c r="BE1163">
        <v>0</v>
      </c>
      <c r="BF1163">
        <v>0</v>
      </c>
      <c r="BG1163">
        <v>0</v>
      </c>
      <c r="BH1163">
        <v>1</v>
      </c>
      <c r="BI1163">
        <v>1</v>
      </c>
      <c r="BJ1163">
        <v>0.2</v>
      </c>
      <c r="BK1163">
        <v>1</v>
      </c>
      <c r="BL1163" s="4">
        <v>39.42</v>
      </c>
      <c r="BM1163" s="4">
        <v>5.91</v>
      </c>
      <c r="BN1163" s="4">
        <v>45.33</v>
      </c>
      <c r="BO1163" s="4">
        <v>45.33</v>
      </c>
      <c r="BR1163" t="s">
        <v>84</v>
      </c>
      <c r="BS1163" s="3">
        <v>43819</v>
      </c>
      <c r="BT1163" s="5">
        <v>0.85416666666666663</v>
      </c>
      <c r="BU1163" t="s">
        <v>675</v>
      </c>
      <c r="BV1163" t="s">
        <v>89</v>
      </c>
      <c r="BY1163">
        <v>1200</v>
      </c>
      <c r="CA1163" t="s">
        <v>620</v>
      </c>
      <c r="CC1163" t="s">
        <v>170</v>
      </c>
      <c r="CD1163">
        <v>1459</v>
      </c>
      <c r="CE1163" t="s">
        <v>88</v>
      </c>
      <c r="CI1163">
        <v>1</v>
      </c>
      <c r="CJ1163">
        <v>6</v>
      </c>
      <c r="CK1163">
        <v>22</v>
      </c>
      <c r="CL1163" t="s">
        <v>89</v>
      </c>
    </row>
    <row r="1164" spans="1:90">
      <c r="A1164" t="s">
        <v>72</v>
      </c>
      <c r="B1164" t="s">
        <v>73</v>
      </c>
      <c r="C1164" t="s">
        <v>74</v>
      </c>
      <c r="E1164" t="str">
        <f>"FES1162728080"</f>
        <v>FES1162728080</v>
      </c>
      <c r="F1164" s="3">
        <v>43811</v>
      </c>
      <c r="G1164">
        <v>202006</v>
      </c>
      <c r="H1164" t="s">
        <v>75</v>
      </c>
      <c r="I1164" t="s">
        <v>76</v>
      </c>
      <c r="J1164" t="s">
        <v>77</v>
      </c>
      <c r="K1164" t="s">
        <v>78</v>
      </c>
      <c r="L1164" t="s">
        <v>332</v>
      </c>
      <c r="M1164" t="s">
        <v>333</v>
      </c>
      <c r="N1164" t="s">
        <v>813</v>
      </c>
      <c r="O1164" t="s">
        <v>82</v>
      </c>
      <c r="P1164" t="str">
        <f>"2170718351                    "</f>
        <v xml:space="preserve">2170718351                    </v>
      </c>
      <c r="Q1164">
        <v>0</v>
      </c>
      <c r="R1164">
        <v>0</v>
      </c>
      <c r="S1164">
        <v>0</v>
      </c>
      <c r="T1164">
        <v>0</v>
      </c>
      <c r="U1164">
        <v>0</v>
      </c>
      <c r="V1164">
        <v>0</v>
      </c>
      <c r="W1164">
        <v>0</v>
      </c>
      <c r="X1164">
        <v>0</v>
      </c>
      <c r="Y1164">
        <v>0</v>
      </c>
      <c r="Z1164">
        <v>0</v>
      </c>
      <c r="AA1164">
        <v>0</v>
      </c>
      <c r="AB1164">
        <v>0</v>
      </c>
      <c r="AC1164">
        <v>0</v>
      </c>
      <c r="AD1164">
        <v>0</v>
      </c>
      <c r="AE1164">
        <v>0</v>
      </c>
      <c r="AF1164">
        <v>0</v>
      </c>
      <c r="AG1164">
        <v>0</v>
      </c>
      <c r="AH1164">
        <v>0</v>
      </c>
      <c r="AI1164">
        <v>0</v>
      </c>
      <c r="AJ1164">
        <v>0</v>
      </c>
      <c r="AK1164">
        <v>0</v>
      </c>
      <c r="AL1164">
        <v>0</v>
      </c>
      <c r="AM1164">
        <v>6.71</v>
      </c>
      <c r="AN1164">
        <v>0</v>
      </c>
      <c r="AO1164">
        <v>0</v>
      </c>
      <c r="AP1164">
        <v>0</v>
      </c>
      <c r="AQ1164">
        <v>0</v>
      </c>
      <c r="AR1164">
        <v>0</v>
      </c>
      <c r="AS1164">
        <v>0</v>
      </c>
      <c r="AT1164">
        <v>0</v>
      </c>
      <c r="AU1164">
        <v>0</v>
      </c>
      <c r="AV1164">
        <v>0</v>
      </c>
      <c r="AW1164">
        <v>0</v>
      </c>
      <c r="AX1164">
        <v>0</v>
      </c>
      <c r="AY1164">
        <v>0</v>
      </c>
      <c r="AZ1164">
        <v>0</v>
      </c>
      <c r="BA1164">
        <v>0</v>
      </c>
      <c r="BB1164">
        <v>0</v>
      </c>
      <c r="BC1164">
        <v>0</v>
      </c>
      <c r="BD1164">
        <v>0</v>
      </c>
      <c r="BE1164">
        <v>0</v>
      </c>
      <c r="BF1164">
        <v>0</v>
      </c>
      <c r="BG1164">
        <v>0</v>
      </c>
      <c r="BH1164">
        <v>1</v>
      </c>
      <c r="BI1164">
        <v>1</v>
      </c>
      <c r="BJ1164">
        <v>0.2</v>
      </c>
      <c r="BK1164">
        <v>1</v>
      </c>
      <c r="BL1164" s="4">
        <v>39.42</v>
      </c>
      <c r="BM1164" s="4">
        <v>5.91</v>
      </c>
      <c r="BN1164" s="4">
        <v>45.33</v>
      </c>
      <c r="BO1164" s="4">
        <v>45.33</v>
      </c>
      <c r="BQ1164" t="s">
        <v>93</v>
      </c>
      <c r="BR1164" t="s">
        <v>84</v>
      </c>
      <c r="BS1164" s="3">
        <v>43812</v>
      </c>
      <c r="BT1164" s="5">
        <v>0.39583333333333331</v>
      </c>
      <c r="BU1164" t="s">
        <v>1688</v>
      </c>
      <c r="BV1164" t="s">
        <v>86</v>
      </c>
      <c r="BY1164">
        <v>1200</v>
      </c>
      <c r="CA1164" t="s">
        <v>1689</v>
      </c>
      <c r="CC1164" t="s">
        <v>333</v>
      </c>
      <c r="CD1164">
        <v>2040</v>
      </c>
      <c r="CE1164" t="s">
        <v>88</v>
      </c>
      <c r="CF1164" s="3">
        <v>43816</v>
      </c>
      <c r="CI1164">
        <v>1</v>
      </c>
      <c r="CJ1164">
        <v>1</v>
      </c>
      <c r="CK1164">
        <v>22</v>
      </c>
      <c r="CL1164" t="s">
        <v>89</v>
      </c>
    </row>
    <row r="1165" spans="1:90">
      <c r="A1165" t="s">
        <v>72</v>
      </c>
      <c r="B1165" t="s">
        <v>73</v>
      </c>
      <c r="C1165" t="s">
        <v>74</v>
      </c>
      <c r="E1165" t="str">
        <f>"FES1162728108"</f>
        <v>FES1162728108</v>
      </c>
      <c r="F1165" s="3">
        <v>43811</v>
      </c>
      <c r="G1165">
        <v>202006</v>
      </c>
      <c r="H1165" t="s">
        <v>75</v>
      </c>
      <c r="I1165" t="s">
        <v>76</v>
      </c>
      <c r="J1165" t="s">
        <v>77</v>
      </c>
      <c r="K1165" t="s">
        <v>78</v>
      </c>
      <c r="L1165" t="s">
        <v>332</v>
      </c>
      <c r="M1165" t="s">
        <v>333</v>
      </c>
      <c r="N1165" t="s">
        <v>701</v>
      </c>
      <c r="O1165" t="s">
        <v>82</v>
      </c>
      <c r="P1165" t="str">
        <f>"2170718639                    "</f>
        <v xml:space="preserve">2170718639                    </v>
      </c>
      <c r="Q1165">
        <v>0</v>
      </c>
      <c r="R1165">
        <v>0</v>
      </c>
      <c r="S1165">
        <v>0</v>
      </c>
      <c r="T1165">
        <v>0</v>
      </c>
      <c r="U1165">
        <v>0</v>
      </c>
      <c r="V1165">
        <v>0</v>
      </c>
      <c r="W1165">
        <v>0</v>
      </c>
      <c r="X1165">
        <v>0</v>
      </c>
      <c r="Y1165">
        <v>0</v>
      </c>
      <c r="Z1165">
        <v>0</v>
      </c>
      <c r="AA1165">
        <v>0</v>
      </c>
      <c r="AB1165">
        <v>0</v>
      </c>
      <c r="AC1165">
        <v>0</v>
      </c>
      <c r="AD1165">
        <v>0</v>
      </c>
      <c r="AE1165">
        <v>0</v>
      </c>
      <c r="AF1165">
        <v>0</v>
      </c>
      <c r="AG1165">
        <v>0</v>
      </c>
      <c r="AH1165">
        <v>0</v>
      </c>
      <c r="AI1165">
        <v>0</v>
      </c>
      <c r="AJ1165">
        <v>0</v>
      </c>
      <c r="AK1165">
        <v>0</v>
      </c>
      <c r="AL1165">
        <v>0</v>
      </c>
      <c r="AM1165">
        <v>6.71</v>
      </c>
      <c r="AN1165">
        <v>0</v>
      </c>
      <c r="AO1165">
        <v>0</v>
      </c>
      <c r="AP1165">
        <v>0</v>
      </c>
      <c r="AQ1165">
        <v>0</v>
      </c>
      <c r="AR1165">
        <v>0</v>
      </c>
      <c r="AS1165">
        <v>0</v>
      </c>
      <c r="AT1165">
        <v>0</v>
      </c>
      <c r="AU1165">
        <v>0</v>
      </c>
      <c r="AV1165">
        <v>0</v>
      </c>
      <c r="AW1165">
        <v>0</v>
      </c>
      <c r="AX1165">
        <v>0</v>
      </c>
      <c r="AY1165">
        <v>0</v>
      </c>
      <c r="AZ1165">
        <v>0</v>
      </c>
      <c r="BA1165">
        <v>0</v>
      </c>
      <c r="BB1165">
        <v>0</v>
      </c>
      <c r="BC1165">
        <v>0</v>
      </c>
      <c r="BD1165">
        <v>0</v>
      </c>
      <c r="BE1165">
        <v>0</v>
      </c>
      <c r="BF1165">
        <v>0</v>
      </c>
      <c r="BG1165">
        <v>0</v>
      </c>
      <c r="BH1165">
        <v>1</v>
      </c>
      <c r="BI1165">
        <v>1</v>
      </c>
      <c r="BJ1165">
        <v>0.2</v>
      </c>
      <c r="BK1165">
        <v>1</v>
      </c>
      <c r="BL1165" s="4">
        <v>39.42</v>
      </c>
      <c r="BM1165" s="4">
        <v>5.91</v>
      </c>
      <c r="BN1165" s="4">
        <v>45.33</v>
      </c>
      <c r="BO1165" s="4">
        <v>45.33</v>
      </c>
      <c r="BQ1165" t="s">
        <v>93</v>
      </c>
      <c r="BR1165" t="s">
        <v>84</v>
      </c>
      <c r="BS1165" s="3">
        <v>43812</v>
      </c>
      <c r="BT1165" s="5">
        <v>0.35138888888888892</v>
      </c>
      <c r="BU1165" t="s">
        <v>1652</v>
      </c>
      <c r="BV1165" t="s">
        <v>86</v>
      </c>
      <c r="BY1165">
        <v>1200</v>
      </c>
      <c r="CA1165" t="s">
        <v>700</v>
      </c>
      <c r="CC1165" t="s">
        <v>333</v>
      </c>
      <c r="CD1165">
        <v>2094</v>
      </c>
      <c r="CE1165" t="s">
        <v>88</v>
      </c>
      <c r="CF1165" s="3">
        <v>43816</v>
      </c>
      <c r="CI1165">
        <v>1</v>
      </c>
      <c r="CJ1165">
        <v>1</v>
      </c>
      <c r="CK1165">
        <v>22</v>
      </c>
      <c r="CL1165" t="s">
        <v>89</v>
      </c>
    </row>
    <row r="1166" spans="1:90">
      <c r="A1166" t="s">
        <v>72</v>
      </c>
      <c r="B1166" t="s">
        <v>73</v>
      </c>
      <c r="C1166" t="s">
        <v>74</v>
      </c>
      <c r="E1166" t="str">
        <f>"FES1162728033"</f>
        <v>FES1162728033</v>
      </c>
      <c r="F1166" s="3">
        <v>43811</v>
      </c>
      <c r="G1166">
        <v>202006</v>
      </c>
      <c r="H1166" t="s">
        <v>75</v>
      </c>
      <c r="I1166" t="s">
        <v>76</v>
      </c>
      <c r="J1166" t="s">
        <v>77</v>
      </c>
      <c r="K1166" t="s">
        <v>78</v>
      </c>
      <c r="L1166" t="s">
        <v>860</v>
      </c>
      <c r="M1166" t="s">
        <v>861</v>
      </c>
      <c r="N1166" t="s">
        <v>1143</v>
      </c>
      <c r="O1166" t="s">
        <v>82</v>
      </c>
      <c r="P1166" t="str">
        <f>"2170712461                    "</f>
        <v xml:space="preserve">2170712461                    </v>
      </c>
      <c r="Q1166">
        <v>0</v>
      </c>
      <c r="R1166">
        <v>0</v>
      </c>
      <c r="S1166">
        <v>0</v>
      </c>
      <c r="T1166">
        <v>0</v>
      </c>
      <c r="U1166">
        <v>0</v>
      </c>
      <c r="V1166">
        <v>0</v>
      </c>
      <c r="W1166">
        <v>0</v>
      </c>
      <c r="X1166">
        <v>0</v>
      </c>
      <c r="Y1166">
        <v>0</v>
      </c>
      <c r="Z1166">
        <v>0</v>
      </c>
      <c r="AA1166">
        <v>0</v>
      </c>
      <c r="AB1166">
        <v>0</v>
      </c>
      <c r="AC1166">
        <v>0</v>
      </c>
      <c r="AD1166">
        <v>0</v>
      </c>
      <c r="AE1166">
        <v>0</v>
      </c>
      <c r="AF1166">
        <v>0</v>
      </c>
      <c r="AG1166">
        <v>0</v>
      </c>
      <c r="AH1166">
        <v>0</v>
      </c>
      <c r="AI1166">
        <v>0</v>
      </c>
      <c r="AJ1166">
        <v>0</v>
      </c>
      <c r="AK1166">
        <v>0</v>
      </c>
      <c r="AL1166">
        <v>0</v>
      </c>
      <c r="AM1166">
        <v>6.71</v>
      </c>
      <c r="AN1166">
        <v>0</v>
      </c>
      <c r="AO1166">
        <v>0</v>
      </c>
      <c r="AP1166">
        <v>0</v>
      </c>
      <c r="AQ1166">
        <v>0</v>
      </c>
      <c r="AR1166">
        <v>0</v>
      </c>
      <c r="AS1166">
        <v>0</v>
      </c>
      <c r="AT1166">
        <v>0</v>
      </c>
      <c r="AU1166">
        <v>0</v>
      </c>
      <c r="AV1166">
        <v>0</v>
      </c>
      <c r="AW1166">
        <v>0</v>
      </c>
      <c r="AX1166">
        <v>0</v>
      </c>
      <c r="AY1166">
        <v>0</v>
      </c>
      <c r="AZ1166">
        <v>0</v>
      </c>
      <c r="BA1166">
        <v>0</v>
      </c>
      <c r="BB1166">
        <v>0</v>
      </c>
      <c r="BC1166">
        <v>0</v>
      </c>
      <c r="BD1166">
        <v>0</v>
      </c>
      <c r="BE1166">
        <v>0</v>
      </c>
      <c r="BF1166">
        <v>0</v>
      </c>
      <c r="BG1166">
        <v>0</v>
      </c>
      <c r="BH1166">
        <v>1</v>
      </c>
      <c r="BI1166">
        <v>1</v>
      </c>
      <c r="BJ1166">
        <v>0.2</v>
      </c>
      <c r="BK1166">
        <v>1</v>
      </c>
      <c r="BL1166" s="4">
        <v>39.42</v>
      </c>
      <c r="BM1166" s="4">
        <v>5.91</v>
      </c>
      <c r="BN1166" s="4">
        <v>45.33</v>
      </c>
      <c r="BO1166" s="4">
        <v>45.33</v>
      </c>
      <c r="BR1166" t="s">
        <v>84</v>
      </c>
      <c r="BS1166" s="3">
        <v>43812</v>
      </c>
      <c r="BT1166" s="5">
        <v>0.4375</v>
      </c>
      <c r="BU1166" t="s">
        <v>1690</v>
      </c>
      <c r="BV1166" t="s">
        <v>86</v>
      </c>
      <c r="BY1166">
        <v>1200</v>
      </c>
      <c r="CC1166" t="s">
        <v>861</v>
      </c>
      <c r="CD1166">
        <v>2163</v>
      </c>
      <c r="CE1166" t="s">
        <v>88</v>
      </c>
      <c r="CF1166" s="3">
        <v>43816</v>
      </c>
      <c r="CI1166">
        <v>1</v>
      </c>
      <c r="CJ1166">
        <v>1</v>
      </c>
      <c r="CK1166">
        <v>22</v>
      </c>
      <c r="CL1166" t="s">
        <v>89</v>
      </c>
    </row>
    <row r="1167" spans="1:90">
      <c r="A1167" t="s">
        <v>72</v>
      </c>
      <c r="B1167" t="s">
        <v>73</v>
      </c>
      <c r="C1167" t="s">
        <v>74</v>
      </c>
      <c r="E1167" t="str">
        <f>"FES1162728129"</f>
        <v>FES1162728129</v>
      </c>
      <c r="F1167" s="3">
        <v>43811</v>
      </c>
      <c r="G1167">
        <v>202006</v>
      </c>
      <c r="H1167" t="s">
        <v>75</v>
      </c>
      <c r="I1167" t="s">
        <v>76</v>
      </c>
      <c r="J1167" t="s">
        <v>77</v>
      </c>
      <c r="K1167" t="s">
        <v>78</v>
      </c>
      <c r="L1167" t="s">
        <v>132</v>
      </c>
      <c r="M1167" t="s">
        <v>133</v>
      </c>
      <c r="N1167" t="s">
        <v>1691</v>
      </c>
      <c r="O1167" t="s">
        <v>82</v>
      </c>
      <c r="P1167" t="str">
        <f>"2170718845                    "</f>
        <v xml:space="preserve">2170718845                    </v>
      </c>
      <c r="Q1167">
        <v>0</v>
      </c>
      <c r="R1167">
        <v>0</v>
      </c>
      <c r="S1167">
        <v>0</v>
      </c>
      <c r="T1167">
        <v>0</v>
      </c>
      <c r="U1167">
        <v>0</v>
      </c>
      <c r="V1167">
        <v>0</v>
      </c>
      <c r="W1167">
        <v>0</v>
      </c>
      <c r="X1167">
        <v>0</v>
      </c>
      <c r="Y1167">
        <v>0</v>
      </c>
      <c r="Z1167">
        <v>0</v>
      </c>
      <c r="AA1167">
        <v>0</v>
      </c>
      <c r="AB1167">
        <v>0</v>
      </c>
      <c r="AC1167">
        <v>0</v>
      </c>
      <c r="AD1167">
        <v>0</v>
      </c>
      <c r="AE1167">
        <v>0</v>
      </c>
      <c r="AF1167">
        <v>0</v>
      </c>
      <c r="AG1167">
        <v>0</v>
      </c>
      <c r="AH1167">
        <v>0</v>
      </c>
      <c r="AI1167">
        <v>0</v>
      </c>
      <c r="AJ1167">
        <v>0</v>
      </c>
      <c r="AK1167">
        <v>0</v>
      </c>
      <c r="AL1167">
        <v>0</v>
      </c>
      <c r="AM1167">
        <v>8.58</v>
      </c>
      <c r="AN1167">
        <v>0</v>
      </c>
      <c r="AO1167">
        <v>0</v>
      </c>
      <c r="AP1167">
        <v>0</v>
      </c>
      <c r="AQ1167">
        <v>0</v>
      </c>
      <c r="AR1167">
        <v>0</v>
      </c>
      <c r="AS1167">
        <v>0</v>
      </c>
      <c r="AT1167">
        <v>0</v>
      </c>
      <c r="AU1167">
        <v>0</v>
      </c>
      <c r="AV1167">
        <v>0</v>
      </c>
      <c r="AW1167">
        <v>0</v>
      </c>
      <c r="AX1167">
        <v>0</v>
      </c>
      <c r="AY1167">
        <v>0</v>
      </c>
      <c r="AZ1167">
        <v>0</v>
      </c>
      <c r="BA1167">
        <v>0</v>
      </c>
      <c r="BB1167">
        <v>0</v>
      </c>
      <c r="BC1167">
        <v>0</v>
      </c>
      <c r="BD1167">
        <v>0</v>
      </c>
      <c r="BE1167">
        <v>0</v>
      </c>
      <c r="BF1167">
        <v>0</v>
      </c>
      <c r="BG1167">
        <v>0</v>
      </c>
      <c r="BH1167">
        <v>1</v>
      </c>
      <c r="BI1167">
        <v>1</v>
      </c>
      <c r="BJ1167">
        <v>0.2</v>
      </c>
      <c r="BK1167">
        <v>1</v>
      </c>
      <c r="BL1167" s="4">
        <v>50.45</v>
      </c>
      <c r="BM1167" s="4">
        <v>7.57</v>
      </c>
      <c r="BN1167" s="4">
        <v>58.02</v>
      </c>
      <c r="BO1167" s="4">
        <v>58.02</v>
      </c>
      <c r="BQ1167" t="s">
        <v>147</v>
      </c>
      <c r="BR1167" t="s">
        <v>84</v>
      </c>
      <c r="BS1167" s="3">
        <v>43812</v>
      </c>
      <c r="BT1167" s="5">
        <v>0.37152777777777773</v>
      </c>
      <c r="BU1167" t="s">
        <v>1692</v>
      </c>
      <c r="BV1167" t="s">
        <v>86</v>
      </c>
      <c r="BY1167">
        <v>1200</v>
      </c>
      <c r="CA1167" t="s">
        <v>137</v>
      </c>
      <c r="CC1167" t="s">
        <v>133</v>
      </c>
      <c r="CD1167">
        <v>157</v>
      </c>
      <c r="CE1167" t="s">
        <v>88</v>
      </c>
      <c r="CF1167" s="3">
        <v>43816</v>
      </c>
      <c r="CI1167">
        <v>1</v>
      </c>
      <c r="CJ1167">
        <v>1</v>
      </c>
      <c r="CK1167">
        <v>21</v>
      </c>
      <c r="CL1167" t="s">
        <v>89</v>
      </c>
    </row>
    <row r="1168" spans="1:90">
      <c r="A1168" t="s">
        <v>72</v>
      </c>
      <c r="B1168" t="s">
        <v>73</v>
      </c>
      <c r="C1168" t="s">
        <v>74</v>
      </c>
      <c r="E1168" t="str">
        <f>"FES1162728066"</f>
        <v>FES1162728066</v>
      </c>
      <c r="F1168" s="3">
        <v>43811</v>
      </c>
      <c r="G1168">
        <v>202006</v>
      </c>
      <c r="H1168" t="s">
        <v>75</v>
      </c>
      <c r="I1168" t="s">
        <v>76</v>
      </c>
      <c r="J1168" t="s">
        <v>77</v>
      </c>
      <c r="K1168" t="s">
        <v>78</v>
      </c>
      <c r="L1168" t="s">
        <v>138</v>
      </c>
      <c r="M1168" t="s">
        <v>139</v>
      </c>
      <c r="N1168" t="s">
        <v>1693</v>
      </c>
      <c r="O1168" t="s">
        <v>82</v>
      </c>
      <c r="P1168" t="str">
        <f>"2170718214                    "</f>
        <v xml:space="preserve">2170718214                    </v>
      </c>
      <c r="Q1168">
        <v>0</v>
      </c>
      <c r="R1168">
        <v>0</v>
      </c>
      <c r="S1168">
        <v>0</v>
      </c>
      <c r="T1168">
        <v>0</v>
      </c>
      <c r="U1168">
        <v>0</v>
      </c>
      <c r="V1168">
        <v>0</v>
      </c>
      <c r="W1168">
        <v>0</v>
      </c>
      <c r="X1168">
        <v>0</v>
      </c>
      <c r="Y1168">
        <v>0</v>
      </c>
      <c r="Z1168">
        <v>0</v>
      </c>
      <c r="AA1168">
        <v>0</v>
      </c>
      <c r="AB1168">
        <v>0</v>
      </c>
      <c r="AC1168">
        <v>0</v>
      </c>
      <c r="AD1168">
        <v>0</v>
      </c>
      <c r="AE1168">
        <v>0</v>
      </c>
      <c r="AF1168">
        <v>0</v>
      </c>
      <c r="AG1168">
        <v>0</v>
      </c>
      <c r="AH1168">
        <v>0</v>
      </c>
      <c r="AI1168">
        <v>0</v>
      </c>
      <c r="AJ1168">
        <v>0</v>
      </c>
      <c r="AK1168">
        <v>0</v>
      </c>
      <c r="AL1168">
        <v>0</v>
      </c>
      <c r="AM1168">
        <v>6.71</v>
      </c>
      <c r="AN1168">
        <v>0</v>
      </c>
      <c r="AO1168">
        <v>0</v>
      </c>
      <c r="AP1168">
        <v>0</v>
      </c>
      <c r="AQ1168">
        <v>0</v>
      </c>
      <c r="AR1168">
        <v>0</v>
      </c>
      <c r="AS1168">
        <v>0</v>
      </c>
      <c r="AT1168">
        <v>0</v>
      </c>
      <c r="AU1168">
        <v>0</v>
      </c>
      <c r="AV1168">
        <v>0</v>
      </c>
      <c r="AW1168">
        <v>0</v>
      </c>
      <c r="AX1168">
        <v>0</v>
      </c>
      <c r="AY1168">
        <v>0</v>
      </c>
      <c r="AZ1168">
        <v>0</v>
      </c>
      <c r="BA1168">
        <v>0</v>
      </c>
      <c r="BB1168">
        <v>0</v>
      </c>
      <c r="BC1168">
        <v>0</v>
      </c>
      <c r="BD1168">
        <v>0</v>
      </c>
      <c r="BE1168">
        <v>0</v>
      </c>
      <c r="BF1168">
        <v>0</v>
      </c>
      <c r="BG1168">
        <v>0</v>
      </c>
      <c r="BH1168">
        <v>1</v>
      </c>
      <c r="BI1168">
        <v>1</v>
      </c>
      <c r="BJ1168">
        <v>0.2</v>
      </c>
      <c r="BK1168">
        <v>1</v>
      </c>
      <c r="BL1168" s="4">
        <v>39.42</v>
      </c>
      <c r="BM1168" s="4">
        <v>5.91</v>
      </c>
      <c r="BN1168" s="4">
        <v>45.33</v>
      </c>
      <c r="BO1168" s="4">
        <v>45.33</v>
      </c>
      <c r="BQ1168" t="s">
        <v>1694</v>
      </c>
      <c r="BR1168" t="s">
        <v>84</v>
      </c>
      <c r="BS1168" s="3">
        <v>43812</v>
      </c>
      <c r="BT1168" s="5">
        <v>0.34166666666666662</v>
      </c>
      <c r="BU1168" t="s">
        <v>1695</v>
      </c>
      <c r="BV1168" t="s">
        <v>86</v>
      </c>
      <c r="BY1168">
        <v>1200</v>
      </c>
      <c r="CC1168" t="s">
        <v>139</v>
      </c>
      <c r="CD1168">
        <v>1428</v>
      </c>
      <c r="CE1168" t="s">
        <v>88</v>
      </c>
      <c r="CF1168" s="3">
        <v>43816</v>
      </c>
      <c r="CI1168">
        <v>1</v>
      </c>
      <c r="CJ1168">
        <v>1</v>
      </c>
      <c r="CK1168">
        <v>22</v>
      </c>
      <c r="CL1168" t="s">
        <v>89</v>
      </c>
    </row>
    <row r="1169" spans="1:90">
      <c r="A1169" t="s">
        <v>72</v>
      </c>
      <c r="B1169" t="s">
        <v>73</v>
      </c>
      <c r="C1169" t="s">
        <v>74</v>
      </c>
      <c r="E1169" t="str">
        <f>"FES1162728118"</f>
        <v>FES1162728118</v>
      </c>
      <c r="F1169" s="3">
        <v>43811</v>
      </c>
      <c r="G1169">
        <v>202006</v>
      </c>
      <c r="H1169" t="s">
        <v>75</v>
      </c>
      <c r="I1169" t="s">
        <v>76</v>
      </c>
      <c r="J1169" t="s">
        <v>77</v>
      </c>
      <c r="K1169" t="s">
        <v>78</v>
      </c>
      <c r="L1169" t="s">
        <v>332</v>
      </c>
      <c r="M1169" t="s">
        <v>333</v>
      </c>
      <c r="N1169" t="s">
        <v>790</v>
      </c>
      <c r="O1169" t="s">
        <v>82</v>
      </c>
      <c r="P1169" t="str">
        <f>"2170718712                    "</f>
        <v xml:space="preserve">2170718712                    </v>
      </c>
      <c r="Q1169">
        <v>0</v>
      </c>
      <c r="R1169">
        <v>0</v>
      </c>
      <c r="S1169">
        <v>0</v>
      </c>
      <c r="T1169">
        <v>0</v>
      </c>
      <c r="U1169">
        <v>0</v>
      </c>
      <c r="V1169">
        <v>0</v>
      </c>
      <c r="W1169">
        <v>0</v>
      </c>
      <c r="X1169">
        <v>0</v>
      </c>
      <c r="Y1169">
        <v>0</v>
      </c>
      <c r="Z1169">
        <v>0</v>
      </c>
      <c r="AA1169">
        <v>0</v>
      </c>
      <c r="AB1169">
        <v>0</v>
      </c>
      <c r="AC1169">
        <v>0</v>
      </c>
      <c r="AD1169">
        <v>0</v>
      </c>
      <c r="AE1169">
        <v>0</v>
      </c>
      <c r="AF1169">
        <v>0</v>
      </c>
      <c r="AG1169">
        <v>0</v>
      </c>
      <c r="AH1169">
        <v>0</v>
      </c>
      <c r="AI1169">
        <v>0</v>
      </c>
      <c r="AJ1169">
        <v>0</v>
      </c>
      <c r="AK1169">
        <v>0</v>
      </c>
      <c r="AL1169">
        <v>0</v>
      </c>
      <c r="AM1169">
        <v>6.71</v>
      </c>
      <c r="AN1169">
        <v>0</v>
      </c>
      <c r="AO1169">
        <v>0</v>
      </c>
      <c r="AP1169">
        <v>0</v>
      </c>
      <c r="AQ1169">
        <v>0</v>
      </c>
      <c r="AR1169">
        <v>0</v>
      </c>
      <c r="AS1169">
        <v>0</v>
      </c>
      <c r="AT1169">
        <v>0</v>
      </c>
      <c r="AU1169">
        <v>0</v>
      </c>
      <c r="AV1169">
        <v>0</v>
      </c>
      <c r="AW1169">
        <v>0</v>
      </c>
      <c r="AX1169">
        <v>0</v>
      </c>
      <c r="AY1169">
        <v>0</v>
      </c>
      <c r="AZ1169">
        <v>0</v>
      </c>
      <c r="BA1169">
        <v>0</v>
      </c>
      <c r="BB1169">
        <v>0</v>
      </c>
      <c r="BC1169">
        <v>0</v>
      </c>
      <c r="BD1169">
        <v>0</v>
      </c>
      <c r="BE1169">
        <v>0</v>
      </c>
      <c r="BF1169">
        <v>0</v>
      </c>
      <c r="BG1169">
        <v>0</v>
      </c>
      <c r="BH1169">
        <v>1</v>
      </c>
      <c r="BI1169">
        <v>1</v>
      </c>
      <c r="BJ1169">
        <v>0.2</v>
      </c>
      <c r="BK1169">
        <v>1</v>
      </c>
      <c r="BL1169" s="4">
        <v>39.42</v>
      </c>
      <c r="BM1169" s="4">
        <v>5.91</v>
      </c>
      <c r="BN1169" s="4">
        <v>45.33</v>
      </c>
      <c r="BO1169" s="4">
        <v>45.33</v>
      </c>
      <c r="BQ1169" t="s">
        <v>147</v>
      </c>
      <c r="BR1169" t="s">
        <v>84</v>
      </c>
      <c r="BS1169" s="3">
        <v>43812</v>
      </c>
      <c r="BT1169" s="5">
        <v>0.33333333333333331</v>
      </c>
      <c r="BU1169" t="s">
        <v>625</v>
      </c>
      <c r="BV1169" t="s">
        <v>86</v>
      </c>
      <c r="BY1169">
        <v>1200</v>
      </c>
      <c r="CC1169" t="s">
        <v>333</v>
      </c>
      <c r="CD1169">
        <v>2091</v>
      </c>
      <c r="CE1169" t="s">
        <v>88</v>
      </c>
      <c r="CF1169" s="3">
        <v>43816</v>
      </c>
      <c r="CI1169">
        <v>1</v>
      </c>
      <c r="CJ1169">
        <v>1</v>
      </c>
      <c r="CK1169">
        <v>22</v>
      </c>
      <c r="CL1169" t="s">
        <v>89</v>
      </c>
    </row>
    <row r="1170" spans="1:90">
      <c r="A1170" t="s">
        <v>72</v>
      </c>
      <c r="B1170" t="s">
        <v>73</v>
      </c>
      <c r="C1170" t="s">
        <v>74</v>
      </c>
      <c r="E1170" t="str">
        <f>"FES1162728058"</f>
        <v>FES1162728058</v>
      </c>
      <c r="F1170" s="3">
        <v>43811</v>
      </c>
      <c r="G1170">
        <v>202006</v>
      </c>
      <c r="H1170" t="s">
        <v>75</v>
      </c>
      <c r="I1170" t="s">
        <v>76</v>
      </c>
      <c r="J1170" t="s">
        <v>77</v>
      </c>
      <c r="K1170" t="s">
        <v>78</v>
      </c>
      <c r="L1170" t="s">
        <v>138</v>
      </c>
      <c r="M1170" t="s">
        <v>139</v>
      </c>
      <c r="N1170" t="s">
        <v>146</v>
      </c>
      <c r="O1170" t="s">
        <v>82</v>
      </c>
      <c r="P1170" t="str">
        <f>"2170718145                    "</f>
        <v xml:space="preserve">2170718145                    </v>
      </c>
      <c r="Q1170">
        <v>0</v>
      </c>
      <c r="R1170">
        <v>0</v>
      </c>
      <c r="S1170">
        <v>0</v>
      </c>
      <c r="T1170">
        <v>0</v>
      </c>
      <c r="U1170">
        <v>0</v>
      </c>
      <c r="V1170">
        <v>0</v>
      </c>
      <c r="W1170">
        <v>0</v>
      </c>
      <c r="X1170">
        <v>0</v>
      </c>
      <c r="Y1170">
        <v>0</v>
      </c>
      <c r="Z1170">
        <v>0</v>
      </c>
      <c r="AA1170">
        <v>0</v>
      </c>
      <c r="AB1170">
        <v>0</v>
      </c>
      <c r="AC1170">
        <v>0</v>
      </c>
      <c r="AD1170">
        <v>0</v>
      </c>
      <c r="AE1170">
        <v>0</v>
      </c>
      <c r="AF1170">
        <v>0</v>
      </c>
      <c r="AG1170">
        <v>0</v>
      </c>
      <c r="AH1170">
        <v>0</v>
      </c>
      <c r="AI1170">
        <v>0</v>
      </c>
      <c r="AJ1170">
        <v>0</v>
      </c>
      <c r="AK1170">
        <v>0</v>
      </c>
      <c r="AL1170">
        <v>0</v>
      </c>
      <c r="AM1170">
        <v>6.71</v>
      </c>
      <c r="AN1170">
        <v>0</v>
      </c>
      <c r="AO1170">
        <v>0</v>
      </c>
      <c r="AP1170">
        <v>0</v>
      </c>
      <c r="AQ1170">
        <v>0</v>
      </c>
      <c r="AR1170">
        <v>0</v>
      </c>
      <c r="AS1170">
        <v>0</v>
      </c>
      <c r="AT1170">
        <v>0</v>
      </c>
      <c r="AU1170">
        <v>0</v>
      </c>
      <c r="AV1170">
        <v>0</v>
      </c>
      <c r="AW1170">
        <v>0</v>
      </c>
      <c r="AX1170">
        <v>0</v>
      </c>
      <c r="AY1170">
        <v>0</v>
      </c>
      <c r="AZ1170">
        <v>0</v>
      </c>
      <c r="BA1170">
        <v>0</v>
      </c>
      <c r="BB1170">
        <v>0</v>
      </c>
      <c r="BC1170">
        <v>0</v>
      </c>
      <c r="BD1170">
        <v>0</v>
      </c>
      <c r="BE1170">
        <v>0</v>
      </c>
      <c r="BF1170">
        <v>0</v>
      </c>
      <c r="BG1170">
        <v>0</v>
      </c>
      <c r="BH1170">
        <v>1</v>
      </c>
      <c r="BI1170">
        <v>1</v>
      </c>
      <c r="BJ1170">
        <v>0.2</v>
      </c>
      <c r="BK1170">
        <v>1</v>
      </c>
      <c r="BL1170" s="4">
        <v>39.42</v>
      </c>
      <c r="BM1170" s="4">
        <v>5.91</v>
      </c>
      <c r="BN1170" s="4">
        <v>45.33</v>
      </c>
      <c r="BO1170" s="4">
        <v>45.33</v>
      </c>
      <c r="BQ1170" t="s">
        <v>147</v>
      </c>
      <c r="BR1170" t="s">
        <v>84</v>
      </c>
      <c r="BS1170" s="3">
        <v>43812</v>
      </c>
      <c r="BT1170" s="5">
        <v>0.4145833333333333</v>
      </c>
      <c r="BU1170" t="s">
        <v>625</v>
      </c>
      <c r="BV1170" t="s">
        <v>86</v>
      </c>
      <c r="BY1170">
        <v>1200</v>
      </c>
      <c r="CC1170" t="s">
        <v>139</v>
      </c>
      <c r="CD1170">
        <v>1428</v>
      </c>
      <c r="CE1170" t="s">
        <v>88</v>
      </c>
      <c r="CF1170" s="3">
        <v>43816</v>
      </c>
      <c r="CI1170">
        <v>1</v>
      </c>
      <c r="CJ1170">
        <v>1</v>
      </c>
      <c r="CK1170">
        <v>22</v>
      </c>
      <c r="CL1170" t="s">
        <v>89</v>
      </c>
    </row>
    <row r="1171" spans="1:90">
      <c r="A1171" t="s">
        <v>72</v>
      </c>
      <c r="B1171" t="s">
        <v>73</v>
      </c>
      <c r="C1171" t="s">
        <v>74</v>
      </c>
      <c r="E1171" t="str">
        <f>"FES1162728139"</f>
        <v>FES1162728139</v>
      </c>
      <c r="F1171" s="3">
        <v>43811</v>
      </c>
      <c r="G1171">
        <v>202006</v>
      </c>
      <c r="H1171" t="s">
        <v>75</v>
      </c>
      <c r="I1171" t="s">
        <v>76</v>
      </c>
      <c r="J1171" t="s">
        <v>77</v>
      </c>
      <c r="K1171" t="s">
        <v>78</v>
      </c>
      <c r="L1171" t="s">
        <v>79</v>
      </c>
      <c r="M1171" t="s">
        <v>80</v>
      </c>
      <c r="N1171" t="s">
        <v>1696</v>
      </c>
      <c r="O1171" t="s">
        <v>82</v>
      </c>
      <c r="P1171" t="str">
        <f>"2170719430                    "</f>
        <v xml:space="preserve">2170719430                    </v>
      </c>
      <c r="Q1171">
        <v>0</v>
      </c>
      <c r="R1171">
        <v>0</v>
      </c>
      <c r="S1171">
        <v>0</v>
      </c>
      <c r="T1171">
        <v>0</v>
      </c>
      <c r="U1171">
        <v>0</v>
      </c>
      <c r="V1171">
        <v>0</v>
      </c>
      <c r="W1171">
        <v>0</v>
      </c>
      <c r="X1171">
        <v>0</v>
      </c>
      <c r="Y1171">
        <v>0</v>
      </c>
      <c r="Z1171">
        <v>0</v>
      </c>
      <c r="AA1171">
        <v>0</v>
      </c>
      <c r="AB1171">
        <v>0</v>
      </c>
      <c r="AC1171">
        <v>0</v>
      </c>
      <c r="AD1171">
        <v>0</v>
      </c>
      <c r="AE1171">
        <v>0</v>
      </c>
      <c r="AF1171">
        <v>0</v>
      </c>
      <c r="AG1171">
        <v>0</v>
      </c>
      <c r="AH1171">
        <v>0</v>
      </c>
      <c r="AI1171">
        <v>0</v>
      </c>
      <c r="AJ1171">
        <v>0</v>
      </c>
      <c r="AK1171">
        <v>0</v>
      </c>
      <c r="AL1171">
        <v>0</v>
      </c>
      <c r="AM1171">
        <v>8.58</v>
      </c>
      <c r="AN1171">
        <v>0</v>
      </c>
      <c r="AO1171">
        <v>0</v>
      </c>
      <c r="AP1171">
        <v>0</v>
      </c>
      <c r="AQ1171">
        <v>0</v>
      </c>
      <c r="AR1171">
        <v>0</v>
      </c>
      <c r="AS1171">
        <v>0</v>
      </c>
      <c r="AT1171">
        <v>0</v>
      </c>
      <c r="AU1171">
        <v>0</v>
      </c>
      <c r="AV1171">
        <v>0</v>
      </c>
      <c r="AW1171">
        <v>0</v>
      </c>
      <c r="AX1171">
        <v>0</v>
      </c>
      <c r="AY1171">
        <v>0</v>
      </c>
      <c r="AZ1171">
        <v>0</v>
      </c>
      <c r="BA1171">
        <v>0</v>
      </c>
      <c r="BB1171">
        <v>0</v>
      </c>
      <c r="BC1171">
        <v>0</v>
      </c>
      <c r="BD1171">
        <v>0</v>
      </c>
      <c r="BE1171">
        <v>0</v>
      </c>
      <c r="BF1171">
        <v>0</v>
      </c>
      <c r="BG1171">
        <v>0</v>
      </c>
      <c r="BH1171">
        <v>1</v>
      </c>
      <c r="BI1171">
        <v>1</v>
      </c>
      <c r="BJ1171">
        <v>0.2</v>
      </c>
      <c r="BK1171">
        <v>1</v>
      </c>
      <c r="BL1171" s="4">
        <v>50.45</v>
      </c>
      <c r="BM1171" s="4">
        <v>7.57</v>
      </c>
      <c r="BN1171" s="4">
        <v>58.02</v>
      </c>
      <c r="BO1171" s="4">
        <v>58.02</v>
      </c>
      <c r="BQ1171" t="s">
        <v>147</v>
      </c>
      <c r="BR1171" t="s">
        <v>84</v>
      </c>
      <c r="BS1171" s="3">
        <v>43812</v>
      </c>
      <c r="BT1171" s="5">
        <v>0.42291666666666666</v>
      </c>
      <c r="BU1171" t="s">
        <v>1697</v>
      </c>
      <c r="BV1171" t="s">
        <v>86</v>
      </c>
      <c r="BY1171">
        <v>1200</v>
      </c>
      <c r="CA1171" t="s">
        <v>131</v>
      </c>
      <c r="CC1171" t="s">
        <v>80</v>
      </c>
      <c r="CD1171">
        <v>6000</v>
      </c>
      <c r="CE1171" t="s">
        <v>88</v>
      </c>
      <c r="CF1171" s="3">
        <v>43816</v>
      </c>
      <c r="CI1171">
        <v>1</v>
      </c>
      <c r="CJ1171">
        <v>1</v>
      </c>
      <c r="CK1171">
        <v>21</v>
      </c>
      <c r="CL1171" t="s">
        <v>89</v>
      </c>
    </row>
    <row r="1172" spans="1:90">
      <c r="A1172" t="s">
        <v>72</v>
      </c>
      <c r="B1172" t="s">
        <v>73</v>
      </c>
      <c r="C1172" t="s">
        <v>74</v>
      </c>
      <c r="E1172" t="str">
        <f>"FES1162728083"</f>
        <v>FES1162728083</v>
      </c>
      <c r="F1172" s="3">
        <v>43811</v>
      </c>
      <c r="G1172">
        <v>202006</v>
      </c>
      <c r="H1172" t="s">
        <v>75</v>
      </c>
      <c r="I1172" t="s">
        <v>76</v>
      </c>
      <c r="J1172" t="s">
        <v>77</v>
      </c>
      <c r="K1172" t="s">
        <v>78</v>
      </c>
      <c r="L1172" t="s">
        <v>332</v>
      </c>
      <c r="M1172" t="s">
        <v>333</v>
      </c>
      <c r="N1172" t="s">
        <v>1655</v>
      </c>
      <c r="O1172" t="s">
        <v>82</v>
      </c>
      <c r="P1172" t="str">
        <f>"2170718387                    "</f>
        <v xml:space="preserve">2170718387                    </v>
      </c>
      <c r="Q1172">
        <v>0</v>
      </c>
      <c r="R1172">
        <v>0</v>
      </c>
      <c r="S1172">
        <v>0</v>
      </c>
      <c r="T1172">
        <v>0</v>
      </c>
      <c r="U1172">
        <v>0</v>
      </c>
      <c r="V1172">
        <v>0</v>
      </c>
      <c r="W1172">
        <v>0</v>
      </c>
      <c r="X1172">
        <v>0</v>
      </c>
      <c r="Y1172">
        <v>0</v>
      </c>
      <c r="Z1172">
        <v>0</v>
      </c>
      <c r="AA1172">
        <v>0</v>
      </c>
      <c r="AB1172">
        <v>0</v>
      </c>
      <c r="AC1172">
        <v>0</v>
      </c>
      <c r="AD1172">
        <v>0</v>
      </c>
      <c r="AE1172">
        <v>0</v>
      </c>
      <c r="AF1172">
        <v>0</v>
      </c>
      <c r="AG1172">
        <v>0</v>
      </c>
      <c r="AH1172">
        <v>0</v>
      </c>
      <c r="AI1172">
        <v>0</v>
      </c>
      <c r="AJ1172">
        <v>0</v>
      </c>
      <c r="AK1172">
        <v>0</v>
      </c>
      <c r="AL1172">
        <v>0</v>
      </c>
      <c r="AM1172">
        <v>6.71</v>
      </c>
      <c r="AN1172">
        <v>0</v>
      </c>
      <c r="AO1172">
        <v>0</v>
      </c>
      <c r="AP1172">
        <v>0</v>
      </c>
      <c r="AQ1172">
        <v>0</v>
      </c>
      <c r="AR1172">
        <v>0</v>
      </c>
      <c r="AS1172">
        <v>0</v>
      </c>
      <c r="AT1172">
        <v>0</v>
      </c>
      <c r="AU1172">
        <v>0</v>
      </c>
      <c r="AV1172">
        <v>0</v>
      </c>
      <c r="AW1172">
        <v>0</v>
      </c>
      <c r="AX1172">
        <v>0</v>
      </c>
      <c r="AY1172">
        <v>0</v>
      </c>
      <c r="AZ1172">
        <v>0</v>
      </c>
      <c r="BA1172">
        <v>0</v>
      </c>
      <c r="BB1172">
        <v>0</v>
      </c>
      <c r="BC1172">
        <v>0</v>
      </c>
      <c r="BD1172">
        <v>0</v>
      </c>
      <c r="BE1172">
        <v>0</v>
      </c>
      <c r="BF1172">
        <v>0</v>
      </c>
      <c r="BG1172">
        <v>0</v>
      </c>
      <c r="BH1172">
        <v>1</v>
      </c>
      <c r="BI1172">
        <v>1</v>
      </c>
      <c r="BJ1172">
        <v>0.2</v>
      </c>
      <c r="BK1172">
        <v>1</v>
      </c>
      <c r="BL1172" s="4">
        <v>39.42</v>
      </c>
      <c r="BM1172" s="4">
        <v>5.91</v>
      </c>
      <c r="BN1172" s="4">
        <v>45.33</v>
      </c>
      <c r="BO1172" s="4">
        <v>45.33</v>
      </c>
      <c r="BQ1172" t="s">
        <v>1656</v>
      </c>
      <c r="BR1172" t="s">
        <v>84</v>
      </c>
      <c r="BS1172" s="3">
        <v>43812</v>
      </c>
      <c r="BT1172" s="5">
        <v>0.3125</v>
      </c>
      <c r="BU1172" t="s">
        <v>1698</v>
      </c>
      <c r="BV1172" t="s">
        <v>86</v>
      </c>
      <c r="BY1172">
        <v>1200</v>
      </c>
      <c r="CC1172" t="s">
        <v>333</v>
      </c>
      <c r="CD1172">
        <v>2042</v>
      </c>
      <c r="CE1172" t="s">
        <v>88</v>
      </c>
      <c r="CI1172">
        <v>1</v>
      </c>
      <c r="CJ1172">
        <v>1</v>
      </c>
      <c r="CK1172">
        <v>22</v>
      </c>
      <c r="CL1172" t="s">
        <v>89</v>
      </c>
    </row>
    <row r="1173" spans="1:90">
      <c r="A1173" t="s">
        <v>72</v>
      </c>
      <c r="B1173" t="s">
        <v>73</v>
      </c>
      <c r="C1173" t="s">
        <v>74</v>
      </c>
      <c r="E1173" t="str">
        <f>"FES1162728034"</f>
        <v>FES1162728034</v>
      </c>
      <c r="F1173" s="3">
        <v>43811</v>
      </c>
      <c r="G1173">
        <v>202006</v>
      </c>
      <c r="H1173" t="s">
        <v>75</v>
      </c>
      <c r="I1173" t="s">
        <v>76</v>
      </c>
      <c r="J1173" t="s">
        <v>77</v>
      </c>
      <c r="K1173" t="s">
        <v>78</v>
      </c>
      <c r="L1173" t="s">
        <v>332</v>
      </c>
      <c r="M1173" t="s">
        <v>333</v>
      </c>
      <c r="N1173" t="s">
        <v>701</v>
      </c>
      <c r="O1173" t="s">
        <v>82</v>
      </c>
      <c r="P1173" t="str">
        <f>"217071462                     "</f>
        <v xml:space="preserve">217071462                     </v>
      </c>
      <c r="Q1173">
        <v>0</v>
      </c>
      <c r="R1173">
        <v>0</v>
      </c>
      <c r="S1173">
        <v>0</v>
      </c>
      <c r="T1173">
        <v>0</v>
      </c>
      <c r="U1173">
        <v>0</v>
      </c>
      <c r="V1173">
        <v>0</v>
      </c>
      <c r="W1173">
        <v>0</v>
      </c>
      <c r="X1173">
        <v>0</v>
      </c>
      <c r="Y1173">
        <v>0</v>
      </c>
      <c r="Z1173">
        <v>0</v>
      </c>
      <c r="AA1173">
        <v>0</v>
      </c>
      <c r="AB1173">
        <v>0</v>
      </c>
      <c r="AC1173">
        <v>0</v>
      </c>
      <c r="AD1173">
        <v>0</v>
      </c>
      <c r="AE1173">
        <v>0</v>
      </c>
      <c r="AF1173">
        <v>0</v>
      </c>
      <c r="AG1173">
        <v>0</v>
      </c>
      <c r="AH1173">
        <v>0</v>
      </c>
      <c r="AI1173">
        <v>0</v>
      </c>
      <c r="AJ1173">
        <v>0</v>
      </c>
      <c r="AK1173">
        <v>0</v>
      </c>
      <c r="AL1173">
        <v>0</v>
      </c>
      <c r="AM1173">
        <v>6.71</v>
      </c>
      <c r="AN1173">
        <v>0</v>
      </c>
      <c r="AO1173">
        <v>0</v>
      </c>
      <c r="AP1173">
        <v>0</v>
      </c>
      <c r="AQ1173">
        <v>0</v>
      </c>
      <c r="AR1173">
        <v>0</v>
      </c>
      <c r="AS1173">
        <v>0</v>
      </c>
      <c r="AT1173">
        <v>0</v>
      </c>
      <c r="AU1173">
        <v>0</v>
      </c>
      <c r="AV1173">
        <v>0</v>
      </c>
      <c r="AW1173">
        <v>0</v>
      </c>
      <c r="AX1173">
        <v>0</v>
      </c>
      <c r="AY1173">
        <v>0</v>
      </c>
      <c r="AZ1173">
        <v>0</v>
      </c>
      <c r="BA1173">
        <v>0</v>
      </c>
      <c r="BB1173">
        <v>0</v>
      </c>
      <c r="BC1173">
        <v>0</v>
      </c>
      <c r="BD1173">
        <v>0</v>
      </c>
      <c r="BE1173">
        <v>0</v>
      </c>
      <c r="BF1173">
        <v>0</v>
      </c>
      <c r="BG1173">
        <v>0</v>
      </c>
      <c r="BH1173">
        <v>1</v>
      </c>
      <c r="BI1173">
        <v>1.2</v>
      </c>
      <c r="BJ1173">
        <v>0.7</v>
      </c>
      <c r="BK1173">
        <v>1.5</v>
      </c>
      <c r="BL1173" s="4">
        <v>39.42</v>
      </c>
      <c r="BM1173" s="4">
        <v>5.91</v>
      </c>
      <c r="BN1173" s="4">
        <v>45.33</v>
      </c>
      <c r="BO1173" s="4">
        <v>45.33</v>
      </c>
      <c r="BQ1173" t="s">
        <v>93</v>
      </c>
      <c r="BR1173" t="s">
        <v>84</v>
      </c>
      <c r="BS1173" s="3">
        <v>43812</v>
      </c>
      <c r="BT1173" s="5">
        <v>0.35000000000000003</v>
      </c>
      <c r="BU1173" t="s">
        <v>708</v>
      </c>
      <c r="BV1173" t="s">
        <v>86</v>
      </c>
      <c r="BY1173">
        <v>3710.7</v>
      </c>
      <c r="CA1173" t="s">
        <v>700</v>
      </c>
      <c r="CC1173" t="s">
        <v>333</v>
      </c>
      <c r="CD1173">
        <v>2094</v>
      </c>
      <c r="CE1173" t="s">
        <v>96</v>
      </c>
      <c r="CF1173" s="3">
        <v>43816</v>
      </c>
      <c r="CI1173">
        <v>1</v>
      </c>
      <c r="CJ1173">
        <v>1</v>
      </c>
      <c r="CK1173">
        <v>22</v>
      </c>
      <c r="CL1173" t="s">
        <v>89</v>
      </c>
    </row>
    <row r="1174" spans="1:90">
      <c r="A1174" t="s">
        <v>72</v>
      </c>
      <c r="B1174" t="s">
        <v>73</v>
      </c>
      <c r="C1174" t="s">
        <v>74</v>
      </c>
      <c r="E1174" t="str">
        <f>"FES1162728159"</f>
        <v>FES1162728159</v>
      </c>
      <c r="F1174" s="3">
        <v>43811</v>
      </c>
      <c r="G1174">
        <v>202006</v>
      </c>
      <c r="H1174" t="s">
        <v>75</v>
      </c>
      <c r="I1174" t="s">
        <v>76</v>
      </c>
      <c r="J1174" t="s">
        <v>77</v>
      </c>
      <c r="K1174" t="s">
        <v>78</v>
      </c>
      <c r="L1174" t="s">
        <v>671</v>
      </c>
      <c r="M1174" t="s">
        <v>672</v>
      </c>
      <c r="N1174" t="s">
        <v>1417</v>
      </c>
      <c r="O1174" t="s">
        <v>82</v>
      </c>
      <c r="P1174" t="str">
        <f>"2170719293                    "</f>
        <v xml:space="preserve">2170719293                    </v>
      </c>
      <c r="Q1174">
        <v>0</v>
      </c>
      <c r="R1174">
        <v>0</v>
      </c>
      <c r="S1174">
        <v>0</v>
      </c>
      <c r="T1174">
        <v>0</v>
      </c>
      <c r="U1174">
        <v>0</v>
      </c>
      <c r="V1174">
        <v>0</v>
      </c>
      <c r="W1174">
        <v>0</v>
      </c>
      <c r="X1174">
        <v>0</v>
      </c>
      <c r="Y1174">
        <v>0</v>
      </c>
      <c r="Z1174">
        <v>0</v>
      </c>
      <c r="AA1174">
        <v>0</v>
      </c>
      <c r="AB1174">
        <v>0</v>
      </c>
      <c r="AC1174">
        <v>0</v>
      </c>
      <c r="AD1174">
        <v>0</v>
      </c>
      <c r="AE1174">
        <v>0</v>
      </c>
      <c r="AF1174">
        <v>0</v>
      </c>
      <c r="AG1174">
        <v>0</v>
      </c>
      <c r="AH1174">
        <v>0</v>
      </c>
      <c r="AI1174">
        <v>0</v>
      </c>
      <c r="AJ1174">
        <v>0</v>
      </c>
      <c r="AK1174">
        <v>0</v>
      </c>
      <c r="AL1174">
        <v>0</v>
      </c>
      <c r="AM1174">
        <v>16.63</v>
      </c>
      <c r="AN1174">
        <v>0</v>
      </c>
      <c r="AO1174">
        <v>0</v>
      </c>
      <c r="AP1174">
        <v>0</v>
      </c>
      <c r="AQ1174">
        <v>0</v>
      </c>
      <c r="AR1174">
        <v>0</v>
      </c>
      <c r="AS1174">
        <v>0</v>
      </c>
      <c r="AT1174">
        <v>0</v>
      </c>
      <c r="AU1174">
        <v>0</v>
      </c>
      <c r="AV1174">
        <v>0</v>
      </c>
      <c r="AW1174">
        <v>0</v>
      </c>
      <c r="AX1174">
        <v>0</v>
      </c>
      <c r="AY1174">
        <v>0</v>
      </c>
      <c r="AZ1174">
        <v>0</v>
      </c>
      <c r="BA1174">
        <v>0</v>
      </c>
      <c r="BB1174">
        <v>0</v>
      </c>
      <c r="BC1174">
        <v>0</v>
      </c>
      <c r="BD1174">
        <v>0</v>
      </c>
      <c r="BE1174">
        <v>0</v>
      </c>
      <c r="BF1174">
        <v>0</v>
      </c>
      <c r="BG1174">
        <v>0</v>
      </c>
      <c r="BH1174">
        <v>1</v>
      </c>
      <c r="BI1174">
        <v>1</v>
      </c>
      <c r="BJ1174">
        <v>1</v>
      </c>
      <c r="BK1174">
        <v>1</v>
      </c>
      <c r="BL1174" s="4">
        <v>97.75</v>
      </c>
      <c r="BM1174" s="4">
        <v>14.66</v>
      </c>
      <c r="BN1174" s="4">
        <v>112.41</v>
      </c>
      <c r="BO1174" s="4">
        <v>112.41</v>
      </c>
      <c r="BQ1174" t="s">
        <v>93</v>
      </c>
      <c r="BR1174" t="s">
        <v>84</v>
      </c>
      <c r="BS1174" s="3">
        <v>43812</v>
      </c>
      <c r="BT1174" s="5">
        <v>0.33333333333333331</v>
      </c>
      <c r="BU1174" t="s">
        <v>1699</v>
      </c>
      <c r="BV1174" t="s">
        <v>86</v>
      </c>
      <c r="BY1174">
        <v>4759.5200000000004</v>
      </c>
      <c r="CA1174" t="s">
        <v>344</v>
      </c>
      <c r="CC1174" t="s">
        <v>672</v>
      </c>
      <c r="CD1174">
        <v>1900</v>
      </c>
      <c r="CE1174" t="s">
        <v>96</v>
      </c>
      <c r="CF1174" s="3">
        <v>43816</v>
      </c>
      <c r="CI1174">
        <v>1</v>
      </c>
      <c r="CJ1174">
        <v>1</v>
      </c>
      <c r="CK1174">
        <v>23</v>
      </c>
      <c r="CL1174" t="s">
        <v>89</v>
      </c>
    </row>
    <row r="1175" spans="1:90">
      <c r="A1175" t="s">
        <v>72</v>
      </c>
      <c r="B1175" t="s">
        <v>73</v>
      </c>
      <c r="C1175" t="s">
        <v>74</v>
      </c>
      <c r="E1175" t="str">
        <f>"FES1162728087"</f>
        <v>FES1162728087</v>
      </c>
      <c r="F1175" s="3">
        <v>43811</v>
      </c>
      <c r="G1175">
        <v>202006</v>
      </c>
      <c r="H1175" t="s">
        <v>75</v>
      </c>
      <c r="I1175" t="s">
        <v>76</v>
      </c>
      <c r="J1175" t="s">
        <v>77</v>
      </c>
      <c r="K1175" t="s">
        <v>78</v>
      </c>
      <c r="L1175" t="s">
        <v>138</v>
      </c>
      <c r="M1175" t="s">
        <v>139</v>
      </c>
      <c r="N1175" t="s">
        <v>1700</v>
      </c>
      <c r="O1175" t="s">
        <v>82</v>
      </c>
      <c r="P1175" t="str">
        <f>"21707178124                   "</f>
        <v xml:space="preserve">21707178124                   </v>
      </c>
      <c r="Q1175">
        <v>0</v>
      </c>
      <c r="R1175">
        <v>0</v>
      </c>
      <c r="S1175">
        <v>0</v>
      </c>
      <c r="T1175">
        <v>0</v>
      </c>
      <c r="U1175">
        <v>0</v>
      </c>
      <c r="V1175">
        <v>0</v>
      </c>
      <c r="W1175">
        <v>0</v>
      </c>
      <c r="X1175">
        <v>0</v>
      </c>
      <c r="Y1175">
        <v>0</v>
      </c>
      <c r="Z1175">
        <v>0</v>
      </c>
      <c r="AA1175">
        <v>0</v>
      </c>
      <c r="AB1175">
        <v>0</v>
      </c>
      <c r="AC1175">
        <v>0</v>
      </c>
      <c r="AD1175">
        <v>0</v>
      </c>
      <c r="AE1175">
        <v>0</v>
      </c>
      <c r="AF1175">
        <v>0</v>
      </c>
      <c r="AG1175">
        <v>0</v>
      </c>
      <c r="AH1175">
        <v>0</v>
      </c>
      <c r="AI1175">
        <v>0</v>
      </c>
      <c r="AJ1175">
        <v>0</v>
      </c>
      <c r="AK1175">
        <v>0</v>
      </c>
      <c r="AL1175">
        <v>0</v>
      </c>
      <c r="AM1175">
        <v>6.71</v>
      </c>
      <c r="AN1175">
        <v>0</v>
      </c>
      <c r="AO1175">
        <v>0</v>
      </c>
      <c r="AP1175">
        <v>0</v>
      </c>
      <c r="AQ1175">
        <v>0</v>
      </c>
      <c r="AR1175">
        <v>0</v>
      </c>
      <c r="AS1175">
        <v>0</v>
      </c>
      <c r="AT1175">
        <v>0</v>
      </c>
      <c r="AU1175">
        <v>0</v>
      </c>
      <c r="AV1175">
        <v>0</v>
      </c>
      <c r="AW1175">
        <v>0</v>
      </c>
      <c r="AX1175">
        <v>0</v>
      </c>
      <c r="AY1175">
        <v>0</v>
      </c>
      <c r="AZ1175">
        <v>0</v>
      </c>
      <c r="BA1175">
        <v>0</v>
      </c>
      <c r="BB1175">
        <v>0</v>
      </c>
      <c r="BC1175">
        <v>0</v>
      </c>
      <c r="BD1175">
        <v>0</v>
      </c>
      <c r="BE1175">
        <v>0</v>
      </c>
      <c r="BF1175">
        <v>0</v>
      </c>
      <c r="BG1175">
        <v>0</v>
      </c>
      <c r="BH1175">
        <v>1</v>
      </c>
      <c r="BI1175">
        <v>2</v>
      </c>
      <c r="BJ1175">
        <v>0.9</v>
      </c>
      <c r="BK1175">
        <v>2</v>
      </c>
      <c r="BL1175" s="4">
        <v>39.42</v>
      </c>
      <c r="BM1175" s="4">
        <v>5.91</v>
      </c>
      <c r="BN1175" s="4">
        <v>45.33</v>
      </c>
      <c r="BO1175" s="4">
        <v>45.33</v>
      </c>
      <c r="BR1175" t="s">
        <v>84</v>
      </c>
      <c r="BS1175" s="3">
        <v>43812</v>
      </c>
      <c r="BT1175" s="5">
        <v>0.375</v>
      </c>
      <c r="BU1175" t="s">
        <v>625</v>
      </c>
      <c r="BV1175" t="s">
        <v>86</v>
      </c>
      <c r="BY1175">
        <v>4500</v>
      </c>
      <c r="CC1175" t="s">
        <v>139</v>
      </c>
      <c r="CD1175">
        <v>1428</v>
      </c>
      <c r="CE1175" t="s">
        <v>116</v>
      </c>
      <c r="CF1175" s="3">
        <v>43816</v>
      </c>
      <c r="CI1175">
        <v>1</v>
      </c>
      <c r="CJ1175">
        <v>1</v>
      </c>
      <c r="CK1175">
        <v>22</v>
      </c>
      <c r="CL1175" t="s">
        <v>89</v>
      </c>
    </row>
    <row r="1176" spans="1:90">
      <c r="A1176" t="s">
        <v>72</v>
      </c>
      <c r="B1176" t="s">
        <v>73</v>
      </c>
      <c r="C1176" t="s">
        <v>74</v>
      </c>
      <c r="E1176" t="str">
        <f>"FES1162728036"</f>
        <v>FES1162728036</v>
      </c>
      <c r="F1176" s="3">
        <v>43811</v>
      </c>
      <c r="G1176">
        <v>202006</v>
      </c>
      <c r="H1176" t="s">
        <v>75</v>
      </c>
      <c r="I1176" t="s">
        <v>76</v>
      </c>
      <c r="J1176" t="s">
        <v>77</v>
      </c>
      <c r="K1176" t="s">
        <v>78</v>
      </c>
      <c r="L1176" t="s">
        <v>151</v>
      </c>
      <c r="M1176" t="s">
        <v>102</v>
      </c>
      <c r="N1176" t="s">
        <v>329</v>
      </c>
      <c r="O1176" t="s">
        <v>82</v>
      </c>
      <c r="P1176" t="str">
        <f>"2170712465                    "</f>
        <v xml:space="preserve">2170712465                    </v>
      </c>
      <c r="Q1176">
        <v>0</v>
      </c>
      <c r="R1176">
        <v>0</v>
      </c>
      <c r="S1176">
        <v>0</v>
      </c>
      <c r="T1176">
        <v>0</v>
      </c>
      <c r="U1176">
        <v>0</v>
      </c>
      <c r="V1176">
        <v>0</v>
      </c>
      <c r="W1176">
        <v>0</v>
      </c>
      <c r="X1176">
        <v>0</v>
      </c>
      <c r="Y1176">
        <v>0</v>
      </c>
      <c r="Z1176">
        <v>0</v>
      </c>
      <c r="AA1176">
        <v>0</v>
      </c>
      <c r="AB1176">
        <v>0</v>
      </c>
      <c r="AC1176">
        <v>0</v>
      </c>
      <c r="AD1176">
        <v>0</v>
      </c>
      <c r="AE1176">
        <v>0</v>
      </c>
      <c r="AF1176">
        <v>0</v>
      </c>
      <c r="AG1176">
        <v>0</v>
      </c>
      <c r="AH1176">
        <v>0</v>
      </c>
      <c r="AI1176">
        <v>0</v>
      </c>
      <c r="AJ1176">
        <v>0</v>
      </c>
      <c r="AK1176">
        <v>0</v>
      </c>
      <c r="AL1176">
        <v>0</v>
      </c>
      <c r="AM1176">
        <v>8.58</v>
      </c>
      <c r="AN1176">
        <v>0</v>
      </c>
      <c r="AO1176">
        <v>0</v>
      </c>
      <c r="AP1176">
        <v>0</v>
      </c>
      <c r="AQ1176">
        <v>0</v>
      </c>
      <c r="AR1176">
        <v>0</v>
      </c>
      <c r="AS1176">
        <v>0</v>
      </c>
      <c r="AT1176">
        <v>0</v>
      </c>
      <c r="AU1176">
        <v>0</v>
      </c>
      <c r="AV1176">
        <v>0</v>
      </c>
      <c r="AW1176">
        <v>0</v>
      </c>
      <c r="AX1176">
        <v>0</v>
      </c>
      <c r="AY1176">
        <v>0</v>
      </c>
      <c r="AZ1176">
        <v>0</v>
      </c>
      <c r="BA1176">
        <v>0</v>
      </c>
      <c r="BB1176">
        <v>0</v>
      </c>
      <c r="BC1176">
        <v>0</v>
      </c>
      <c r="BD1176">
        <v>0</v>
      </c>
      <c r="BE1176">
        <v>0</v>
      </c>
      <c r="BF1176">
        <v>0</v>
      </c>
      <c r="BG1176">
        <v>0</v>
      </c>
      <c r="BH1176">
        <v>1</v>
      </c>
      <c r="BI1176">
        <v>1</v>
      </c>
      <c r="BJ1176">
        <v>0.2</v>
      </c>
      <c r="BK1176">
        <v>1</v>
      </c>
      <c r="BL1176" s="4">
        <v>50.45</v>
      </c>
      <c r="BM1176" s="4">
        <v>7.57</v>
      </c>
      <c r="BN1176" s="4">
        <v>58.02</v>
      </c>
      <c r="BO1176" s="4">
        <v>58.02</v>
      </c>
      <c r="BQ1176" t="s">
        <v>147</v>
      </c>
      <c r="BR1176" t="s">
        <v>84</v>
      </c>
      <c r="BS1176" s="3">
        <v>43812</v>
      </c>
      <c r="BT1176" s="5">
        <v>0.40625</v>
      </c>
      <c r="BU1176" t="s">
        <v>1701</v>
      </c>
      <c r="BV1176" t="s">
        <v>86</v>
      </c>
      <c r="BY1176">
        <v>1200</v>
      </c>
      <c r="CA1176" t="s">
        <v>1357</v>
      </c>
      <c r="CC1176" t="s">
        <v>102</v>
      </c>
      <c r="CD1176">
        <v>200</v>
      </c>
      <c r="CE1176" t="s">
        <v>88</v>
      </c>
      <c r="CF1176" s="3">
        <v>43816</v>
      </c>
      <c r="CI1176">
        <v>1</v>
      </c>
      <c r="CJ1176">
        <v>1</v>
      </c>
      <c r="CK1176">
        <v>21</v>
      </c>
      <c r="CL1176" t="s">
        <v>89</v>
      </c>
    </row>
    <row r="1177" spans="1:90">
      <c r="A1177" t="s">
        <v>72</v>
      </c>
      <c r="B1177" t="s">
        <v>73</v>
      </c>
      <c r="C1177" t="s">
        <v>74</v>
      </c>
      <c r="E1177" t="str">
        <f>"FES1162727980"</f>
        <v>FES1162727980</v>
      </c>
      <c r="F1177" s="3">
        <v>43811</v>
      </c>
      <c r="G1177">
        <v>202006</v>
      </c>
      <c r="H1177" t="s">
        <v>75</v>
      </c>
      <c r="I1177" t="s">
        <v>76</v>
      </c>
      <c r="J1177" t="s">
        <v>77</v>
      </c>
      <c r="K1177" t="s">
        <v>78</v>
      </c>
      <c r="L1177" t="s">
        <v>151</v>
      </c>
      <c r="M1177" t="s">
        <v>102</v>
      </c>
      <c r="N1177" t="s">
        <v>324</v>
      </c>
      <c r="O1177" t="s">
        <v>82</v>
      </c>
      <c r="P1177" t="str">
        <f>"2170719034                    "</f>
        <v xml:space="preserve">2170719034                    </v>
      </c>
      <c r="Q1177">
        <v>0</v>
      </c>
      <c r="R1177">
        <v>0</v>
      </c>
      <c r="S1177">
        <v>0</v>
      </c>
      <c r="T1177">
        <v>0</v>
      </c>
      <c r="U1177">
        <v>0</v>
      </c>
      <c r="V1177">
        <v>0</v>
      </c>
      <c r="W1177">
        <v>0</v>
      </c>
      <c r="X1177">
        <v>0</v>
      </c>
      <c r="Y1177">
        <v>0</v>
      </c>
      <c r="Z1177">
        <v>0</v>
      </c>
      <c r="AA1177">
        <v>0</v>
      </c>
      <c r="AB1177">
        <v>0</v>
      </c>
      <c r="AC1177">
        <v>0</v>
      </c>
      <c r="AD1177">
        <v>0</v>
      </c>
      <c r="AE1177">
        <v>0</v>
      </c>
      <c r="AF1177">
        <v>0</v>
      </c>
      <c r="AG1177">
        <v>0</v>
      </c>
      <c r="AH1177">
        <v>0</v>
      </c>
      <c r="AI1177">
        <v>0</v>
      </c>
      <c r="AJ1177">
        <v>0</v>
      </c>
      <c r="AK1177">
        <v>0</v>
      </c>
      <c r="AL1177">
        <v>0</v>
      </c>
      <c r="AM1177">
        <v>8.58</v>
      </c>
      <c r="AN1177">
        <v>0</v>
      </c>
      <c r="AO1177">
        <v>0</v>
      </c>
      <c r="AP1177">
        <v>0</v>
      </c>
      <c r="AQ1177">
        <v>0</v>
      </c>
      <c r="AR1177">
        <v>0</v>
      </c>
      <c r="AS1177">
        <v>0</v>
      </c>
      <c r="AT1177">
        <v>0</v>
      </c>
      <c r="AU1177">
        <v>0</v>
      </c>
      <c r="AV1177">
        <v>0</v>
      </c>
      <c r="AW1177">
        <v>0</v>
      </c>
      <c r="AX1177">
        <v>0</v>
      </c>
      <c r="AY1177">
        <v>0</v>
      </c>
      <c r="AZ1177">
        <v>0</v>
      </c>
      <c r="BA1177">
        <v>0</v>
      </c>
      <c r="BB1177">
        <v>0</v>
      </c>
      <c r="BC1177">
        <v>0</v>
      </c>
      <c r="BD1177">
        <v>0</v>
      </c>
      <c r="BE1177">
        <v>0</v>
      </c>
      <c r="BF1177">
        <v>0</v>
      </c>
      <c r="BG1177">
        <v>0</v>
      </c>
      <c r="BH1177">
        <v>1</v>
      </c>
      <c r="BI1177">
        <v>1</v>
      </c>
      <c r="BJ1177">
        <v>0.2</v>
      </c>
      <c r="BK1177">
        <v>1</v>
      </c>
      <c r="BL1177" s="4">
        <v>50.45</v>
      </c>
      <c r="BM1177" s="4">
        <v>7.57</v>
      </c>
      <c r="BN1177" s="4">
        <v>58.02</v>
      </c>
      <c r="BO1177" s="4">
        <v>58.02</v>
      </c>
      <c r="BQ1177" t="s">
        <v>93</v>
      </c>
      <c r="BR1177" t="s">
        <v>84</v>
      </c>
      <c r="BS1177" s="3">
        <v>43812</v>
      </c>
      <c r="BT1177" s="5">
        <v>0.38541666666666669</v>
      </c>
      <c r="BU1177" t="s">
        <v>1702</v>
      </c>
      <c r="BV1177" t="s">
        <v>86</v>
      </c>
      <c r="BY1177">
        <v>1200</v>
      </c>
      <c r="CA1177" t="s">
        <v>1357</v>
      </c>
      <c r="CC1177" t="s">
        <v>102</v>
      </c>
      <c r="CD1177">
        <v>200</v>
      </c>
      <c r="CE1177" t="s">
        <v>88</v>
      </c>
      <c r="CF1177" s="3">
        <v>43816</v>
      </c>
      <c r="CI1177">
        <v>1</v>
      </c>
      <c r="CJ1177">
        <v>1</v>
      </c>
      <c r="CK1177">
        <v>21</v>
      </c>
      <c r="CL1177" t="s">
        <v>89</v>
      </c>
    </row>
    <row r="1178" spans="1:90">
      <c r="A1178" t="s">
        <v>72</v>
      </c>
      <c r="B1178" t="s">
        <v>73</v>
      </c>
      <c r="C1178" t="s">
        <v>74</v>
      </c>
      <c r="E1178" t="str">
        <f>"FES1162728074"</f>
        <v>FES1162728074</v>
      </c>
      <c r="F1178" s="3">
        <v>43811</v>
      </c>
      <c r="G1178">
        <v>202006</v>
      </c>
      <c r="H1178" t="s">
        <v>75</v>
      </c>
      <c r="I1178" t="s">
        <v>76</v>
      </c>
      <c r="J1178" t="s">
        <v>77</v>
      </c>
      <c r="K1178" t="s">
        <v>78</v>
      </c>
      <c r="L1178" t="s">
        <v>79</v>
      </c>
      <c r="M1178" t="s">
        <v>80</v>
      </c>
      <c r="N1178" t="s">
        <v>129</v>
      </c>
      <c r="O1178" t="s">
        <v>82</v>
      </c>
      <c r="P1178" t="str">
        <f>"2170718278                    "</f>
        <v xml:space="preserve">2170718278                    </v>
      </c>
      <c r="Q1178">
        <v>0</v>
      </c>
      <c r="R1178">
        <v>0</v>
      </c>
      <c r="S1178">
        <v>0</v>
      </c>
      <c r="T1178">
        <v>0</v>
      </c>
      <c r="U1178">
        <v>0</v>
      </c>
      <c r="V1178">
        <v>0</v>
      </c>
      <c r="W1178">
        <v>0</v>
      </c>
      <c r="X1178">
        <v>0</v>
      </c>
      <c r="Y1178">
        <v>0</v>
      </c>
      <c r="Z1178">
        <v>0</v>
      </c>
      <c r="AA1178">
        <v>0</v>
      </c>
      <c r="AB1178">
        <v>0</v>
      </c>
      <c r="AC1178">
        <v>0</v>
      </c>
      <c r="AD1178">
        <v>0</v>
      </c>
      <c r="AE1178">
        <v>0</v>
      </c>
      <c r="AF1178">
        <v>0</v>
      </c>
      <c r="AG1178">
        <v>0</v>
      </c>
      <c r="AH1178">
        <v>0</v>
      </c>
      <c r="AI1178">
        <v>0</v>
      </c>
      <c r="AJ1178">
        <v>0</v>
      </c>
      <c r="AK1178">
        <v>0</v>
      </c>
      <c r="AL1178">
        <v>0</v>
      </c>
      <c r="AM1178">
        <v>8.58</v>
      </c>
      <c r="AN1178">
        <v>0</v>
      </c>
      <c r="AO1178">
        <v>0</v>
      </c>
      <c r="AP1178">
        <v>0</v>
      </c>
      <c r="AQ1178">
        <v>0</v>
      </c>
      <c r="AR1178">
        <v>0</v>
      </c>
      <c r="AS1178">
        <v>0</v>
      </c>
      <c r="AT1178">
        <v>0</v>
      </c>
      <c r="AU1178">
        <v>0</v>
      </c>
      <c r="AV1178">
        <v>0</v>
      </c>
      <c r="AW1178">
        <v>0</v>
      </c>
      <c r="AX1178">
        <v>0</v>
      </c>
      <c r="AY1178">
        <v>0</v>
      </c>
      <c r="AZ1178">
        <v>0</v>
      </c>
      <c r="BA1178">
        <v>0</v>
      </c>
      <c r="BB1178">
        <v>0</v>
      </c>
      <c r="BC1178">
        <v>0</v>
      </c>
      <c r="BD1178">
        <v>0</v>
      </c>
      <c r="BE1178">
        <v>0</v>
      </c>
      <c r="BF1178">
        <v>0</v>
      </c>
      <c r="BG1178">
        <v>0</v>
      </c>
      <c r="BH1178">
        <v>1</v>
      </c>
      <c r="BI1178">
        <v>1.6</v>
      </c>
      <c r="BJ1178">
        <v>1.8</v>
      </c>
      <c r="BK1178">
        <v>2</v>
      </c>
      <c r="BL1178" s="4">
        <v>50.45</v>
      </c>
      <c r="BM1178" s="4">
        <v>7.57</v>
      </c>
      <c r="BN1178" s="4">
        <v>58.02</v>
      </c>
      <c r="BO1178" s="4">
        <v>58.02</v>
      </c>
      <c r="BQ1178" t="s">
        <v>147</v>
      </c>
      <c r="BR1178" t="s">
        <v>84</v>
      </c>
      <c r="BS1178" s="3">
        <v>43812</v>
      </c>
      <c r="BT1178" s="5">
        <v>0.38541666666666669</v>
      </c>
      <c r="BU1178" t="s">
        <v>1648</v>
      </c>
      <c r="BV1178" t="s">
        <v>86</v>
      </c>
      <c r="BY1178">
        <v>9000.32</v>
      </c>
      <c r="CA1178" t="s">
        <v>131</v>
      </c>
      <c r="CC1178" t="s">
        <v>80</v>
      </c>
      <c r="CD1178">
        <v>6001</v>
      </c>
      <c r="CE1178" t="s">
        <v>96</v>
      </c>
      <c r="CF1178" s="3">
        <v>43816</v>
      </c>
      <c r="CI1178">
        <v>1</v>
      </c>
      <c r="CJ1178">
        <v>1</v>
      </c>
      <c r="CK1178">
        <v>21</v>
      </c>
      <c r="CL1178" t="s">
        <v>89</v>
      </c>
    </row>
    <row r="1179" spans="1:90">
      <c r="A1179" t="s">
        <v>72</v>
      </c>
      <c r="B1179" t="s">
        <v>73</v>
      </c>
      <c r="C1179" t="s">
        <v>74</v>
      </c>
      <c r="E1179" t="str">
        <f>"FES1162728109"</f>
        <v>FES1162728109</v>
      </c>
      <c r="F1179" s="3">
        <v>43811</v>
      </c>
      <c r="G1179">
        <v>202006</v>
      </c>
      <c r="H1179" t="s">
        <v>75</v>
      </c>
      <c r="I1179" t="s">
        <v>76</v>
      </c>
      <c r="J1179" t="s">
        <v>77</v>
      </c>
      <c r="K1179" t="s">
        <v>78</v>
      </c>
      <c r="L1179" t="s">
        <v>860</v>
      </c>
      <c r="M1179" t="s">
        <v>861</v>
      </c>
      <c r="N1179" t="s">
        <v>1395</v>
      </c>
      <c r="O1179" t="s">
        <v>82</v>
      </c>
      <c r="P1179" t="str">
        <f>"21707186417                   "</f>
        <v xml:space="preserve">21707186417                   </v>
      </c>
      <c r="Q1179">
        <v>0</v>
      </c>
      <c r="R1179">
        <v>0</v>
      </c>
      <c r="S1179">
        <v>0</v>
      </c>
      <c r="T1179">
        <v>0</v>
      </c>
      <c r="U1179">
        <v>0</v>
      </c>
      <c r="V1179">
        <v>0</v>
      </c>
      <c r="W1179">
        <v>0</v>
      </c>
      <c r="X1179">
        <v>0</v>
      </c>
      <c r="Y1179">
        <v>0</v>
      </c>
      <c r="Z1179">
        <v>0</v>
      </c>
      <c r="AA1179">
        <v>0</v>
      </c>
      <c r="AB1179">
        <v>0</v>
      </c>
      <c r="AC1179">
        <v>0</v>
      </c>
      <c r="AD1179">
        <v>0</v>
      </c>
      <c r="AE1179">
        <v>0</v>
      </c>
      <c r="AF1179">
        <v>0</v>
      </c>
      <c r="AG1179">
        <v>0</v>
      </c>
      <c r="AH1179">
        <v>0</v>
      </c>
      <c r="AI1179">
        <v>0</v>
      </c>
      <c r="AJ1179">
        <v>0</v>
      </c>
      <c r="AK1179">
        <v>0</v>
      </c>
      <c r="AL1179">
        <v>0</v>
      </c>
      <c r="AM1179">
        <v>6.71</v>
      </c>
      <c r="AN1179">
        <v>0</v>
      </c>
      <c r="AO1179">
        <v>0</v>
      </c>
      <c r="AP1179">
        <v>0</v>
      </c>
      <c r="AQ1179">
        <v>0</v>
      </c>
      <c r="AR1179">
        <v>0</v>
      </c>
      <c r="AS1179">
        <v>0</v>
      </c>
      <c r="AT1179">
        <v>0</v>
      </c>
      <c r="AU1179">
        <v>0</v>
      </c>
      <c r="AV1179">
        <v>0</v>
      </c>
      <c r="AW1179">
        <v>0</v>
      </c>
      <c r="AX1179">
        <v>0</v>
      </c>
      <c r="AY1179">
        <v>0</v>
      </c>
      <c r="AZ1179">
        <v>0</v>
      </c>
      <c r="BA1179">
        <v>0</v>
      </c>
      <c r="BB1179">
        <v>0</v>
      </c>
      <c r="BC1179">
        <v>0</v>
      </c>
      <c r="BD1179">
        <v>0</v>
      </c>
      <c r="BE1179">
        <v>0</v>
      </c>
      <c r="BF1179">
        <v>0</v>
      </c>
      <c r="BG1179">
        <v>0</v>
      </c>
      <c r="BH1179">
        <v>1</v>
      </c>
      <c r="BI1179">
        <v>1</v>
      </c>
      <c r="BJ1179">
        <v>0.2</v>
      </c>
      <c r="BK1179">
        <v>1</v>
      </c>
      <c r="BL1179" s="4">
        <v>39.42</v>
      </c>
      <c r="BM1179" s="4">
        <v>5.91</v>
      </c>
      <c r="BN1179" s="4">
        <v>45.33</v>
      </c>
      <c r="BO1179" s="4">
        <v>45.33</v>
      </c>
      <c r="BQ1179" t="s">
        <v>147</v>
      </c>
      <c r="BR1179" t="s">
        <v>84</v>
      </c>
      <c r="BS1179" s="3">
        <v>43812</v>
      </c>
      <c r="BT1179" s="5">
        <v>0.54999999999999993</v>
      </c>
      <c r="BU1179" t="s">
        <v>1703</v>
      </c>
      <c r="BV1179" t="s">
        <v>89</v>
      </c>
      <c r="BW1179" t="s">
        <v>149</v>
      </c>
      <c r="BX1179" t="s">
        <v>1704</v>
      </c>
      <c r="BY1179">
        <v>1200</v>
      </c>
      <c r="CC1179" t="s">
        <v>861</v>
      </c>
      <c r="CD1179">
        <v>2163</v>
      </c>
      <c r="CE1179" t="s">
        <v>88</v>
      </c>
      <c r="CF1179" s="3">
        <v>43816</v>
      </c>
      <c r="CI1179">
        <v>1</v>
      </c>
      <c r="CJ1179">
        <v>1</v>
      </c>
      <c r="CK1179">
        <v>22</v>
      </c>
      <c r="CL1179" t="s">
        <v>89</v>
      </c>
    </row>
    <row r="1180" spans="1:90">
      <c r="A1180" t="s">
        <v>72</v>
      </c>
      <c r="B1180" t="s">
        <v>73</v>
      </c>
      <c r="C1180" t="s">
        <v>74</v>
      </c>
      <c r="E1180" t="str">
        <f>"FES1162728127"</f>
        <v>FES1162728127</v>
      </c>
      <c r="F1180" s="3">
        <v>43811</v>
      </c>
      <c r="G1180">
        <v>202006</v>
      </c>
      <c r="H1180" t="s">
        <v>75</v>
      </c>
      <c r="I1180" t="s">
        <v>76</v>
      </c>
      <c r="J1180" t="s">
        <v>77</v>
      </c>
      <c r="K1180" t="s">
        <v>78</v>
      </c>
      <c r="L1180" t="s">
        <v>79</v>
      </c>
      <c r="M1180" t="s">
        <v>80</v>
      </c>
      <c r="N1180" t="s">
        <v>1090</v>
      </c>
      <c r="O1180" t="s">
        <v>82</v>
      </c>
      <c r="P1180" t="str">
        <f>"2170718795                    "</f>
        <v xml:space="preserve">2170718795                    </v>
      </c>
      <c r="Q1180">
        <v>0</v>
      </c>
      <c r="R1180">
        <v>0</v>
      </c>
      <c r="S1180">
        <v>0</v>
      </c>
      <c r="T1180">
        <v>0</v>
      </c>
      <c r="U1180">
        <v>0</v>
      </c>
      <c r="V1180">
        <v>0</v>
      </c>
      <c r="W1180">
        <v>0</v>
      </c>
      <c r="X1180">
        <v>0</v>
      </c>
      <c r="Y1180">
        <v>0</v>
      </c>
      <c r="Z1180">
        <v>0</v>
      </c>
      <c r="AA1180">
        <v>0</v>
      </c>
      <c r="AB1180">
        <v>0</v>
      </c>
      <c r="AC1180">
        <v>0</v>
      </c>
      <c r="AD1180">
        <v>0</v>
      </c>
      <c r="AE1180">
        <v>0</v>
      </c>
      <c r="AF1180">
        <v>0</v>
      </c>
      <c r="AG1180">
        <v>0</v>
      </c>
      <c r="AH1180">
        <v>0</v>
      </c>
      <c r="AI1180">
        <v>0</v>
      </c>
      <c r="AJ1180">
        <v>0</v>
      </c>
      <c r="AK1180">
        <v>0</v>
      </c>
      <c r="AL1180">
        <v>0</v>
      </c>
      <c r="AM1180">
        <v>17.16</v>
      </c>
      <c r="AN1180">
        <v>0</v>
      </c>
      <c r="AO1180">
        <v>0</v>
      </c>
      <c r="AP1180">
        <v>0</v>
      </c>
      <c r="AQ1180">
        <v>0</v>
      </c>
      <c r="AR1180">
        <v>0</v>
      </c>
      <c r="AS1180">
        <v>0</v>
      </c>
      <c r="AT1180">
        <v>0</v>
      </c>
      <c r="AU1180">
        <v>0</v>
      </c>
      <c r="AV1180">
        <v>0</v>
      </c>
      <c r="AW1180">
        <v>0</v>
      </c>
      <c r="AX1180">
        <v>0</v>
      </c>
      <c r="AY1180">
        <v>0</v>
      </c>
      <c r="AZ1180">
        <v>0</v>
      </c>
      <c r="BA1180">
        <v>0</v>
      </c>
      <c r="BB1180">
        <v>0</v>
      </c>
      <c r="BC1180">
        <v>0</v>
      </c>
      <c r="BD1180">
        <v>0</v>
      </c>
      <c r="BE1180">
        <v>0</v>
      </c>
      <c r="BF1180">
        <v>0</v>
      </c>
      <c r="BG1180">
        <v>0</v>
      </c>
      <c r="BH1180">
        <v>1</v>
      </c>
      <c r="BI1180">
        <v>4</v>
      </c>
      <c r="BJ1180">
        <v>1.1000000000000001</v>
      </c>
      <c r="BK1180">
        <v>4</v>
      </c>
      <c r="BL1180" s="4">
        <v>100.87</v>
      </c>
      <c r="BM1180" s="4">
        <v>15.13</v>
      </c>
      <c r="BN1180" s="4">
        <v>116</v>
      </c>
      <c r="BO1180" s="4">
        <v>116</v>
      </c>
      <c r="BQ1180" t="s">
        <v>147</v>
      </c>
      <c r="BR1180" t="s">
        <v>84</v>
      </c>
      <c r="BS1180" s="3">
        <v>43812</v>
      </c>
      <c r="BT1180" s="5">
        <v>0.4236111111111111</v>
      </c>
      <c r="BU1180" t="s">
        <v>1091</v>
      </c>
      <c r="BV1180" t="s">
        <v>86</v>
      </c>
      <c r="BY1180">
        <v>5320</v>
      </c>
      <c r="CA1180" t="s">
        <v>185</v>
      </c>
      <c r="CC1180" t="s">
        <v>80</v>
      </c>
      <c r="CD1180">
        <v>6012</v>
      </c>
      <c r="CE1180" t="s">
        <v>96</v>
      </c>
      <c r="CF1180" s="3">
        <v>43816</v>
      </c>
      <c r="CI1180">
        <v>1</v>
      </c>
      <c r="CJ1180">
        <v>1</v>
      </c>
      <c r="CK1180">
        <v>21</v>
      </c>
      <c r="CL1180" t="s">
        <v>89</v>
      </c>
    </row>
    <row r="1181" spans="1:90">
      <c r="A1181" t="s">
        <v>72</v>
      </c>
      <c r="B1181" t="s">
        <v>73</v>
      </c>
      <c r="C1181" t="s">
        <v>74</v>
      </c>
      <c r="E1181" t="str">
        <f>"FES1162728122"</f>
        <v>FES1162728122</v>
      </c>
      <c r="F1181" s="3">
        <v>43811</v>
      </c>
      <c r="G1181">
        <v>202006</v>
      </c>
      <c r="H1181" t="s">
        <v>75</v>
      </c>
      <c r="I1181" t="s">
        <v>76</v>
      </c>
      <c r="J1181" t="s">
        <v>77</v>
      </c>
      <c r="K1181" t="s">
        <v>78</v>
      </c>
      <c r="L1181" t="s">
        <v>79</v>
      </c>
      <c r="M1181" t="s">
        <v>80</v>
      </c>
      <c r="N1181" t="s">
        <v>81</v>
      </c>
      <c r="O1181" t="s">
        <v>82</v>
      </c>
      <c r="P1181" t="str">
        <f>"2170718745                    "</f>
        <v xml:space="preserve">2170718745                    </v>
      </c>
      <c r="Q1181">
        <v>0</v>
      </c>
      <c r="R1181">
        <v>0</v>
      </c>
      <c r="S1181">
        <v>0</v>
      </c>
      <c r="T1181">
        <v>0</v>
      </c>
      <c r="U1181">
        <v>0</v>
      </c>
      <c r="V1181">
        <v>0</v>
      </c>
      <c r="W1181">
        <v>0</v>
      </c>
      <c r="X1181">
        <v>0</v>
      </c>
      <c r="Y1181">
        <v>0</v>
      </c>
      <c r="Z1181">
        <v>0</v>
      </c>
      <c r="AA1181">
        <v>0</v>
      </c>
      <c r="AB1181">
        <v>0</v>
      </c>
      <c r="AC1181">
        <v>0</v>
      </c>
      <c r="AD1181">
        <v>0</v>
      </c>
      <c r="AE1181">
        <v>0</v>
      </c>
      <c r="AF1181">
        <v>0</v>
      </c>
      <c r="AG1181">
        <v>0</v>
      </c>
      <c r="AH1181">
        <v>0</v>
      </c>
      <c r="AI1181">
        <v>0</v>
      </c>
      <c r="AJ1181">
        <v>0</v>
      </c>
      <c r="AK1181">
        <v>0</v>
      </c>
      <c r="AL1181">
        <v>0</v>
      </c>
      <c r="AM1181">
        <v>8.58</v>
      </c>
      <c r="AN1181">
        <v>0</v>
      </c>
      <c r="AO1181">
        <v>0</v>
      </c>
      <c r="AP1181">
        <v>0</v>
      </c>
      <c r="AQ1181">
        <v>0</v>
      </c>
      <c r="AR1181">
        <v>0</v>
      </c>
      <c r="AS1181">
        <v>0</v>
      </c>
      <c r="AT1181">
        <v>0</v>
      </c>
      <c r="AU1181">
        <v>0</v>
      </c>
      <c r="AV1181">
        <v>0</v>
      </c>
      <c r="AW1181">
        <v>0</v>
      </c>
      <c r="AX1181">
        <v>0</v>
      </c>
      <c r="AY1181">
        <v>0</v>
      </c>
      <c r="AZ1181">
        <v>0</v>
      </c>
      <c r="BA1181">
        <v>0</v>
      </c>
      <c r="BB1181">
        <v>0</v>
      </c>
      <c r="BC1181">
        <v>0</v>
      </c>
      <c r="BD1181">
        <v>0</v>
      </c>
      <c r="BE1181">
        <v>0</v>
      </c>
      <c r="BF1181">
        <v>0</v>
      </c>
      <c r="BG1181">
        <v>0</v>
      </c>
      <c r="BH1181">
        <v>1</v>
      </c>
      <c r="BI1181">
        <v>1.6</v>
      </c>
      <c r="BJ1181">
        <v>1.7</v>
      </c>
      <c r="BK1181">
        <v>2</v>
      </c>
      <c r="BL1181" s="4">
        <v>50.45</v>
      </c>
      <c r="BM1181" s="4">
        <v>7.57</v>
      </c>
      <c r="BN1181" s="4">
        <v>58.02</v>
      </c>
      <c r="BO1181" s="4">
        <v>58.02</v>
      </c>
      <c r="BQ1181" t="s">
        <v>83</v>
      </c>
      <c r="BR1181" t="s">
        <v>84</v>
      </c>
      <c r="BS1181" s="3">
        <v>43812</v>
      </c>
      <c r="BT1181" s="5">
        <v>0.30833333333333335</v>
      </c>
      <c r="BU1181" t="s">
        <v>1705</v>
      </c>
      <c r="BV1181" t="s">
        <v>86</v>
      </c>
      <c r="BY1181">
        <v>8719.23</v>
      </c>
      <c r="CA1181" t="s">
        <v>1562</v>
      </c>
      <c r="CC1181" t="s">
        <v>80</v>
      </c>
      <c r="CD1181">
        <v>6045</v>
      </c>
      <c r="CE1181" t="s">
        <v>96</v>
      </c>
      <c r="CF1181" s="3">
        <v>43816</v>
      </c>
      <c r="CI1181">
        <v>1</v>
      </c>
      <c r="CJ1181">
        <v>1</v>
      </c>
      <c r="CK1181">
        <v>21</v>
      </c>
      <c r="CL1181" t="s">
        <v>89</v>
      </c>
    </row>
    <row r="1182" spans="1:90">
      <c r="A1182" t="s">
        <v>72</v>
      </c>
      <c r="B1182" t="s">
        <v>73</v>
      </c>
      <c r="C1182" t="s">
        <v>74</v>
      </c>
      <c r="E1182" t="str">
        <f>"FES1162728068"</f>
        <v>FES1162728068</v>
      </c>
      <c r="F1182" s="3">
        <v>43811</v>
      </c>
      <c r="G1182">
        <v>202006</v>
      </c>
      <c r="H1182" t="s">
        <v>75</v>
      </c>
      <c r="I1182" t="s">
        <v>76</v>
      </c>
      <c r="J1182" t="s">
        <v>77</v>
      </c>
      <c r="K1182" t="s">
        <v>78</v>
      </c>
      <c r="L1182" t="s">
        <v>1331</v>
      </c>
      <c r="M1182" t="s">
        <v>1332</v>
      </c>
      <c r="N1182" t="s">
        <v>1333</v>
      </c>
      <c r="O1182" t="s">
        <v>82</v>
      </c>
      <c r="P1182" t="str">
        <f>"2170718128                    "</f>
        <v xml:space="preserve">2170718128                    </v>
      </c>
      <c r="Q1182">
        <v>0</v>
      </c>
      <c r="R1182">
        <v>0</v>
      </c>
      <c r="S1182">
        <v>0</v>
      </c>
      <c r="T1182">
        <v>0</v>
      </c>
      <c r="U1182">
        <v>0</v>
      </c>
      <c r="V1182">
        <v>0</v>
      </c>
      <c r="W1182">
        <v>0</v>
      </c>
      <c r="X1182">
        <v>0</v>
      </c>
      <c r="Y1182">
        <v>0</v>
      </c>
      <c r="Z1182">
        <v>0</v>
      </c>
      <c r="AA1182">
        <v>0</v>
      </c>
      <c r="AB1182">
        <v>0</v>
      </c>
      <c r="AC1182">
        <v>0</v>
      </c>
      <c r="AD1182">
        <v>0</v>
      </c>
      <c r="AE1182">
        <v>0</v>
      </c>
      <c r="AF1182">
        <v>0</v>
      </c>
      <c r="AG1182">
        <v>0</v>
      </c>
      <c r="AH1182">
        <v>0</v>
      </c>
      <c r="AI1182">
        <v>0</v>
      </c>
      <c r="AJ1182">
        <v>0</v>
      </c>
      <c r="AK1182">
        <v>0</v>
      </c>
      <c r="AL1182">
        <v>0</v>
      </c>
      <c r="AM1182">
        <v>16.63</v>
      </c>
      <c r="AN1182">
        <v>0</v>
      </c>
      <c r="AO1182">
        <v>0</v>
      </c>
      <c r="AP1182">
        <v>0</v>
      </c>
      <c r="AQ1182">
        <v>0</v>
      </c>
      <c r="AR1182">
        <v>0</v>
      </c>
      <c r="AS1182">
        <v>0</v>
      </c>
      <c r="AT1182">
        <v>0</v>
      </c>
      <c r="AU1182">
        <v>0</v>
      </c>
      <c r="AV1182">
        <v>0</v>
      </c>
      <c r="AW1182">
        <v>0</v>
      </c>
      <c r="AX1182">
        <v>0</v>
      </c>
      <c r="AY1182">
        <v>0</v>
      </c>
      <c r="AZ1182">
        <v>0</v>
      </c>
      <c r="BA1182">
        <v>0</v>
      </c>
      <c r="BB1182">
        <v>0</v>
      </c>
      <c r="BC1182">
        <v>0</v>
      </c>
      <c r="BD1182">
        <v>0</v>
      </c>
      <c r="BE1182">
        <v>0</v>
      </c>
      <c r="BF1182">
        <v>0</v>
      </c>
      <c r="BG1182">
        <v>0</v>
      </c>
      <c r="BH1182">
        <v>1</v>
      </c>
      <c r="BI1182">
        <v>1.9</v>
      </c>
      <c r="BJ1182">
        <v>1.6</v>
      </c>
      <c r="BK1182">
        <v>2</v>
      </c>
      <c r="BL1182" s="4">
        <v>97.75</v>
      </c>
      <c r="BM1182" s="4">
        <v>14.66</v>
      </c>
      <c r="BN1182" s="4">
        <v>112.41</v>
      </c>
      <c r="BO1182" s="4">
        <v>112.41</v>
      </c>
      <c r="BR1182" t="s">
        <v>84</v>
      </c>
      <c r="BS1182" s="3">
        <v>43816</v>
      </c>
      <c r="BT1182" s="5">
        <v>0.57986111111111105</v>
      </c>
      <c r="BU1182" t="s">
        <v>1706</v>
      </c>
      <c r="BV1182" t="s">
        <v>89</v>
      </c>
      <c r="BW1182" t="s">
        <v>1707</v>
      </c>
      <c r="BX1182" t="s">
        <v>1708</v>
      </c>
      <c r="BY1182">
        <v>8063.33</v>
      </c>
      <c r="CC1182" t="s">
        <v>1332</v>
      </c>
      <c r="CD1182">
        <v>4490</v>
      </c>
      <c r="CE1182" t="s">
        <v>96</v>
      </c>
      <c r="CF1182" s="3">
        <v>43818</v>
      </c>
      <c r="CI1182">
        <v>1</v>
      </c>
      <c r="CJ1182">
        <v>3</v>
      </c>
      <c r="CK1182">
        <v>23</v>
      </c>
      <c r="CL1182" t="s">
        <v>89</v>
      </c>
    </row>
    <row r="1183" spans="1:90">
      <c r="A1183" t="s">
        <v>72</v>
      </c>
      <c r="B1183" t="s">
        <v>73</v>
      </c>
      <c r="C1183" t="s">
        <v>74</v>
      </c>
      <c r="E1183" t="str">
        <f>"FES1162728020"</f>
        <v>FES1162728020</v>
      </c>
      <c r="F1183" s="3">
        <v>43811</v>
      </c>
      <c r="G1183">
        <v>202006</v>
      </c>
      <c r="H1183" t="s">
        <v>75</v>
      </c>
      <c r="I1183" t="s">
        <v>76</v>
      </c>
      <c r="J1183" t="s">
        <v>77</v>
      </c>
      <c r="K1183" t="s">
        <v>78</v>
      </c>
      <c r="L1183" t="s">
        <v>221</v>
      </c>
      <c r="M1183" t="s">
        <v>222</v>
      </c>
      <c r="N1183" t="s">
        <v>473</v>
      </c>
      <c r="O1183" t="s">
        <v>82</v>
      </c>
      <c r="P1183" t="str">
        <f>"21707151153                   "</f>
        <v xml:space="preserve">21707151153                   </v>
      </c>
      <c r="Q1183">
        <v>0</v>
      </c>
      <c r="R1183">
        <v>0</v>
      </c>
      <c r="S1183">
        <v>0</v>
      </c>
      <c r="T1183">
        <v>0</v>
      </c>
      <c r="U1183">
        <v>0</v>
      </c>
      <c r="V1183">
        <v>0</v>
      </c>
      <c r="W1183">
        <v>0</v>
      </c>
      <c r="X1183">
        <v>0</v>
      </c>
      <c r="Y1183">
        <v>0</v>
      </c>
      <c r="Z1183">
        <v>0</v>
      </c>
      <c r="AA1183">
        <v>0</v>
      </c>
      <c r="AB1183">
        <v>0</v>
      </c>
      <c r="AC1183">
        <v>0</v>
      </c>
      <c r="AD1183">
        <v>0</v>
      </c>
      <c r="AE1183">
        <v>0</v>
      </c>
      <c r="AF1183">
        <v>0</v>
      </c>
      <c r="AG1183">
        <v>0</v>
      </c>
      <c r="AH1183">
        <v>0</v>
      </c>
      <c r="AI1183">
        <v>0</v>
      </c>
      <c r="AJ1183">
        <v>0</v>
      </c>
      <c r="AK1183">
        <v>0</v>
      </c>
      <c r="AL1183">
        <v>0</v>
      </c>
      <c r="AM1183">
        <v>17.16</v>
      </c>
      <c r="AN1183">
        <v>0</v>
      </c>
      <c r="AO1183">
        <v>0</v>
      </c>
      <c r="AP1183">
        <v>0</v>
      </c>
      <c r="AQ1183">
        <v>0</v>
      </c>
      <c r="AR1183">
        <v>0</v>
      </c>
      <c r="AS1183">
        <v>0</v>
      </c>
      <c r="AT1183">
        <v>0</v>
      </c>
      <c r="AU1183">
        <v>0</v>
      </c>
      <c r="AV1183">
        <v>0</v>
      </c>
      <c r="AW1183">
        <v>0</v>
      </c>
      <c r="AX1183">
        <v>0</v>
      </c>
      <c r="AY1183">
        <v>0</v>
      </c>
      <c r="AZ1183">
        <v>0</v>
      </c>
      <c r="BA1183">
        <v>0</v>
      </c>
      <c r="BB1183">
        <v>0</v>
      </c>
      <c r="BC1183">
        <v>0</v>
      </c>
      <c r="BD1183">
        <v>0</v>
      </c>
      <c r="BE1183">
        <v>0</v>
      </c>
      <c r="BF1183">
        <v>0</v>
      </c>
      <c r="BG1183">
        <v>0</v>
      </c>
      <c r="BH1183">
        <v>1</v>
      </c>
      <c r="BI1183">
        <v>1.5</v>
      </c>
      <c r="BJ1183">
        <v>3.8</v>
      </c>
      <c r="BK1183">
        <v>4</v>
      </c>
      <c r="BL1183" s="4">
        <v>100.87</v>
      </c>
      <c r="BM1183" s="4">
        <v>15.13</v>
      </c>
      <c r="BN1183" s="4">
        <v>116</v>
      </c>
      <c r="BO1183" s="4">
        <v>116</v>
      </c>
      <c r="BQ1183" t="s">
        <v>147</v>
      </c>
      <c r="BR1183" t="s">
        <v>84</v>
      </c>
      <c r="BS1183" s="3">
        <v>43812</v>
      </c>
      <c r="BT1183" s="5">
        <v>0.43402777777777773</v>
      </c>
      <c r="BU1183" t="s">
        <v>1709</v>
      </c>
      <c r="BV1183" t="s">
        <v>86</v>
      </c>
      <c r="BY1183">
        <v>19176.849999999999</v>
      </c>
      <c r="CA1183" t="s">
        <v>1488</v>
      </c>
      <c r="CC1183" t="s">
        <v>222</v>
      </c>
      <c r="CD1183">
        <v>3201</v>
      </c>
      <c r="CE1183" t="s">
        <v>96</v>
      </c>
      <c r="CF1183" s="3">
        <v>43816</v>
      </c>
      <c r="CI1183">
        <v>1</v>
      </c>
      <c r="CJ1183">
        <v>1</v>
      </c>
      <c r="CK1183">
        <v>21</v>
      </c>
      <c r="CL1183" t="s">
        <v>89</v>
      </c>
    </row>
    <row r="1184" spans="1:90">
      <c r="A1184" t="s">
        <v>72</v>
      </c>
      <c r="B1184" t="s">
        <v>73</v>
      </c>
      <c r="C1184" t="s">
        <v>74</v>
      </c>
      <c r="E1184" t="str">
        <f>"FES1162727976"</f>
        <v>FES1162727976</v>
      </c>
      <c r="F1184" s="3">
        <v>43811</v>
      </c>
      <c r="G1184">
        <v>202006</v>
      </c>
      <c r="H1184" t="s">
        <v>75</v>
      </c>
      <c r="I1184" t="s">
        <v>76</v>
      </c>
      <c r="J1184" t="s">
        <v>77</v>
      </c>
      <c r="K1184" t="s">
        <v>78</v>
      </c>
      <c r="L1184" t="s">
        <v>79</v>
      </c>
      <c r="M1184" t="s">
        <v>80</v>
      </c>
      <c r="N1184" t="s">
        <v>129</v>
      </c>
      <c r="O1184" t="s">
        <v>82</v>
      </c>
      <c r="P1184" t="str">
        <f>"2170718964                    "</f>
        <v xml:space="preserve">2170718964                    </v>
      </c>
      <c r="Q1184">
        <v>0</v>
      </c>
      <c r="R1184">
        <v>0</v>
      </c>
      <c r="S1184">
        <v>0</v>
      </c>
      <c r="T1184">
        <v>0</v>
      </c>
      <c r="U1184">
        <v>0</v>
      </c>
      <c r="V1184">
        <v>0</v>
      </c>
      <c r="W1184">
        <v>0</v>
      </c>
      <c r="X1184">
        <v>0</v>
      </c>
      <c r="Y1184">
        <v>0</v>
      </c>
      <c r="Z1184">
        <v>0</v>
      </c>
      <c r="AA1184">
        <v>0</v>
      </c>
      <c r="AB1184">
        <v>0</v>
      </c>
      <c r="AC1184">
        <v>0</v>
      </c>
      <c r="AD1184">
        <v>0</v>
      </c>
      <c r="AE1184">
        <v>0</v>
      </c>
      <c r="AF1184">
        <v>0</v>
      </c>
      <c r="AG1184">
        <v>0</v>
      </c>
      <c r="AH1184">
        <v>0</v>
      </c>
      <c r="AI1184">
        <v>0</v>
      </c>
      <c r="AJ1184">
        <v>0</v>
      </c>
      <c r="AK1184">
        <v>0</v>
      </c>
      <c r="AL1184">
        <v>0</v>
      </c>
      <c r="AM1184">
        <v>36.46</v>
      </c>
      <c r="AN1184">
        <v>0</v>
      </c>
      <c r="AO1184">
        <v>0</v>
      </c>
      <c r="AP1184">
        <v>0</v>
      </c>
      <c r="AQ1184">
        <v>0</v>
      </c>
      <c r="AR1184">
        <v>0</v>
      </c>
      <c r="AS1184">
        <v>0</v>
      </c>
      <c r="AT1184">
        <v>0</v>
      </c>
      <c r="AU1184">
        <v>0</v>
      </c>
      <c r="AV1184">
        <v>0</v>
      </c>
      <c r="AW1184">
        <v>0</v>
      </c>
      <c r="AX1184">
        <v>0</v>
      </c>
      <c r="AY1184">
        <v>0</v>
      </c>
      <c r="AZ1184">
        <v>0</v>
      </c>
      <c r="BA1184">
        <v>0</v>
      </c>
      <c r="BB1184">
        <v>0</v>
      </c>
      <c r="BC1184">
        <v>0</v>
      </c>
      <c r="BD1184">
        <v>0</v>
      </c>
      <c r="BE1184">
        <v>0</v>
      </c>
      <c r="BF1184">
        <v>0</v>
      </c>
      <c r="BG1184">
        <v>0</v>
      </c>
      <c r="BH1184">
        <v>1</v>
      </c>
      <c r="BI1184">
        <v>8.4</v>
      </c>
      <c r="BJ1184">
        <v>6.5</v>
      </c>
      <c r="BK1184">
        <v>8.5</v>
      </c>
      <c r="BL1184" s="4">
        <v>214.31</v>
      </c>
      <c r="BM1184" s="4">
        <v>32.15</v>
      </c>
      <c r="BN1184" s="4">
        <v>246.46</v>
      </c>
      <c r="BO1184" s="4">
        <v>246.46</v>
      </c>
      <c r="BQ1184" t="s">
        <v>147</v>
      </c>
      <c r="BR1184" t="s">
        <v>84</v>
      </c>
      <c r="BS1184" s="3">
        <v>43812</v>
      </c>
      <c r="BT1184" s="5">
        <v>0.38541666666666669</v>
      </c>
      <c r="BU1184" t="s">
        <v>1648</v>
      </c>
      <c r="BV1184" t="s">
        <v>86</v>
      </c>
      <c r="BY1184">
        <v>32376</v>
      </c>
      <c r="CA1184" t="s">
        <v>131</v>
      </c>
      <c r="CC1184" t="s">
        <v>80</v>
      </c>
      <c r="CD1184">
        <v>6001</v>
      </c>
      <c r="CE1184" t="s">
        <v>116</v>
      </c>
      <c r="CF1184" s="3">
        <v>43816</v>
      </c>
      <c r="CI1184">
        <v>1</v>
      </c>
      <c r="CJ1184">
        <v>1</v>
      </c>
      <c r="CK1184">
        <v>21</v>
      </c>
      <c r="CL1184" t="s">
        <v>89</v>
      </c>
    </row>
    <row r="1185" spans="1:90">
      <c r="A1185" t="s">
        <v>72</v>
      </c>
      <c r="B1185" t="s">
        <v>73</v>
      </c>
      <c r="C1185" t="s">
        <v>74</v>
      </c>
      <c r="E1185" t="str">
        <f>"FES1162728002"</f>
        <v>FES1162728002</v>
      </c>
      <c r="F1185" s="3">
        <v>43811</v>
      </c>
      <c r="G1185">
        <v>202006</v>
      </c>
      <c r="H1185" t="s">
        <v>75</v>
      </c>
      <c r="I1185" t="s">
        <v>76</v>
      </c>
      <c r="J1185" t="s">
        <v>77</v>
      </c>
      <c r="K1185" t="s">
        <v>78</v>
      </c>
      <c r="L1185" t="s">
        <v>515</v>
      </c>
      <c r="M1185" t="s">
        <v>516</v>
      </c>
      <c r="N1185" t="s">
        <v>517</v>
      </c>
      <c r="O1185" t="s">
        <v>82</v>
      </c>
      <c r="P1185" t="str">
        <f>"2170719320                    "</f>
        <v xml:space="preserve">2170719320                    </v>
      </c>
      <c r="Q1185">
        <v>0</v>
      </c>
      <c r="R1185">
        <v>0</v>
      </c>
      <c r="S1185">
        <v>0</v>
      </c>
      <c r="T1185">
        <v>0</v>
      </c>
      <c r="U1185">
        <v>0</v>
      </c>
      <c r="V1185">
        <v>0</v>
      </c>
      <c r="W1185">
        <v>0</v>
      </c>
      <c r="X1185">
        <v>0</v>
      </c>
      <c r="Y1185">
        <v>0</v>
      </c>
      <c r="Z1185">
        <v>0</v>
      </c>
      <c r="AA1185">
        <v>0</v>
      </c>
      <c r="AB1185">
        <v>0</v>
      </c>
      <c r="AC1185">
        <v>0</v>
      </c>
      <c r="AD1185">
        <v>0</v>
      </c>
      <c r="AE1185">
        <v>0</v>
      </c>
      <c r="AF1185">
        <v>0</v>
      </c>
      <c r="AG1185">
        <v>0</v>
      </c>
      <c r="AH1185">
        <v>0</v>
      </c>
      <c r="AI1185">
        <v>0</v>
      </c>
      <c r="AJ1185">
        <v>0</v>
      </c>
      <c r="AK1185">
        <v>0</v>
      </c>
      <c r="AL1185">
        <v>0</v>
      </c>
      <c r="AM1185">
        <v>8.58</v>
      </c>
      <c r="AN1185">
        <v>0</v>
      </c>
      <c r="AO1185">
        <v>0</v>
      </c>
      <c r="AP1185">
        <v>0</v>
      </c>
      <c r="AQ1185">
        <v>0</v>
      </c>
      <c r="AR1185">
        <v>0</v>
      </c>
      <c r="AS1185">
        <v>0</v>
      </c>
      <c r="AT1185">
        <v>0</v>
      </c>
      <c r="AU1185">
        <v>0</v>
      </c>
      <c r="AV1185">
        <v>0</v>
      </c>
      <c r="AW1185">
        <v>0</v>
      </c>
      <c r="AX1185">
        <v>0</v>
      </c>
      <c r="AY1185">
        <v>0</v>
      </c>
      <c r="AZ1185">
        <v>0</v>
      </c>
      <c r="BA1185">
        <v>0</v>
      </c>
      <c r="BB1185">
        <v>0</v>
      </c>
      <c r="BC1185">
        <v>0</v>
      </c>
      <c r="BD1185">
        <v>0</v>
      </c>
      <c r="BE1185">
        <v>0</v>
      </c>
      <c r="BF1185">
        <v>0</v>
      </c>
      <c r="BG1185">
        <v>0</v>
      </c>
      <c r="BH1185">
        <v>1</v>
      </c>
      <c r="BI1185">
        <v>1.9</v>
      </c>
      <c r="BJ1185">
        <v>1</v>
      </c>
      <c r="BK1185">
        <v>2</v>
      </c>
      <c r="BL1185" s="4">
        <v>50.45</v>
      </c>
      <c r="BM1185" s="4">
        <v>7.57</v>
      </c>
      <c r="BN1185" s="4">
        <v>58.02</v>
      </c>
      <c r="BO1185" s="4">
        <v>58.02</v>
      </c>
      <c r="BQ1185" t="s">
        <v>147</v>
      </c>
      <c r="BR1185" t="s">
        <v>84</v>
      </c>
      <c r="BS1185" s="3">
        <v>43816</v>
      </c>
      <c r="BT1185" s="5">
        <v>0.39444444444444443</v>
      </c>
      <c r="BU1185" t="s">
        <v>1710</v>
      </c>
      <c r="BV1185" t="s">
        <v>89</v>
      </c>
      <c r="BW1185" t="s">
        <v>506</v>
      </c>
      <c r="BX1185" t="s">
        <v>1163</v>
      </c>
      <c r="BY1185">
        <v>5110.83</v>
      </c>
      <c r="CA1185" t="s">
        <v>212</v>
      </c>
      <c r="CC1185" t="s">
        <v>516</v>
      </c>
      <c r="CD1185">
        <v>4300</v>
      </c>
      <c r="CE1185" t="s">
        <v>96</v>
      </c>
      <c r="CF1185" s="3">
        <v>43817</v>
      </c>
      <c r="CI1185">
        <v>1</v>
      </c>
      <c r="CJ1185">
        <v>3</v>
      </c>
      <c r="CK1185">
        <v>21</v>
      </c>
      <c r="CL1185" t="s">
        <v>89</v>
      </c>
    </row>
    <row r="1186" spans="1:90">
      <c r="A1186" t="s">
        <v>72</v>
      </c>
      <c r="B1186" t="s">
        <v>73</v>
      </c>
      <c r="C1186" t="s">
        <v>74</v>
      </c>
      <c r="E1186" t="str">
        <f>"FES1162727962"</f>
        <v>FES1162727962</v>
      </c>
      <c r="F1186" s="3">
        <v>43811</v>
      </c>
      <c r="G1186">
        <v>202006</v>
      </c>
      <c r="H1186" t="s">
        <v>75</v>
      </c>
      <c r="I1186" t="s">
        <v>76</v>
      </c>
      <c r="J1186" t="s">
        <v>77</v>
      </c>
      <c r="K1186" t="s">
        <v>78</v>
      </c>
      <c r="L1186" t="s">
        <v>198</v>
      </c>
      <c r="M1186" t="s">
        <v>199</v>
      </c>
      <c r="N1186" t="s">
        <v>485</v>
      </c>
      <c r="O1186" t="s">
        <v>82</v>
      </c>
      <c r="P1186" t="str">
        <f>"2170718220                    "</f>
        <v xml:space="preserve">2170718220                    </v>
      </c>
      <c r="Q1186">
        <v>0</v>
      </c>
      <c r="R1186">
        <v>0</v>
      </c>
      <c r="S1186">
        <v>0</v>
      </c>
      <c r="T1186">
        <v>0</v>
      </c>
      <c r="U1186">
        <v>0</v>
      </c>
      <c r="V1186">
        <v>0</v>
      </c>
      <c r="W1186">
        <v>0</v>
      </c>
      <c r="X1186">
        <v>0</v>
      </c>
      <c r="Y1186">
        <v>0</v>
      </c>
      <c r="Z1186">
        <v>0</v>
      </c>
      <c r="AA1186">
        <v>0</v>
      </c>
      <c r="AB1186">
        <v>0</v>
      </c>
      <c r="AC1186">
        <v>0</v>
      </c>
      <c r="AD1186">
        <v>0</v>
      </c>
      <c r="AE1186">
        <v>0</v>
      </c>
      <c r="AF1186">
        <v>0</v>
      </c>
      <c r="AG1186">
        <v>0</v>
      </c>
      <c r="AH1186">
        <v>0</v>
      </c>
      <c r="AI1186">
        <v>0</v>
      </c>
      <c r="AJ1186">
        <v>0</v>
      </c>
      <c r="AK1186">
        <v>0</v>
      </c>
      <c r="AL1186">
        <v>0</v>
      </c>
      <c r="AM1186">
        <v>8.58</v>
      </c>
      <c r="AN1186">
        <v>0</v>
      </c>
      <c r="AO1186">
        <v>0</v>
      </c>
      <c r="AP1186">
        <v>0</v>
      </c>
      <c r="AQ1186">
        <v>0</v>
      </c>
      <c r="AR1186">
        <v>0</v>
      </c>
      <c r="AS1186">
        <v>0</v>
      </c>
      <c r="AT1186">
        <v>0</v>
      </c>
      <c r="AU1186">
        <v>0</v>
      </c>
      <c r="AV1186">
        <v>0</v>
      </c>
      <c r="AW1186">
        <v>0</v>
      </c>
      <c r="AX1186">
        <v>0</v>
      </c>
      <c r="AY1186">
        <v>0</v>
      </c>
      <c r="AZ1186">
        <v>0</v>
      </c>
      <c r="BA1186">
        <v>0</v>
      </c>
      <c r="BB1186">
        <v>0</v>
      </c>
      <c r="BC1186">
        <v>0</v>
      </c>
      <c r="BD1186">
        <v>0</v>
      </c>
      <c r="BE1186">
        <v>0</v>
      </c>
      <c r="BF1186">
        <v>0</v>
      </c>
      <c r="BG1186">
        <v>0</v>
      </c>
      <c r="BH1186">
        <v>1</v>
      </c>
      <c r="BI1186">
        <v>0.9</v>
      </c>
      <c r="BJ1186">
        <v>0.9</v>
      </c>
      <c r="BK1186">
        <v>1</v>
      </c>
      <c r="BL1186" s="4">
        <v>50.45</v>
      </c>
      <c r="BM1186" s="4">
        <v>7.57</v>
      </c>
      <c r="BN1186" s="4">
        <v>58.02</v>
      </c>
      <c r="BO1186" s="4">
        <v>58.02</v>
      </c>
      <c r="BQ1186" t="s">
        <v>486</v>
      </c>
      <c r="BR1186" t="s">
        <v>84</v>
      </c>
      <c r="BS1186" s="3">
        <v>43812</v>
      </c>
      <c r="BT1186" s="5">
        <v>0.35486111111111113</v>
      </c>
      <c r="BU1186" t="s">
        <v>1660</v>
      </c>
      <c r="BV1186" t="s">
        <v>86</v>
      </c>
      <c r="BY1186">
        <v>4358.8999999999996</v>
      </c>
      <c r="CA1186" t="s">
        <v>1661</v>
      </c>
      <c r="CC1186" t="s">
        <v>199</v>
      </c>
      <c r="CD1186">
        <v>4001</v>
      </c>
      <c r="CE1186" t="s">
        <v>96</v>
      </c>
      <c r="CF1186" s="3">
        <v>43816</v>
      </c>
      <c r="CI1186">
        <v>1</v>
      </c>
      <c r="CJ1186">
        <v>1</v>
      </c>
      <c r="CK1186">
        <v>21</v>
      </c>
      <c r="CL1186" t="s">
        <v>89</v>
      </c>
    </row>
    <row r="1187" spans="1:90">
      <c r="A1187" t="s">
        <v>72</v>
      </c>
      <c r="B1187" t="s">
        <v>73</v>
      </c>
      <c r="C1187" t="s">
        <v>74</v>
      </c>
      <c r="E1187" t="str">
        <f>"FES1162727988"</f>
        <v>FES1162727988</v>
      </c>
      <c r="F1187" s="3">
        <v>43811</v>
      </c>
      <c r="G1187">
        <v>202006</v>
      </c>
      <c r="H1187" t="s">
        <v>75</v>
      </c>
      <c r="I1187" t="s">
        <v>76</v>
      </c>
      <c r="J1187" t="s">
        <v>77</v>
      </c>
      <c r="K1187" t="s">
        <v>78</v>
      </c>
      <c r="L1187" t="s">
        <v>221</v>
      </c>
      <c r="M1187" t="s">
        <v>222</v>
      </c>
      <c r="N1187" t="s">
        <v>845</v>
      </c>
      <c r="O1187" t="s">
        <v>82</v>
      </c>
      <c r="P1187" t="str">
        <f>"2170719217                    "</f>
        <v xml:space="preserve">2170719217                    </v>
      </c>
      <c r="Q1187">
        <v>0</v>
      </c>
      <c r="R1187">
        <v>0</v>
      </c>
      <c r="S1187">
        <v>0</v>
      </c>
      <c r="T1187">
        <v>0</v>
      </c>
      <c r="U1187">
        <v>0</v>
      </c>
      <c r="V1187">
        <v>0</v>
      </c>
      <c r="W1187">
        <v>0</v>
      </c>
      <c r="X1187">
        <v>0</v>
      </c>
      <c r="Y1187">
        <v>0</v>
      </c>
      <c r="Z1187">
        <v>0</v>
      </c>
      <c r="AA1187">
        <v>0</v>
      </c>
      <c r="AB1187">
        <v>0</v>
      </c>
      <c r="AC1187">
        <v>0</v>
      </c>
      <c r="AD1187">
        <v>0</v>
      </c>
      <c r="AE1187">
        <v>0</v>
      </c>
      <c r="AF1187">
        <v>0</v>
      </c>
      <c r="AG1187">
        <v>0</v>
      </c>
      <c r="AH1187">
        <v>0</v>
      </c>
      <c r="AI1187">
        <v>0</v>
      </c>
      <c r="AJ1187">
        <v>0</v>
      </c>
      <c r="AK1187">
        <v>0</v>
      </c>
      <c r="AL1187">
        <v>0</v>
      </c>
      <c r="AM1187">
        <v>8.58</v>
      </c>
      <c r="AN1187">
        <v>0</v>
      </c>
      <c r="AO1187">
        <v>0</v>
      </c>
      <c r="AP1187">
        <v>0</v>
      </c>
      <c r="AQ1187">
        <v>0</v>
      </c>
      <c r="AR1187">
        <v>0</v>
      </c>
      <c r="AS1187">
        <v>0</v>
      </c>
      <c r="AT1187">
        <v>0</v>
      </c>
      <c r="AU1187">
        <v>0</v>
      </c>
      <c r="AV1187">
        <v>0</v>
      </c>
      <c r="AW1187">
        <v>0</v>
      </c>
      <c r="AX1187">
        <v>0</v>
      </c>
      <c r="AY1187">
        <v>0</v>
      </c>
      <c r="AZ1187">
        <v>0</v>
      </c>
      <c r="BA1187">
        <v>0</v>
      </c>
      <c r="BB1187">
        <v>0</v>
      </c>
      <c r="BC1187">
        <v>0</v>
      </c>
      <c r="BD1187">
        <v>0</v>
      </c>
      <c r="BE1187">
        <v>0</v>
      </c>
      <c r="BF1187">
        <v>0</v>
      </c>
      <c r="BG1187">
        <v>0</v>
      </c>
      <c r="BH1187">
        <v>1</v>
      </c>
      <c r="BI1187">
        <v>1</v>
      </c>
      <c r="BJ1187">
        <v>0.2</v>
      </c>
      <c r="BK1187">
        <v>1</v>
      </c>
      <c r="BL1187" s="4">
        <v>50.45</v>
      </c>
      <c r="BM1187" s="4">
        <v>7.57</v>
      </c>
      <c r="BN1187" s="4">
        <v>58.02</v>
      </c>
      <c r="BO1187" s="4">
        <v>58.02</v>
      </c>
      <c r="BQ1187" t="s">
        <v>93</v>
      </c>
      <c r="BR1187" t="s">
        <v>84</v>
      </c>
      <c r="BS1187" s="3">
        <v>43812</v>
      </c>
      <c r="BT1187" s="5">
        <v>0.36874999999999997</v>
      </c>
      <c r="BU1187" t="s">
        <v>1711</v>
      </c>
      <c r="BV1187" t="s">
        <v>86</v>
      </c>
      <c r="BY1187">
        <v>1200</v>
      </c>
      <c r="CA1187" t="s">
        <v>847</v>
      </c>
      <c r="CC1187" t="s">
        <v>222</v>
      </c>
      <c r="CD1187">
        <v>3201</v>
      </c>
      <c r="CE1187" t="s">
        <v>88</v>
      </c>
      <c r="CF1187" s="3">
        <v>43816</v>
      </c>
      <c r="CI1187">
        <v>1</v>
      </c>
      <c r="CJ1187">
        <v>1</v>
      </c>
      <c r="CK1187">
        <v>21</v>
      </c>
      <c r="CL1187" t="s">
        <v>89</v>
      </c>
    </row>
    <row r="1188" spans="1:90">
      <c r="A1188" t="s">
        <v>72</v>
      </c>
      <c r="B1188" t="s">
        <v>73</v>
      </c>
      <c r="C1188" t="s">
        <v>74</v>
      </c>
      <c r="E1188" t="str">
        <f>"FES1162728157"</f>
        <v>FES1162728157</v>
      </c>
      <c r="F1188" s="3">
        <v>43811</v>
      </c>
      <c r="G1188">
        <v>202006</v>
      </c>
      <c r="H1188" t="s">
        <v>75</v>
      </c>
      <c r="I1188" t="s">
        <v>76</v>
      </c>
      <c r="J1188" t="s">
        <v>77</v>
      </c>
      <c r="K1188" t="s">
        <v>78</v>
      </c>
      <c r="L1188" t="s">
        <v>198</v>
      </c>
      <c r="M1188" t="s">
        <v>199</v>
      </c>
      <c r="N1188" t="s">
        <v>842</v>
      </c>
      <c r="O1188" t="s">
        <v>82</v>
      </c>
      <c r="P1188" t="str">
        <f>"2170719059                    "</f>
        <v xml:space="preserve">2170719059                    </v>
      </c>
      <c r="Q1188">
        <v>0</v>
      </c>
      <c r="R1188">
        <v>0</v>
      </c>
      <c r="S1188">
        <v>0</v>
      </c>
      <c r="T1188">
        <v>0</v>
      </c>
      <c r="U1188">
        <v>0</v>
      </c>
      <c r="V1188">
        <v>0</v>
      </c>
      <c r="W1188">
        <v>0</v>
      </c>
      <c r="X1188">
        <v>0</v>
      </c>
      <c r="Y1188">
        <v>0</v>
      </c>
      <c r="Z1188">
        <v>0</v>
      </c>
      <c r="AA1188">
        <v>0</v>
      </c>
      <c r="AB1188">
        <v>0</v>
      </c>
      <c r="AC1188">
        <v>0</v>
      </c>
      <c r="AD1188">
        <v>0</v>
      </c>
      <c r="AE1188">
        <v>0</v>
      </c>
      <c r="AF1188">
        <v>0</v>
      </c>
      <c r="AG1188">
        <v>0</v>
      </c>
      <c r="AH1188">
        <v>0</v>
      </c>
      <c r="AI1188">
        <v>0</v>
      </c>
      <c r="AJ1188">
        <v>0</v>
      </c>
      <c r="AK1188">
        <v>0</v>
      </c>
      <c r="AL1188">
        <v>0</v>
      </c>
      <c r="AM1188">
        <v>8.58</v>
      </c>
      <c r="AN1188">
        <v>0</v>
      </c>
      <c r="AO1188">
        <v>0</v>
      </c>
      <c r="AP1188">
        <v>0</v>
      </c>
      <c r="AQ1188">
        <v>0</v>
      </c>
      <c r="AR1188">
        <v>0</v>
      </c>
      <c r="AS1188">
        <v>0</v>
      </c>
      <c r="AT1188">
        <v>0</v>
      </c>
      <c r="AU1188">
        <v>0</v>
      </c>
      <c r="AV1188">
        <v>0</v>
      </c>
      <c r="AW1188">
        <v>0</v>
      </c>
      <c r="AX1188">
        <v>0</v>
      </c>
      <c r="AY1188">
        <v>0</v>
      </c>
      <c r="AZ1188">
        <v>0</v>
      </c>
      <c r="BA1188">
        <v>0</v>
      </c>
      <c r="BB1188">
        <v>0</v>
      </c>
      <c r="BC1188">
        <v>0</v>
      </c>
      <c r="BD1188">
        <v>0</v>
      </c>
      <c r="BE1188">
        <v>0</v>
      </c>
      <c r="BF1188">
        <v>0</v>
      </c>
      <c r="BG1188">
        <v>0</v>
      </c>
      <c r="BH1188">
        <v>1</v>
      </c>
      <c r="BI1188">
        <v>1</v>
      </c>
      <c r="BJ1188">
        <v>0.2</v>
      </c>
      <c r="BK1188">
        <v>1</v>
      </c>
      <c r="BL1188" s="4">
        <v>50.45</v>
      </c>
      <c r="BM1188" s="4">
        <v>7.57</v>
      </c>
      <c r="BN1188" s="4">
        <v>58.02</v>
      </c>
      <c r="BO1188" s="4">
        <v>58.02</v>
      </c>
      <c r="BQ1188" t="s">
        <v>843</v>
      </c>
      <c r="BR1188" t="s">
        <v>84</v>
      </c>
      <c r="BS1188" s="3">
        <v>43812</v>
      </c>
      <c r="BT1188" s="5">
        <v>0.40277777777777773</v>
      </c>
      <c r="BU1188" t="s">
        <v>1712</v>
      </c>
      <c r="BV1188" t="s">
        <v>86</v>
      </c>
      <c r="BY1188">
        <v>1200</v>
      </c>
      <c r="CA1188" t="s">
        <v>1667</v>
      </c>
      <c r="CC1188" t="s">
        <v>199</v>
      </c>
      <c r="CD1188">
        <v>4051</v>
      </c>
      <c r="CE1188" t="s">
        <v>88</v>
      </c>
      <c r="CF1188" s="3">
        <v>43816</v>
      </c>
      <c r="CI1188">
        <v>1</v>
      </c>
      <c r="CJ1188">
        <v>1</v>
      </c>
      <c r="CK1188">
        <v>21</v>
      </c>
      <c r="CL1188" t="s">
        <v>89</v>
      </c>
    </row>
    <row r="1189" spans="1:90">
      <c r="A1189" t="s">
        <v>72</v>
      </c>
      <c r="B1189" t="s">
        <v>73</v>
      </c>
      <c r="C1189" t="s">
        <v>74</v>
      </c>
      <c r="E1189" t="str">
        <f>"FES1162728023"</f>
        <v>FES1162728023</v>
      </c>
      <c r="F1189" s="3">
        <v>43811</v>
      </c>
      <c r="G1189">
        <v>202006</v>
      </c>
      <c r="H1189" t="s">
        <v>75</v>
      </c>
      <c r="I1189" t="s">
        <v>76</v>
      </c>
      <c r="J1189" t="s">
        <v>77</v>
      </c>
      <c r="K1189" t="s">
        <v>78</v>
      </c>
      <c r="L1189" t="s">
        <v>221</v>
      </c>
      <c r="M1189" t="s">
        <v>222</v>
      </c>
      <c r="N1189" t="s">
        <v>1662</v>
      </c>
      <c r="O1189" t="s">
        <v>82</v>
      </c>
      <c r="P1189" t="str">
        <f>"2170712447                    "</f>
        <v xml:space="preserve">2170712447                    </v>
      </c>
      <c r="Q1189">
        <v>0</v>
      </c>
      <c r="R1189">
        <v>0</v>
      </c>
      <c r="S1189">
        <v>0</v>
      </c>
      <c r="T1189">
        <v>0</v>
      </c>
      <c r="U1189">
        <v>0</v>
      </c>
      <c r="V1189">
        <v>0</v>
      </c>
      <c r="W1189">
        <v>0</v>
      </c>
      <c r="X1189">
        <v>0</v>
      </c>
      <c r="Y1189">
        <v>0</v>
      </c>
      <c r="Z1189">
        <v>0</v>
      </c>
      <c r="AA1189">
        <v>0</v>
      </c>
      <c r="AB1189">
        <v>0</v>
      </c>
      <c r="AC1189">
        <v>0</v>
      </c>
      <c r="AD1189">
        <v>0</v>
      </c>
      <c r="AE1189">
        <v>0</v>
      </c>
      <c r="AF1189">
        <v>0</v>
      </c>
      <c r="AG1189">
        <v>0</v>
      </c>
      <c r="AH1189">
        <v>0</v>
      </c>
      <c r="AI1189">
        <v>0</v>
      </c>
      <c r="AJ1189">
        <v>0</v>
      </c>
      <c r="AK1189">
        <v>0</v>
      </c>
      <c r="AL1189">
        <v>0</v>
      </c>
      <c r="AM1189">
        <v>8.58</v>
      </c>
      <c r="AN1189">
        <v>0</v>
      </c>
      <c r="AO1189">
        <v>0</v>
      </c>
      <c r="AP1189">
        <v>0</v>
      </c>
      <c r="AQ1189">
        <v>0</v>
      </c>
      <c r="AR1189">
        <v>0</v>
      </c>
      <c r="AS1189">
        <v>0</v>
      </c>
      <c r="AT1189">
        <v>0</v>
      </c>
      <c r="AU1189">
        <v>0</v>
      </c>
      <c r="AV1189">
        <v>0</v>
      </c>
      <c r="AW1189">
        <v>0</v>
      </c>
      <c r="AX1189">
        <v>0</v>
      </c>
      <c r="AY1189">
        <v>0</v>
      </c>
      <c r="AZ1189">
        <v>0</v>
      </c>
      <c r="BA1189">
        <v>0</v>
      </c>
      <c r="BB1189">
        <v>0</v>
      </c>
      <c r="BC1189">
        <v>0</v>
      </c>
      <c r="BD1189">
        <v>0</v>
      </c>
      <c r="BE1189">
        <v>0</v>
      </c>
      <c r="BF1189">
        <v>0</v>
      </c>
      <c r="BG1189">
        <v>0</v>
      </c>
      <c r="BH1189">
        <v>1</v>
      </c>
      <c r="BI1189">
        <v>1</v>
      </c>
      <c r="BJ1189">
        <v>0.2</v>
      </c>
      <c r="BK1189">
        <v>1</v>
      </c>
      <c r="BL1189" s="4">
        <v>50.45</v>
      </c>
      <c r="BM1189" s="4">
        <v>7.57</v>
      </c>
      <c r="BN1189" s="4">
        <v>58.02</v>
      </c>
      <c r="BO1189" s="4">
        <v>58.02</v>
      </c>
      <c r="BQ1189" t="s">
        <v>147</v>
      </c>
      <c r="BR1189" t="s">
        <v>84</v>
      </c>
      <c r="BS1189" s="3">
        <v>43812</v>
      </c>
      <c r="BT1189" s="5">
        <v>0.4375</v>
      </c>
      <c r="BU1189" t="s">
        <v>1663</v>
      </c>
      <c r="BV1189" t="s">
        <v>86</v>
      </c>
      <c r="BY1189">
        <v>1200</v>
      </c>
      <c r="CA1189" t="s">
        <v>1488</v>
      </c>
      <c r="CC1189" t="s">
        <v>222</v>
      </c>
      <c r="CD1189">
        <v>3201</v>
      </c>
      <c r="CE1189" t="s">
        <v>88</v>
      </c>
      <c r="CF1189" s="3">
        <v>43816</v>
      </c>
      <c r="CI1189">
        <v>1</v>
      </c>
      <c r="CJ1189">
        <v>1</v>
      </c>
      <c r="CK1189">
        <v>21</v>
      </c>
      <c r="CL1189" t="s">
        <v>89</v>
      </c>
    </row>
    <row r="1190" spans="1:90">
      <c r="A1190" t="s">
        <v>72</v>
      </c>
      <c r="B1190" t="s">
        <v>73</v>
      </c>
      <c r="C1190" t="s">
        <v>74</v>
      </c>
      <c r="E1190" t="str">
        <f>"FES1162727999"</f>
        <v>FES1162727999</v>
      </c>
      <c r="F1190" s="3">
        <v>43811</v>
      </c>
      <c r="G1190">
        <v>202006</v>
      </c>
      <c r="H1190" t="s">
        <v>75</v>
      </c>
      <c r="I1190" t="s">
        <v>76</v>
      </c>
      <c r="J1190" t="s">
        <v>77</v>
      </c>
      <c r="K1190" t="s">
        <v>78</v>
      </c>
      <c r="L1190" t="s">
        <v>198</v>
      </c>
      <c r="M1190" t="s">
        <v>199</v>
      </c>
      <c r="N1190" t="s">
        <v>1713</v>
      </c>
      <c r="O1190" t="s">
        <v>82</v>
      </c>
      <c r="P1190" t="str">
        <f>"2170719283                    "</f>
        <v xml:space="preserve">2170719283                    </v>
      </c>
      <c r="Q1190">
        <v>0</v>
      </c>
      <c r="R1190">
        <v>0</v>
      </c>
      <c r="S1190">
        <v>0</v>
      </c>
      <c r="T1190">
        <v>0</v>
      </c>
      <c r="U1190">
        <v>0</v>
      </c>
      <c r="V1190">
        <v>0</v>
      </c>
      <c r="W1190">
        <v>0</v>
      </c>
      <c r="X1190">
        <v>0</v>
      </c>
      <c r="Y1190">
        <v>0</v>
      </c>
      <c r="Z1190">
        <v>0</v>
      </c>
      <c r="AA1190">
        <v>0</v>
      </c>
      <c r="AB1190">
        <v>0</v>
      </c>
      <c r="AC1190">
        <v>0</v>
      </c>
      <c r="AD1190">
        <v>0</v>
      </c>
      <c r="AE1190">
        <v>0</v>
      </c>
      <c r="AF1190">
        <v>0</v>
      </c>
      <c r="AG1190">
        <v>0</v>
      </c>
      <c r="AH1190">
        <v>0</v>
      </c>
      <c r="AI1190">
        <v>0</v>
      </c>
      <c r="AJ1190">
        <v>0</v>
      </c>
      <c r="AK1190">
        <v>0</v>
      </c>
      <c r="AL1190">
        <v>0</v>
      </c>
      <c r="AM1190">
        <v>8.58</v>
      </c>
      <c r="AN1190">
        <v>0</v>
      </c>
      <c r="AO1190">
        <v>0</v>
      </c>
      <c r="AP1190">
        <v>0</v>
      </c>
      <c r="AQ1190">
        <v>0</v>
      </c>
      <c r="AR1190">
        <v>0</v>
      </c>
      <c r="AS1190">
        <v>0</v>
      </c>
      <c r="AT1190">
        <v>0</v>
      </c>
      <c r="AU1190">
        <v>0</v>
      </c>
      <c r="AV1190">
        <v>0</v>
      </c>
      <c r="AW1190">
        <v>0</v>
      </c>
      <c r="AX1190">
        <v>0</v>
      </c>
      <c r="AY1190">
        <v>0</v>
      </c>
      <c r="AZ1190">
        <v>0</v>
      </c>
      <c r="BA1190">
        <v>0</v>
      </c>
      <c r="BB1190">
        <v>0</v>
      </c>
      <c r="BC1190">
        <v>0</v>
      </c>
      <c r="BD1190">
        <v>0</v>
      </c>
      <c r="BE1190">
        <v>0</v>
      </c>
      <c r="BF1190">
        <v>0</v>
      </c>
      <c r="BG1190">
        <v>0</v>
      </c>
      <c r="BH1190">
        <v>1</v>
      </c>
      <c r="BI1190">
        <v>1</v>
      </c>
      <c r="BJ1190">
        <v>0.2</v>
      </c>
      <c r="BK1190">
        <v>1</v>
      </c>
      <c r="BL1190" s="4">
        <v>50.45</v>
      </c>
      <c r="BM1190" s="4">
        <v>7.57</v>
      </c>
      <c r="BN1190" s="4">
        <v>58.02</v>
      </c>
      <c r="BO1190" s="4">
        <v>58.02</v>
      </c>
      <c r="BQ1190" t="s">
        <v>135</v>
      </c>
      <c r="BR1190" t="s">
        <v>84</v>
      </c>
      <c r="BS1190" s="3">
        <v>43812</v>
      </c>
      <c r="BT1190" s="5">
        <v>0.4375</v>
      </c>
      <c r="BU1190" t="s">
        <v>1714</v>
      </c>
      <c r="BV1190" t="s">
        <v>86</v>
      </c>
      <c r="BY1190">
        <v>1200</v>
      </c>
      <c r="CC1190" t="s">
        <v>199</v>
      </c>
      <c r="CD1190">
        <v>4068</v>
      </c>
      <c r="CE1190" t="s">
        <v>88</v>
      </c>
      <c r="CF1190" s="3">
        <v>43816</v>
      </c>
      <c r="CI1190">
        <v>1</v>
      </c>
      <c r="CJ1190">
        <v>1</v>
      </c>
      <c r="CK1190">
        <v>21</v>
      </c>
      <c r="CL1190" t="s">
        <v>89</v>
      </c>
    </row>
    <row r="1191" spans="1:90">
      <c r="A1191" t="s">
        <v>72</v>
      </c>
      <c r="B1191" t="s">
        <v>73</v>
      </c>
      <c r="C1191" t="s">
        <v>74</v>
      </c>
      <c r="E1191" t="str">
        <f>"FES1162727997"</f>
        <v>FES1162727997</v>
      </c>
      <c r="F1191" s="3">
        <v>43811</v>
      </c>
      <c r="G1191">
        <v>202006</v>
      </c>
      <c r="H1191" t="s">
        <v>75</v>
      </c>
      <c r="I1191" t="s">
        <v>76</v>
      </c>
      <c r="J1191" t="s">
        <v>77</v>
      </c>
      <c r="K1191" t="s">
        <v>78</v>
      </c>
      <c r="L1191" t="s">
        <v>404</v>
      </c>
      <c r="M1191" t="s">
        <v>405</v>
      </c>
      <c r="N1191" t="s">
        <v>612</v>
      </c>
      <c r="O1191" t="s">
        <v>82</v>
      </c>
      <c r="P1191" t="str">
        <f>"21707192+68                   "</f>
        <v xml:space="preserve">21707192+68                   </v>
      </c>
      <c r="Q1191">
        <v>0</v>
      </c>
      <c r="R1191">
        <v>0</v>
      </c>
      <c r="S1191">
        <v>0</v>
      </c>
      <c r="T1191">
        <v>0</v>
      </c>
      <c r="U1191">
        <v>0</v>
      </c>
      <c r="V1191">
        <v>0</v>
      </c>
      <c r="W1191">
        <v>0</v>
      </c>
      <c r="X1191">
        <v>0</v>
      </c>
      <c r="Y1191">
        <v>0</v>
      </c>
      <c r="Z1191">
        <v>0</v>
      </c>
      <c r="AA1191">
        <v>0</v>
      </c>
      <c r="AB1191">
        <v>0</v>
      </c>
      <c r="AC1191">
        <v>0</v>
      </c>
      <c r="AD1191">
        <v>0</v>
      </c>
      <c r="AE1191">
        <v>0</v>
      </c>
      <c r="AF1191">
        <v>0</v>
      </c>
      <c r="AG1191">
        <v>0</v>
      </c>
      <c r="AH1191">
        <v>0</v>
      </c>
      <c r="AI1191">
        <v>0</v>
      </c>
      <c r="AJ1191">
        <v>0</v>
      </c>
      <c r="AK1191">
        <v>0</v>
      </c>
      <c r="AL1191">
        <v>0</v>
      </c>
      <c r="AM1191">
        <v>8.58</v>
      </c>
      <c r="AN1191">
        <v>0</v>
      </c>
      <c r="AO1191">
        <v>0</v>
      </c>
      <c r="AP1191">
        <v>0</v>
      </c>
      <c r="AQ1191">
        <v>0</v>
      </c>
      <c r="AR1191">
        <v>0</v>
      </c>
      <c r="AS1191">
        <v>0</v>
      </c>
      <c r="AT1191">
        <v>0</v>
      </c>
      <c r="AU1191">
        <v>0</v>
      </c>
      <c r="AV1191">
        <v>0</v>
      </c>
      <c r="AW1191">
        <v>0</v>
      </c>
      <c r="AX1191">
        <v>0</v>
      </c>
      <c r="AY1191">
        <v>0</v>
      </c>
      <c r="AZ1191">
        <v>0</v>
      </c>
      <c r="BA1191">
        <v>0</v>
      </c>
      <c r="BB1191">
        <v>0</v>
      </c>
      <c r="BC1191">
        <v>0</v>
      </c>
      <c r="BD1191">
        <v>0</v>
      </c>
      <c r="BE1191">
        <v>0</v>
      </c>
      <c r="BF1191">
        <v>0</v>
      </c>
      <c r="BG1191">
        <v>0</v>
      </c>
      <c r="BH1191">
        <v>1</v>
      </c>
      <c r="BI1191">
        <v>1</v>
      </c>
      <c r="BJ1191">
        <v>0.2</v>
      </c>
      <c r="BK1191">
        <v>1</v>
      </c>
      <c r="BL1191" s="4">
        <v>50.45</v>
      </c>
      <c r="BM1191" s="4">
        <v>7.57</v>
      </c>
      <c r="BN1191" s="4">
        <v>58.02</v>
      </c>
      <c r="BO1191" s="4">
        <v>58.02</v>
      </c>
      <c r="BQ1191" t="s">
        <v>93</v>
      </c>
      <c r="BR1191" t="s">
        <v>84</v>
      </c>
      <c r="BS1191" s="3">
        <v>43812</v>
      </c>
      <c r="BT1191" s="5">
        <v>0.38055555555555554</v>
      </c>
      <c r="BU1191" t="s">
        <v>1715</v>
      </c>
      <c r="BV1191" t="s">
        <v>86</v>
      </c>
      <c r="BY1191">
        <v>1200</v>
      </c>
      <c r="CC1191" t="s">
        <v>405</v>
      </c>
      <c r="CD1191">
        <v>4026</v>
      </c>
      <c r="CE1191" t="s">
        <v>88</v>
      </c>
      <c r="CF1191" s="3">
        <v>43816</v>
      </c>
      <c r="CI1191">
        <v>1</v>
      </c>
      <c r="CJ1191">
        <v>1</v>
      </c>
      <c r="CK1191">
        <v>21</v>
      </c>
      <c r="CL1191" t="s">
        <v>89</v>
      </c>
    </row>
    <row r="1192" spans="1:90">
      <c r="A1192" t="s">
        <v>72</v>
      </c>
      <c r="B1192" t="s">
        <v>73</v>
      </c>
      <c r="C1192" t="s">
        <v>74</v>
      </c>
      <c r="E1192" t="str">
        <f>"FES1162728075"</f>
        <v>FES1162728075</v>
      </c>
      <c r="F1192" s="3">
        <v>43811</v>
      </c>
      <c r="G1192">
        <v>202006</v>
      </c>
      <c r="H1192" t="s">
        <v>75</v>
      </c>
      <c r="I1192" t="s">
        <v>76</v>
      </c>
      <c r="J1192" t="s">
        <v>77</v>
      </c>
      <c r="K1192" t="s">
        <v>78</v>
      </c>
      <c r="L1192" t="s">
        <v>75</v>
      </c>
      <c r="M1192" t="s">
        <v>76</v>
      </c>
      <c r="N1192" t="s">
        <v>1564</v>
      </c>
      <c r="O1192" t="s">
        <v>82</v>
      </c>
      <c r="P1192" t="str">
        <f>"217078316                     "</f>
        <v xml:space="preserve">217078316                     </v>
      </c>
      <c r="Q1192">
        <v>0</v>
      </c>
      <c r="R1192">
        <v>0</v>
      </c>
      <c r="S1192">
        <v>0</v>
      </c>
      <c r="T1192">
        <v>0</v>
      </c>
      <c r="U1192">
        <v>0</v>
      </c>
      <c r="V1192">
        <v>0</v>
      </c>
      <c r="W1192">
        <v>0</v>
      </c>
      <c r="X1192">
        <v>0</v>
      </c>
      <c r="Y1192">
        <v>0</v>
      </c>
      <c r="Z1192">
        <v>0</v>
      </c>
      <c r="AA1192">
        <v>0</v>
      </c>
      <c r="AB1192">
        <v>0</v>
      </c>
      <c r="AC1192">
        <v>0</v>
      </c>
      <c r="AD1192">
        <v>0</v>
      </c>
      <c r="AE1192">
        <v>0</v>
      </c>
      <c r="AF1192">
        <v>0</v>
      </c>
      <c r="AG1192">
        <v>0</v>
      </c>
      <c r="AH1192">
        <v>0</v>
      </c>
      <c r="AI1192">
        <v>0</v>
      </c>
      <c r="AJ1192">
        <v>0</v>
      </c>
      <c r="AK1192">
        <v>0</v>
      </c>
      <c r="AL1192">
        <v>0</v>
      </c>
      <c r="AM1192">
        <v>6.71</v>
      </c>
      <c r="AN1192">
        <v>0</v>
      </c>
      <c r="AO1192">
        <v>0</v>
      </c>
      <c r="AP1192">
        <v>0</v>
      </c>
      <c r="AQ1192">
        <v>0</v>
      </c>
      <c r="AR1192">
        <v>0</v>
      </c>
      <c r="AS1192">
        <v>0</v>
      </c>
      <c r="AT1192">
        <v>0</v>
      </c>
      <c r="AU1192">
        <v>0</v>
      </c>
      <c r="AV1192">
        <v>0</v>
      </c>
      <c r="AW1192">
        <v>0</v>
      </c>
      <c r="AX1192">
        <v>0</v>
      </c>
      <c r="AY1192">
        <v>0</v>
      </c>
      <c r="AZ1192">
        <v>0</v>
      </c>
      <c r="BA1192">
        <v>0</v>
      </c>
      <c r="BB1192">
        <v>0</v>
      </c>
      <c r="BC1192">
        <v>0</v>
      </c>
      <c r="BD1192">
        <v>0</v>
      </c>
      <c r="BE1192">
        <v>0</v>
      </c>
      <c r="BF1192">
        <v>0</v>
      </c>
      <c r="BG1192">
        <v>0</v>
      </c>
      <c r="BH1192">
        <v>1</v>
      </c>
      <c r="BI1192">
        <v>1</v>
      </c>
      <c r="BJ1192">
        <v>0.2</v>
      </c>
      <c r="BK1192">
        <v>1</v>
      </c>
      <c r="BL1192" s="4">
        <v>39.42</v>
      </c>
      <c r="BM1192" s="4">
        <v>5.91</v>
      </c>
      <c r="BN1192" s="4">
        <v>45.33</v>
      </c>
      <c r="BO1192" s="4">
        <v>45.33</v>
      </c>
      <c r="BR1192" t="s">
        <v>84</v>
      </c>
      <c r="BS1192" s="3">
        <v>43812</v>
      </c>
      <c r="BT1192" s="5">
        <v>0.375</v>
      </c>
      <c r="BU1192" t="s">
        <v>761</v>
      </c>
      <c r="BV1192" t="s">
        <v>86</v>
      </c>
      <c r="BY1192">
        <v>1200</v>
      </c>
      <c r="CC1192" t="s">
        <v>76</v>
      </c>
      <c r="CD1192">
        <v>1682</v>
      </c>
      <c r="CE1192" t="s">
        <v>88</v>
      </c>
      <c r="CF1192" s="3">
        <v>43816</v>
      </c>
      <c r="CI1192">
        <v>1</v>
      </c>
      <c r="CJ1192">
        <v>1</v>
      </c>
      <c r="CK1192">
        <v>22</v>
      </c>
      <c r="CL1192" t="s">
        <v>89</v>
      </c>
    </row>
    <row r="1193" spans="1:90">
      <c r="A1193" t="s">
        <v>72</v>
      </c>
      <c r="B1193" t="s">
        <v>73</v>
      </c>
      <c r="C1193" t="s">
        <v>74</v>
      </c>
      <c r="E1193" t="str">
        <f>"FES1162727973"</f>
        <v>FES1162727973</v>
      </c>
      <c r="F1193" s="3">
        <v>43811</v>
      </c>
      <c r="G1193">
        <v>202006</v>
      </c>
      <c r="H1193" t="s">
        <v>75</v>
      </c>
      <c r="I1193" t="s">
        <v>76</v>
      </c>
      <c r="J1193" t="s">
        <v>77</v>
      </c>
      <c r="K1193" t="s">
        <v>78</v>
      </c>
      <c r="L1193" t="s">
        <v>201</v>
      </c>
      <c r="M1193" t="s">
        <v>202</v>
      </c>
      <c r="N1193" t="s">
        <v>1716</v>
      </c>
      <c r="O1193" t="s">
        <v>82</v>
      </c>
      <c r="P1193" t="str">
        <f>"2170718937                    "</f>
        <v xml:space="preserve">2170718937                    </v>
      </c>
      <c r="Q1193">
        <v>0</v>
      </c>
      <c r="R1193">
        <v>0</v>
      </c>
      <c r="S1193">
        <v>0</v>
      </c>
      <c r="T1193">
        <v>0</v>
      </c>
      <c r="U1193">
        <v>0</v>
      </c>
      <c r="V1193">
        <v>0</v>
      </c>
      <c r="W1193">
        <v>0</v>
      </c>
      <c r="X1193">
        <v>0</v>
      </c>
      <c r="Y1193">
        <v>0</v>
      </c>
      <c r="Z1193">
        <v>0</v>
      </c>
      <c r="AA1193">
        <v>0</v>
      </c>
      <c r="AB1193">
        <v>0</v>
      </c>
      <c r="AC1193">
        <v>0</v>
      </c>
      <c r="AD1193">
        <v>0</v>
      </c>
      <c r="AE1193">
        <v>0</v>
      </c>
      <c r="AF1193">
        <v>0</v>
      </c>
      <c r="AG1193">
        <v>0</v>
      </c>
      <c r="AH1193">
        <v>0</v>
      </c>
      <c r="AI1193">
        <v>0</v>
      </c>
      <c r="AJ1193">
        <v>0</v>
      </c>
      <c r="AK1193">
        <v>0</v>
      </c>
      <c r="AL1193">
        <v>0</v>
      </c>
      <c r="AM1193">
        <v>8.58</v>
      </c>
      <c r="AN1193">
        <v>0</v>
      </c>
      <c r="AO1193">
        <v>0</v>
      </c>
      <c r="AP1193">
        <v>0</v>
      </c>
      <c r="AQ1193">
        <v>0</v>
      </c>
      <c r="AR1193">
        <v>0</v>
      </c>
      <c r="AS1193">
        <v>0</v>
      </c>
      <c r="AT1193">
        <v>0</v>
      </c>
      <c r="AU1193">
        <v>0</v>
      </c>
      <c r="AV1193">
        <v>0</v>
      </c>
      <c r="AW1193">
        <v>0</v>
      </c>
      <c r="AX1193">
        <v>0</v>
      </c>
      <c r="AY1193">
        <v>0</v>
      </c>
      <c r="AZ1193">
        <v>0</v>
      </c>
      <c r="BA1193">
        <v>0</v>
      </c>
      <c r="BB1193">
        <v>0</v>
      </c>
      <c r="BC1193">
        <v>0</v>
      </c>
      <c r="BD1193">
        <v>0</v>
      </c>
      <c r="BE1193">
        <v>0</v>
      </c>
      <c r="BF1193">
        <v>0</v>
      </c>
      <c r="BG1193">
        <v>0</v>
      </c>
      <c r="BH1193">
        <v>1</v>
      </c>
      <c r="BI1193">
        <v>1</v>
      </c>
      <c r="BJ1193">
        <v>0.2</v>
      </c>
      <c r="BK1193">
        <v>1</v>
      </c>
      <c r="BL1193" s="4">
        <v>50.45</v>
      </c>
      <c r="BM1193" s="4">
        <v>7.57</v>
      </c>
      <c r="BN1193" s="4">
        <v>58.02</v>
      </c>
      <c r="BO1193" s="4">
        <v>58.02</v>
      </c>
      <c r="BQ1193" t="s">
        <v>147</v>
      </c>
      <c r="BR1193" t="s">
        <v>84</v>
      </c>
      <c r="BS1193" s="3">
        <v>43812</v>
      </c>
      <c r="BT1193" s="5">
        <v>0.52361111111111114</v>
      </c>
      <c r="BU1193" t="s">
        <v>1717</v>
      </c>
      <c r="BV1193" t="s">
        <v>89</v>
      </c>
      <c r="BW1193" t="s">
        <v>506</v>
      </c>
      <c r="BX1193" t="s">
        <v>1163</v>
      </c>
      <c r="BY1193">
        <v>1200</v>
      </c>
      <c r="CA1193" t="s">
        <v>205</v>
      </c>
      <c r="CC1193" t="s">
        <v>202</v>
      </c>
      <c r="CD1193">
        <v>3620</v>
      </c>
      <c r="CE1193" t="s">
        <v>88</v>
      </c>
      <c r="CF1193" s="3">
        <v>43816</v>
      </c>
      <c r="CI1193">
        <v>1</v>
      </c>
      <c r="CJ1193">
        <v>1</v>
      </c>
      <c r="CK1193">
        <v>21</v>
      </c>
      <c r="CL1193" t="s">
        <v>89</v>
      </c>
    </row>
    <row r="1194" spans="1:90">
      <c r="A1194" t="s">
        <v>72</v>
      </c>
      <c r="B1194" t="s">
        <v>73</v>
      </c>
      <c r="C1194" t="s">
        <v>74</v>
      </c>
      <c r="E1194" t="str">
        <f>"FES1162728003"</f>
        <v>FES1162728003</v>
      </c>
      <c r="F1194" s="3">
        <v>43811</v>
      </c>
      <c r="G1194">
        <v>202006</v>
      </c>
      <c r="H1194" t="s">
        <v>75</v>
      </c>
      <c r="I1194" t="s">
        <v>76</v>
      </c>
      <c r="J1194" t="s">
        <v>77</v>
      </c>
      <c r="K1194" t="s">
        <v>78</v>
      </c>
      <c r="L1194" t="s">
        <v>201</v>
      </c>
      <c r="M1194" t="s">
        <v>202</v>
      </c>
      <c r="N1194" t="s">
        <v>335</v>
      </c>
      <c r="O1194" t="s">
        <v>82</v>
      </c>
      <c r="P1194" t="str">
        <f>"2170719325                    "</f>
        <v xml:space="preserve">2170719325                    </v>
      </c>
      <c r="Q1194">
        <v>0</v>
      </c>
      <c r="R1194">
        <v>0</v>
      </c>
      <c r="S1194">
        <v>0</v>
      </c>
      <c r="T1194">
        <v>0</v>
      </c>
      <c r="U1194">
        <v>0</v>
      </c>
      <c r="V1194">
        <v>0</v>
      </c>
      <c r="W1194">
        <v>0</v>
      </c>
      <c r="X1194">
        <v>0</v>
      </c>
      <c r="Y1194">
        <v>0</v>
      </c>
      <c r="Z1194">
        <v>0</v>
      </c>
      <c r="AA1194">
        <v>0</v>
      </c>
      <c r="AB1194">
        <v>0</v>
      </c>
      <c r="AC1194">
        <v>0</v>
      </c>
      <c r="AD1194">
        <v>0</v>
      </c>
      <c r="AE1194">
        <v>0</v>
      </c>
      <c r="AF1194">
        <v>0</v>
      </c>
      <c r="AG1194">
        <v>0</v>
      </c>
      <c r="AH1194">
        <v>0</v>
      </c>
      <c r="AI1194">
        <v>0</v>
      </c>
      <c r="AJ1194">
        <v>0</v>
      </c>
      <c r="AK1194">
        <v>0</v>
      </c>
      <c r="AL1194">
        <v>0</v>
      </c>
      <c r="AM1194">
        <v>8.58</v>
      </c>
      <c r="AN1194">
        <v>0</v>
      </c>
      <c r="AO1194">
        <v>0</v>
      </c>
      <c r="AP1194">
        <v>0</v>
      </c>
      <c r="AQ1194">
        <v>0</v>
      </c>
      <c r="AR1194">
        <v>0</v>
      </c>
      <c r="AS1194">
        <v>0</v>
      </c>
      <c r="AT1194">
        <v>0</v>
      </c>
      <c r="AU1194">
        <v>0</v>
      </c>
      <c r="AV1194">
        <v>0</v>
      </c>
      <c r="AW1194">
        <v>0</v>
      </c>
      <c r="AX1194">
        <v>0</v>
      </c>
      <c r="AY1194">
        <v>0</v>
      </c>
      <c r="AZ1194">
        <v>0</v>
      </c>
      <c r="BA1194">
        <v>0</v>
      </c>
      <c r="BB1194">
        <v>0</v>
      </c>
      <c r="BC1194">
        <v>0</v>
      </c>
      <c r="BD1194">
        <v>0</v>
      </c>
      <c r="BE1194">
        <v>0</v>
      </c>
      <c r="BF1194">
        <v>0</v>
      </c>
      <c r="BG1194">
        <v>0</v>
      </c>
      <c r="BH1194">
        <v>1</v>
      </c>
      <c r="BI1194">
        <v>1</v>
      </c>
      <c r="BJ1194">
        <v>0.2</v>
      </c>
      <c r="BK1194">
        <v>1</v>
      </c>
      <c r="BL1194" s="4">
        <v>50.45</v>
      </c>
      <c r="BM1194" s="4">
        <v>7.57</v>
      </c>
      <c r="BN1194" s="4">
        <v>58.02</v>
      </c>
      <c r="BO1194" s="4">
        <v>58.02</v>
      </c>
      <c r="BQ1194" t="s">
        <v>147</v>
      </c>
      <c r="BR1194" t="s">
        <v>84</v>
      </c>
      <c r="BS1194" s="3">
        <v>43812</v>
      </c>
      <c r="BT1194" s="5">
        <v>0.3923611111111111</v>
      </c>
      <c r="BU1194" t="s">
        <v>336</v>
      </c>
      <c r="BV1194" t="s">
        <v>86</v>
      </c>
      <c r="BY1194">
        <v>1200</v>
      </c>
      <c r="CA1194" t="s">
        <v>288</v>
      </c>
      <c r="CC1194" t="s">
        <v>202</v>
      </c>
      <c r="CD1194">
        <v>3600</v>
      </c>
      <c r="CE1194" t="s">
        <v>88</v>
      </c>
      <c r="CF1194" s="3">
        <v>43816</v>
      </c>
      <c r="CI1194">
        <v>1</v>
      </c>
      <c r="CJ1194">
        <v>1</v>
      </c>
      <c r="CK1194">
        <v>21</v>
      </c>
      <c r="CL1194" t="s">
        <v>89</v>
      </c>
    </row>
    <row r="1195" spans="1:90">
      <c r="A1195" t="s">
        <v>72</v>
      </c>
      <c r="B1195" t="s">
        <v>73</v>
      </c>
      <c r="C1195" t="s">
        <v>74</v>
      </c>
      <c r="E1195" t="str">
        <f>"FES1162728099"</f>
        <v>FES1162728099</v>
      </c>
      <c r="F1195" s="3">
        <v>43811</v>
      </c>
      <c r="G1195">
        <v>202006</v>
      </c>
      <c r="H1195" t="s">
        <v>75</v>
      </c>
      <c r="I1195" t="s">
        <v>76</v>
      </c>
      <c r="J1195" t="s">
        <v>77</v>
      </c>
      <c r="K1195" t="s">
        <v>78</v>
      </c>
      <c r="L1195" t="s">
        <v>361</v>
      </c>
      <c r="M1195" t="s">
        <v>362</v>
      </c>
      <c r="N1195" t="s">
        <v>1000</v>
      </c>
      <c r="O1195" t="s">
        <v>82</v>
      </c>
      <c r="P1195" t="str">
        <f>"2170718565                    "</f>
        <v xml:space="preserve">2170718565                    </v>
      </c>
      <c r="Q1195">
        <v>0</v>
      </c>
      <c r="R1195">
        <v>0</v>
      </c>
      <c r="S1195">
        <v>0</v>
      </c>
      <c r="T1195">
        <v>0</v>
      </c>
      <c r="U1195">
        <v>0</v>
      </c>
      <c r="V1195">
        <v>0</v>
      </c>
      <c r="W1195">
        <v>0</v>
      </c>
      <c r="X1195">
        <v>0</v>
      </c>
      <c r="Y1195">
        <v>0</v>
      </c>
      <c r="Z1195">
        <v>0</v>
      </c>
      <c r="AA1195">
        <v>0</v>
      </c>
      <c r="AB1195">
        <v>0</v>
      </c>
      <c r="AC1195">
        <v>0</v>
      </c>
      <c r="AD1195">
        <v>0</v>
      </c>
      <c r="AE1195">
        <v>0</v>
      </c>
      <c r="AF1195">
        <v>0</v>
      </c>
      <c r="AG1195">
        <v>0</v>
      </c>
      <c r="AH1195">
        <v>0</v>
      </c>
      <c r="AI1195">
        <v>0</v>
      </c>
      <c r="AJ1195">
        <v>0</v>
      </c>
      <c r="AK1195">
        <v>0</v>
      </c>
      <c r="AL1195">
        <v>0</v>
      </c>
      <c r="AM1195">
        <v>8.58</v>
      </c>
      <c r="AN1195">
        <v>0</v>
      </c>
      <c r="AO1195">
        <v>0</v>
      </c>
      <c r="AP1195">
        <v>0</v>
      </c>
      <c r="AQ1195">
        <v>0</v>
      </c>
      <c r="AR1195">
        <v>0</v>
      </c>
      <c r="AS1195">
        <v>0</v>
      </c>
      <c r="AT1195">
        <v>0</v>
      </c>
      <c r="AU1195">
        <v>0</v>
      </c>
      <c r="AV1195">
        <v>0</v>
      </c>
      <c r="AW1195">
        <v>0</v>
      </c>
      <c r="AX1195">
        <v>0</v>
      </c>
      <c r="AY1195">
        <v>0</v>
      </c>
      <c r="AZ1195">
        <v>0</v>
      </c>
      <c r="BA1195">
        <v>0</v>
      </c>
      <c r="BB1195">
        <v>0</v>
      </c>
      <c r="BC1195">
        <v>0</v>
      </c>
      <c r="BD1195">
        <v>0</v>
      </c>
      <c r="BE1195">
        <v>0</v>
      </c>
      <c r="BF1195">
        <v>0</v>
      </c>
      <c r="BG1195">
        <v>0</v>
      </c>
      <c r="BH1195">
        <v>1</v>
      </c>
      <c r="BI1195">
        <v>1</v>
      </c>
      <c r="BJ1195">
        <v>0.2</v>
      </c>
      <c r="BK1195">
        <v>1</v>
      </c>
      <c r="BL1195" s="4">
        <v>50.45</v>
      </c>
      <c r="BM1195" s="4">
        <v>7.57</v>
      </c>
      <c r="BN1195" s="4">
        <v>58.02</v>
      </c>
      <c r="BO1195" s="4">
        <v>58.02</v>
      </c>
      <c r="BQ1195" t="s">
        <v>1001</v>
      </c>
      <c r="BR1195" t="s">
        <v>84</v>
      </c>
      <c r="BS1195" s="3">
        <v>43812</v>
      </c>
      <c r="BT1195" s="5">
        <v>0.39583333333333331</v>
      </c>
      <c r="BU1195" t="s">
        <v>254</v>
      </c>
      <c r="BV1195" t="s">
        <v>86</v>
      </c>
      <c r="BY1195">
        <v>1200</v>
      </c>
      <c r="CA1195" t="s">
        <v>185</v>
      </c>
      <c r="CC1195" t="s">
        <v>362</v>
      </c>
      <c r="CD1195">
        <v>6220</v>
      </c>
      <c r="CE1195" t="s">
        <v>88</v>
      </c>
      <c r="CF1195" s="3">
        <v>43816</v>
      </c>
      <c r="CI1195">
        <v>1</v>
      </c>
      <c r="CJ1195">
        <v>1</v>
      </c>
      <c r="CK1195">
        <v>21</v>
      </c>
      <c r="CL1195" t="s">
        <v>89</v>
      </c>
    </row>
    <row r="1196" spans="1:90">
      <c r="A1196" t="s">
        <v>72</v>
      </c>
      <c r="B1196" t="s">
        <v>73</v>
      </c>
      <c r="C1196" t="s">
        <v>74</v>
      </c>
      <c r="E1196" t="str">
        <f>"FES1162728143"</f>
        <v>FES1162728143</v>
      </c>
      <c r="F1196" s="3">
        <v>43811</v>
      </c>
      <c r="G1196">
        <v>202006</v>
      </c>
      <c r="H1196" t="s">
        <v>75</v>
      </c>
      <c r="I1196" t="s">
        <v>76</v>
      </c>
      <c r="J1196" t="s">
        <v>77</v>
      </c>
      <c r="K1196" t="s">
        <v>78</v>
      </c>
      <c r="L1196" t="s">
        <v>164</v>
      </c>
      <c r="M1196" t="s">
        <v>165</v>
      </c>
      <c r="N1196" t="s">
        <v>658</v>
      </c>
      <c r="O1196" t="s">
        <v>82</v>
      </c>
      <c r="P1196" t="str">
        <f>"2170719730                    "</f>
        <v xml:space="preserve">2170719730                    </v>
      </c>
      <c r="Q1196">
        <v>0</v>
      </c>
      <c r="R1196">
        <v>0</v>
      </c>
      <c r="S1196">
        <v>0</v>
      </c>
      <c r="T1196">
        <v>0</v>
      </c>
      <c r="U1196">
        <v>0</v>
      </c>
      <c r="V1196">
        <v>0</v>
      </c>
      <c r="W1196">
        <v>0</v>
      </c>
      <c r="X1196">
        <v>0</v>
      </c>
      <c r="Y1196">
        <v>0</v>
      </c>
      <c r="Z1196">
        <v>0</v>
      </c>
      <c r="AA1196">
        <v>0</v>
      </c>
      <c r="AB1196">
        <v>0</v>
      </c>
      <c r="AC1196">
        <v>0</v>
      </c>
      <c r="AD1196">
        <v>0</v>
      </c>
      <c r="AE1196">
        <v>0</v>
      </c>
      <c r="AF1196">
        <v>0</v>
      </c>
      <c r="AG1196">
        <v>0</v>
      </c>
      <c r="AH1196">
        <v>0</v>
      </c>
      <c r="AI1196">
        <v>0</v>
      </c>
      <c r="AJ1196">
        <v>0</v>
      </c>
      <c r="AK1196">
        <v>0</v>
      </c>
      <c r="AL1196">
        <v>0</v>
      </c>
      <c r="AM1196">
        <v>8.58</v>
      </c>
      <c r="AN1196">
        <v>0</v>
      </c>
      <c r="AO1196">
        <v>0</v>
      </c>
      <c r="AP1196">
        <v>0</v>
      </c>
      <c r="AQ1196">
        <v>0</v>
      </c>
      <c r="AR1196">
        <v>0</v>
      </c>
      <c r="AS1196">
        <v>0</v>
      </c>
      <c r="AT1196">
        <v>0</v>
      </c>
      <c r="AU1196">
        <v>0</v>
      </c>
      <c r="AV1196">
        <v>0</v>
      </c>
      <c r="AW1196">
        <v>0</v>
      </c>
      <c r="AX1196">
        <v>0</v>
      </c>
      <c r="AY1196">
        <v>0</v>
      </c>
      <c r="AZ1196">
        <v>0</v>
      </c>
      <c r="BA1196">
        <v>0</v>
      </c>
      <c r="BB1196">
        <v>0</v>
      </c>
      <c r="BC1196">
        <v>0</v>
      </c>
      <c r="BD1196">
        <v>0</v>
      </c>
      <c r="BE1196">
        <v>0</v>
      </c>
      <c r="BF1196">
        <v>0</v>
      </c>
      <c r="BG1196">
        <v>0</v>
      </c>
      <c r="BH1196">
        <v>1</v>
      </c>
      <c r="BI1196">
        <v>1</v>
      </c>
      <c r="BJ1196">
        <v>0.2</v>
      </c>
      <c r="BK1196">
        <v>1</v>
      </c>
      <c r="BL1196" s="4">
        <v>50.45</v>
      </c>
      <c r="BM1196" s="4">
        <v>7.57</v>
      </c>
      <c r="BN1196" s="4">
        <v>58.02</v>
      </c>
      <c r="BO1196" s="4">
        <v>58.02</v>
      </c>
      <c r="BR1196" t="s">
        <v>84</v>
      </c>
      <c r="BS1196" s="3">
        <v>43812</v>
      </c>
      <c r="BT1196" s="5">
        <v>0.43402777777777773</v>
      </c>
      <c r="BU1196" t="s">
        <v>1718</v>
      </c>
      <c r="BV1196" t="s">
        <v>86</v>
      </c>
      <c r="BY1196">
        <v>1200</v>
      </c>
      <c r="CA1196" t="s">
        <v>1030</v>
      </c>
      <c r="CC1196" t="s">
        <v>165</v>
      </c>
      <c r="CD1196">
        <v>5200</v>
      </c>
      <c r="CE1196" t="s">
        <v>88</v>
      </c>
      <c r="CF1196" s="3">
        <v>43817</v>
      </c>
      <c r="CI1196">
        <v>1</v>
      </c>
      <c r="CJ1196">
        <v>1</v>
      </c>
      <c r="CK1196">
        <v>21</v>
      </c>
      <c r="CL1196" t="s">
        <v>89</v>
      </c>
    </row>
    <row r="1197" spans="1:90">
      <c r="A1197" t="s">
        <v>72</v>
      </c>
      <c r="B1197" t="s">
        <v>73</v>
      </c>
      <c r="C1197" t="s">
        <v>74</v>
      </c>
      <c r="E1197" t="str">
        <f>"FES1162728137"</f>
        <v>FES1162728137</v>
      </c>
      <c r="F1197" s="3">
        <v>43811</v>
      </c>
      <c r="G1197">
        <v>202006</v>
      </c>
      <c r="H1197" t="s">
        <v>75</v>
      </c>
      <c r="I1197" t="s">
        <v>76</v>
      </c>
      <c r="J1197" t="s">
        <v>77</v>
      </c>
      <c r="K1197" t="s">
        <v>78</v>
      </c>
      <c r="L1197" t="s">
        <v>90</v>
      </c>
      <c r="M1197" t="s">
        <v>91</v>
      </c>
      <c r="N1197" t="s">
        <v>295</v>
      </c>
      <c r="O1197" t="s">
        <v>82</v>
      </c>
      <c r="P1197" t="str">
        <f>"2170719162                    "</f>
        <v xml:space="preserve">2170719162                    </v>
      </c>
      <c r="Q1197">
        <v>0</v>
      </c>
      <c r="R1197">
        <v>0</v>
      </c>
      <c r="S1197">
        <v>0</v>
      </c>
      <c r="T1197">
        <v>0</v>
      </c>
      <c r="U1197">
        <v>0</v>
      </c>
      <c r="V1197">
        <v>0</v>
      </c>
      <c r="W1197">
        <v>0</v>
      </c>
      <c r="X1197">
        <v>0</v>
      </c>
      <c r="Y1197">
        <v>0</v>
      </c>
      <c r="Z1197">
        <v>0</v>
      </c>
      <c r="AA1197">
        <v>0</v>
      </c>
      <c r="AB1197">
        <v>0</v>
      </c>
      <c r="AC1197">
        <v>0</v>
      </c>
      <c r="AD1197">
        <v>0</v>
      </c>
      <c r="AE1197">
        <v>0</v>
      </c>
      <c r="AF1197">
        <v>0</v>
      </c>
      <c r="AG1197">
        <v>0</v>
      </c>
      <c r="AH1197">
        <v>0</v>
      </c>
      <c r="AI1197">
        <v>0</v>
      </c>
      <c r="AJ1197">
        <v>0</v>
      </c>
      <c r="AK1197">
        <v>0</v>
      </c>
      <c r="AL1197">
        <v>0</v>
      </c>
      <c r="AM1197">
        <v>8.58</v>
      </c>
      <c r="AN1197">
        <v>0</v>
      </c>
      <c r="AO1197">
        <v>0</v>
      </c>
      <c r="AP1197">
        <v>0</v>
      </c>
      <c r="AQ1197">
        <v>0</v>
      </c>
      <c r="AR1197">
        <v>0</v>
      </c>
      <c r="AS1197">
        <v>0</v>
      </c>
      <c r="AT1197">
        <v>0</v>
      </c>
      <c r="AU1197">
        <v>0</v>
      </c>
      <c r="AV1197">
        <v>0</v>
      </c>
      <c r="AW1197">
        <v>0</v>
      </c>
      <c r="AX1197">
        <v>0</v>
      </c>
      <c r="AY1197">
        <v>0</v>
      </c>
      <c r="AZ1197">
        <v>0</v>
      </c>
      <c r="BA1197">
        <v>0</v>
      </c>
      <c r="BB1197">
        <v>0</v>
      </c>
      <c r="BC1197">
        <v>0</v>
      </c>
      <c r="BD1197">
        <v>0</v>
      </c>
      <c r="BE1197">
        <v>0</v>
      </c>
      <c r="BF1197">
        <v>0</v>
      </c>
      <c r="BG1197">
        <v>0</v>
      </c>
      <c r="BH1197">
        <v>1</v>
      </c>
      <c r="BI1197">
        <v>1</v>
      </c>
      <c r="BJ1197">
        <v>0.2</v>
      </c>
      <c r="BK1197">
        <v>1</v>
      </c>
      <c r="BL1197" s="4">
        <v>50.45</v>
      </c>
      <c r="BM1197" s="4">
        <v>7.57</v>
      </c>
      <c r="BN1197" s="4">
        <v>58.02</v>
      </c>
      <c r="BO1197" s="4">
        <v>58.02</v>
      </c>
      <c r="BQ1197" t="s">
        <v>147</v>
      </c>
      <c r="BR1197" t="s">
        <v>84</v>
      </c>
      <c r="BS1197" s="3">
        <v>43816</v>
      </c>
      <c r="BT1197" s="5">
        <v>0.62083333333333335</v>
      </c>
      <c r="BU1197" t="s">
        <v>1719</v>
      </c>
      <c r="BV1197" t="s">
        <v>89</v>
      </c>
      <c r="BW1197" t="s">
        <v>593</v>
      </c>
      <c r="BX1197" t="s">
        <v>284</v>
      </c>
      <c r="BY1197">
        <v>1200</v>
      </c>
      <c r="CA1197" t="s">
        <v>1720</v>
      </c>
      <c r="CC1197" t="s">
        <v>91</v>
      </c>
      <c r="CD1197">
        <v>7460</v>
      </c>
      <c r="CE1197" t="s">
        <v>88</v>
      </c>
      <c r="CF1197" s="3">
        <v>43817</v>
      </c>
      <c r="CI1197">
        <v>1</v>
      </c>
      <c r="CJ1197">
        <v>3</v>
      </c>
      <c r="CK1197">
        <v>21</v>
      </c>
      <c r="CL1197" t="s">
        <v>89</v>
      </c>
    </row>
    <row r="1198" spans="1:90">
      <c r="A1198" t="s">
        <v>72</v>
      </c>
      <c r="B1198" t="s">
        <v>73</v>
      </c>
      <c r="C1198" t="s">
        <v>74</v>
      </c>
      <c r="E1198" t="str">
        <f>"FES1162728173"</f>
        <v>FES1162728173</v>
      </c>
      <c r="F1198" s="3">
        <v>43811</v>
      </c>
      <c r="G1198">
        <v>202006</v>
      </c>
      <c r="H1198" t="s">
        <v>75</v>
      </c>
      <c r="I1198" t="s">
        <v>76</v>
      </c>
      <c r="J1198" t="s">
        <v>77</v>
      </c>
      <c r="K1198" t="s">
        <v>78</v>
      </c>
      <c r="L1198" t="s">
        <v>90</v>
      </c>
      <c r="M1198" t="s">
        <v>91</v>
      </c>
      <c r="N1198" t="s">
        <v>1721</v>
      </c>
      <c r="O1198" t="s">
        <v>82</v>
      </c>
      <c r="P1198" t="str">
        <f>"2170721495                    "</f>
        <v xml:space="preserve">2170721495                    </v>
      </c>
      <c r="Q1198">
        <v>0</v>
      </c>
      <c r="R1198">
        <v>0</v>
      </c>
      <c r="S1198">
        <v>0</v>
      </c>
      <c r="T1198">
        <v>0</v>
      </c>
      <c r="U1198">
        <v>0</v>
      </c>
      <c r="V1198">
        <v>0</v>
      </c>
      <c r="W1198">
        <v>0</v>
      </c>
      <c r="X1198">
        <v>0</v>
      </c>
      <c r="Y1198">
        <v>0</v>
      </c>
      <c r="Z1198">
        <v>0</v>
      </c>
      <c r="AA1198">
        <v>0</v>
      </c>
      <c r="AB1198">
        <v>0</v>
      </c>
      <c r="AC1198">
        <v>0</v>
      </c>
      <c r="AD1198">
        <v>0</v>
      </c>
      <c r="AE1198">
        <v>0</v>
      </c>
      <c r="AF1198">
        <v>0</v>
      </c>
      <c r="AG1198">
        <v>0</v>
      </c>
      <c r="AH1198">
        <v>0</v>
      </c>
      <c r="AI1198">
        <v>0</v>
      </c>
      <c r="AJ1198">
        <v>0</v>
      </c>
      <c r="AK1198">
        <v>0</v>
      </c>
      <c r="AL1198">
        <v>0</v>
      </c>
      <c r="AM1198">
        <v>8.58</v>
      </c>
      <c r="AN1198">
        <v>0</v>
      </c>
      <c r="AO1198">
        <v>0</v>
      </c>
      <c r="AP1198">
        <v>0</v>
      </c>
      <c r="AQ1198">
        <v>0</v>
      </c>
      <c r="AR1198">
        <v>0</v>
      </c>
      <c r="AS1198">
        <v>0</v>
      </c>
      <c r="AT1198">
        <v>0</v>
      </c>
      <c r="AU1198">
        <v>0</v>
      </c>
      <c r="AV1198">
        <v>0</v>
      </c>
      <c r="AW1198">
        <v>0</v>
      </c>
      <c r="AX1198">
        <v>0</v>
      </c>
      <c r="AY1198">
        <v>0</v>
      </c>
      <c r="AZ1198">
        <v>0</v>
      </c>
      <c r="BA1198">
        <v>0</v>
      </c>
      <c r="BB1198">
        <v>0</v>
      </c>
      <c r="BC1198">
        <v>0</v>
      </c>
      <c r="BD1198">
        <v>0</v>
      </c>
      <c r="BE1198">
        <v>0</v>
      </c>
      <c r="BF1198">
        <v>0</v>
      </c>
      <c r="BG1198">
        <v>0</v>
      </c>
      <c r="BH1198">
        <v>1</v>
      </c>
      <c r="BI1198">
        <v>1</v>
      </c>
      <c r="BJ1198">
        <v>0.2</v>
      </c>
      <c r="BK1198">
        <v>1</v>
      </c>
      <c r="BL1198" s="4">
        <v>50.45</v>
      </c>
      <c r="BM1198" s="4">
        <v>7.57</v>
      </c>
      <c r="BN1198" s="4">
        <v>58.02</v>
      </c>
      <c r="BO1198" s="4">
        <v>58.02</v>
      </c>
      <c r="BQ1198" t="s">
        <v>1722</v>
      </c>
      <c r="BR1198" t="s">
        <v>84</v>
      </c>
      <c r="BS1198" s="3">
        <v>43812</v>
      </c>
      <c r="BT1198" s="5">
        <v>0.34236111111111112</v>
      </c>
      <c r="BU1198" t="s">
        <v>1723</v>
      </c>
      <c r="BV1198" t="s">
        <v>86</v>
      </c>
      <c r="BY1198">
        <v>1200</v>
      </c>
      <c r="CA1198" t="s">
        <v>440</v>
      </c>
      <c r="CC1198" t="s">
        <v>91</v>
      </c>
      <c r="CD1198">
        <v>7493</v>
      </c>
      <c r="CE1198" t="s">
        <v>88</v>
      </c>
      <c r="CF1198" s="3">
        <v>43816</v>
      </c>
      <c r="CI1198">
        <v>1</v>
      </c>
      <c r="CJ1198">
        <v>1</v>
      </c>
      <c r="CK1198">
        <v>21</v>
      </c>
      <c r="CL1198" t="s">
        <v>89</v>
      </c>
    </row>
    <row r="1199" spans="1:90">
      <c r="A1199" t="s">
        <v>72</v>
      </c>
      <c r="B1199" t="s">
        <v>73</v>
      </c>
      <c r="C1199" t="s">
        <v>74</v>
      </c>
      <c r="E1199" t="str">
        <f>"FES1162728165"</f>
        <v>FES1162728165</v>
      </c>
      <c r="F1199" s="3">
        <v>43811</v>
      </c>
      <c r="G1199">
        <v>202006</v>
      </c>
      <c r="H1199" t="s">
        <v>75</v>
      </c>
      <c r="I1199" t="s">
        <v>76</v>
      </c>
      <c r="J1199" t="s">
        <v>77</v>
      </c>
      <c r="K1199" t="s">
        <v>78</v>
      </c>
      <c r="L1199" t="s">
        <v>90</v>
      </c>
      <c r="M1199" t="s">
        <v>91</v>
      </c>
      <c r="N1199" t="s">
        <v>207</v>
      </c>
      <c r="O1199" t="s">
        <v>82</v>
      </c>
      <c r="P1199" t="str">
        <f>"2170721309                    "</f>
        <v xml:space="preserve">2170721309                    </v>
      </c>
      <c r="Q1199">
        <v>0</v>
      </c>
      <c r="R1199">
        <v>0</v>
      </c>
      <c r="S1199">
        <v>0</v>
      </c>
      <c r="T1199">
        <v>0</v>
      </c>
      <c r="U1199">
        <v>0</v>
      </c>
      <c r="V1199">
        <v>0</v>
      </c>
      <c r="W1199">
        <v>0</v>
      </c>
      <c r="X1199">
        <v>0</v>
      </c>
      <c r="Y1199">
        <v>0</v>
      </c>
      <c r="Z1199">
        <v>0</v>
      </c>
      <c r="AA1199">
        <v>0</v>
      </c>
      <c r="AB1199">
        <v>0</v>
      </c>
      <c r="AC1199">
        <v>0</v>
      </c>
      <c r="AD1199">
        <v>0</v>
      </c>
      <c r="AE1199">
        <v>0</v>
      </c>
      <c r="AF1199">
        <v>0</v>
      </c>
      <c r="AG1199">
        <v>0</v>
      </c>
      <c r="AH1199">
        <v>0</v>
      </c>
      <c r="AI1199">
        <v>0</v>
      </c>
      <c r="AJ1199">
        <v>0</v>
      </c>
      <c r="AK1199">
        <v>0</v>
      </c>
      <c r="AL1199">
        <v>0</v>
      </c>
      <c r="AM1199">
        <v>8.58</v>
      </c>
      <c r="AN1199">
        <v>0</v>
      </c>
      <c r="AO1199">
        <v>0</v>
      </c>
      <c r="AP1199">
        <v>0</v>
      </c>
      <c r="AQ1199">
        <v>0</v>
      </c>
      <c r="AR1199">
        <v>0</v>
      </c>
      <c r="AS1199">
        <v>0</v>
      </c>
      <c r="AT1199">
        <v>0</v>
      </c>
      <c r="AU1199">
        <v>0</v>
      </c>
      <c r="AV1199">
        <v>0</v>
      </c>
      <c r="AW1199">
        <v>0</v>
      </c>
      <c r="AX1199">
        <v>0</v>
      </c>
      <c r="AY1199">
        <v>0</v>
      </c>
      <c r="AZ1199">
        <v>0</v>
      </c>
      <c r="BA1199">
        <v>0</v>
      </c>
      <c r="BB1199">
        <v>0</v>
      </c>
      <c r="BC1199">
        <v>0</v>
      </c>
      <c r="BD1199">
        <v>0</v>
      </c>
      <c r="BE1199">
        <v>0</v>
      </c>
      <c r="BF1199">
        <v>0</v>
      </c>
      <c r="BG1199">
        <v>0</v>
      </c>
      <c r="BH1199">
        <v>1</v>
      </c>
      <c r="BI1199">
        <v>1</v>
      </c>
      <c r="BJ1199">
        <v>0.2</v>
      </c>
      <c r="BK1199">
        <v>1</v>
      </c>
      <c r="BL1199" s="4">
        <v>50.45</v>
      </c>
      <c r="BM1199" s="4">
        <v>7.57</v>
      </c>
      <c r="BN1199" s="4">
        <v>58.02</v>
      </c>
      <c r="BO1199" s="4">
        <v>58.02</v>
      </c>
      <c r="BQ1199" t="s">
        <v>147</v>
      </c>
      <c r="BR1199" t="s">
        <v>84</v>
      </c>
      <c r="BS1199" s="3">
        <v>43812</v>
      </c>
      <c r="BT1199" s="5">
        <v>0.37013888888888885</v>
      </c>
      <c r="BU1199" t="s">
        <v>747</v>
      </c>
      <c r="BV1199" t="s">
        <v>86</v>
      </c>
      <c r="BY1199">
        <v>1200</v>
      </c>
      <c r="CA1199" t="s">
        <v>209</v>
      </c>
      <c r="CC1199" t="s">
        <v>91</v>
      </c>
      <c r="CD1199">
        <v>7441</v>
      </c>
      <c r="CE1199" t="s">
        <v>88</v>
      </c>
      <c r="CF1199" s="3">
        <v>43816</v>
      </c>
      <c r="CI1199">
        <v>1</v>
      </c>
      <c r="CJ1199">
        <v>1</v>
      </c>
      <c r="CK1199">
        <v>21</v>
      </c>
      <c r="CL1199" t="s">
        <v>89</v>
      </c>
    </row>
    <row r="1200" spans="1:90">
      <c r="A1200" t="s">
        <v>72</v>
      </c>
      <c r="B1200" t="s">
        <v>73</v>
      </c>
      <c r="C1200" t="s">
        <v>74</v>
      </c>
      <c r="E1200" t="str">
        <f>"FES1162728175"</f>
        <v>FES1162728175</v>
      </c>
      <c r="F1200" s="3">
        <v>43811</v>
      </c>
      <c r="G1200">
        <v>202006</v>
      </c>
      <c r="H1200" t="s">
        <v>75</v>
      </c>
      <c r="I1200" t="s">
        <v>76</v>
      </c>
      <c r="J1200" t="s">
        <v>77</v>
      </c>
      <c r="K1200" t="s">
        <v>78</v>
      </c>
      <c r="L1200" t="s">
        <v>90</v>
      </c>
      <c r="M1200" t="s">
        <v>91</v>
      </c>
      <c r="N1200" t="s">
        <v>219</v>
      </c>
      <c r="O1200" t="s">
        <v>82</v>
      </c>
      <c r="P1200" t="str">
        <f>"2170721498                    "</f>
        <v xml:space="preserve">2170721498                    </v>
      </c>
      <c r="Q1200">
        <v>0</v>
      </c>
      <c r="R1200">
        <v>0</v>
      </c>
      <c r="S1200">
        <v>0</v>
      </c>
      <c r="T1200">
        <v>0</v>
      </c>
      <c r="U1200">
        <v>0</v>
      </c>
      <c r="V1200">
        <v>0</v>
      </c>
      <c r="W1200">
        <v>0</v>
      </c>
      <c r="X1200">
        <v>0</v>
      </c>
      <c r="Y1200">
        <v>0</v>
      </c>
      <c r="Z1200">
        <v>0</v>
      </c>
      <c r="AA1200">
        <v>0</v>
      </c>
      <c r="AB1200">
        <v>0</v>
      </c>
      <c r="AC1200">
        <v>0</v>
      </c>
      <c r="AD1200">
        <v>0</v>
      </c>
      <c r="AE1200">
        <v>0</v>
      </c>
      <c r="AF1200">
        <v>0</v>
      </c>
      <c r="AG1200">
        <v>0</v>
      </c>
      <c r="AH1200">
        <v>0</v>
      </c>
      <c r="AI1200">
        <v>0</v>
      </c>
      <c r="AJ1200">
        <v>0</v>
      </c>
      <c r="AK1200">
        <v>0</v>
      </c>
      <c r="AL1200">
        <v>0</v>
      </c>
      <c r="AM1200">
        <v>8.58</v>
      </c>
      <c r="AN1200">
        <v>0</v>
      </c>
      <c r="AO1200">
        <v>0</v>
      </c>
      <c r="AP1200">
        <v>0</v>
      </c>
      <c r="AQ1200">
        <v>0</v>
      </c>
      <c r="AR1200">
        <v>0</v>
      </c>
      <c r="AS1200">
        <v>0</v>
      </c>
      <c r="AT1200">
        <v>0</v>
      </c>
      <c r="AU1200">
        <v>0</v>
      </c>
      <c r="AV1200">
        <v>0</v>
      </c>
      <c r="AW1200">
        <v>0</v>
      </c>
      <c r="AX1200">
        <v>0</v>
      </c>
      <c r="AY1200">
        <v>0</v>
      </c>
      <c r="AZ1200">
        <v>0</v>
      </c>
      <c r="BA1200">
        <v>0</v>
      </c>
      <c r="BB1200">
        <v>0</v>
      </c>
      <c r="BC1200">
        <v>0</v>
      </c>
      <c r="BD1200">
        <v>0</v>
      </c>
      <c r="BE1200">
        <v>0</v>
      </c>
      <c r="BF1200">
        <v>0</v>
      </c>
      <c r="BG1200">
        <v>0</v>
      </c>
      <c r="BH1200">
        <v>1</v>
      </c>
      <c r="BI1200">
        <v>1</v>
      </c>
      <c r="BJ1200">
        <v>0.2</v>
      </c>
      <c r="BK1200">
        <v>1</v>
      </c>
      <c r="BL1200" s="4">
        <v>50.45</v>
      </c>
      <c r="BM1200" s="4">
        <v>7.57</v>
      </c>
      <c r="BN1200" s="4">
        <v>58.02</v>
      </c>
      <c r="BO1200" s="4">
        <v>58.02</v>
      </c>
      <c r="BQ1200" t="s">
        <v>147</v>
      </c>
      <c r="BR1200" t="s">
        <v>84</v>
      </c>
      <c r="BS1200" s="3">
        <v>43812</v>
      </c>
      <c r="BT1200" s="5">
        <v>0.36249999999999999</v>
      </c>
      <c r="BU1200" t="s">
        <v>220</v>
      </c>
      <c r="BV1200" t="s">
        <v>86</v>
      </c>
      <c r="BY1200">
        <v>1200</v>
      </c>
      <c r="CA1200" t="s">
        <v>112</v>
      </c>
      <c r="CC1200" t="s">
        <v>91</v>
      </c>
      <c r="CD1200">
        <v>7441</v>
      </c>
      <c r="CE1200" t="s">
        <v>88</v>
      </c>
      <c r="CF1200" s="3">
        <v>43816</v>
      </c>
      <c r="CI1200">
        <v>1</v>
      </c>
      <c r="CJ1200">
        <v>1</v>
      </c>
      <c r="CK1200">
        <v>21</v>
      </c>
      <c r="CL1200" t="s">
        <v>89</v>
      </c>
    </row>
    <row r="1201" spans="1:90">
      <c r="A1201" t="s">
        <v>72</v>
      </c>
      <c r="B1201" t="s">
        <v>73</v>
      </c>
      <c r="C1201" t="s">
        <v>74</v>
      </c>
      <c r="E1201" t="str">
        <f>"FES1162728081"</f>
        <v>FES1162728081</v>
      </c>
      <c r="F1201" s="3">
        <v>43811</v>
      </c>
      <c r="G1201">
        <v>202006</v>
      </c>
      <c r="H1201" t="s">
        <v>75</v>
      </c>
      <c r="I1201" t="s">
        <v>76</v>
      </c>
      <c r="J1201" t="s">
        <v>77</v>
      </c>
      <c r="K1201" t="s">
        <v>78</v>
      </c>
      <c r="L1201" t="s">
        <v>198</v>
      </c>
      <c r="M1201" t="s">
        <v>199</v>
      </c>
      <c r="N1201" t="s">
        <v>1152</v>
      </c>
      <c r="O1201" t="s">
        <v>82</v>
      </c>
      <c r="P1201" t="str">
        <f>"2170718354                    "</f>
        <v xml:space="preserve">2170718354                    </v>
      </c>
      <c r="Q1201">
        <v>0</v>
      </c>
      <c r="R1201">
        <v>0</v>
      </c>
      <c r="S1201">
        <v>0</v>
      </c>
      <c r="T1201">
        <v>0</v>
      </c>
      <c r="U1201">
        <v>0</v>
      </c>
      <c r="V1201">
        <v>0</v>
      </c>
      <c r="W1201">
        <v>0</v>
      </c>
      <c r="X1201">
        <v>0</v>
      </c>
      <c r="Y1201">
        <v>0</v>
      </c>
      <c r="Z1201">
        <v>0</v>
      </c>
      <c r="AA1201">
        <v>0</v>
      </c>
      <c r="AB1201">
        <v>0</v>
      </c>
      <c r="AC1201">
        <v>0</v>
      </c>
      <c r="AD1201">
        <v>0</v>
      </c>
      <c r="AE1201">
        <v>0</v>
      </c>
      <c r="AF1201">
        <v>0</v>
      </c>
      <c r="AG1201">
        <v>0</v>
      </c>
      <c r="AH1201">
        <v>0</v>
      </c>
      <c r="AI1201">
        <v>0</v>
      </c>
      <c r="AJ1201">
        <v>0</v>
      </c>
      <c r="AK1201">
        <v>0</v>
      </c>
      <c r="AL1201">
        <v>0</v>
      </c>
      <c r="AM1201">
        <v>8.58</v>
      </c>
      <c r="AN1201">
        <v>0</v>
      </c>
      <c r="AO1201">
        <v>0</v>
      </c>
      <c r="AP1201">
        <v>0</v>
      </c>
      <c r="AQ1201">
        <v>0</v>
      </c>
      <c r="AR1201">
        <v>0</v>
      </c>
      <c r="AS1201">
        <v>0</v>
      </c>
      <c r="AT1201">
        <v>0</v>
      </c>
      <c r="AU1201">
        <v>0</v>
      </c>
      <c r="AV1201">
        <v>0</v>
      </c>
      <c r="AW1201">
        <v>0</v>
      </c>
      <c r="AX1201">
        <v>0</v>
      </c>
      <c r="AY1201">
        <v>0</v>
      </c>
      <c r="AZ1201">
        <v>0</v>
      </c>
      <c r="BA1201">
        <v>0</v>
      </c>
      <c r="BB1201">
        <v>0</v>
      </c>
      <c r="BC1201">
        <v>0</v>
      </c>
      <c r="BD1201">
        <v>0</v>
      </c>
      <c r="BE1201">
        <v>0</v>
      </c>
      <c r="BF1201">
        <v>0</v>
      </c>
      <c r="BG1201">
        <v>0</v>
      </c>
      <c r="BH1201">
        <v>1</v>
      </c>
      <c r="BI1201">
        <v>1</v>
      </c>
      <c r="BJ1201">
        <v>0.2</v>
      </c>
      <c r="BK1201">
        <v>1</v>
      </c>
      <c r="BL1201" s="4">
        <v>50.45</v>
      </c>
      <c r="BM1201" s="4">
        <v>7.57</v>
      </c>
      <c r="BN1201" s="4">
        <v>58.02</v>
      </c>
      <c r="BO1201" s="4">
        <v>58.02</v>
      </c>
      <c r="BQ1201" t="s">
        <v>277</v>
      </c>
      <c r="BR1201" t="s">
        <v>84</v>
      </c>
      <c r="BS1201" s="3">
        <v>43812</v>
      </c>
      <c r="BT1201" s="5">
        <v>0.40625</v>
      </c>
      <c r="BU1201" t="s">
        <v>1153</v>
      </c>
      <c r="BV1201" t="s">
        <v>86</v>
      </c>
      <c r="BY1201">
        <v>1200</v>
      </c>
      <c r="CA1201" t="s">
        <v>839</v>
      </c>
      <c r="CC1201" t="s">
        <v>199</v>
      </c>
      <c r="CD1201">
        <v>4070</v>
      </c>
      <c r="CE1201" t="s">
        <v>88</v>
      </c>
      <c r="CF1201" s="3">
        <v>43816</v>
      </c>
      <c r="CI1201">
        <v>1</v>
      </c>
      <c r="CJ1201">
        <v>1</v>
      </c>
      <c r="CK1201">
        <v>21</v>
      </c>
      <c r="CL1201" t="s">
        <v>89</v>
      </c>
    </row>
    <row r="1202" spans="1:90">
      <c r="A1202" t="s">
        <v>72</v>
      </c>
      <c r="B1202" t="s">
        <v>73</v>
      </c>
      <c r="C1202" t="s">
        <v>74</v>
      </c>
      <c r="E1202" t="str">
        <f>"FES1162728054"</f>
        <v>FES1162728054</v>
      </c>
      <c r="F1202" s="3">
        <v>43811</v>
      </c>
      <c r="G1202">
        <v>202006</v>
      </c>
      <c r="H1202" t="s">
        <v>75</v>
      </c>
      <c r="I1202" t="s">
        <v>76</v>
      </c>
      <c r="J1202" t="s">
        <v>77</v>
      </c>
      <c r="K1202" t="s">
        <v>78</v>
      </c>
      <c r="L1202" t="s">
        <v>90</v>
      </c>
      <c r="M1202" t="s">
        <v>91</v>
      </c>
      <c r="N1202" t="s">
        <v>554</v>
      </c>
      <c r="O1202" t="s">
        <v>82</v>
      </c>
      <c r="P1202" t="str">
        <f>"2170717632                    "</f>
        <v xml:space="preserve">2170717632                    </v>
      </c>
      <c r="Q1202">
        <v>0</v>
      </c>
      <c r="R1202">
        <v>0</v>
      </c>
      <c r="S1202">
        <v>0</v>
      </c>
      <c r="T1202">
        <v>0</v>
      </c>
      <c r="U1202">
        <v>0</v>
      </c>
      <c r="V1202">
        <v>0</v>
      </c>
      <c r="W1202">
        <v>0</v>
      </c>
      <c r="X1202">
        <v>0</v>
      </c>
      <c r="Y1202">
        <v>0</v>
      </c>
      <c r="Z1202">
        <v>0</v>
      </c>
      <c r="AA1202">
        <v>0</v>
      </c>
      <c r="AB1202">
        <v>0</v>
      </c>
      <c r="AC1202">
        <v>0</v>
      </c>
      <c r="AD1202">
        <v>0</v>
      </c>
      <c r="AE1202">
        <v>0</v>
      </c>
      <c r="AF1202">
        <v>0</v>
      </c>
      <c r="AG1202">
        <v>0</v>
      </c>
      <c r="AH1202">
        <v>0</v>
      </c>
      <c r="AI1202">
        <v>0</v>
      </c>
      <c r="AJ1202">
        <v>0</v>
      </c>
      <c r="AK1202">
        <v>0</v>
      </c>
      <c r="AL1202">
        <v>0</v>
      </c>
      <c r="AM1202">
        <v>8.58</v>
      </c>
      <c r="AN1202">
        <v>0</v>
      </c>
      <c r="AO1202">
        <v>0</v>
      </c>
      <c r="AP1202">
        <v>0</v>
      </c>
      <c r="AQ1202">
        <v>0</v>
      </c>
      <c r="AR1202">
        <v>0</v>
      </c>
      <c r="AS1202">
        <v>0</v>
      </c>
      <c r="AT1202">
        <v>0</v>
      </c>
      <c r="AU1202">
        <v>0</v>
      </c>
      <c r="AV1202">
        <v>0</v>
      </c>
      <c r="AW1202">
        <v>0</v>
      </c>
      <c r="AX1202">
        <v>0</v>
      </c>
      <c r="AY1202">
        <v>0</v>
      </c>
      <c r="AZ1202">
        <v>0</v>
      </c>
      <c r="BA1202">
        <v>0</v>
      </c>
      <c r="BB1202">
        <v>0</v>
      </c>
      <c r="BC1202">
        <v>0</v>
      </c>
      <c r="BD1202">
        <v>0</v>
      </c>
      <c r="BE1202">
        <v>0</v>
      </c>
      <c r="BF1202">
        <v>0</v>
      </c>
      <c r="BG1202">
        <v>0</v>
      </c>
      <c r="BH1202">
        <v>1</v>
      </c>
      <c r="BI1202">
        <v>1</v>
      </c>
      <c r="BJ1202">
        <v>0.2</v>
      </c>
      <c r="BK1202">
        <v>1</v>
      </c>
      <c r="BL1202" s="4">
        <v>50.45</v>
      </c>
      <c r="BM1202" s="4">
        <v>7.57</v>
      </c>
      <c r="BN1202" s="4">
        <v>58.02</v>
      </c>
      <c r="BO1202" s="4">
        <v>58.02</v>
      </c>
      <c r="BQ1202" t="s">
        <v>147</v>
      </c>
      <c r="BR1202" t="s">
        <v>84</v>
      </c>
      <c r="BS1202" s="3">
        <v>43812</v>
      </c>
      <c r="BT1202" s="5">
        <v>0.3840277777777778</v>
      </c>
      <c r="BU1202" t="s">
        <v>555</v>
      </c>
      <c r="BV1202" t="s">
        <v>86</v>
      </c>
      <c r="BY1202">
        <v>1200</v>
      </c>
      <c r="CA1202" t="s">
        <v>550</v>
      </c>
      <c r="CC1202" t="s">
        <v>91</v>
      </c>
      <c r="CD1202">
        <v>7560</v>
      </c>
      <c r="CE1202" t="s">
        <v>88</v>
      </c>
      <c r="CF1202" s="3">
        <v>43816</v>
      </c>
      <c r="CI1202">
        <v>1</v>
      </c>
      <c r="CJ1202">
        <v>1</v>
      </c>
      <c r="CK1202">
        <v>21</v>
      </c>
      <c r="CL1202" t="s">
        <v>89</v>
      </c>
    </row>
    <row r="1203" spans="1:90">
      <c r="A1203" t="s">
        <v>72</v>
      </c>
      <c r="B1203" t="s">
        <v>73</v>
      </c>
      <c r="C1203" t="s">
        <v>74</v>
      </c>
      <c r="E1203" t="str">
        <f>"FES1162728093"</f>
        <v>FES1162728093</v>
      </c>
      <c r="F1203" s="3">
        <v>43811</v>
      </c>
      <c r="G1203">
        <v>202006</v>
      </c>
      <c r="H1203" t="s">
        <v>75</v>
      </c>
      <c r="I1203" t="s">
        <v>76</v>
      </c>
      <c r="J1203" t="s">
        <v>77</v>
      </c>
      <c r="K1203" t="s">
        <v>78</v>
      </c>
      <c r="L1203" t="s">
        <v>90</v>
      </c>
      <c r="M1203" t="s">
        <v>91</v>
      </c>
      <c r="N1203" t="s">
        <v>207</v>
      </c>
      <c r="O1203" t="s">
        <v>82</v>
      </c>
      <c r="P1203" t="str">
        <f>"2170718518                    "</f>
        <v xml:space="preserve">2170718518                    </v>
      </c>
      <c r="Q1203">
        <v>0</v>
      </c>
      <c r="R1203">
        <v>0</v>
      </c>
      <c r="S1203">
        <v>0</v>
      </c>
      <c r="T1203">
        <v>0</v>
      </c>
      <c r="U1203">
        <v>0</v>
      </c>
      <c r="V1203">
        <v>0</v>
      </c>
      <c r="W1203">
        <v>0</v>
      </c>
      <c r="X1203">
        <v>0</v>
      </c>
      <c r="Y1203">
        <v>0</v>
      </c>
      <c r="Z1203">
        <v>0</v>
      </c>
      <c r="AA1203">
        <v>0</v>
      </c>
      <c r="AB1203">
        <v>0</v>
      </c>
      <c r="AC1203">
        <v>0</v>
      </c>
      <c r="AD1203">
        <v>0</v>
      </c>
      <c r="AE1203">
        <v>0</v>
      </c>
      <c r="AF1203">
        <v>0</v>
      </c>
      <c r="AG1203">
        <v>0</v>
      </c>
      <c r="AH1203">
        <v>0</v>
      </c>
      <c r="AI1203">
        <v>0</v>
      </c>
      <c r="AJ1203">
        <v>0</v>
      </c>
      <c r="AK1203">
        <v>0</v>
      </c>
      <c r="AL1203">
        <v>0</v>
      </c>
      <c r="AM1203">
        <v>8.58</v>
      </c>
      <c r="AN1203">
        <v>0</v>
      </c>
      <c r="AO1203">
        <v>0</v>
      </c>
      <c r="AP1203">
        <v>0</v>
      </c>
      <c r="AQ1203">
        <v>0</v>
      </c>
      <c r="AR1203">
        <v>0</v>
      </c>
      <c r="AS1203">
        <v>0</v>
      </c>
      <c r="AT1203">
        <v>0</v>
      </c>
      <c r="AU1203">
        <v>0</v>
      </c>
      <c r="AV1203">
        <v>0</v>
      </c>
      <c r="AW1203">
        <v>0</v>
      </c>
      <c r="AX1203">
        <v>0</v>
      </c>
      <c r="AY1203">
        <v>0</v>
      </c>
      <c r="AZ1203">
        <v>0</v>
      </c>
      <c r="BA1203">
        <v>0</v>
      </c>
      <c r="BB1203">
        <v>0</v>
      </c>
      <c r="BC1203">
        <v>0</v>
      </c>
      <c r="BD1203">
        <v>0</v>
      </c>
      <c r="BE1203">
        <v>0</v>
      </c>
      <c r="BF1203">
        <v>0</v>
      </c>
      <c r="BG1203">
        <v>0</v>
      </c>
      <c r="BH1203">
        <v>1</v>
      </c>
      <c r="BI1203">
        <v>1.7</v>
      </c>
      <c r="BJ1203">
        <v>1</v>
      </c>
      <c r="BK1203">
        <v>2</v>
      </c>
      <c r="BL1203" s="4">
        <v>50.45</v>
      </c>
      <c r="BM1203" s="4">
        <v>7.57</v>
      </c>
      <c r="BN1203" s="4">
        <v>58.02</v>
      </c>
      <c r="BO1203" s="4">
        <v>58.02</v>
      </c>
      <c r="BQ1203" t="s">
        <v>147</v>
      </c>
      <c r="BR1203" t="s">
        <v>84</v>
      </c>
      <c r="BS1203" s="3">
        <v>43812</v>
      </c>
      <c r="BT1203" s="5">
        <v>0.37083333333333335</v>
      </c>
      <c r="BU1203" t="s">
        <v>1042</v>
      </c>
      <c r="BV1203" t="s">
        <v>86</v>
      </c>
      <c r="BY1203">
        <v>5107.2</v>
      </c>
      <c r="CA1203" t="s">
        <v>209</v>
      </c>
      <c r="CC1203" t="s">
        <v>91</v>
      </c>
      <c r="CD1203">
        <v>7441</v>
      </c>
      <c r="CE1203" t="s">
        <v>96</v>
      </c>
      <c r="CF1203" s="3">
        <v>43816</v>
      </c>
      <c r="CI1203">
        <v>1</v>
      </c>
      <c r="CJ1203">
        <v>1</v>
      </c>
      <c r="CK1203">
        <v>21</v>
      </c>
      <c r="CL1203" t="s">
        <v>89</v>
      </c>
    </row>
    <row r="1204" spans="1:90">
      <c r="A1204" t="s">
        <v>72</v>
      </c>
      <c r="B1204" t="s">
        <v>73</v>
      </c>
      <c r="C1204" t="s">
        <v>74</v>
      </c>
      <c r="E1204" t="str">
        <f>"FES1162728166"</f>
        <v>FES1162728166</v>
      </c>
      <c r="F1204" s="3">
        <v>43811</v>
      </c>
      <c r="G1204">
        <v>202006</v>
      </c>
      <c r="H1204" t="s">
        <v>75</v>
      </c>
      <c r="I1204" t="s">
        <v>76</v>
      </c>
      <c r="J1204" t="s">
        <v>77</v>
      </c>
      <c r="K1204" t="s">
        <v>78</v>
      </c>
      <c r="L1204" t="s">
        <v>90</v>
      </c>
      <c r="M1204" t="s">
        <v>91</v>
      </c>
      <c r="N1204" t="s">
        <v>561</v>
      </c>
      <c r="O1204" t="s">
        <v>82</v>
      </c>
      <c r="P1204" t="str">
        <f>"2170721395                    "</f>
        <v xml:space="preserve">2170721395                    </v>
      </c>
      <c r="Q1204">
        <v>0</v>
      </c>
      <c r="R1204">
        <v>0</v>
      </c>
      <c r="S1204">
        <v>0</v>
      </c>
      <c r="T1204">
        <v>0</v>
      </c>
      <c r="U1204">
        <v>0</v>
      </c>
      <c r="V1204">
        <v>0</v>
      </c>
      <c r="W1204">
        <v>0</v>
      </c>
      <c r="X1204">
        <v>0</v>
      </c>
      <c r="Y1204">
        <v>0</v>
      </c>
      <c r="Z1204">
        <v>0</v>
      </c>
      <c r="AA1204">
        <v>0</v>
      </c>
      <c r="AB1204">
        <v>0</v>
      </c>
      <c r="AC1204">
        <v>0</v>
      </c>
      <c r="AD1204">
        <v>0</v>
      </c>
      <c r="AE1204">
        <v>0</v>
      </c>
      <c r="AF1204">
        <v>0</v>
      </c>
      <c r="AG1204">
        <v>0</v>
      </c>
      <c r="AH1204">
        <v>0</v>
      </c>
      <c r="AI1204">
        <v>0</v>
      </c>
      <c r="AJ1204">
        <v>0</v>
      </c>
      <c r="AK1204">
        <v>0</v>
      </c>
      <c r="AL1204">
        <v>0</v>
      </c>
      <c r="AM1204">
        <v>8.58</v>
      </c>
      <c r="AN1204">
        <v>0</v>
      </c>
      <c r="AO1204">
        <v>0</v>
      </c>
      <c r="AP1204">
        <v>0</v>
      </c>
      <c r="AQ1204">
        <v>0</v>
      </c>
      <c r="AR1204">
        <v>0</v>
      </c>
      <c r="AS1204">
        <v>0</v>
      </c>
      <c r="AT1204">
        <v>0</v>
      </c>
      <c r="AU1204">
        <v>0</v>
      </c>
      <c r="AV1204">
        <v>0</v>
      </c>
      <c r="AW1204">
        <v>0</v>
      </c>
      <c r="AX1204">
        <v>0</v>
      </c>
      <c r="AY1204">
        <v>0</v>
      </c>
      <c r="AZ1204">
        <v>0</v>
      </c>
      <c r="BA1204">
        <v>0</v>
      </c>
      <c r="BB1204">
        <v>0</v>
      </c>
      <c r="BC1204">
        <v>0</v>
      </c>
      <c r="BD1204">
        <v>0</v>
      </c>
      <c r="BE1204">
        <v>0</v>
      </c>
      <c r="BF1204">
        <v>0</v>
      </c>
      <c r="BG1204">
        <v>0</v>
      </c>
      <c r="BH1204">
        <v>1</v>
      </c>
      <c r="BI1204">
        <v>1</v>
      </c>
      <c r="BJ1204">
        <v>0.2</v>
      </c>
      <c r="BK1204">
        <v>1</v>
      </c>
      <c r="BL1204" s="4">
        <v>50.45</v>
      </c>
      <c r="BM1204" s="4">
        <v>7.57</v>
      </c>
      <c r="BN1204" s="4">
        <v>58.02</v>
      </c>
      <c r="BO1204" s="4">
        <v>58.02</v>
      </c>
      <c r="BQ1204" t="s">
        <v>172</v>
      </c>
      <c r="BR1204" t="s">
        <v>84</v>
      </c>
      <c r="BS1204" s="3">
        <v>43812</v>
      </c>
      <c r="BT1204" s="5">
        <v>0.40763888888888888</v>
      </c>
      <c r="BU1204" t="s">
        <v>562</v>
      </c>
      <c r="BV1204" t="s">
        <v>86</v>
      </c>
      <c r="BY1204">
        <v>1200</v>
      </c>
      <c r="CA1204" t="s">
        <v>563</v>
      </c>
      <c r="CC1204" t="s">
        <v>91</v>
      </c>
      <c r="CD1204">
        <v>7460</v>
      </c>
      <c r="CE1204" t="s">
        <v>88</v>
      </c>
      <c r="CF1204" s="3">
        <v>43812</v>
      </c>
      <c r="CI1204">
        <v>1</v>
      </c>
      <c r="CJ1204">
        <v>1</v>
      </c>
      <c r="CK1204">
        <v>21</v>
      </c>
      <c r="CL1204" t="s">
        <v>89</v>
      </c>
    </row>
    <row r="1205" spans="1:90">
      <c r="A1205" t="s">
        <v>72</v>
      </c>
      <c r="B1205" t="s">
        <v>73</v>
      </c>
      <c r="C1205" t="s">
        <v>74</v>
      </c>
      <c r="E1205" t="str">
        <f>"FES1162728141"</f>
        <v>FES1162728141</v>
      </c>
      <c r="F1205" s="3">
        <v>43811</v>
      </c>
      <c r="G1205">
        <v>202006</v>
      </c>
      <c r="H1205" t="s">
        <v>75</v>
      </c>
      <c r="I1205" t="s">
        <v>76</v>
      </c>
      <c r="J1205" t="s">
        <v>77</v>
      </c>
      <c r="K1205" t="s">
        <v>78</v>
      </c>
      <c r="L1205" t="s">
        <v>90</v>
      </c>
      <c r="M1205" t="s">
        <v>91</v>
      </c>
      <c r="N1205" t="s">
        <v>1582</v>
      </c>
      <c r="O1205" t="s">
        <v>82</v>
      </c>
      <c r="P1205" t="str">
        <f>"2170719492                    "</f>
        <v xml:space="preserve">2170719492                    </v>
      </c>
      <c r="Q1205">
        <v>0</v>
      </c>
      <c r="R1205">
        <v>0</v>
      </c>
      <c r="S1205">
        <v>0</v>
      </c>
      <c r="T1205">
        <v>0</v>
      </c>
      <c r="U1205">
        <v>0</v>
      </c>
      <c r="V1205">
        <v>0</v>
      </c>
      <c r="W1205">
        <v>0</v>
      </c>
      <c r="X1205">
        <v>0</v>
      </c>
      <c r="Y1205">
        <v>0</v>
      </c>
      <c r="Z1205">
        <v>0</v>
      </c>
      <c r="AA1205">
        <v>0</v>
      </c>
      <c r="AB1205">
        <v>0</v>
      </c>
      <c r="AC1205">
        <v>0</v>
      </c>
      <c r="AD1205">
        <v>0</v>
      </c>
      <c r="AE1205">
        <v>0</v>
      </c>
      <c r="AF1205">
        <v>0</v>
      </c>
      <c r="AG1205">
        <v>0</v>
      </c>
      <c r="AH1205">
        <v>0</v>
      </c>
      <c r="AI1205">
        <v>0</v>
      </c>
      <c r="AJ1205">
        <v>0</v>
      </c>
      <c r="AK1205">
        <v>0</v>
      </c>
      <c r="AL1205">
        <v>0</v>
      </c>
      <c r="AM1205">
        <v>66.48</v>
      </c>
      <c r="AN1205">
        <v>0</v>
      </c>
      <c r="AO1205">
        <v>0</v>
      </c>
      <c r="AP1205">
        <v>0</v>
      </c>
      <c r="AQ1205">
        <v>0</v>
      </c>
      <c r="AR1205">
        <v>0</v>
      </c>
      <c r="AS1205">
        <v>0</v>
      </c>
      <c r="AT1205">
        <v>0</v>
      </c>
      <c r="AU1205">
        <v>0</v>
      </c>
      <c r="AV1205">
        <v>0</v>
      </c>
      <c r="AW1205">
        <v>0</v>
      </c>
      <c r="AX1205">
        <v>0</v>
      </c>
      <c r="AY1205">
        <v>0</v>
      </c>
      <c r="AZ1205">
        <v>0</v>
      </c>
      <c r="BA1205">
        <v>0</v>
      </c>
      <c r="BB1205">
        <v>0</v>
      </c>
      <c r="BC1205">
        <v>0</v>
      </c>
      <c r="BD1205">
        <v>0</v>
      </c>
      <c r="BE1205">
        <v>0</v>
      </c>
      <c r="BF1205">
        <v>0</v>
      </c>
      <c r="BG1205">
        <v>0</v>
      </c>
      <c r="BH1205">
        <v>1</v>
      </c>
      <c r="BI1205">
        <v>5.2</v>
      </c>
      <c r="BJ1205">
        <v>15.1</v>
      </c>
      <c r="BK1205">
        <v>15.5</v>
      </c>
      <c r="BL1205" s="4">
        <v>390.77</v>
      </c>
      <c r="BM1205" s="4">
        <v>58.62</v>
      </c>
      <c r="BN1205" s="4">
        <v>449.39</v>
      </c>
      <c r="BO1205" s="4">
        <v>449.39</v>
      </c>
      <c r="BQ1205" t="s">
        <v>256</v>
      </c>
      <c r="BR1205" t="s">
        <v>84</v>
      </c>
      <c r="BS1205" s="3">
        <v>43812</v>
      </c>
      <c r="BT1205" s="5">
        <v>0.43541666666666662</v>
      </c>
      <c r="BU1205" t="s">
        <v>678</v>
      </c>
      <c r="BV1205" t="s">
        <v>86</v>
      </c>
      <c r="BY1205">
        <v>75675.039999999994</v>
      </c>
      <c r="CA1205" t="s">
        <v>539</v>
      </c>
      <c r="CC1205" t="s">
        <v>91</v>
      </c>
      <c r="CD1205">
        <v>7580</v>
      </c>
      <c r="CE1205" t="s">
        <v>116</v>
      </c>
      <c r="CF1205" s="3">
        <v>43816</v>
      </c>
      <c r="CI1205">
        <v>1</v>
      </c>
      <c r="CJ1205">
        <v>1</v>
      </c>
      <c r="CK1205">
        <v>21</v>
      </c>
      <c r="CL1205" t="s">
        <v>89</v>
      </c>
    </row>
    <row r="1206" spans="1:90">
      <c r="A1206" t="s">
        <v>72</v>
      </c>
      <c r="B1206" t="s">
        <v>73</v>
      </c>
      <c r="C1206" t="s">
        <v>74</v>
      </c>
      <c r="E1206" t="str">
        <f>"FES1162728047"</f>
        <v>FES1162728047</v>
      </c>
      <c r="F1206" s="3">
        <v>43811</v>
      </c>
      <c r="G1206">
        <v>202006</v>
      </c>
      <c r="H1206" t="s">
        <v>75</v>
      </c>
      <c r="I1206" t="s">
        <v>76</v>
      </c>
      <c r="J1206" t="s">
        <v>77</v>
      </c>
      <c r="K1206" t="s">
        <v>78</v>
      </c>
      <c r="L1206" t="s">
        <v>332</v>
      </c>
      <c r="M1206" t="s">
        <v>333</v>
      </c>
      <c r="N1206" t="s">
        <v>790</v>
      </c>
      <c r="O1206" t="s">
        <v>82</v>
      </c>
      <c r="P1206" t="str">
        <f>"21707011482                   "</f>
        <v xml:space="preserve">21707011482                   </v>
      </c>
      <c r="Q1206">
        <v>0</v>
      </c>
      <c r="R1206">
        <v>0</v>
      </c>
      <c r="S1206">
        <v>0</v>
      </c>
      <c r="T1206">
        <v>0</v>
      </c>
      <c r="U1206">
        <v>0</v>
      </c>
      <c r="V1206">
        <v>0</v>
      </c>
      <c r="W1206">
        <v>0</v>
      </c>
      <c r="X1206">
        <v>0</v>
      </c>
      <c r="Y1206">
        <v>0</v>
      </c>
      <c r="Z1206">
        <v>0</v>
      </c>
      <c r="AA1206">
        <v>0</v>
      </c>
      <c r="AB1206">
        <v>0</v>
      </c>
      <c r="AC1206">
        <v>0</v>
      </c>
      <c r="AD1206">
        <v>0</v>
      </c>
      <c r="AE1206">
        <v>0</v>
      </c>
      <c r="AF1206">
        <v>0</v>
      </c>
      <c r="AG1206">
        <v>0</v>
      </c>
      <c r="AH1206">
        <v>0</v>
      </c>
      <c r="AI1206">
        <v>0</v>
      </c>
      <c r="AJ1206">
        <v>0</v>
      </c>
      <c r="AK1206">
        <v>0</v>
      </c>
      <c r="AL1206">
        <v>0</v>
      </c>
      <c r="AM1206">
        <v>9.1199999999999992</v>
      </c>
      <c r="AN1206">
        <v>0</v>
      </c>
      <c r="AO1206">
        <v>0</v>
      </c>
      <c r="AP1206">
        <v>0</v>
      </c>
      <c r="AQ1206">
        <v>0</v>
      </c>
      <c r="AR1206">
        <v>0</v>
      </c>
      <c r="AS1206">
        <v>0</v>
      </c>
      <c r="AT1206">
        <v>0</v>
      </c>
      <c r="AU1206">
        <v>0</v>
      </c>
      <c r="AV1206">
        <v>0</v>
      </c>
      <c r="AW1206">
        <v>0</v>
      </c>
      <c r="AX1206">
        <v>0</v>
      </c>
      <c r="AY1206">
        <v>0</v>
      </c>
      <c r="AZ1206">
        <v>0</v>
      </c>
      <c r="BA1206">
        <v>0</v>
      </c>
      <c r="BB1206">
        <v>0</v>
      </c>
      <c r="BC1206">
        <v>0</v>
      </c>
      <c r="BD1206">
        <v>0</v>
      </c>
      <c r="BE1206">
        <v>0</v>
      </c>
      <c r="BF1206">
        <v>0</v>
      </c>
      <c r="BG1206">
        <v>0</v>
      </c>
      <c r="BH1206">
        <v>1</v>
      </c>
      <c r="BI1206">
        <v>3.3</v>
      </c>
      <c r="BJ1206">
        <v>3.4</v>
      </c>
      <c r="BK1206">
        <v>3.5</v>
      </c>
      <c r="BL1206" s="4">
        <v>53.59</v>
      </c>
      <c r="BM1206" s="4">
        <v>8.0399999999999991</v>
      </c>
      <c r="BN1206" s="4">
        <v>61.63</v>
      </c>
      <c r="BO1206" s="4">
        <v>61.63</v>
      </c>
      <c r="BQ1206" t="s">
        <v>147</v>
      </c>
      <c r="BR1206" t="s">
        <v>84</v>
      </c>
      <c r="BS1206" s="3">
        <v>43812</v>
      </c>
      <c r="BT1206" s="5">
        <v>0.33333333333333331</v>
      </c>
      <c r="BU1206" t="s">
        <v>625</v>
      </c>
      <c r="BV1206" t="s">
        <v>86</v>
      </c>
      <c r="BY1206">
        <v>17237.22</v>
      </c>
      <c r="CC1206" t="s">
        <v>333</v>
      </c>
      <c r="CD1206">
        <v>2091</v>
      </c>
      <c r="CE1206" t="s">
        <v>96</v>
      </c>
      <c r="CF1206" s="3">
        <v>43816</v>
      </c>
      <c r="CI1206">
        <v>1</v>
      </c>
      <c r="CJ1206">
        <v>1</v>
      </c>
      <c r="CK1206">
        <v>22</v>
      </c>
      <c r="CL1206" t="s">
        <v>89</v>
      </c>
    </row>
    <row r="1207" spans="1:90">
      <c r="A1207" t="s">
        <v>72</v>
      </c>
      <c r="B1207" t="s">
        <v>73</v>
      </c>
      <c r="C1207" t="s">
        <v>74</v>
      </c>
      <c r="E1207" t="str">
        <f>"FES1162728202"</f>
        <v>FES1162728202</v>
      </c>
      <c r="F1207" s="3">
        <v>43811</v>
      </c>
      <c r="G1207">
        <v>202006</v>
      </c>
      <c r="H1207" t="s">
        <v>75</v>
      </c>
      <c r="I1207" t="s">
        <v>76</v>
      </c>
      <c r="J1207" t="s">
        <v>77</v>
      </c>
      <c r="K1207" t="s">
        <v>78</v>
      </c>
      <c r="L1207" t="s">
        <v>79</v>
      </c>
      <c r="M1207" t="s">
        <v>80</v>
      </c>
      <c r="N1207" t="s">
        <v>81</v>
      </c>
      <c r="O1207" t="s">
        <v>82</v>
      </c>
      <c r="P1207" t="str">
        <f>"217071537                     "</f>
        <v xml:space="preserve">217071537                     </v>
      </c>
      <c r="Q1207">
        <v>0</v>
      </c>
      <c r="R1207">
        <v>0</v>
      </c>
      <c r="S1207">
        <v>0</v>
      </c>
      <c r="T1207">
        <v>0</v>
      </c>
      <c r="U1207">
        <v>0</v>
      </c>
      <c r="V1207">
        <v>0</v>
      </c>
      <c r="W1207">
        <v>0</v>
      </c>
      <c r="X1207">
        <v>0</v>
      </c>
      <c r="Y1207">
        <v>0</v>
      </c>
      <c r="Z1207">
        <v>0</v>
      </c>
      <c r="AA1207">
        <v>0</v>
      </c>
      <c r="AB1207">
        <v>0</v>
      </c>
      <c r="AC1207">
        <v>0</v>
      </c>
      <c r="AD1207">
        <v>0</v>
      </c>
      <c r="AE1207">
        <v>0</v>
      </c>
      <c r="AF1207">
        <v>0</v>
      </c>
      <c r="AG1207">
        <v>0</v>
      </c>
      <c r="AH1207">
        <v>0</v>
      </c>
      <c r="AI1207">
        <v>0</v>
      </c>
      <c r="AJ1207">
        <v>0</v>
      </c>
      <c r="AK1207">
        <v>0</v>
      </c>
      <c r="AL1207">
        <v>0</v>
      </c>
      <c r="AM1207">
        <v>8.58</v>
      </c>
      <c r="AN1207">
        <v>0</v>
      </c>
      <c r="AO1207">
        <v>0</v>
      </c>
      <c r="AP1207">
        <v>0</v>
      </c>
      <c r="AQ1207">
        <v>0</v>
      </c>
      <c r="AR1207">
        <v>0</v>
      </c>
      <c r="AS1207">
        <v>0</v>
      </c>
      <c r="AT1207">
        <v>0</v>
      </c>
      <c r="AU1207">
        <v>0</v>
      </c>
      <c r="AV1207">
        <v>0</v>
      </c>
      <c r="AW1207">
        <v>0</v>
      </c>
      <c r="AX1207">
        <v>0</v>
      </c>
      <c r="AY1207">
        <v>0</v>
      </c>
      <c r="AZ1207">
        <v>0</v>
      </c>
      <c r="BA1207">
        <v>0</v>
      </c>
      <c r="BB1207">
        <v>0</v>
      </c>
      <c r="BC1207">
        <v>0</v>
      </c>
      <c r="BD1207">
        <v>0</v>
      </c>
      <c r="BE1207">
        <v>0</v>
      </c>
      <c r="BF1207">
        <v>0</v>
      </c>
      <c r="BG1207">
        <v>0</v>
      </c>
      <c r="BH1207">
        <v>1</v>
      </c>
      <c r="BI1207">
        <v>1</v>
      </c>
      <c r="BJ1207">
        <v>0.2</v>
      </c>
      <c r="BK1207">
        <v>1</v>
      </c>
      <c r="BL1207" s="4">
        <v>50.45</v>
      </c>
      <c r="BM1207" s="4">
        <v>7.57</v>
      </c>
      <c r="BN1207" s="4">
        <v>58.02</v>
      </c>
      <c r="BO1207" s="4">
        <v>58.02</v>
      </c>
      <c r="BQ1207" t="s">
        <v>83</v>
      </c>
      <c r="BR1207" t="s">
        <v>84</v>
      </c>
      <c r="BS1207" s="3">
        <v>43812</v>
      </c>
      <c r="BT1207" s="5">
        <v>0.30833333333333335</v>
      </c>
      <c r="BU1207" t="s">
        <v>1705</v>
      </c>
      <c r="BV1207" t="s">
        <v>86</v>
      </c>
      <c r="BY1207">
        <v>1200</v>
      </c>
      <c r="CA1207" t="s">
        <v>1562</v>
      </c>
      <c r="CC1207" t="s">
        <v>80</v>
      </c>
      <c r="CD1207">
        <v>6045</v>
      </c>
      <c r="CE1207" t="s">
        <v>88</v>
      </c>
      <c r="CF1207" s="3">
        <v>43816</v>
      </c>
      <c r="CI1207">
        <v>1</v>
      </c>
      <c r="CJ1207">
        <v>1</v>
      </c>
      <c r="CK1207">
        <v>21</v>
      </c>
      <c r="CL1207" t="s">
        <v>89</v>
      </c>
    </row>
    <row r="1208" spans="1:90">
      <c r="A1208" t="s">
        <v>72</v>
      </c>
      <c r="B1208" t="s">
        <v>73</v>
      </c>
      <c r="C1208" t="s">
        <v>74</v>
      </c>
      <c r="E1208" t="str">
        <f>"FES1162728138"</f>
        <v>FES1162728138</v>
      </c>
      <c r="F1208" s="3">
        <v>43811</v>
      </c>
      <c r="G1208">
        <v>202006</v>
      </c>
      <c r="H1208" t="s">
        <v>75</v>
      </c>
      <c r="I1208" t="s">
        <v>76</v>
      </c>
      <c r="J1208" t="s">
        <v>77</v>
      </c>
      <c r="K1208" t="s">
        <v>78</v>
      </c>
      <c r="L1208" t="s">
        <v>169</v>
      </c>
      <c r="M1208" t="s">
        <v>170</v>
      </c>
      <c r="N1208" t="s">
        <v>248</v>
      </c>
      <c r="O1208" t="s">
        <v>82</v>
      </c>
      <c r="P1208" t="str">
        <f>"2170719424                    "</f>
        <v xml:space="preserve">2170719424                    </v>
      </c>
      <c r="Q1208">
        <v>0</v>
      </c>
      <c r="R1208">
        <v>0</v>
      </c>
      <c r="S1208">
        <v>0</v>
      </c>
      <c r="T1208">
        <v>0</v>
      </c>
      <c r="U1208">
        <v>0</v>
      </c>
      <c r="V1208">
        <v>0</v>
      </c>
      <c r="W1208">
        <v>0</v>
      </c>
      <c r="X1208">
        <v>0</v>
      </c>
      <c r="Y1208">
        <v>0</v>
      </c>
      <c r="Z1208">
        <v>0</v>
      </c>
      <c r="AA1208">
        <v>0</v>
      </c>
      <c r="AB1208">
        <v>0</v>
      </c>
      <c r="AC1208">
        <v>0</v>
      </c>
      <c r="AD1208">
        <v>0</v>
      </c>
      <c r="AE1208">
        <v>0</v>
      </c>
      <c r="AF1208">
        <v>0</v>
      </c>
      <c r="AG1208">
        <v>0</v>
      </c>
      <c r="AH1208">
        <v>0</v>
      </c>
      <c r="AI1208">
        <v>0</v>
      </c>
      <c r="AJ1208">
        <v>0</v>
      </c>
      <c r="AK1208">
        <v>0</v>
      </c>
      <c r="AL1208">
        <v>0</v>
      </c>
      <c r="AM1208">
        <v>6.71</v>
      </c>
      <c r="AN1208">
        <v>0</v>
      </c>
      <c r="AO1208">
        <v>0</v>
      </c>
      <c r="AP1208">
        <v>0</v>
      </c>
      <c r="AQ1208">
        <v>0</v>
      </c>
      <c r="AR1208">
        <v>0</v>
      </c>
      <c r="AS1208">
        <v>0</v>
      </c>
      <c r="AT1208">
        <v>0</v>
      </c>
      <c r="AU1208">
        <v>0</v>
      </c>
      <c r="AV1208">
        <v>0</v>
      </c>
      <c r="AW1208">
        <v>0</v>
      </c>
      <c r="AX1208">
        <v>0</v>
      </c>
      <c r="AY1208">
        <v>0</v>
      </c>
      <c r="AZ1208">
        <v>0</v>
      </c>
      <c r="BA1208">
        <v>0</v>
      </c>
      <c r="BB1208">
        <v>0</v>
      </c>
      <c r="BC1208">
        <v>0</v>
      </c>
      <c r="BD1208">
        <v>0</v>
      </c>
      <c r="BE1208">
        <v>0</v>
      </c>
      <c r="BF1208">
        <v>0</v>
      </c>
      <c r="BG1208">
        <v>0</v>
      </c>
      <c r="BH1208">
        <v>1</v>
      </c>
      <c r="BI1208">
        <v>1</v>
      </c>
      <c r="BJ1208">
        <v>0.2</v>
      </c>
      <c r="BK1208">
        <v>1</v>
      </c>
      <c r="BL1208" s="4">
        <v>39.42</v>
      </c>
      <c r="BM1208" s="4">
        <v>5.91</v>
      </c>
      <c r="BN1208" s="4">
        <v>45.33</v>
      </c>
      <c r="BO1208" s="4">
        <v>45.33</v>
      </c>
      <c r="BQ1208" t="s">
        <v>147</v>
      </c>
      <c r="BR1208" t="s">
        <v>84</v>
      </c>
      <c r="BS1208" s="3">
        <v>43812</v>
      </c>
      <c r="BT1208" s="5">
        <v>0.3347222222222222</v>
      </c>
      <c r="BU1208" t="s">
        <v>1089</v>
      </c>
      <c r="BV1208" t="s">
        <v>86</v>
      </c>
      <c r="BY1208">
        <v>1200</v>
      </c>
      <c r="CA1208" t="s">
        <v>250</v>
      </c>
      <c r="CC1208" t="s">
        <v>170</v>
      </c>
      <c r="CD1208">
        <v>1459</v>
      </c>
      <c r="CE1208" t="s">
        <v>88</v>
      </c>
      <c r="CF1208" s="3">
        <v>43816</v>
      </c>
      <c r="CI1208">
        <v>1</v>
      </c>
      <c r="CJ1208">
        <v>1</v>
      </c>
      <c r="CK1208">
        <v>22</v>
      </c>
      <c r="CL1208" t="s">
        <v>89</v>
      </c>
    </row>
    <row r="1209" spans="1:90">
      <c r="A1209" t="s">
        <v>72</v>
      </c>
      <c r="B1209" t="s">
        <v>73</v>
      </c>
      <c r="C1209" t="s">
        <v>74</v>
      </c>
      <c r="E1209" t="str">
        <f>"FES1162727966"</f>
        <v>FES1162727966</v>
      </c>
      <c r="F1209" s="3">
        <v>43811</v>
      </c>
      <c r="G1209">
        <v>202006</v>
      </c>
      <c r="H1209" t="s">
        <v>75</v>
      </c>
      <c r="I1209" t="s">
        <v>76</v>
      </c>
      <c r="J1209" t="s">
        <v>77</v>
      </c>
      <c r="K1209" t="s">
        <v>78</v>
      </c>
      <c r="L1209" t="s">
        <v>169</v>
      </c>
      <c r="M1209" t="s">
        <v>170</v>
      </c>
      <c r="N1209" t="s">
        <v>890</v>
      </c>
      <c r="O1209" t="s">
        <v>82</v>
      </c>
      <c r="P1209" t="str">
        <f>"2170718706                    "</f>
        <v xml:space="preserve">2170718706                    </v>
      </c>
      <c r="Q1209">
        <v>0</v>
      </c>
      <c r="R1209">
        <v>0</v>
      </c>
      <c r="S1209">
        <v>0</v>
      </c>
      <c r="T1209">
        <v>0</v>
      </c>
      <c r="U1209">
        <v>0</v>
      </c>
      <c r="V1209">
        <v>0</v>
      </c>
      <c r="W1209">
        <v>0</v>
      </c>
      <c r="X1209">
        <v>0</v>
      </c>
      <c r="Y1209">
        <v>0</v>
      </c>
      <c r="Z1209">
        <v>0</v>
      </c>
      <c r="AA1209">
        <v>0</v>
      </c>
      <c r="AB1209">
        <v>0</v>
      </c>
      <c r="AC1209">
        <v>0</v>
      </c>
      <c r="AD1209">
        <v>0</v>
      </c>
      <c r="AE1209">
        <v>0</v>
      </c>
      <c r="AF1209">
        <v>0</v>
      </c>
      <c r="AG1209">
        <v>0</v>
      </c>
      <c r="AH1209">
        <v>0</v>
      </c>
      <c r="AI1209">
        <v>0</v>
      </c>
      <c r="AJ1209">
        <v>0</v>
      </c>
      <c r="AK1209">
        <v>0</v>
      </c>
      <c r="AL1209">
        <v>0</v>
      </c>
      <c r="AM1209">
        <v>6.71</v>
      </c>
      <c r="AN1209">
        <v>0</v>
      </c>
      <c r="AO1209">
        <v>0</v>
      </c>
      <c r="AP1209">
        <v>0</v>
      </c>
      <c r="AQ1209">
        <v>0</v>
      </c>
      <c r="AR1209">
        <v>0</v>
      </c>
      <c r="AS1209">
        <v>0</v>
      </c>
      <c r="AT1209">
        <v>0</v>
      </c>
      <c r="AU1209">
        <v>0</v>
      </c>
      <c r="AV1209">
        <v>0</v>
      </c>
      <c r="AW1209">
        <v>0</v>
      </c>
      <c r="AX1209">
        <v>0</v>
      </c>
      <c r="AY1209">
        <v>0</v>
      </c>
      <c r="AZ1209">
        <v>0</v>
      </c>
      <c r="BA1209">
        <v>0</v>
      </c>
      <c r="BB1209">
        <v>0</v>
      </c>
      <c r="BC1209">
        <v>0</v>
      </c>
      <c r="BD1209">
        <v>0</v>
      </c>
      <c r="BE1209">
        <v>0</v>
      </c>
      <c r="BF1209">
        <v>0</v>
      </c>
      <c r="BG1209">
        <v>0</v>
      </c>
      <c r="BH1209">
        <v>1</v>
      </c>
      <c r="BI1209">
        <v>1</v>
      </c>
      <c r="BJ1209">
        <v>0.2</v>
      </c>
      <c r="BK1209">
        <v>1</v>
      </c>
      <c r="BL1209" s="4">
        <v>39.42</v>
      </c>
      <c r="BM1209" s="4">
        <v>5.91</v>
      </c>
      <c r="BN1209" s="4">
        <v>45.33</v>
      </c>
      <c r="BO1209" s="4">
        <v>45.33</v>
      </c>
      <c r="BQ1209" t="s">
        <v>891</v>
      </c>
      <c r="BR1209" t="s">
        <v>84</v>
      </c>
      <c r="BS1209" s="3">
        <v>43812</v>
      </c>
      <c r="BT1209" s="5">
        <v>0.40972222222222227</v>
      </c>
      <c r="BU1209" t="s">
        <v>1009</v>
      </c>
      <c r="BV1209" t="s">
        <v>86</v>
      </c>
      <c r="BY1209">
        <v>1200</v>
      </c>
      <c r="CC1209" t="s">
        <v>170</v>
      </c>
      <c r="CD1209">
        <v>1459</v>
      </c>
      <c r="CE1209" t="s">
        <v>88</v>
      </c>
      <c r="CF1209" s="3">
        <v>43816</v>
      </c>
      <c r="CI1209">
        <v>1</v>
      </c>
      <c r="CJ1209">
        <v>1</v>
      </c>
      <c r="CK1209">
        <v>22</v>
      </c>
      <c r="CL1209" t="s">
        <v>89</v>
      </c>
    </row>
    <row r="1210" spans="1:90">
      <c r="A1210" t="s">
        <v>72</v>
      </c>
      <c r="B1210" t="s">
        <v>73</v>
      </c>
      <c r="C1210" t="s">
        <v>74</v>
      </c>
      <c r="E1210" t="str">
        <f>"FES1162728032"</f>
        <v>FES1162728032</v>
      </c>
      <c r="F1210" s="3">
        <v>43811</v>
      </c>
      <c r="G1210">
        <v>202006</v>
      </c>
      <c r="H1210" t="s">
        <v>75</v>
      </c>
      <c r="I1210" t="s">
        <v>76</v>
      </c>
      <c r="J1210" t="s">
        <v>77</v>
      </c>
      <c r="K1210" t="s">
        <v>78</v>
      </c>
      <c r="L1210" t="s">
        <v>90</v>
      </c>
      <c r="M1210" t="s">
        <v>91</v>
      </c>
      <c r="N1210" t="s">
        <v>548</v>
      </c>
      <c r="O1210" t="s">
        <v>82</v>
      </c>
      <c r="P1210" t="str">
        <f>"217072146                     "</f>
        <v xml:space="preserve">217072146                     </v>
      </c>
      <c r="Q1210">
        <v>0</v>
      </c>
      <c r="R1210">
        <v>0</v>
      </c>
      <c r="S1210">
        <v>0</v>
      </c>
      <c r="T1210">
        <v>0</v>
      </c>
      <c r="U1210">
        <v>0</v>
      </c>
      <c r="V1210">
        <v>0</v>
      </c>
      <c r="W1210">
        <v>0</v>
      </c>
      <c r="X1210">
        <v>0</v>
      </c>
      <c r="Y1210">
        <v>0</v>
      </c>
      <c r="Z1210">
        <v>0</v>
      </c>
      <c r="AA1210">
        <v>0</v>
      </c>
      <c r="AB1210">
        <v>0</v>
      </c>
      <c r="AC1210">
        <v>0</v>
      </c>
      <c r="AD1210">
        <v>0</v>
      </c>
      <c r="AE1210">
        <v>0</v>
      </c>
      <c r="AF1210">
        <v>0</v>
      </c>
      <c r="AG1210">
        <v>0</v>
      </c>
      <c r="AH1210">
        <v>0</v>
      </c>
      <c r="AI1210">
        <v>0</v>
      </c>
      <c r="AJ1210">
        <v>0</v>
      </c>
      <c r="AK1210">
        <v>0</v>
      </c>
      <c r="AL1210">
        <v>0</v>
      </c>
      <c r="AM1210">
        <v>8.58</v>
      </c>
      <c r="AN1210">
        <v>0</v>
      </c>
      <c r="AO1210">
        <v>0</v>
      </c>
      <c r="AP1210">
        <v>0</v>
      </c>
      <c r="AQ1210">
        <v>0</v>
      </c>
      <c r="AR1210">
        <v>0</v>
      </c>
      <c r="AS1210">
        <v>0</v>
      </c>
      <c r="AT1210">
        <v>0</v>
      </c>
      <c r="AU1210">
        <v>0</v>
      </c>
      <c r="AV1210">
        <v>0</v>
      </c>
      <c r="AW1210">
        <v>0</v>
      </c>
      <c r="AX1210">
        <v>0</v>
      </c>
      <c r="AY1210">
        <v>0</v>
      </c>
      <c r="AZ1210">
        <v>0</v>
      </c>
      <c r="BA1210">
        <v>0</v>
      </c>
      <c r="BB1210">
        <v>0</v>
      </c>
      <c r="BC1210">
        <v>0</v>
      </c>
      <c r="BD1210">
        <v>0</v>
      </c>
      <c r="BE1210">
        <v>0</v>
      </c>
      <c r="BF1210">
        <v>0</v>
      </c>
      <c r="BG1210">
        <v>0</v>
      </c>
      <c r="BH1210">
        <v>1</v>
      </c>
      <c r="BI1210">
        <v>1</v>
      </c>
      <c r="BJ1210">
        <v>0.2</v>
      </c>
      <c r="BK1210">
        <v>1</v>
      </c>
      <c r="BL1210" s="4">
        <v>50.45</v>
      </c>
      <c r="BM1210" s="4">
        <v>7.57</v>
      </c>
      <c r="BN1210" s="4">
        <v>58.02</v>
      </c>
      <c r="BO1210" s="4">
        <v>58.02</v>
      </c>
      <c r="BQ1210" t="s">
        <v>147</v>
      </c>
      <c r="BR1210" t="s">
        <v>84</v>
      </c>
      <c r="BS1210" s="3">
        <v>43812</v>
      </c>
      <c r="BT1210" s="5">
        <v>0.33819444444444446</v>
      </c>
      <c r="BU1210" t="s">
        <v>1461</v>
      </c>
      <c r="BV1210" t="s">
        <v>86</v>
      </c>
      <c r="BY1210">
        <v>1200</v>
      </c>
      <c r="CA1210" t="s">
        <v>550</v>
      </c>
      <c r="CC1210" t="s">
        <v>91</v>
      </c>
      <c r="CD1210">
        <v>7530</v>
      </c>
      <c r="CE1210" t="s">
        <v>88</v>
      </c>
      <c r="CF1210" s="3">
        <v>43816</v>
      </c>
      <c r="CI1210">
        <v>1</v>
      </c>
      <c r="CJ1210">
        <v>1</v>
      </c>
      <c r="CK1210">
        <v>21</v>
      </c>
      <c r="CL1210" t="s">
        <v>89</v>
      </c>
    </row>
    <row r="1211" spans="1:90">
      <c r="A1211" t="s">
        <v>72</v>
      </c>
      <c r="B1211" t="s">
        <v>73</v>
      </c>
      <c r="C1211" t="s">
        <v>74</v>
      </c>
      <c r="E1211" t="str">
        <f>"FES1162728071"</f>
        <v>FES1162728071</v>
      </c>
      <c r="F1211" s="3">
        <v>43811</v>
      </c>
      <c r="G1211">
        <v>202006</v>
      </c>
      <c r="H1211" t="s">
        <v>75</v>
      </c>
      <c r="I1211" t="s">
        <v>76</v>
      </c>
      <c r="J1211" t="s">
        <v>77</v>
      </c>
      <c r="K1211" t="s">
        <v>78</v>
      </c>
      <c r="L1211" t="s">
        <v>169</v>
      </c>
      <c r="M1211" t="s">
        <v>170</v>
      </c>
      <c r="N1211" t="s">
        <v>1724</v>
      </c>
      <c r="O1211" t="s">
        <v>82</v>
      </c>
      <c r="P1211" t="str">
        <f>"2170718241                    "</f>
        <v xml:space="preserve">2170718241                    </v>
      </c>
      <c r="Q1211">
        <v>0</v>
      </c>
      <c r="R1211">
        <v>0</v>
      </c>
      <c r="S1211">
        <v>0</v>
      </c>
      <c r="T1211">
        <v>0</v>
      </c>
      <c r="U1211">
        <v>0</v>
      </c>
      <c r="V1211">
        <v>0</v>
      </c>
      <c r="W1211">
        <v>0</v>
      </c>
      <c r="X1211">
        <v>0</v>
      </c>
      <c r="Y1211">
        <v>0</v>
      </c>
      <c r="Z1211">
        <v>0</v>
      </c>
      <c r="AA1211">
        <v>0</v>
      </c>
      <c r="AB1211">
        <v>0</v>
      </c>
      <c r="AC1211">
        <v>0</v>
      </c>
      <c r="AD1211">
        <v>0</v>
      </c>
      <c r="AE1211">
        <v>0</v>
      </c>
      <c r="AF1211">
        <v>0</v>
      </c>
      <c r="AG1211">
        <v>0</v>
      </c>
      <c r="AH1211">
        <v>0</v>
      </c>
      <c r="AI1211">
        <v>0</v>
      </c>
      <c r="AJ1211">
        <v>0</v>
      </c>
      <c r="AK1211">
        <v>0</v>
      </c>
      <c r="AL1211">
        <v>0</v>
      </c>
      <c r="AM1211">
        <v>6.71</v>
      </c>
      <c r="AN1211">
        <v>0</v>
      </c>
      <c r="AO1211">
        <v>0</v>
      </c>
      <c r="AP1211">
        <v>0</v>
      </c>
      <c r="AQ1211">
        <v>0</v>
      </c>
      <c r="AR1211">
        <v>0</v>
      </c>
      <c r="AS1211">
        <v>0</v>
      </c>
      <c r="AT1211">
        <v>0</v>
      </c>
      <c r="AU1211">
        <v>0</v>
      </c>
      <c r="AV1211">
        <v>0</v>
      </c>
      <c r="AW1211">
        <v>0</v>
      </c>
      <c r="AX1211">
        <v>0</v>
      </c>
      <c r="AY1211">
        <v>0</v>
      </c>
      <c r="AZ1211">
        <v>0</v>
      </c>
      <c r="BA1211">
        <v>0</v>
      </c>
      <c r="BB1211">
        <v>0</v>
      </c>
      <c r="BC1211">
        <v>0</v>
      </c>
      <c r="BD1211">
        <v>0</v>
      </c>
      <c r="BE1211">
        <v>0</v>
      </c>
      <c r="BF1211">
        <v>0</v>
      </c>
      <c r="BG1211">
        <v>0</v>
      </c>
      <c r="BH1211">
        <v>1</v>
      </c>
      <c r="BI1211">
        <v>1</v>
      </c>
      <c r="BJ1211">
        <v>0.2</v>
      </c>
      <c r="BK1211">
        <v>1</v>
      </c>
      <c r="BL1211" s="4">
        <v>39.42</v>
      </c>
      <c r="BM1211" s="4">
        <v>5.91</v>
      </c>
      <c r="BN1211" s="4">
        <v>45.33</v>
      </c>
      <c r="BO1211" s="4">
        <v>45.33</v>
      </c>
      <c r="BR1211" t="s">
        <v>84</v>
      </c>
      <c r="BS1211" s="3">
        <v>43812</v>
      </c>
      <c r="BT1211" s="5">
        <v>0.35000000000000003</v>
      </c>
      <c r="BU1211" t="s">
        <v>1725</v>
      </c>
      <c r="BV1211" t="s">
        <v>86</v>
      </c>
      <c r="BY1211">
        <v>1200</v>
      </c>
      <c r="CC1211" t="s">
        <v>170</v>
      </c>
      <c r="CD1211">
        <v>1459</v>
      </c>
      <c r="CE1211" t="s">
        <v>88</v>
      </c>
      <c r="CF1211" s="3">
        <v>43816</v>
      </c>
      <c r="CI1211">
        <v>1</v>
      </c>
      <c r="CJ1211">
        <v>1</v>
      </c>
      <c r="CK1211">
        <v>22</v>
      </c>
      <c r="CL1211" t="s">
        <v>89</v>
      </c>
    </row>
    <row r="1212" spans="1:90">
      <c r="A1212" t="s">
        <v>72</v>
      </c>
      <c r="B1212" t="s">
        <v>73</v>
      </c>
      <c r="C1212" t="s">
        <v>74</v>
      </c>
      <c r="E1212" t="str">
        <f>"FES1162727972"</f>
        <v>FES1162727972</v>
      </c>
      <c r="F1212" s="3">
        <v>43811</v>
      </c>
      <c r="G1212">
        <v>202006</v>
      </c>
      <c r="H1212" t="s">
        <v>75</v>
      </c>
      <c r="I1212" t="s">
        <v>76</v>
      </c>
      <c r="J1212" t="s">
        <v>77</v>
      </c>
      <c r="K1212" t="s">
        <v>78</v>
      </c>
      <c r="L1212" t="s">
        <v>75</v>
      </c>
      <c r="M1212" t="s">
        <v>76</v>
      </c>
      <c r="N1212" t="s">
        <v>305</v>
      </c>
      <c r="O1212" t="s">
        <v>82</v>
      </c>
      <c r="P1212" t="str">
        <f>"2170718935                    "</f>
        <v xml:space="preserve">2170718935                    </v>
      </c>
      <c r="Q1212">
        <v>0</v>
      </c>
      <c r="R1212">
        <v>0</v>
      </c>
      <c r="S1212">
        <v>0</v>
      </c>
      <c r="T1212">
        <v>0</v>
      </c>
      <c r="U1212">
        <v>0</v>
      </c>
      <c r="V1212">
        <v>0</v>
      </c>
      <c r="W1212">
        <v>0</v>
      </c>
      <c r="X1212">
        <v>0</v>
      </c>
      <c r="Y1212">
        <v>0</v>
      </c>
      <c r="Z1212">
        <v>0</v>
      </c>
      <c r="AA1212">
        <v>0</v>
      </c>
      <c r="AB1212">
        <v>0</v>
      </c>
      <c r="AC1212">
        <v>0</v>
      </c>
      <c r="AD1212">
        <v>0</v>
      </c>
      <c r="AE1212">
        <v>0</v>
      </c>
      <c r="AF1212">
        <v>0</v>
      </c>
      <c r="AG1212">
        <v>0</v>
      </c>
      <c r="AH1212">
        <v>0</v>
      </c>
      <c r="AI1212">
        <v>0</v>
      </c>
      <c r="AJ1212">
        <v>0</v>
      </c>
      <c r="AK1212">
        <v>0</v>
      </c>
      <c r="AL1212">
        <v>0</v>
      </c>
      <c r="AM1212">
        <v>6.71</v>
      </c>
      <c r="AN1212">
        <v>0</v>
      </c>
      <c r="AO1212">
        <v>0</v>
      </c>
      <c r="AP1212">
        <v>0</v>
      </c>
      <c r="AQ1212">
        <v>0</v>
      </c>
      <c r="AR1212">
        <v>0</v>
      </c>
      <c r="AS1212">
        <v>0</v>
      </c>
      <c r="AT1212">
        <v>0</v>
      </c>
      <c r="AU1212">
        <v>0</v>
      </c>
      <c r="AV1212">
        <v>0</v>
      </c>
      <c r="AW1212">
        <v>0</v>
      </c>
      <c r="AX1212">
        <v>0</v>
      </c>
      <c r="AY1212">
        <v>0</v>
      </c>
      <c r="AZ1212">
        <v>0</v>
      </c>
      <c r="BA1212">
        <v>0</v>
      </c>
      <c r="BB1212">
        <v>0</v>
      </c>
      <c r="BC1212">
        <v>0</v>
      </c>
      <c r="BD1212">
        <v>0</v>
      </c>
      <c r="BE1212">
        <v>0</v>
      </c>
      <c r="BF1212">
        <v>0</v>
      </c>
      <c r="BG1212">
        <v>0</v>
      </c>
      <c r="BH1212">
        <v>1</v>
      </c>
      <c r="BI1212">
        <v>1</v>
      </c>
      <c r="BJ1212">
        <v>0.2</v>
      </c>
      <c r="BK1212">
        <v>1</v>
      </c>
      <c r="BL1212" s="4">
        <v>39.42</v>
      </c>
      <c r="BM1212" s="4">
        <v>5.91</v>
      </c>
      <c r="BN1212" s="4">
        <v>45.33</v>
      </c>
      <c r="BO1212" s="4">
        <v>45.33</v>
      </c>
      <c r="BQ1212" t="s">
        <v>147</v>
      </c>
      <c r="BR1212" t="s">
        <v>84</v>
      </c>
      <c r="BS1212" s="3">
        <v>43812</v>
      </c>
      <c r="BT1212" s="5">
        <v>0.3125</v>
      </c>
      <c r="BU1212" t="s">
        <v>306</v>
      </c>
      <c r="BV1212" t="s">
        <v>86</v>
      </c>
      <c r="BY1212">
        <v>1200</v>
      </c>
      <c r="CA1212" t="s">
        <v>307</v>
      </c>
      <c r="CC1212" t="s">
        <v>76</v>
      </c>
      <c r="CD1212">
        <v>1645</v>
      </c>
      <c r="CE1212" t="s">
        <v>88</v>
      </c>
      <c r="CF1212" s="3">
        <v>43816</v>
      </c>
      <c r="CI1212">
        <v>1</v>
      </c>
      <c r="CJ1212">
        <v>1</v>
      </c>
      <c r="CK1212">
        <v>22</v>
      </c>
      <c r="CL1212" t="s">
        <v>89</v>
      </c>
    </row>
    <row r="1213" spans="1:90">
      <c r="A1213" t="s">
        <v>72</v>
      </c>
      <c r="B1213" t="s">
        <v>73</v>
      </c>
      <c r="C1213" t="s">
        <v>74</v>
      </c>
      <c r="E1213" t="str">
        <f>"FES1162728098"</f>
        <v>FES1162728098</v>
      </c>
      <c r="F1213" s="3">
        <v>43811</v>
      </c>
      <c r="G1213">
        <v>202006</v>
      </c>
      <c r="H1213" t="s">
        <v>75</v>
      </c>
      <c r="I1213" t="s">
        <v>76</v>
      </c>
      <c r="J1213" t="s">
        <v>77</v>
      </c>
      <c r="K1213" t="s">
        <v>78</v>
      </c>
      <c r="L1213" t="s">
        <v>198</v>
      </c>
      <c r="M1213" t="s">
        <v>199</v>
      </c>
      <c r="N1213" t="s">
        <v>1726</v>
      </c>
      <c r="O1213" t="s">
        <v>82</v>
      </c>
      <c r="P1213" t="str">
        <f>"2170718553                    "</f>
        <v xml:space="preserve">2170718553                    </v>
      </c>
      <c r="Q1213">
        <v>0</v>
      </c>
      <c r="R1213">
        <v>0</v>
      </c>
      <c r="S1213">
        <v>0</v>
      </c>
      <c r="T1213">
        <v>0</v>
      </c>
      <c r="U1213">
        <v>0</v>
      </c>
      <c r="V1213">
        <v>0</v>
      </c>
      <c r="W1213">
        <v>0</v>
      </c>
      <c r="X1213">
        <v>0</v>
      </c>
      <c r="Y1213">
        <v>0</v>
      </c>
      <c r="Z1213">
        <v>0</v>
      </c>
      <c r="AA1213">
        <v>0</v>
      </c>
      <c r="AB1213">
        <v>0</v>
      </c>
      <c r="AC1213">
        <v>0</v>
      </c>
      <c r="AD1213">
        <v>0</v>
      </c>
      <c r="AE1213">
        <v>0</v>
      </c>
      <c r="AF1213">
        <v>0</v>
      </c>
      <c r="AG1213">
        <v>0</v>
      </c>
      <c r="AH1213">
        <v>0</v>
      </c>
      <c r="AI1213">
        <v>0</v>
      </c>
      <c r="AJ1213">
        <v>0</v>
      </c>
      <c r="AK1213">
        <v>0</v>
      </c>
      <c r="AL1213">
        <v>0</v>
      </c>
      <c r="AM1213">
        <v>8.58</v>
      </c>
      <c r="AN1213">
        <v>0</v>
      </c>
      <c r="AO1213">
        <v>0</v>
      </c>
      <c r="AP1213">
        <v>0</v>
      </c>
      <c r="AQ1213">
        <v>0</v>
      </c>
      <c r="AR1213">
        <v>0</v>
      </c>
      <c r="AS1213">
        <v>0</v>
      </c>
      <c r="AT1213">
        <v>0</v>
      </c>
      <c r="AU1213">
        <v>0</v>
      </c>
      <c r="AV1213">
        <v>0</v>
      </c>
      <c r="AW1213">
        <v>0</v>
      </c>
      <c r="AX1213">
        <v>0</v>
      </c>
      <c r="AY1213">
        <v>0</v>
      </c>
      <c r="AZ1213">
        <v>0</v>
      </c>
      <c r="BA1213">
        <v>0</v>
      </c>
      <c r="BB1213">
        <v>0</v>
      </c>
      <c r="BC1213">
        <v>0</v>
      </c>
      <c r="BD1213">
        <v>0</v>
      </c>
      <c r="BE1213">
        <v>0</v>
      </c>
      <c r="BF1213">
        <v>0</v>
      </c>
      <c r="BG1213">
        <v>0</v>
      </c>
      <c r="BH1213">
        <v>1</v>
      </c>
      <c r="BI1213">
        <v>1</v>
      </c>
      <c r="BJ1213">
        <v>0.2</v>
      </c>
      <c r="BK1213">
        <v>1</v>
      </c>
      <c r="BL1213" s="4">
        <v>50.45</v>
      </c>
      <c r="BM1213" s="4">
        <v>7.57</v>
      </c>
      <c r="BN1213" s="4">
        <v>58.02</v>
      </c>
      <c r="BO1213" s="4">
        <v>58.02</v>
      </c>
      <c r="BQ1213" t="s">
        <v>147</v>
      </c>
      <c r="BR1213" t="s">
        <v>84</v>
      </c>
      <c r="BS1213" s="3">
        <v>43812</v>
      </c>
      <c r="BT1213" s="5">
        <v>0.36805555555555558</v>
      </c>
      <c r="BU1213" t="s">
        <v>1727</v>
      </c>
      <c r="BV1213" t="s">
        <v>86</v>
      </c>
      <c r="BY1213">
        <v>1200</v>
      </c>
      <c r="CC1213" t="s">
        <v>199</v>
      </c>
      <c r="CD1213">
        <v>4001</v>
      </c>
      <c r="CE1213" t="s">
        <v>88</v>
      </c>
      <c r="CF1213" s="3">
        <v>43816</v>
      </c>
      <c r="CI1213">
        <v>1</v>
      </c>
      <c r="CJ1213">
        <v>1</v>
      </c>
      <c r="CK1213">
        <v>21</v>
      </c>
      <c r="CL1213" t="s">
        <v>89</v>
      </c>
    </row>
    <row r="1214" spans="1:90">
      <c r="A1214" t="s">
        <v>72</v>
      </c>
      <c r="B1214" t="s">
        <v>73</v>
      </c>
      <c r="C1214" t="s">
        <v>74</v>
      </c>
      <c r="E1214" t="str">
        <f>"FES1162727947"</f>
        <v>FES1162727947</v>
      </c>
      <c r="F1214" s="3">
        <v>43811</v>
      </c>
      <c r="G1214">
        <v>202006</v>
      </c>
      <c r="H1214" t="s">
        <v>75</v>
      </c>
      <c r="I1214" t="s">
        <v>76</v>
      </c>
      <c r="J1214" t="s">
        <v>77</v>
      </c>
      <c r="K1214" t="s">
        <v>78</v>
      </c>
      <c r="L1214" t="s">
        <v>151</v>
      </c>
      <c r="M1214" t="s">
        <v>102</v>
      </c>
      <c r="N1214" t="s">
        <v>1728</v>
      </c>
      <c r="O1214" t="s">
        <v>82</v>
      </c>
      <c r="P1214" t="str">
        <f>"2170721433                    "</f>
        <v xml:space="preserve">2170721433                    </v>
      </c>
      <c r="Q1214">
        <v>0</v>
      </c>
      <c r="R1214">
        <v>0</v>
      </c>
      <c r="S1214">
        <v>0</v>
      </c>
      <c r="T1214">
        <v>0</v>
      </c>
      <c r="U1214">
        <v>0</v>
      </c>
      <c r="V1214">
        <v>0</v>
      </c>
      <c r="W1214">
        <v>0</v>
      </c>
      <c r="X1214">
        <v>0</v>
      </c>
      <c r="Y1214">
        <v>0</v>
      </c>
      <c r="Z1214">
        <v>0</v>
      </c>
      <c r="AA1214">
        <v>0</v>
      </c>
      <c r="AB1214">
        <v>0</v>
      </c>
      <c r="AC1214">
        <v>0</v>
      </c>
      <c r="AD1214">
        <v>0</v>
      </c>
      <c r="AE1214">
        <v>0</v>
      </c>
      <c r="AF1214">
        <v>0</v>
      </c>
      <c r="AG1214">
        <v>0</v>
      </c>
      <c r="AH1214">
        <v>0</v>
      </c>
      <c r="AI1214">
        <v>0</v>
      </c>
      <c r="AJ1214">
        <v>0</v>
      </c>
      <c r="AK1214">
        <v>0</v>
      </c>
      <c r="AL1214">
        <v>0</v>
      </c>
      <c r="AM1214">
        <v>8.58</v>
      </c>
      <c r="AN1214">
        <v>0</v>
      </c>
      <c r="AO1214">
        <v>0</v>
      </c>
      <c r="AP1214">
        <v>0</v>
      </c>
      <c r="AQ1214">
        <v>0</v>
      </c>
      <c r="AR1214">
        <v>0</v>
      </c>
      <c r="AS1214">
        <v>0</v>
      </c>
      <c r="AT1214">
        <v>0</v>
      </c>
      <c r="AU1214">
        <v>0</v>
      </c>
      <c r="AV1214">
        <v>0</v>
      </c>
      <c r="AW1214">
        <v>0</v>
      </c>
      <c r="AX1214">
        <v>0</v>
      </c>
      <c r="AY1214">
        <v>0</v>
      </c>
      <c r="AZ1214">
        <v>0</v>
      </c>
      <c r="BA1214">
        <v>0</v>
      </c>
      <c r="BB1214">
        <v>0</v>
      </c>
      <c r="BC1214">
        <v>0</v>
      </c>
      <c r="BD1214">
        <v>0</v>
      </c>
      <c r="BE1214">
        <v>0</v>
      </c>
      <c r="BF1214">
        <v>0</v>
      </c>
      <c r="BG1214">
        <v>0</v>
      </c>
      <c r="BH1214">
        <v>1</v>
      </c>
      <c r="BI1214">
        <v>1</v>
      </c>
      <c r="BJ1214">
        <v>0.2</v>
      </c>
      <c r="BK1214">
        <v>1</v>
      </c>
      <c r="BL1214" s="4">
        <v>50.45</v>
      </c>
      <c r="BM1214" s="4">
        <v>7.57</v>
      </c>
      <c r="BN1214" s="4">
        <v>58.02</v>
      </c>
      <c r="BO1214" s="4">
        <v>58.02</v>
      </c>
      <c r="BQ1214" t="s">
        <v>172</v>
      </c>
      <c r="BR1214" t="s">
        <v>84</v>
      </c>
      <c r="BS1214" s="3">
        <v>43812</v>
      </c>
      <c r="BT1214" s="5">
        <v>0.37847222222222227</v>
      </c>
      <c r="BU1214" t="s">
        <v>1729</v>
      </c>
      <c r="BV1214" t="s">
        <v>86</v>
      </c>
      <c r="BY1214">
        <v>1200</v>
      </c>
      <c r="CA1214" t="s">
        <v>1357</v>
      </c>
      <c r="CC1214" t="s">
        <v>102</v>
      </c>
      <c r="CD1214">
        <v>200</v>
      </c>
      <c r="CE1214" t="s">
        <v>88</v>
      </c>
      <c r="CF1214" s="3">
        <v>43816</v>
      </c>
      <c r="CI1214">
        <v>1</v>
      </c>
      <c r="CJ1214">
        <v>1</v>
      </c>
      <c r="CK1214">
        <v>21</v>
      </c>
      <c r="CL1214" t="s">
        <v>89</v>
      </c>
    </row>
    <row r="1215" spans="1:90">
      <c r="A1215" t="s">
        <v>72</v>
      </c>
      <c r="B1215" t="s">
        <v>73</v>
      </c>
      <c r="C1215" t="s">
        <v>74</v>
      </c>
      <c r="E1215" t="str">
        <f>"FES1162728073"</f>
        <v>FES1162728073</v>
      </c>
      <c r="F1215" s="3">
        <v>43811</v>
      </c>
      <c r="G1215">
        <v>202006</v>
      </c>
      <c r="H1215" t="s">
        <v>75</v>
      </c>
      <c r="I1215" t="s">
        <v>76</v>
      </c>
      <c r="J1215" t="s">
        <v>77</v>
      </c>
      <c r="K1215" t="s">
        <v>78</v>
      </c>
      <c r="L1215" t="s">
        <v>151</v>
      </c>
      <c r="M1215" t="s">
        <v>102</v>
      </c>
      <c r="N1215" t="s">
        <v>681</v>
      </c>
      <c r="O1215" t="s">
        <v>82</v>
      </c>
      <c r="P1215" t="str">
        <f>"2170718260                    "</f>
        <v xml:space="preserve">2170718260                    </v>
      </c>
      <c r="Q1215">
        <v>0</v>
      </c>
      <c r="R1215">
        <v>0</v>
      </c>
      <c r="S1215">
        <v>0</v>
      </c>
      <c r="T1215">
        <v>0</v>
      </c>
      <c r="U1215">
        <v>0</v>
      </c>
      <c r="V1215">
        <v>0</v>
      </c>
      <c r="W1215">
        <v>0</v>
      </c>
      <c r="X1215">
        <v>0</v>
      </c>
      <c r="Y1215">
        <v>0</v>
      </c>
      <c r="Z1215">
        <v>0</v>
      </c>
      <c r="AA1215">
        <v>0</v>
      </c>
      <c r="AB1215">
        <v>0</v>
      </c>
      <c r="AC1215">
        <v>0</v>
      </c>
      <c r="AD1215">
        <v>0</v>
      </c>
      <c r="AE1215">
        <v>0</v>
      </c>
      <c r="AF1215">
        <v>0</v>
      </c>
      <c r="AG1215">
        <v>0</v>
      </c>
      <c r="AH1215">
        <v>0</v>
      </c>
      <c r="AI1215">
        <v>0</v>
      </c>
      <c r="AJ1215">
        <v>0</v>
      </c>
      <c r="AK1215">
        <v>0</v>
      </c>
      <c r="AL1215">
        <v>0</v>
      </c>
      <c r="AM1215">
        <v>8.58</v>
      </c>
      <c r="AN1215">
        <v>0</v>
      </c>
      <c r="AO1215">
        <v>0</v>
      </c>
      <c r="AP1215">
        <v>0</v>
      </c>
      <c r="AQ1215">
        <v>0</v>
      </c>
      <c r="AR1215">
        <v>0</v>
      </c>
      <c r="AS1215">
        <v>0</v>
      </c>
      <c r="AT1215">
        <v>0</v>
      </c>
      <c r="AU1215">
        <v>0</v>
      </c>
      <c r="AV1215">
        <v>0</v>
      </c>
      <c r="AW1215">
        <v>0</v>
      </c>
      <c r="AX1215">
        <v>0</v>
      </c>
      <c r="AY1215">
        <v>0</v>
      </c>
      <c r="AZ1215">
        <v>0</v>
      </c>
      <c r="BA1215">
        <v>0</v>
      </c>
      <c r="BB1215">
        <v>0</v>
      </c>
      <c r="BC1215">
        <v>0</v>
      </c>
      <c r="BD1215">
        <v>0</v>
      </c>
      <c r="BE1215">
        <v>0</v>
      </c>
      <c r="BF1215">
        <v>0</v>
      </c>
      <c r="BG1215">
        <v>0</v>
      </c>
      <c r="BH1215">
        <v>1</v>
      </c>
      <c r="BI1215">
        <v>1</v>
      </c>
      <c r="BJ1215">
        <v>0.2</v>
      </c>
      <c r="BK1215">
        <v>1</v>
      </c>
      <c r="BL1215" s="4">
        <v>50.45</v>
      </c>
      <c r="BM1215" s="4">
        <v>7.57</v>
      </c>
      <c r="BN1215" s="4">
        <v>58.02</v>
      </c>
      <c r="BO1215" s="4">
        <v>58.02</v>
      </c>
      <c r="BR1215" t="s">
        <v>84</v>
      </c>
      <c r="BS1215" s="3">
        <v>43812</v>
      </c>
      <c r="BT1215" s="5">
        <v>0.3576388888888889</v>
      </c>
      <c r="BU1215" t="s">
        <v>1730</v>
      </c>
      <c r="BV1215" t="s">
        <v>86</v>
      </c>
      <c r="BY1215">
        <v>1200</v>
      </c>
      <c r="CA1215" t="s">
        <v>137</v>
      </c>
      <c r="CC1215" t="s">
        <v>102</v>
      </c>
      <c r="CD1215">
        <v>1</v>
      </c>
      <c r="CE1215" t="s">
        <v>88</v>
      </c>
      <c r="CF1215" s="3">
        <v>43816</v>
      </c>
      <c r="CI1215">
        <v>1</v>
      </c>
      <c r="CJ1215">
        <v>1</v>
      </c>
      <c r="CK1215">
        <v>21</v>
      </c>
      <c r="CL1215" t="s">
        <v>89</v>
      </c>
    </row>
    <row r="1216" spans="1:90">
      <c r="A1216" t="s">
        <v>72</v>
      </c>
      <c r="B1216" t="s">
        <v>73</v>
      </c>
      <c r="C1216" t="s">
        <v>74</v>
      </c>
      <c r="E1216" t="str">
        <f>"FES1162728135"</f>
        <v>FES1162728135</v>
      </c>
      <c r="F1216" s="3">
        <v>43811</v>
      </c>
      <c r="G1216">
        <v>202006</v>
      </c>
      <c r="H1216" t="s">
        <v>75</v>
      </c>
      <c r="I1216" t="s">
        <v>76</v>
      </c>
      <c r="J1216" t="s">
        <v>77</v>
      </c>
      <c r="K1216" t="s">
        <v>78</v>
      </c>
      <c r="L1216" t="s">
        <v>90</v>
      </c>
      <c r="M1216" t="s">
        <v>91</v>
      </c>
      <c r="N1216" t="s">
        <v>554</v>
      </c>
      <c r="O1216" t="s">
        <v>82</v>
      </c>
      <c r="P1216" t="str">
        <f>"2170719123                    "</f>
        <v xml:space="preserve">2170719123                    </v>
      </c>
      <c r="Q1216">
        <v>0</v>
      </c>
      <c r="R1216">
        <v>0</v>
      </c>
      <c r="S1216">
        <v>0</v>
      </c>
      <c r="T1216">
        <v>0</v>
      </c>
      <c r="U1216">
        <v>0</v>
      </c>
      <c r="V1216">
        <v>0</v>
      </c>
      <c r="W1216">
        <v>0</v>
      </c>
      <c r="X1216">
        <v>0</v>
      </c>
      <c r="Y1216">
        <v>0</v>
      </c>
      <c r="Z1216">
        <v>0</v>
      </c>
      <c r="AA1216">
        <v>0</v>
      </c>
      <c r="AB1216">
        <v>0</v>
      </c>
      <c r="AC1216">
        <v>0</v>
      </c>
      <c r="AD1216">
        <v>0</v>
      </c>
      <c r="AE1216">
        <v>0</v>
      </c>
      <c r="AF1216">
        <v>0</v>
      </c>
      <c r="AG1216">
        <v>0</v>
      </c>
      <c r="AH1216">
        <v>0</v>
      </c>
      <c r="AI1216">
        <v>0</v>
      </c>
      <c r="AJ1216">
        <v>0</v>
      </c>
      <c r="AK1216">
        <v>0</v>
      </c>
      <c r="AL1216">
        <v>0</v>
      </c>
      <c r="AM1216">
        <v>8.58</v>
      </c>
      <c r="AN1216">
        <v>0</v>
      </c>
      <c r="AO1216">
        <v>0</v>
      </c>
      <c r="AP1216">
        <v>0</v>
      </c>
      <c r="AQ1216">
        <v>0</v>
      </c>
      <c r="AR1216">
        <v>0</v>
      </c>
      <c r="AS1216">
        <v>0</v>
      </c>
      <c r="AT1216">
        <v>0</v>
      </c>
      <c r="AU1216">
        <v>0</v>
      </c>
      <c r="AV1216">
        <v>0</v>
      </c>
      <c r="AW1216">
        <v>0</v>
      </c>
      <c r="AX1216">
        <v>0</v>
      </c>
      <c r="AY1216">
        <v>0</v>
      </c>
      <c r="AZ1216">
        <v>0</v>
      </c>
      <c r="BA1216">
        <v>0</v>
      </c>
      <c r="BB1216">
        <v>0</v>
      </c>
      <c r="BC1216">
        <v>0</v>
      </c>
      <c r="BD1216">
        <v>0</v>
      </c>
      <c r="BE1216">
        <v>0</v>
      </c>
      <c r="BF1216">
        <v>0</v>
      </c>
      <c r="BG1216">
        <v>0</v>
      </c>
      <c r="BH1216">
        <v>1</v>
      </c>
      <c r="BI1216">
        <v>1</v>
      </c>
      <c r="BJ1216">
        <v>0.2</v>
      </c>
      <c r="BK1216">
        <v>1</v>
      </c>
      <c r="BL1216" s="4">
        <v>50.45</v>
      </c>
      <c r="BM1216" s="4">
        <v>7.57</v>
      </c>
      <c r="BN1216" s="4">
        <v>58.02</v>
      </c>
      <c r="BO1216" s="4">
        <v>58.02</v>
      </c>
      <c r="BQ1216" t="s">
        <v>147</v>
      </c>
      <c r="BR1216" t="s">
        <v>84</v>
      </c>
      <c r="BS1216" s="3">
        <v>43812</v>
      </c>
      <c r="BT1216" s="5">
        <v>0.3840277777777778</v>
      </c>
      <c r="BU1216" t="s">
        <v>555</v>
      </c>
      <c r="BV1216" t="s">
        <v>86</v>
      </c>
      <c r="BY1216">
        <v>1200</v>
      </c>
      <c r="CA1216" t="s">
        <v>550</v>
      </c>
      <c r="CC1216" t="s">
        <v>91</v>
      </c>
      <c r="CD1216">
        <v>7560</v>
      </c>
      <c r="CE1216" t="s">
        <v>88</v>
      </c>
      <c r="CF1216" s="3">
        <v>43816</v>
      </c>
      <c r="CI1216">
        <v>1</v>
      </c>
      <c r="CJ1216">
        <v>1</v>
      </c>
      <c r="CK1216">
        <v>21</v>
      </c>
      <c r="CL1216" t="s">
        <v>89</v>
      </c>
    </row>
    <row r="1217" spans="1:90">
      <c r="A1217" t="s">
        <v>72</v>
      </c>
      <c r="B1217" t="s">
        <v>73</v>
      </c>
      <c r="C1217" t="s">
        <v>74</v>
      </c>
      <c r="E1217" t="str">
        <f>"FES1162728006"</f>
        <v>FES1162728006</v>
      </c>
      <c r="F1217" s="3">
        <v>43811</v>
      </c>
      <c r="G1217">
        <v>202006</v>
      </c>
      <c r="H1217" t="s">
        <v>75</v>
      </c>
      <c r="I1217" t="s">
        <v>76</v>
      </c>
      <c r="J1217" t="s">
        <v>77</v>
      </c>
      <c r="K1217" t="s">
        <v>78</v>
      </c>
      <c r="L1217" t="s">
        <v>404</v>
      </c>
      <c r="M1217" t="s">
        <v>405</v>
      </c>
      <c r="N1217" t="s">
        <v>406</v>
      </c>
      <c r="O1217" t="s">
        <v>82</v>
      </c>
      <c r="P1217" t="str">
        <f>"2170719354                    "</f>
        <v xml:space="preserve">2170719354                    </v>
      </c>
      <c r="Q1217">
        <v>0</v>
      </c>
      <c r="R1217">
        <v>0</v>
      </c>
      <c r="S1217">
        <v>0</v>
      </c>
      <c r="T1217">
        <v>0</v>
      </c>
      <c r="U1217">
        <v>0</v>
      </c>
      <c r="V1217">
        <v>0</v>
      </c>
      <c r="W1217">
        <v>0</v>
      </c>
      <c r="X1217">
        <v>0</v>
      </c>
      <c r="Y1217">
        <v>0</v>
      </c>
      <c r="Z1217">
        <v>0</v>
      </c>
      <c r="AA1217">
        <v>0</v>
      </c>
      <c r="AB1217">
        <v>0</v>
      </c>
      <c r="AC1217">
        <v>0</v>
      </c>
      <c r="AD1217">
        <v>0</v>
      </c>
      <c r="AE1217">
        <v>0</v>
      </c>
      <c r="AF1217">
        <v>0</v>
      </c>
      <c r="AG1217">
        <v>0</v>
      </c>
      <c r="AH1217">
        <v>0</v>
      </c>
      <c r="AI1217">
        <v>0</v>
      </c>
      <c r="AJ1217">
        <v>0</v>
      </c>
      <c r="AK1217">
        <v>0</v>
      </c>
      <c r="AL1217">
        <v>0</v>
      </c>
      <c r="AM1217">
        <v>8.58</v>
      </c>
      <c r="AN1217">
        <v>0</v>
      </c>
      <c r="AO1217">
        <v>0</v>
      </c>
      <c r="AP1217">
        <v>0</v>
      </c>
      <c r="AQ1217">
        <v>0</v>
      </c>
      <c r="AR1217">
        <v>0</v>
      </c>
      <c r="AS1217">
        <v>0</v>
      </c>
      <c r="AT1217">
        <v>0</v>
      </c>
      <c r="AU1217">
        <v>0</v>
      </c>
      <c r="AV1217">
        <v>0</v>
      </c>
      <c r="AW1217">
        <v>0</v>
      </c>
      <c r="AX1217">
        <v>0</v>
      </c>
      <c r="AY1217">
        <v>0</v>
      </c>
      <c r="AZ1217">
        <v>0</v>
      </c>
      <c r="BA1217">
        <v>0</v>
      </c>
      <c r="BB1217">
        <v>0</v>
      </c>
      <c r="BC1217">
        <v>0</v>
      </c>
      <c r="BD1217">
        <v>0</v>
      </c>
      <c r="BE1217">
        <v>0</v>
      </c>
      <c r="BF1217">
        <v>0</v>
      </c>
      <c r="BG1217">
        <v>0</v>
      </c>
      <c r="BH1217">
        <v>1</v>
      </c>
      <c r="BI1217">
        <v>1</v>
      </c>
      <c r="BJ1217">
        <v>0.2</v>
      </c>
      <c r="BK1217">
        <v>1</v>
      </c>
      <c r="BL1217" s="4">
        <v>50.45</v>
      </c>
      <c r="BM1217" s="4">
        <v>7.57</v>
      </c>
      <c r="BN1217" s="4">
        <v>58.02</v>
      </c>
      <c r="BO1217" s="4">
        <v>58.02</v>
      </c>
      <c r="BQ1217" t="s">
        <v>93</v>
      </c>
      <c r="BR1217" t="s">
        <v>84</v>
      </c>
      <c r="BS1217" s="3">
        <v>43812</v>
      </c>
      <c r="BT1217" s="5">
        <v>0.39097222222222222</v>
      </c>
      <c r="BU1217" t="s">
        <v>1731</v>
      </c>
      <c r="BV1217" t="s">
        <v>86</v>
      </c>
      <c r="BY1217">
        <v>1200</v>
      </c>
      <c r="CA1217" t="s">
        <v>408</v>
      </c>
      <c r="CC1217" t="s">
        <v>405</v>
      </c>
      <c r="CD1217">
        <v>4026</v>
      </c>
      <c r="CE1217" t="s">
        <v>88</v>
      </c>
      <c r="CF1217" s="3">
        <v>43816</v>
      </c>
      <c r="CI1217">
        <v>1</v>
      </c>
      <c r="CJ1217">
        <v>1</v>
      </c>
      <c r="CK1217">
        <v>21</v>
      </c>
      <c r="CL1217" t="s">
        <v>89</v>
      </c>
    </row>
    <row r="1218" spans="1:90">
      <c r="A1218" t="s">
        <v>72</v>
      </c>
      <c r="B1218" t="s">
        <v>73</v>
      </c>
      <c r="C1218" t="s">
        <v>74</v>
      </c>
      <c r="E1218" t="str">
        <f>"FES1162728060"</f>
        <v>FES1162728060</v>
      </c>
      <c r="F1218" s="3">
        <v>43811</v>
      </c>
      <c r="G1218">
        <v>202006</v>
      </c>
      <c r="H1218" t="s">
        <v>75</v>
      </c>
      <c r="I1218" t="s">
        <v>76</v>
      </c>
      <c r="J1218" t="s">
        <v>77</v>
      </c>
      <c r="K1218" t="s">
        <v>78</v>
      </c>
      <c r="L1218" t="s">
        <v>177</v>
      </c>
      <c r="M1218" t="s">
        <v>178</v>
      </c>
      <c r="N1218" t="s">
        <v>179</v>
      </c>
      <c r="O1218" t="s">
        <v>82</v>
      </c>
      <c r="P1218" t="str">
        <f>"2170718148                    "</f>
        <v xml:space="preserve">2170718148                    </v>
      </c>
      <c r="Q1218">
        <v>0</v>
      </c>
      <c r="R1218">
        <v>0</v>
      </c>
      <c r="S1218">
        <v>0</v>
      </c>
      <c r="T1218">
        <v>0</v>
      </c>
      <c r="U1218">
        <v>0</v>
      </c>
      <c r="V1218">
        <v>0</v>
      </c>
      <c r="W1218">
        <v>0</v>
      </c>
      <c r="X1218">
        <v>0</v>
      </c>
      <c r="Y1218">
        <v>0</v>
      </c>
      <c r="Z1218">
        <v>0</v>
      </c>
      <c r="AA1218">
        <v>0</v>
      </c>
      <c r="AB1218">
        <v>0</v>
      </c>
      <c r="AC1218">
        <v>0</v>
      </c>
      <c r="AD1218">
        <v>0</v>
      </c>
      <c r="AE1218">
        <v>0</v>
      </c>
      <c r="AF1218">
        <v>0</v>
      </c>
      <c r="AG1218">
        <v>0</v>
      </c>
      <c r="AH1218">
        <v>0</v>
      </c>
      <c r="AI1218">
        <v>0</v>
      </c>
      <c r="AJ1218">
        <v>0</v>
      </c>
      <c r="AK1218">
        <v>0</v>
      </c>
      <c r="AL1218">
        <v>0</v>
      </c>
      <c r="AM1218">
        <v>12.07</v>
      </c>
      <c r="AN1218">
        <v>0</v>
      </c>
      <c r="AO1218">
        <v>0</v>
      </c>
      <c r="AP1218">
        <v>0</v>
      </c>
      <c r="AQ1218">
        <v>0</v>
      </c>
      <c r="AR1218">
        <v>0</v>
      </c>
      <c r="AS1218">
        <v>0</v>
      </c>
      <c r="AT1218">
        <v>0</v>
      </c>
      <c r="AU1218">
        <v>0</v>
      </c>
      <c r="AV1218">
        <v>0</v>
      </c>
      <c r="AW1218">
        <v>0</v>
      </c>
      <c r="AX1218">
        <v>0</v>
      </c>
      <c r="AY1218">
        <v>0</v>
      </c>
      <c r="AZ1218">
        <v>0</v>
      </c>
      <c r="BA1218">
        <v>0</v>
      </c>
      <c r="BB1218">
        <v>0</v>
      </c>
      <c r="BC1218">
        <v>0</v>
      </c>
      <c r="BD1218">
        <v>0</v>
      </c>
      <c r="BE1218">
        <v>0</v>
      </c>
      <c r="BF1218">
        <v>0</v>
      </c>
      <c r="BG1218">
        <v>0</v>
      </c>
      <c r="BH1218">
        <v>1</v>
      </c>
      <c r="BI1218">
        <v>1</v>
      </c>
      <c r="BJ1218">
        <v>0.2</v>
      </c>
      <c r="BK1218">
        <v>1</v>
      </c>
      <c r="BL1218" s="4">
        <v>70.95</v>
      </c>
      <c r="BM1218" s="4">
        <v>10.64</v>
      </c>
      <c r="BN1218" s="4">
        <v>81.59</v>
      </c>
      <c r="BO1218" s="4">
        <v>81.59</v>
      </c>
      <c r="BQ1218" t="s">
        <v>147</v>
      </c>
      <c r="BR1218" t="s">
        <v>84</v>
      </c>
      <c r="BS1218" s="3">
        <v>43816</v>
      </c>
      <c r="BT1218" s="5">
        <v>0.64930555555555558</v>
      </c>
      <c r="BU1218" t="s">
        <v>731</v>
      </c>
      <c r="BV1218" t="s">
        <v>89</v>
      </c>
      <c r="BY1218">
        <v>1200</v>
      </c>
      <c r="CA1218" t="s">
        <v>182</v>
      </c>
      <c r="CC1218" t="s">
        <v>178</v>
      </c>
      <c r="CD1218">
        <v>1028</v>
      </c>
      <c r="CE1218" t="s">
        <v>88</v>
      </c>
      <c r="CF1218" s="3">
        <v>43818</v>
      </c>
      <c r="CI1218">
        <v>1</v>
      </c>
      <c r="CJ1218">
        <v>3</v>
      </c>
      <c r="CK1218">
        <v>24</v>
      </c>
      <c r="CL1218" t="s">
        <v>89</v>
      </c>
    </row>
    <row r="1219" spans="1:90">
      <c r="A1219" t="s">
        <v>72</v>
      </c>
      <c r="B1219" t="s">
        <v>73</v>
      </c>
      <c r="C1219" t="s">
        <v>74</v>
      </c>
      <c r="E1219" t="str">
        <f>"FES1162728113"</f>
        <v>FES1162728113</v>
      </c>
      <c r="F1219" s="3">
        <v>43811</v>
      </c>
      <c r="G1219">
        <v>202006</v>
      </c>
      <c r="H1219" t="s">
        <v>75</v>
      </c>
      <c r="I1219" t="s">
        <v>76</v>
      </c>
      <c r="J1219" t="s">
        <v>77</v>
      </c>
      <c r="K1219" t="s">
        <v>78</v>
      </c>
      <c r="L1219" t="s">
        <v>221</v>
      </c>
      <c r="M1219" t="s">
        <v>222</v>
      </c>
      <c r="N1219" t="s">
        <v>845</v>
      </c>
      <c r="O1219" t="s">
        <v>82</v>
      </c>
      <c r="P1219" t="str">
        <f>"2170718648                    "</f>
        <v xml:space="preserve">2170718648                    </v>
      </c>
      <c r="Q1219">
        <v>0</v>
      </c>
      <c r="R1219">
        <v>0</v>
      </c>
      <c r="S1219">
        <v>0</v>
      </c>
      <c r="T1219">
        <v>0</v>
      </c>
      <c r="U1219">
        <v>0</v>
      </c>
      <c r="V1219">
        <v>0</v>
      </c>
      <c r="W1219">
        <v>0</v>
      </c>
      <c r="X1219">
        <v>0</v>
      </c>
      <c r="Y1219">
        <v>0</v>
      </c>
      <c r="Z1219">
        <v>0</v>
      </c>
      <c r="AA1219">
        <v>0</v>
      </c>
      <c r="AB1219">
        <v>0</v>
      </c>
      <c r="AC1219">
        <v>0</v>
      </c>
      <c r="AD1219">
        <v>0</v>
      </c>
      <c r="AE1219">
        <v>0</v>
      </c>
      <c r="AF1219">
        <v>0</v>
      </c>
      <c r="AG1219">
        <v>0</v>
      </c>
      <c r="AH1219">
        <v>0</v>
      </c>
      <c r="AI1219">
        <v>0</v>
      </c>
      <c r="AJ1219">
        <v>0</v>
      </c>
      <c r="AK1219">
        <v>0</v>
      </c>
      <c r="AL1219">
        <v>0</v>
      </c>
      <c r="AM1219">
        <v>8.58</v>
      </c>
      <c r="AN1219">
        <v>0</v>
      </c>
      <c r="AO1219">
        <v>0</v>
      </c>
      <c r="AP1219">
        <v>0</v>
      </c>
      <c r="AQ1219">
        <v>0</v>
      </c>
      <c r="AR1219">
        <v>0</v>
      </c>
      <c r="AS1219">
        <v>0</v>
      </c>
      <c r="AT1219">
        <v>0</v>
      </c>
      <c r="AU1219">
        <v>0</v>
      </c>
      <c r="AV1219">
        <v>0</v>
      </c>
      <c r="AW1219">
        <v>0</v>
      </c>
      <c r="AX1219">
        <v>0</v>
      </c>
      <c r="AY1219">
        <v>0</v>
      </c>
      <c r="AZ1219">
        <v>0</v>
      </c>
      <c r="BA1219">
        <v>0</v>
      </c>
      <c r="BB1219">
        <v>0</v>
      </c>
      <c r="BC1219">
        <v>0</v>
      </c>
      <c r="BD1219">
        <v>0</v>
      </c>
      <c r="BE1219">
        <v>0</v>
      </c>
      <c r="BF1219">
        <v>0</v>
      </c>
      <c r="BG1219">
        <v>0</v>
      </c>
      <c r="BH1219">
        <v>1</v>
      </c>
      <c r="BI1219">
        <v>1</v>
      </c>
      <c r="BJ1219">
        <v>0.2</v>
      </c>
      <c r="BK1219">
        <v>1</v>
      </c>
      <c r="BL1219" s="4">
        <v>50.45</v>
      </c>
      <c r="BM1219" s="4">
        <v>7.57</v>
      </c>
      <c r="BN1219" s="4">
        <v>58.02</v>
      </c>
      <c r="BO1219" s="4">
        <v>58.02</v>
      </c>
      <c r="BQ1219" t="s">
        <v>93</v>
      </c>
      <c r="BR1219" t="s">
        <v>84</v>
      </c>
      <c r="BS1219" s="3">
        <v>43812</v>
      </c>
      <c r="BT1219" s="5">
        <v>0.36874999999999997</v>
      </c>
      <c r="BU1219" t="s">
        <v>1711</v>
      </c>
      <c r="BV1219" t="s">
        <v>86</v>
      </c>
      <c r="BY1219">
        <v>1200</v>
      </c>
      <c r="CA1219" t="s">
        <v>847</v>
      </c>
      <c r="CC1219" t="s">
        <v>222</v>
      </c>
      <c r="CD1219">
        <v>3201</v>
      </c>
      <c r="CE1219" t="s">
        <v>88</v>
      </c>
      <c r="CF1219" s="3">
        <v>43816</v>
      </c>
      <c r="CI1219">
        <v>1</v>
      </c>
      <c r="CJ1219">
        <v>1</v>
      </c>
      <c r="CK1219">
        <v>21</v>
      </c>
      <c r="CL1219" t="s">
        <v>89</v>
      </c>
    </row>
    <row r="1220" spans="1:90">
      <c r="A1220" t="s">
        <v>72</v>
      </c>
      <c r="B1220" t="s">
        <v>73</v>
      </c>
      <c r="C1220" t="s">
        <v>74</v>
      </c>
      <c r="E1220" t="str">
        <f>"FES1162728041"</f>
        <v>FES1162728041</v>
      </c>
      <c r="F1220" s="3">
        <v>43811</v>
      </c>
      <c r="G1220">
        <v>202006</v>
      </c>
      <c r="H1220" t="s">
        <v>75</v>
      </c>
      <c r="I1220" t="s">
        <v>76</v>
      </c>
      <c r="J1220" t="s">
        <v>77</v>
      </c>
      <c r="K1220" t="s">
        <v>78</v>
      </c>
      <c r="L1220" t="s">
        <v>90</v>
      </c>
      <c r="M1220" t="s">
        <v>91</v>
      </c>
      <c r="N1220" t="s">
        <v>554</v>
      </c>
      <c r="O1220" t="s">
        <v>82</v>
      </c>
      <c r="P1220" t="str">
        <f>"2170717632                    "</f>
        <v xml:space="preserve">2170717632                    </v>
      </c>
      <c r="Q1220">
        <v>0</v>
      </c>
      <c r="R1220">
        <v>0</v>
      </c>
      <c r="S1220">
        <v>0</v>
      </c>
      <c r="T1220">
        <v>0</v>
      </c>
      <c r="U1220">
        <v>0</v>
      </c>
      <c r="V1220">
        <v>0</v>
      </c>
      <c r="W1220">
        <v>0</v>
      </c>
      <c r="X1220">
        <v>0</v>
      </c>
      <c r="Y1220">
        <v>0</v>
      </c>
      <c r="Z1220">
        <v>0</v>
      </c>
      <c r="AA1220">
        <v>0</v>
      </c>
      <c r="AB1220">
        <v>0</v>
      </c>
      <c r="AC1220">
        <v>0</v>
      </c>
      <c r="AD1220">
        <v>0</v>
      </c>
      <c r="AE1220">
        <v>0</v>
      </c>
      <c r="AF1220">
        <v>0</v>
      </c>
      <c r="AG1220">
        <v>0</v>
      </c>
      <c r="AH1220">
        <v>0</v>
      </c>
      <c r="AI1220">
        <v>0</v>
      </c>
      <c r="AJ1220">
        <v>0</v>
      </c>
      <c r="AK1220">
        <v>0</v>
      </c>
      <c r="AL1220">
        <v>0</v>
      </c>
      <c r="AM1220">
        <v>12.87</v>
      </c>
      <c r="AN1220">
        <v>0</v>
      </c>
      <c r="AO1220">
        <v>0</v>
      </c>
      <c r="AP1220">
        <v>0</v>
      </c>
      <c r="AQ1220">
        <v>0</v>
      </c>
      <c r="AR1220">
        <v>0</v>
      </c>
      <c r="AS1220">
        <v>0</v>
      </c>
      <c r="AT1220">
        <v>0</v>
      </c>
      <c r="AU1220">
        <v>0</v>
      </c>
      <c r="AV1220">
        <v>0</v>
      </c>
      <c r="AW1220">
        <v>0</v>
      </c>
      <c r="AX1220">
        <v>0</v>
      </c>
      <c r="AY1220">
        <v>0</v>
      </c>
      <c r="AZ1220">
        <v>0</v>
      </c>
      <c r="BA1220">
        <v>0</v>
      </c>
      <c r="BB1220">
        <v>0</v>
      </c>
      <c r="BC1220">
        <v>0</v>
      </c>
      <c r="BD1220">
        <v>0</v>
      </c>
      <c r="BE1220">
        <v>0</v>
      </c>
      <c r="BF1220">
        <v>0</v>
      </c>
      <c r="BG1220">
        <v>0</v>
      </c>
      <c r="BH1220">
        <v>1</v>
      </c>
      <c r="BI1220">
        <v>3</v>
      </c>
      <c r="BJ1220">
        <v>1.5</v>
      </c>
      <c r="BK1220">
        <v>3</v>
      </c>
      <c r="BL1220" s="4">
        <v>75.66</v>
      </c>
      <c r="BM1220" s="4">
        <v>11.35</v>
      </c>
      <c r="BN1220" s="4">
        <v>87.01</v>
      </c>
      <c r="BO1220" s="4">
        <v>87.01</v>
      </c>
      <c r="BQ1220" t="s">
        <v>147</v>
      </c>
      <c r="BR1220" t="s">
        <v>84</v>
      </c>
      <c r="BS1220" s="3">
        <v>43812</v>
      </c>
      <c r="BT1220" s="5">
        <v>0.3840277777777778</v>
      </c>
      <c r="BU1220" t="s">
        <v>555</v>
      </c>
      <c r="BV1220" t="s">
        <v>86</v>
      </c>
      <c r="BY1220">
        <v>7252.41</v>
      </c>
      <c r="CA1220" t="s">
        <v>550</v>
      </c>
      <c r="CC1220" t="s">
        <v>91</v>
      </c>
      <c r="CD1220">
        <v>7560</v>
      </c>
      <c r="CE1220" t="s">
        <v>96</v>
      </c>
      <c r="CF1220" s="3">
        <v>43816</v>
      </c>
      <c r="CI1220">
        <v>1</v>
      </c>
      <c r="CJ1220">
        <v>1</v>
      </c>
      <c r="CK1220">
        <v>21</v>
      </c>
      <c r="CL1220" t="s">
        <v>89</v>
      </c>
    </row>
    <row r="1221" spans="1:90">
      <c r="A1221" t="s">
        <v>72</v>
      </c>
      <c r="B1221" t="s">
        <v>73</v>
      </c>
      <c r="C1221" t="s">
        <v>74</v>
      </c>
      <c r="E1221" t="str">
        <f>"FES1162728158"</f>
        <v>FES1162728158</v>
      </c>
      <c r="F1221" s="3">
        <v>43811</v>
      </c>
      <c r="G1221">
        <v>202006</v>
      </c>
      <c r="H1221" t="s">
        <v>75</v>
      </c>
      <c r="I1221" t="s">
        <v>76</v>
      </c>
      <c r="J1221" t="s">
        <v>77</v>
      </c>
      <c r="K1221" t="s">
        <v>78</v>
      </c>
      <c r="L1221" t="s">
        <v>90</v>
      </c>
      <c r="M1221" t="s">
        <v>91</v>
      </c>
      <c r="N1221" t="s">
        <v>554</v>
      </c>
      <c r="O1221" t="s">
        <v>82</v>
      </c>
      <c r="P1221" t="str">
        <f>"2170719123                    "</f>
        <v xml:space="preserve">2170719123                    </v>
      </c>
      <c r="Q1221">
        <v>0</v>
      </c>
      <c r="R1221">
        <v>0</v>
      </c>
      <c r="S1221">
        <v>0</v>
      </c>
      <c r="T1221">
        <v>0</v>
      </c>
      <c r="U1221">
        <v>0</v>
      </c>
      <c r="V1221">
        <v>0</v>
      </c>
      <c r="W1221">
        <v>0</v>
      </c>
      <c r="X1221">
        <v>0</v>
      </c>
      <c r="Y1221">
        <v>0</v>
      </c>
      <c r="Z1221">
        <v>0</v>
      </c>
      <c r="AA1221">
        <v>0</v>
      </c>
      <c r="AB1221">
        <v>0</v>
      </c>
      <c r="AC1221">
        <v>0</v>
      </c>
      <c r="AD1221">
        <v>0</v>
      </c>
      <c r="AE1221">
        <v>0</v>
      </c>
      <c r="AF1221">
        <v>0</v>
      </c>
      <c r="AG1221">
        <v>0</v>
      </c>
      <c r="AH1221">
        <v>0</v>
      </c>
      <c r="AI1221">
        <v>0</v>
      </c>
      <c r="AJ1221">
        <v>0</v>
      </c>
      <c r="AK1221">
        <v>0</v>
      </c>
      <c r="AL1221">
        <v>0</v>
      </c>
      <c r="AM1221">
        <v>8.58</v>
      </c>
      <c r="AN1221">
        <v>0</v>
      </c>
      <c r="AO1221">
        <v>0</v>
      </c>
      <c r="AP1221">
        <v>0</v>
      </c>
      <c r="AQ1221">
        <v>0</v>
      </c>
      <c r="AR1221">
        <v>0</v>
      </c>
      <c r="AS1221">
        <v>0</v>
      </c>
      <c r="AT1221">
        <v>0</v>
      </c>
      <c r="AU1221">
        <v>0</v>
      </c>
      <c r="AV1221">
        <v>0</v>
      </c>
      <c r="AW1221">
        <v>0</v>
      </c>
      <c r="AX1221">
        <v>0</v>
      </c>
      <c r="AY1221">
        <v>0</v>
      </c>
      <c r="AZ1221">
        <v>0</v>
      </c>
      <c r="BA1221">
        <v>0</v>
      </c>
      <c r="BB1221">
        <v>0</v>
      </c>
      <c r="BC1221">
        <v>0</v>
      </c>
      <c r="BD1221">
        <v>0</v>
      </c>
      <c r="BE1221">
        <v>0</v>
      </c>
      <c r="BF1221">
        <v>0</v>
      </c>
      <c r="BG1221">
        <v>0</v>
      </c>
      <c r="BH1221">
        <v>1</v>
      </c>
      <c r="BI1221">
        <v>1.9</v>
      </c>
      <c r="BJ1221">
        <v>1.4</v>
      </c>
      <c r="BK1221">
        <v>2</v>
      </c>
      <c r="BL1221" s="4">
        <v>50.45</v>
      </c>
      <c r="BM1221" s="4">
        <v>7.57</v>
      </c>
      <c r="BN1221" s="4">
        <v>58.02</v>
      </c>
      <c r="BO1221" s="4">
        <v>58.02</v>
      </c>
      <c r="BQ1221" t="s">
        <v>147</v>
      </c>
      <c r="BR1221" t="s">
        <v>84</v>
      </c>
      <c r="BS1221" s="3">
        <v>43812</v>
      </c>
      <c r="BT1221" s="5">
        <v>0.3840277777777778</v>
      </c>
      <c r="BU1221" t="s">
        <v>555</v>
      </c>
      <c r="BV1221" t="s">
        <v>86</v>
      </c>
      <c r="BY1221">
        <v>6968.8</v>
      </c>
      <c r="CA1221" t="s">
        <v>550</v>
      </c>
      <c r="CC1221" t="s">
        <v>91</v>
      </c>
      <c r="CD1221">
        <v>7560</v>
      </c>
      <c r="CE1221" t="s">
        <v>96</v>
      </c>
      <c r="CF1221" s="3">
        <v>43816</v>
      </c>
      <c r="CI1221">
        <v>1</v>
      </c>
      <c r="CJ1221">
        <v>1</v>
      </c>
      <c r="CK1221">
        <v>21</v>
      </c>
      <c r="CL1221" t="s">
        <v>89</v>
      </c>
    </row>
    <row r="1222" spans="1:90">
      <c r="A1222" t="s">
        <v>72</v>
      </c>
      <c r="B1222" t="s">
        <v>73</v>
      </c>
      <c r="C1222" t="s">
        <v>74</v>
      </c>
      <c r="E1222" t="str">
        <f>"FES1162728051"</f>
        <v>FES1162728051</v>
      </c>
      <c r="F1222" s="3">
        <v>43811</v>
      </c>
      <c r="G1222">
        <v>202006</v>
      </c>
      <c r="H1222" t="s">
        <v>75</v>
      </c>
      <c r="I1222" t="s">
        <v>76</v>
      </c>
      <c r="J1222" t="s">
        <v>77</v>
      </c>
      <c r="K1222" t="s">
        <v>78</v>
      </c>
      <c r="L1222" t="s">
        <v>90</v>
      </c>
      <c r="M1222" t="s">
        <v>91</v>
      </c>
      <c r="N1222" t="s">
        <v>1210</v>
      </c>
      <c r="O1222" t="s">
        <v>82</v>
      </c>
      <c r="P1222" t="str">
        <f>"2170714992                    "</f>
        <v xml:space="preserve">2170714992                    </v>
      </c>
      <c r="Q1222">
        <v>0</v>
      </c>
      <c r="R1222">
        <v>0</v>
      </c>
      <c r="S1222">
        <v>0</v>
      </c>
      <c r="T1222">
        <v>0</v>
      </c>
      <c r="U1222">
        <v>0</v>
      </c>
      <c r="V1222">
        <v>0</v>
      </c>
      <c r="W1222">
        <v>0</v>
      </c>
      <c r="X1222">
        <v>0</v>
      </c>
      <c r="Y1222">
        <v>0</v>
      </c>
      <c r="Z1222">
        <v>0</v>
      </c>
      <c r="AA1222">
        <v>0</v>
      </c>
      <c r="AB1222">
        <v>0</v>
      </c>
      <c r="AC1222">
        <v>0</v>
      </c>
      <c r="AD1222">
        <v>0</v>
      </c>
      <c r="AE1222">
        <v>0</v>
      </c>
      <c r="AF1222">
        <v>0</v>
      </c>
      <c r="AG1222">
        <v>0</v>
      </c>
      <c r="AH1222">
        <v>0</v>
      </c>
      <c r="AI1222">
        <v>0</v>
      </c>
      <c r="AJ1222">
        <v>0</v>
      </c>
      <c r="AK1222">
        <v>0</v>
      </c>
      <c r="AL1222">
        <v>0</v>
      </c>
      <c r="AM1222">
        <v>8.58</v>
      </c>
      <c r="AN1222">
        <v>0</v>
      </c>
      <c r="AO1222">
        <v>0</v>
      </c>
      <c r="AP1222">
        <v>0</v>
      </c>
      <c r="AQ1222">
        <v>0</v>
      </c>
      <c r="AR1222">
        <v>0</v>
      </c>
      <c r="AS1222">
        <v>0</v>
      </c>
      <c r="AT1222">
        <v>0</v>
      </c>
      <c r="AU1222">
        <v>0</v>
      </c>
      <c r="AV1222">
        <v>0</v>
      </c>
      <c r="AW1222">
        <v>0</v>
      </c>
      <c r="AX1222">
        <v>0</v>
      </c>
      <c r="AY1222">
        <v>0</v>
      </c>
      <c r="AZ1222">
        <v>0</v>
      </c>
      <c r="BA1222">
        <v>0</v>
      </c>
      <c r="BB1222">
        <v>0</v>
      </c>
      <c r="BC1222">
        <v>0</v>
      </c>
      <c r="BD1222">
        <v>0</v>
      </c>
      <c r="BE1222">
        <v>0</v>
      </c>
      <c r="BF1222">
        <v>0</v>
      </c>
      <c r="BG1222">
        <v>0</v>
      </c>
      <c r="BH1222">
        <v>1</v>
      </c>
      <c r="BI1222">
        <v>1.4</v>
      </c>
      <c r="BJ1222">
        <v>1.9</v>
      </c>
      <c r="BK1222">
        <v>2</v>
      </c>
      <c r="BL1222" s="4">
        <v>50.45</v>
      </c>
      <c r="BM1222" s="4">
        <v>7.57</v>
      </c>
      <c r="BN1222" s="4">
        <v>58.02</v>
      </c>
      <c r="BO1222" s="4">
        <v>58.02</v>
      </c>
      <c r="BQ1222" t="s">
        <v>147</v>
      </c>
      <c r="BR1222" t="s">
        <v>84</v>
      </c>
      <c r="BS1222" s="3">
        <v>43812</v>
      </c>
      <c r="BT1222" s="5">
        <v>0.35555555555555557</v>
      </c>
      <c r="BU1222" t="s">
        <v>1732</v>
      </c>
      <c r="BV1222" t="s">
        <v>86</v>
      </c>
      <c r="BY1222">
        <v>9422.2000000000007</v>
      </c>
      <c r="CA1222" t="s">
        <v>95</v>
      </c>
      <c r="CC1222" t="s">
        <v>91</v>
      </c>
      <c r="CD1222">
        <v>7764</v>
      </c>
      <c r="CE1222" t="s">
        <v>96</v>
      </c>
      <c r="CF1222" s="3">
        <v>43816</v>
      </c>
      <c r="CI1222">
        <v>1</v>
      </c>
      <c r="CJ1222">
        <v>1</v>
      </c>
      <c r="CK1222">
        <v>21</v>
      </c>
      <c r="CL1222" t="s">
        <v>89</v>
      </c>
    </row>
    <row r="1223" spans="1:90">
      <c r="A1223" t="s">
        <v>72</v>
      </c>
      <c r="B1223" t="s">
        <v>73</v>
      </c>
      <c r="C1223" t="s">
        <v>74</v>
      </c>
      <c r="E1223" t="str">
        <f>"FES1162728146"</f>
        <v>FES1162728146</v>
      </c>
      <c r="F1223" s="3">
        <v>43811</v>
      </c>
      <c r="G1223">
        <v>202006</v>
      </c>
      <c r="H1223" t="s">
        <v>75</v>
      </c>
      <c r="I1223" t="s">
        <v>76</v>
      </c>
      <c r="J1223" t="s">
        <v>77</v>
      </c>
      <c r="K1223" t="s">
        <v>78</v>
      </c>
      <c r="L1223" t="s">
        <v>849</v>
      </c>
      <c r="M1223" t="s">
        <v>850</v>
      </c>
      <c r="N1223" t="s">
        <v>1733</v>
      </c>
      <c r="O1223" t="s">
        <v>82</v>
      </c>
      <c r="P1223" t="str">
        <f>"21707120593                   "</f>
        <v xml:space="preserve">21707120593                   </v>
      </c>
      <c r="Q1223">
        <v>0</v>
      </c>
      <c r="R1223">
        <v>0</v>
      </c>
      <c r="S1223">
        <v>0</v>
      </c>
      <c r="T1223">
        <v>0</v>
      </c>
      <c r="U1223">
        <v>0</v>
      </c>
      <c r="V1223">
        <v>0</v>
      </c>
      <c r="W1223">
        <v>0</v>
      </c>
      <c r="X1223">
        <v>0</v>
      </c>
      <c r="Y1223">
        <v>0</v>
      </c>
      <c r="Z1223">
        <v>0</v>
      </c>
      <c r="AA1223">
        <v>0</v>
      </c>
      <c r="AB1223">
        <v>0</v>
      </c>
      <c r="AC1223">
        <v>0</v>
      </c>
      <c r="AD1223">
        <v>0</v>
      </c>
      <c r="AE1223">
        <v>0</v>
      </c>
      <c r="AF1223">
        <v>0</v>
      </c>
      <c r="AG1223">
        <v>0</v>
      </c>
      <c r="AH1223">
        <v>0</v>
      </c>
      <c r="AI1223">
        <v>0</v>
      </c>
      <c r="AJ1223">
        <v>0</v>
      </c>
      <c r="AK1223">
        <v>0</v>
      </c>
      <c r="AL1223">
        <v>0</v>
      </c>
      <c r="AM1223">
        <v>8.58</v>
      </c>
      <c r="AN1223">
        <v>0</v>
      </c>
      <c r="AO1223">
        <v>0</v>
      </c>
      <c r="AP1223">
        <v>0</v>
      </c>
      <c r="AQ1223">
        <v>0</v>
      </c>
      <c r="AR1223">
        <v>0</v>
      </c>
      <c r="AS1223">
        <v>0</v>
      </c>
      <c r="AT1223">
        <v>0</v>
      </c>
      <c r="AU1223">
        <v>0</v>
      </c>
      <c r="AV1223">
        <v>0</v>
      </c>
      <c r="AW1223">
        <v>0</v>
      </c>
      <c r="AX1223">
        <v>0</v>
      </c>
      <c r="AY1223">
        <v>0</v>
      </c>
      <c r="AZ1223">
        <v>0</v>
      </c>
      <c r="BA1223">
        <v>0</v>
      </c>
      <c r="BB1223">
        <v>0</v>
      </c>
      <c r="BC1223">
        <v>0</v>
      </c>
      <c r="BD1223">
        <v>0</v>
      </c>
      <c r="BE1223">
        <v>0</v>
      </c>
      <c r="BF1223">
        <v>0</v>
      </c>
      <c r="BG1223">
        <v>0</v>
      </c>
      <c r="BH1223">
        <v>1</v>
      </c>
      <c r="BI1223">
        <v>1</v>
      </c>
      <c r="BJ1223">
        <v>0.2</v>
      </c>
      <c r="BK1223">
        <v>1</v>
      </c>
      <c r="BL1223" s="4">
        <v>50.45</v>
      </c>
      <c r="BM1223" s="4">
        <v>7.57</v>
      </c>
      <c r="BN1223" s="4">
        <v>58.02</v>
      </c>
      <c r="BO1223" s="4">
        <v>58.02</v>
      </c>
      <c r="BQ1223" t="s">
        <v>1734</v>
      </c>
      <c r="BR1223" t="s">
        <v>84</v>
      </c>
      <c r="BS1223" s="3">
        <v>43812</v>
      </c>
      <c r="BT1223" s="5">
        <v>0.51250000000000007</v>
      </c>
      <c r="BU1223" t="s">
        <v>1735</v>
      </c>
      <c r="BV1223" t="s">
        <v>86</v>
      </c>
      <c r="BY1223">
        <v>1200</v>
      </c>
      <c r="CA1223" t="s">
        <v>1026</v>
      </c>
      <c r="CC1223" t="s">
        <v>850</v>
      </c>
      <c r="CD1223">
        <v>3290</v>
      </c>
      <c r="CE1223" t="s">
        <v>88</v>
      </c>
      <c r="CF1223" s="3">
        <v>43817</v>
      </c>
      <c r="CI1223">
        <v>1</v>
      </c>
      <c r="CJ1223">
        <v>1</v>
      </c>
      <c r="CK1223">
        <v>21</v>
      </c>
      <c r="CL1223" t="s">
        <v>89</v>
      </c>
    </row>
    <row r="1224" spans="1:90">
      <c r="A1224" t="s">
        <v>72</v>
      </c>
      <c r="B1224" t="s">
        <v>73</v>
      </c>
      <c r="C1224" t="s">
        <v>74</v>
      </c>
      <c r="E1224" t="str">
        <f>"FES1162728115"</f>
        <v>FES1162728115</v>
      </c>
      <c r="F1224" s="3">
        <v>43811</v>
      </c>
      <c r="G1224">
        <v>202006</v>
      </c>
      <c r="H1224" t="s">
        <v>75</v>
      </c>
      <c r="I1224" t="s">
        <v>76</v>
      </c>
      <c r="J1224" t="s">
        <v>77</v>
      </c>
      <c r="K1224" t="s">
        <v>78</v>
      </c>
      <c r="L1224" t="s">
        <v>201</v>
      </c>
      <c r="M1224" t="s">
        <v>202</v>
      </c>
      <c r="N1224" t="s">
        <v>797</v>
      </c>
      <c r="O1224" t="s">
        <v>82</v>
      </c>
      <c r="P1224" t="str">
        <f>"2170718662                    "</f>
        <v xml:space="preserve">2170718662                    </v>
      </c>
      <c r="Q1224">
        <v>0</v>
      </c>
      <c r="R1224">
        <v>0</v>
      </c>
      <c r="S1224">
        <v>0</v>
      </c>
      <c r="T1224">
        <v>0</v>
      </c>
      <c r="U1224">
        <v>0</v>
      </c>
      <c r="V1224">
        <v>0</v>
      </c>
      <c r="W1224">
        <v>0</v>
      </c>
      <c r="X1224">
        <v>0</v>
      </c>
      <c r="Y1224">
        <v>0</v>
      </c>
      <c r="Z1224">
        <v>0</v>
      </c>
      <c r="AA1224">
        <v>0</v>
      </c>
      <c r="AB1224">
        <v>0</v>
      </c>
      <c r="AC1224">
        <v>0</v>
      </c>
      <c r="AD1224">
        <v>0</v>
      </c>
      <c r="AE1224">
        <v>0</v>
      </c>
      <c r="AF1224">
        <v>0</v>
      </c>
      <c r="AG1224">
        <v>0</v>
      </c>
      <c r="AH1224">
        <v>0</v>
      </c>
      <c r="AI1224">
        <v>0</v>
      </c>
      <c r="AJ1224">
        <v>0</v>
      </c>
      <c r="AK1224">
        <v>0</v>
      </c>
      <c r="AL1224">
        <v>0</v>
      </c>
      <c r="AM1224">
        <v>8.58</v>
      </c>
      <c r="AN1224">
        <v>0</v>
      </c>
      <c r="AO1224">
        <v>0</v>
      </c>
      <c r="AP1224">
        <v>0</v>
      </c>
      <c r="AQ1224">
        <v>0</v>
      </c>
      <c r="AR1224">
        <v>0</v>
      </c>
      <c r="AS1224">
        <v>0</v>
      </c>
      <c r="AT1224">
        <v>0</v>
      </c>
      <c r="AU1224">
        <v>0</v>
      </c>
      <c r="AV1224">
        <v>0</v>
      </c>
      <c r="AW1224">
        <v>0</v>
      </c>
      <c r="AX1224">
        <v>0</v>
      </c>
      <c r="AY1224">
        <v>0</v>
      </c>
      <c r="AZ1224">
        <v>0</v>
      </c>
      <c r="BA1224">
        <v>0</v>
      </c>
      <c r="BB1224">
        <v>0</v>
      </c>
      <c r="BC1224">
        <v>0</v>
      </c>
      <c r="BD1224">
        <v>0</v>
      </c>
      <c r="BE1224">
        <v>0</v>
      </c>
      <c r="BF1224">
        <v>0</v>
      </c>
      <c r="BG1224">
        <v>0</v>
      </c>
      <c r="BH1224">
        <v>1</v>
      </c>
      <c r="BI1224">
        <v>1</v>
      </c>
      <c r="BJ1224">
        <v>0.2</v>
      </c>
      <c r="BK1224">
        <v>1</v>
      </c>
      <c r="BL1224" s="4">
        <v>50.45</v>
      </c>
      <c r="BM1224" s="4">
        <v>7.57</v>
      </c>
      <c r="BN1224" s="4">
        <v>58.02</v>
      </c>
      <c r="BO1224" s="4">
        <v>58.02</v>
      </c>
      <c r="BQ1224" t="s">
        <v>798</v>
      </c>
      <c r="BR1224" t="s">
        <v>84</v>
      </c>
      <c r="BS1224" s="3">
        <v>43812</v>
      </c>
      <c r="BT1224" s="5">
        <v>0.38055555555555554</v>
      </c>
      <c r="BU1224" t="s">
        <v>799</v>
      </c>
      <c r="BV1224" t="s">
        <v>86</v>
      </c>
      <c r="BY1224">
        <v>1200</v>
      </c>
      <c r="CA1224" t="s">
        <v>288</v>
      </c>
      <c r="CC1224" t="s">
        <v>202</v>
      </c>
      <c r="CD1224">
        <v>3610</v>
      </c>
      <c r="CE1224" t="s">
        <v>88</v>
      </c>
      <c r="CF1224" s="3">
        <v>43816</v>
      </c>
      <c r="CI1224">
        <v>1</v>
      </c>
      <c r="CJ1224">
        <v>1</v>
      </c>
      <c r="CK1224">
        <v>21</v>
      </c>
      <c r="CL1224" t="s">
        <v>89</v>
      </c>
    </row>
    <row r="1225" spans="1:90">
      <c r="A1225" t="s">
        <v>72</v>
      </c>
      <c r="B1225" t="s">
        <v>73</v>
      </c>
      <c r="C1225" t="s">
        <v>74</v>
      </c>
      <c r="E1225" t="str">
        <f>"FES1162727956"</f>
        <v>FES1162727956</v>
      </c>
      <c r="F1225" s="3">
        <v>43811</v>
      </c>
      <c r="G1225">
        <v>202006</v>
      </c>
      <c r="H1225" t="s">
        <v>75</v>
      </c>
      <c r="I1225" t="s">
        <v>76</v>
      </c>
      <c r="J1225" t="s">
        <v>77</v>
      </c>
      <c r="K1225" t="s">
        <v>78</v>
      </c>
      <c r="L1225" t="s">
        <v>564</v>
      </c>
      <c r="M1225" t="s">
        <v>565</v>
      </c>
      <c r="N1225" t="s">
        <v>566</v>
      </c>
      <c r="O1225" t="s">
        <v>82</v>
      </c>
      <c r="P1225" t="str">
        <f>"2170720857                    "</f>
        <v xml:space="preserve">2170720857                    </v>
      </c>
      <c r="Q1225">
        <v>0</v>
      </c>
      <c r="R1225">
        <v>0</v>
      </c>
      <c r="S1225">
        <v>0</v>
      </c>
      <c r="T1225">
        <v>0</v>
      </c>
      <c r="U1225">
        <v>0</v>
      </c>
      <c r="V1225">
        <v>0</v>
      </c>
      <c r="W1225">
        <v>0</v>
      </c>
      <c r="X1225">
        <v>0</v>
      </c>
      <c r="Y1225">
        <v>0</v>
      </c>
      <c r="Z1225">
        <v>0</v>
      </c>
      <c r="AA1225">
        <v>0</v>
      </c>
      <c r="AB1225">
        <v>0</v>
      </c>
      <c r="AC1225">
        <v>0</v>
      </c>
      <c r="AD1225">
        <v>0</v>
      </c>
      <c r="AE1225">
        <v>0</v>
      </c>
      <c r="AF1225">
        <v>0</v>
      </c>
      <c r="AG1225">
        <v>0</v>
      </c>
      <c r="AH1225">
        <v>0</v>
      </c>
      <c r="AI1225">
        <v>0</v>
      </c>
      <c r="AJ1225">
        <v>0</v>
      </c>
      <c r="AK1225">
        <v>0</v>
      </c>
      <c r="AL1225">
        <v>0</v>
      </c>
      <c r="AM1225">
        <v>24.14</v>
      </c>
      <c r="AN1225">
        <v>0</v>
      </c>
      <c r="AO1225">
        <v>0</v>
      </c>
      <c r="AP1225">
        <v>0</v>
      </c>
      <c r="AQ1225">
        <v>0</v>
      </c>
      <c r="AR1225">
        <v>0</v>
      </c>
      <c r="AS1225">
        <v>0</v>
      </c>
      <c r="AT1225">
        <v>0</v>
      </c>
      <c r="AU1225">
        <v>0</v>
      </c>
      <c r="AV1225">
        <v>0</v>
      </c>
      <c r="AW1225">
        <v>0</v>
      </c>
      <c r="AX1225">
        <v>0</v>
      </c>
      <c r="AY1225">
        <v>0</v>
      </c>
      <c r="AZ1225">
        <v>0</v>
      </c>
      <c r="BA1225">
        <v>0</v>
      </c>
      <c r="BB1225">
        <v>0</v>
      </c>
      <c r="BC1225">
        <v>0</v>
      </c>
      <c r="BD1225">
        <v>0</v>
      </c>
      <c r="BE1225">
        <v>0</v>
      </c>
      <c r="BF1225">
        <v>0</v>
      </c>
      <c r="BG1225">
        <v>0</v>
      </c>
      <c r="BH1225">
        <v>1</v>
      </c>
      <c r="BI1225">
        <v>2.6</v>
      </c>
      <c r="BJ1225">
        <v>0.9</v>
      </c>
      <c r="BK1225">
        <v>3</v>
      </c>
      <c r="BL1225" s="4">
        <v>141.9</v>
      </c>
      <c r="BM1225" s="4">
        <v>21.29</v>
      </c>
      <c r="BN1225" s="4">
        <v>163.19</v>
      </c>
      <c r="BO1225" s="4">
        <v>163.19</v>
      </c>
      <c r="BQ1225" t="s">
        <v>135</v>
      </c>
      <c r="BR1225" t="s">
        <v>84</v>
      </c>
      <c r="BS1225" s="3">
        <v>43812</v>
      </c>
      <c r="BT1225" s="5">
        <v>0.78194444444444444</v>
      </c>
      <c r="BU1225" t="s">
        <v>1736</v>
      </c>
      <c r="BV1225" t="s">
        <v>89</v>
      </c>
      <c r="BW1225" t="s">
        <v>149</v>
      </c>
      <c r="BX1225" t="s">
        <v>568</v>
      </c>
      <c r="BY1225">
        <v>4467.71</v>
      </c>
      <c r="CA1225" t="s">
        <v>569</v>
      </c>
      <c r="CC1225" t="s">
        <v>565</v>
      </c>
      <c r="CD1225">
        <v>4276</v>
      </c>
      <c r="CE1225" t="s">
        <v>116</v>
      </c>
      <c r="CF1225" s="3">
        <v>43817</v>
      </c>
      <c r="CI1225">
        <v>1</v>
      </c>
      <c r="CJ1225">
        <v>1</v>
      </c>
      <c r="CK1225">
        <v>23</v>
      </c>
      <c r="CL1225" t="s">
        <v>89</v>
      </c>
    </row>
    <row r="1226" spans="1:90">
      <c r="A1226" t="s">
        <v>72</v>
      </c>
      <c r="B1226" t="s">
        <v>73</v>
      </c>
      <c r="C1226" t="s">
        <v>74</v>
      </c>
      <c r="E1226" t="str">
        <f>"FES1162728160"</f>
        <v>FES1162728160</v>
      </c>
      <c r="F1226" s="3">
        <v>43811</v>
      </c>
      <c r="G1226">
        <v>202006</v>
      </c>
      <c r="H1226" t="s">
        <v>75</v>
      </c>
      <c r="I1226" t="s">
        <v>76</v>
      </c>
      <c r="J1226" t="s">
        <v>77</v>
      </c>
      <c r="K1226" t="s">
        <v>78</v>
      </c>
      <c r="L1226" t="s">
        <v>90</v>
      </c>
      <c r="M1226" t="s">
        <v>91</v>
      </c>
      <c r="N1226" t="s">
        <v>1737</v>
      </c>
      <c r="O1226" t="s">
        <v>82</v>
      </c>
      <c r="P1226" t="str">
        <f>"2170719338                    "</f>
        <v xml:space="preserve">2170719338                    </v>
      </c>
      <c r="Q1226">
        <v>0</v>
      </c>
      <c r="R1226">
        <v>0</v>
      </c>
      <c r="S1226">
        <v>0</v>
      </c>
      <c r="T1226">
        <v>0</v>
      </c>
      <c r="U1226">
        <v>0</v>
      </c>
      <c r="V1226">
        <v>0</v>
      </c>
      <c r="W1226">
        <v>0</v>
      </c>
      <c r="X1226">
        <v>0</v>
      </c>
      <c r="Y1226">
        <v>0</v>
      </c>
      <c r="Z1226">
        <v>0</v>
      </c>
      <c r="AA1226">
        <v>0</v>
      </c>
      <c r="AB1226">
        <v>0</v>
      </c>
      <c r="AC1226">
        <v>0</v>
      </c>
      <c r="AD1226">
        <v>0</v>
      </c>
      <c r="AE1226">
        <v>0</v>
      </c>
      <c r="AF1226">
        <v>0</v>
      </c>
      <c r="AG1226">
        <v>0</v>
      </c>
      <c r="AH1226">
        <v>0</v>
      </c>
      <c r="AI1226">
        <v>0</v>
      </c>
      <c r="AJ1226">
        <v>0</v>
      </c>
      <c r="AK1226">
        <v>0</v>
      </c>
      <c r="AL1226">
        <v>0</v>
      </c>
      <c r="AM1226">
        <v>8.58</v>
      </c>
      <c r="AN1226">
        <v>0</v>
      </c>
      <c r="AO1226">
        <v>0</v>
      </c>
      <c r="AP1226">
        <v>0</v>
      </c>
      <c r="AQ1226">
        <v>0</v>
      </c>
      <c r="AR1226">
        <v>0</v>
      </c>
      <c r="AS1226">
        <v>0</v>
      </c>
      <c r="AT1226">
        <v>0</v>
      </c>
      <c r="AU1226">
        <v>0</v>
      </c>
      <c r="AV1226">
        <v>0</v>
      </c>
      <c r="AW1226">
        <v>0</v>
      </c>
      <c r="AX1226">
        <v>0</v>
      </c>
      <c r="AY1226">
        <v>0</v>
      </c>
      <c r="AZ1226">
        <v>0</v>
      </c>
      <c r="BA1226">
        <v>0</v>
      </c>
      <c r="BB1226">
        <v>0</v>
      </c>
      <c r="BC1226">
        <v>0</v>
      </c>
      <c r="BD1226">
        <v>0</v>
      </c>
      <c r="BE1226">
        <v>0</v>
      </c>
      <c r="BF1226">
        <v>0</v>
      </c>
      <c r="BG1226">
        <v>0</v>
      </c>
      <c r="BH1226">
        <v>1</v>
      </c>
      <c r="BI1226">
        <v>1</v>
      </c>
      <c r="BJ1226">
        <v>0.2</v>
      </c>
      <c r="BK1226">
        <v>1</v>
      </c>
      <c r="BL1226" s="4">
        <v>50.45</v>
      </c>
      <c r="BM1226" s="4">
        <v>7.57</v>
      </c>
      <c r="BN1226" s="4">
        <v>58.02</v>
      </c>
      <c r="BO1226" s="4">
        <v>58.02</v>
      </c>
      <c r="BQ1226" t="s">
        <v>256</v>
      </c>
      <c r="BR1226" t="s">
        <v>84</v>
      </c>
      <c r="BS1226" s="3">
        <v>43812</v>
      </c>
      <c r="BT1226" s="5">
        <v>0.35555555555555557</v>
      </c>
      <c r="BU1226" t="s">
        <v>1738</v>
      </c>
      <c r="BV1226" t="s">
        <v>86</v>
      </c>
      <c r="BY1226">
        <v>1200</v>
      </c>
      <c r="CA1226" t="s">
        <v>145</v>
      </c>
      <c r="CC1226" t="s">
        <v>91</v>
      </c>
      <c r="CD1226">
        <v>7441</v>
      </c>
      <c r="CE1226" t="s">
        <v>88</v>
      </c>
      <c r="CF1226" s="3">
        <v>43816</v>
      </c>
      <c r="CI1226">
        <v>1</v>
      </c>
      <c r="CJ1226">
        <v>1</v>
      </c>
      <c r="CK1226">
        <v>21</v>
      </c>
      <c r="CL1226" t="s">
        <v>89</v>
      </c>
    </row>
    <row r="1227" spans="1:90">
      <c r="A1227" t="s">
        <v>72</v>
      </c>
      <c r="B1227" t="s">
        <v>73</v>
      </c>
      <c r="C1227" t="s">
        <v>74</v>
      </c>
      <c r="E1227" t="str">
        <f>"FES1162728024"</f>
        <v>FES1162728024</v>
      </c>
      <c r="F1227" s="3">
        <v>43811</v>
      </c>
      <c r="G1227">
        <v>202006</v>
      </c>
      <c r="H1227" t="s">
        <v>75</v>
      </c>
      <c r="I1227" t="s">
        <v>76</v>
      </c>
      <c r="J1227" t="s">
        <v>77</v>
      </c>
      <c r="K1227" t="s">
        <v>78</v>
      </c>
      <c r="L1227" t="s">
        <v>201</v>
      </c>
      <c r="M1227" t="s">
        <v>202</v>
      </c>
      <c r="N1227" t="s">
        <v>1739</v>
      </c>
      <c r="O1227" t="s">
        <v>82</v>
      </c>
      <c r="P1227" t="str">
        <f>"2170721449                    "</f>
        <v xml:space="preserve">2170721449                    </v>
      </c>
      <c r="Q1227">
        <v>0</v>
      </c>
      <c r="R1227">
        <v>0</v>
      </c>
      <c r="S1227">
        <v>0</v>
      </c>
      <c r="T1227">
        <v>0</v>
      </c>
      <c r="U1227">
        <v>0</v>
      </c>
      <c r="V1227">
        <v>0</v>
      </c>
      <c r="W1227">
        <v>0</v>
      </c>
      <c r="X1227">
        <v>0</v>
      </c>
      <c r="Y1227">
        <v>0</v>
      </c>
      <c r="Z1227">
        <v>0</v>
      </c>
      <c r="AA1227">
        <v>0</v>
      </c>
      <c r="AB1227">
        <v>0</v>
      </c>
      <c r="AC1227">
        <v>0</v>
      </c>
      <c r="AD1227">
        <v>0</v>
      </c>
      <c r="AE1227">
        <v>0</v>
      </c>
      <c r="AF1227">
        <v>0</v>
      </c>
      <c r="AG1227">
        <v>0</v>
      </c>
      <c r="AH1227">
        <v>0</v>
      </c>
      <c r="AI1227">
        <v>0</v>
      </c>
      <c r="AJ1227">
        <v>0</v>
      </c>
      <c r="AK1227">
        <v>0</v>
      </c>
      <c r="AL1227">
        <v>0</v>
      </c>
      <c r="AM1227">
        <v>8.58</v>
      </c>
      <c r="AN1227">
        <v>0</v>
      </c>
      <c r="AO1227">
        <v>0</v>
      </c>
      <c r="AP1227">
        <v>0</v>
      </c>
      <c r="AQ1227">
        <v>0</v>
      </c>
      <c r="AR1227">
        <v>0</v>
      </c>
      <c r="AS1227">
        <v>0</v>
      </c>
      <c r="AT1227">
        <v>0</v>
      </c>
      <c r="AU1227">
        <v>0</v>
      </c>
      <c r="AV1227">
        <v>0</v>
      </c>
      <c r="AW1227">
        <v>0</v>
      </c>
      <c r="AX1227">
        <v>0</v>
      </c>
      <c r="AY1227">
        <v>0</v>
      </c>
      <c r="AZ1227">
        <v>0</v>
      </c>
      <c r="BA1227">
        <v>0</v>
      </c>
      <c r="BB1227">
        <v>0</v>
      </c>
      <c r="BC1227">
        <v>0</v>
      </c>
      <c r="BD1227">
        <v>0</v>
      </c>
      <c r="BE1227">
        <v>0</v>
      </c>
      <c r="BF1227">
        <v>0</v>
      </c>
      <c r="BG1227">
        <v>0</v>
      </c>
      <c r="BH1227">
        <v>1</v>
      </c>
      <c r="BI1227">
        <v>1</v>
      </c>
      <c r="BJ1227">
        <v>0.9</v>
      </c>
      <c r="BK1227">
        <v>1</v>
      </c>
      <c r="BL1227" s="4">
        <v>50.45</v>
      </c>
      <c r="BM1227" s="4">
        <v>7.57</v>
      </c>
      <c r="BN1227" s="4">
        <v>58.02</v>
      </c>
      <c r="BO1227" s="4">
        <v>58.02</v>
      </c>
      <c r="BQ1227" t="s">
        <v>93</v>
      </c>
      <c r="BR1227" t="s">
        <v>84</v>
      </c>
      <c r="BS1227" s="3">
        <v>43812</v>
      </c>
      <c r="BT1227" s="5">
        <v>0.50763888888888886</v>
      </c>
      <c r="BU1227" t="s">
        <v>1740</v>
      </c>
      <c r="BV1227" t="s">
        <v>89</v>
      </c>
      <c r="BW1227" t="s">
        <v>506</v>
      </c>
      <c r="BX1227" t="s">
        <v>1163</v>
      </c>
      <c r="BY1227">
        <v>4667.92</v>
      </c>
      <c r="CA1227" t="s">
        <v>205</v>
      </c>
      <c r="CC1227" t="s">
        <v>202</v>
      </c>
      <c r="CD1227">
        <v>3610</v>
      </c>
      <c r="CE1227" t="s">
        <v>116</v>
      </c>
      <c r="CF1227" s="3">
        <v>43816</v>
      </c>
      <c r="CI1227">
        <v>1</v>
      </c>
      <c r="CJ1227">
        <v>1</v>
      </c>
      <c r="CK1227">
        <v>21</v>
      </c>
      <c r="CL1227" t="s">
        <v>89</v>
      </c>
    </row>
    <row r="1228" spans="1:90">
      <c r="A1228" t="s">
        <v>72</v>
      </c>
      <c r="B1228" t="s">
        <v>73</v>
      </c>
      <c r="C1228" t="s">
        <v>74</v>
      </c>
      <c r="E1228" t="str">
        <f>"FES1162727982"</f>
        <v>FES1162727982</v>
      </c>
      <c r="F1228" s="3">
        <v>43811</v>
      </c>
      <c r="G1228">
        <v>202006</v>
      </c>
      <c r="H1228" t="s">
        <v>75</v>
      </c>
      <c r="I1228" t="s">
        <v>76</v>
      </c>
      <c r="J1228" t="s">
        <v>77</v>
      </c>
      <c r="K1228" t="s">
        <v>78</v>
      </c>
      <c r="L1228" t="s">
        <v>198</v>
      </c>
      <c r="M1228" t="s">
        <v>199</v>
      </c>
      <c r="N1228" t="s">
        <v>842</v>
      </c>
      <c r="O1228" t="s">
        <v>82</v>
      </c>
      <c r="P1228" t="str">
        <f>"2170719066                    "</f>
        <v xml:space="preserve">2170719066                    </v>
      </c>
      <c r="Q1228">
        <v>0</v>
      </c>
      <c r="R1228">
        <v>0</v>
      </c>
      <c r="S1228">
        <v>0</v>
      </c>
      <c r="T1228">
        <v>0</v>
      </c>
      <c r="U1228">
        <v>0</v>
      </c>
      <c r="V1228">
        <v>0</v>
      </c>
      <c r="W1228">
        <v>0</v>
      </c>
      <c r="X1228">
        <v>0</v>
      </c>
      <c r="Y1228">
        <v>0</v>
      </c>
      <c r="Z1228">
        <v>0</v>
      </c>
      <c r="AA1228">
        <v>0</v>
      </c>
      <c r="AB1228">
        <v>0</v>
      </c>
      <c r="AC1228">
        <v>0</v>
      </c>
      <c r="AD1228">
        <v>0</v>
      </c>
      <c r="AE1228">
        <v>0</v>
      </c>
      <c r="AF1228">
        <v>0</v>
      </c>
      <c r="AG1228">
        <v>0</v>
      </c>
      <c r="AH1228">
        <v>0</v>
      </c>
      <c r="AI1228">
        <v>0</v>
      </c>
      <c r="AJ1228">
        <v>0</v>
      </c>
      <c r="AK1228">
        <v>0</v>
      </c>
      <c r="AL1228">
        <v>0</v>
      </c>
      <c r="AM1228">
        <v>8.58</v>
      </c>
      <c r="AN1228">
        <v>0</v>
      </c>
      <c r="AO1228">
        <v>0</v>
      </c>
      <c r="AP1228">
        <v>0</v>
      </c>
      <c r="AQ1228">
        <v>0</v>
      </c>
      <c r="AR1228">
        <v>0</v>
      </c>
      <c r="AS1228">
        <v>0</v>
      </c>
      <c r="AT1228">
        <v>0</v>
      </c>
      <c r="AU1228">
        <v>0</v>
      </c>
      <c r="AV1228">
        <v>0</v>
      </c>
      <c r="AW1228">
        <v>0</v>
      </c>
      <c r="AX1228">
        <v>0</v>
      </c>
      <c r="AY1228">
        <v>0</v>
      </c>
      <c r="AZ1228">
        <v>0</v>
      </c>
      <c r="BA1228">
        <v>0</v>
      </c>
      <c r="BB1228">
        <v>0</v>
      </c>
      <c r="BC1228">
        <v>0</v>
      </c>
      <c r="BD1228">
        <v>0</v>
      </c>
      <c r="BE1228">
        <v>0</v>
      </c>
      <c r="BF1228">
        <v>0</v>
      </c>
      <c r="BG1228">
        <v>0</v>
      </c>
      <c r="BH1228">
        <v>1</v>
      </c>
      <c r="BI1228">
        <v>1</v>
      </c>
      <c r="BJ1228">
        <v>0.2</v>
      </c>
      <c r="BK1228">
        <v>1</v>
      </c>
      <c r="BL1228" s="4">
        <v>50.45</v>
      </c>
      <c r="BM1228" s="4">
        <v>7.57</v>
      </c>
      <c r="BN1228" s="4">
        <v>58.02</v>
      </c>
      <c r="BO1228" s="4">
        <v>58.02</v>
      </c>
      <c r="BQ1228" t="s">
        <v>843</v>
      </c>
      <c r="BR1228" t="s">
        <v>84</v>
      </c>
      <c r="BS1228" s="3">
        <v>43812</v>
      </c>
      <c r="BT1228" s="5">
        <v>0.40277777777777773</v>
      </c>
      <c r="BU1228" t="s">
        <v>1712</v>
      </c>
      <c r="BV1228" t="s">
        <v>86</v>
      </c>
      <c r="BY1228">
        <v>1200</v>
      </c>
      <c r="CA1228" t="s">
        <v>1667</v>
      </c>
      <c r="CC1228" t="s">
        <v>199</v>
      </c>
      <c r="CD1228">
        <v>4051</v>
      </c>
      <c r="CE1228" t="s">
        <v>88</v>
      </c>
      <c r="CF1228" s="3">
        <v>43816</v>
      </c>
      <c r="CI1228">
        <v>1</v>
      </c>
      <c r="CJ1228">
        <v>1</v>
      </c>
      <c r="CK1228">
        <v>21</v>
      </c>
      <c r="CL1228" t="s">
        <v>89</v>
      </c>
    </row>
    <row r="1229" spans="1:90">
      <c r="A1229" t="s">
        <v>72</v>
      </c>
      <c r="B1229" t="s">
        <v>73</v>
      </c>
      <c r="C1229" t="s">
        <v>74</v>
      </c>
      <c r="E1229" t="str">
        <f>"FES1162727958"</f>
        <v>FES1162727958</v>
      </c>
      <c r="F1229" s="3">
        <v>43811</v>
      </c>
      <c r="G1229">
        <v>202006</v>
      </c>
      <c r="H1229" t="s">
        <v>75</v>
      </c>
      <c r="I1229" t="s">
        <v>76</v>
      </c>
      <c r="J1229" t="s">
        <v>77</v>
      </c>
      <c r="K1229" t="s">
        <v>78</v>
      </c>
      <c r="L1229" t="s">
        <v>221</v>
      </c>
      <c r="M1229" t="s">
        <v>222</v>
      </c>
      <c r="N1229" t="s">
        <v>574</v>
      </c>
      <c r="O1229" t="s">
        <v>82</v>
      </c>
      <c r="P1229" t="str">
        <f>"2170721442                    "</f>
        <v xml:space="preserve">2170721442                    </v>
      </c>
      <c r="Q1229">
        <v>0</v>
      </c>
      <c r="R1229">
        <v>0</v>
      </c>
      <c r="S1229">
        <v>0</v>
      </c>
      <c r="T1229">
        <v>0</v>
      </c>
      <c r="U1229">
        <v>0</v>
      </c>
      <c r="V1229">
        <v>0</v>
      </c>
      <c r="W1229">
        <v>0</v>
      </c>
      <c r="X1229">
        <v>0</v>
      </c>
      <c r="Y1229">
        <v>0</v>
      </c>
      <c r="Z1229">
        <v>0</v>
      </c>
      <c r="AA1229">
        <v>0</v>
      </c>
      <c r="AB1229">
        <v>0</v>
      </c>
      <c r="AC1229">
        <v>0</v>
      </c>
      <c r="AD1229">
        <v>0</v>
      </c>
      <c r="AE1229">
        <v>0</v>
      </c>
      <c r="AF1229">
        <v>0</v>
      </c>
      <c r="AG1229">
        <v>0</v>
      </c>
      <c r="AH1229">
        <v>0</v>
      </c>
      <c r="AI1229">
        <v>0</v>
      </c>
      <c r="AJ1229">
        <v>0</v>
      </c>
      <c r="AK1229">
        <v>0</v>
      </c>
      <c r="AL1229">
        <v>0</v>
      </c>
      <c r="AM1229">
        <v>12.87</v>
      </c>
      <c r="AN1229">
        <v>0</v>
      </c>
      <c r="AO1229">
        <v>0</v>
      </c>
      <c r="AP1229">
        <v>0</v>
      </c>
      <c r="AQ1229">
        <v>0</v>
      </c>
      <c r="AR1229">
        <v>0</v>
      </c>
      <c r="AS1229">
        <v>0</v>
      </c>
      <c r="AT1229">
        <v>0</v>
      </c>
      <c r="AU1229">
        <v>0</v>
      </c>
      <c r="AV1229">
        <v>0</v>
      </c>
      <c r="AW1229">
        <v>0</v>
      </c>
      <c r="AX1229">
        <v>0</v>
      </c>
      <c r="AY1229">
        <v>0</v>
      </c>
      <c r="AZ1229">
        <v>0</v>
      </c>
      <c r="BA1229">
        <v>0</v>
      </c>
      <c r="BB1229">
        <v>0</v>
      </c>
      <c r="BC1229">
        <v>0</v>
      </c>
      <c r="BD1229">
        <v>0</v>
      </c>
      <c r="BE1229">
        <v>0</v>
      </c>
      <c r="BF1229">
        <v>0</v>
      </c>
      <c r="BG1229">
        <v>0</v>
      </c>
      <c r="BH1229">
        <v>1</v>
      </c>
      <c r="BI1229">
        <v>1.8</v>
      </c>
      <c r="BJ1229">
        <v>2.9</v>
      </c>
      <c r="BK1229">
        <v>3</v>
      </c>
      <c r="BL1229" s="4">
        <v>75.66</v>
      </c>
      <c r="BM1229" s="4">
        <v>11.35</v>
      </c>
      <c r="BN1229" s="4">
        <v>87.01</v>
      </c>
      <c r="BO1229" s="4">
        <v>87.01</v>
      </c>
      <c r="BQ1229" t="s">
        <v>575</v>
      </c>
      <c r="BR1229" t="s">
        <v>84</v>
      </c>
      <c r="BS1229" s="3">
        <v>43812</v>
      </c>
      <c r="BT1229" s="5">
        <v>0.38819444444444445</v>
      </c>
      <c r="BU1229" t="s">
        <v>1741</v>
      </c>
      <c r="BV1229" t="s">
        <v>86</v>
      </c>
      <c r="BY1229">
        <v>14661.92</v>
      </c>
      <c r="CA1229" t="s">
        <v>1609</v>
      </c>
      <c r="CC1229" t="s">
        <v>222</v>
      </c>
      <c r="CD1229">
        <v>3201</v>
      </c>
      <c r="CE1229" t="s">
        <v>96</v>
      </c>
      <c r="CF1229" s="3">
        <v>43816</v>
      </c>
      <c r="CI1229">
        <v>1</v>
      </c>
      <c r="CJ1229">
        <v>1</v>
      </c>
      <c r="CK1229">
        <v>21</v>
      </c>
      <c r="CL1229" t="s">
        <v>89</v>
      </c>
    </row>
    <row r="1230" spans="1:90">
      <c r="A1230" t="s">
        <v>72</v>
      </c>
      <c r="B1230" t="s">
        <v>73</v>
      </c>
      <c r="C1230" t="s">
        <v>74</v>
      </c>
      <c r="E1230" t="str">
        <f>"FES1162727953"</f>
        <v>FES1162727953</v>
      </c>
      <c r="F1230" s="3">
        <v>43811</v>
      </c>
      <c r="G1230">
        <v>202006</v>
      </c>
      <c r="H1230" t="s">
        <v>75</v>
      </c>
      <c r="I1230" t="s">
        <v>76</v>
      </c>
      <c r="J1230" t="s">
        <v>77</v>
      </c>
      <c r="K1230" t="s">
        <v>78</v>
      </c>
      <c r="L1230" t="s">
        <v>221</v>
      </c>
      <c r="M1230" t="s">
        <v>222</v>
      </c>
      <c r="N1230" t="s">
        <v>1034</v>
      </c>
      <c r="O1230" t="s">
        <v>82</v>
      </c>
      <c r="P1230" t="str">
        <f>"2170721440                    "</f>
        <v xml:space="preserve">2170721440                    </v>
      </c>
      <c r="Q1230">
        <v>0</v>
      </c>
      <c r="R1230">
        <v>0</v>
      </c>
      <c r="S1230">
        <v>0</v>
      </c>
      <c r="T1230">
        <v>0</v>
      </c>
      <c r="U1230">
        <v>0</v>
      </c>
      <c r="V1230">
        <v>0</v>
      </c>
      <c r="W1230">
        <v>0</v>
      </c>
      <c r="X1230">
        <v>0</v>
      </c>
      <c r="Y1230">
        <v>0</v>
      </c>
      <c r="Z1230">
        <v>0</v>
      </c>
      <c r="AA1230">
        <v>0</v>
      </c>
      <c r="AB1230">
        <v>0</v>
      </c>
      <c r="AC1230">
        <v>0</v>
      </c>
      <c r="AD1230">
        <v>0</v>
      </c>
      <c r="AE1230">
        <v>0</v>
      </c>
      <c r="AF1230">
        <v>0</v>
      </c>
      <c r="AG1230">
        <v>0</v>
      </c>
      <c r="AH1230">
        <v>0</v>
      </c>
      <c r="AI1230">
        <v>0</v>
      </c>
      <c r="AJ1230">
        <v>0</v>
      </c>
      <c r="AK1230">
        <v>0</v>
      </c>
      <c r="AL1230">
        <v>0</v>
      </c>
      <c r="AM1230">
        <v>27.88</v>
      </c>
      <c r="AN1230">
        <v>0</v>
      </c>
      <c r="AO1230">
        <v>0</v>
      </c>
      <c r="AP1230">
        <v>0</v>
      </c>
      <c r="AQ1230">
        <v>0</v>
      </c>
      <c r="AR1230">
        <v>0</v>
      </c>
      <c r="AS1230">
        <v>0</v>
      </c>
      <c r="AT1230">
        <v>0</v>
      </c>
      <c r="AU1230">
        <v>0</v>
      </c>
      <c r="AV1230">
        <v>0</v>
      </c>
      <c r="AW1230">
        <v>0</v>
      </c>
      <c r="AX1230">
        <v>0</v>
      </c>
      <c r="AY1230">
        <v>0</v>
      </c>
      <c r="AZ1230">
        <v>0</v>
      </c>
      <c r="BA1230">
        <v>0</v>
      </c>
      <c r="BB1230">
        <v>0</v>
      </c>
      <c r="BC1230">
        <v>0</v>
      </c>
      <c r="BD1230">
        <v>0</v>
      </c>
      <c r="BE1230">
        <v>0</v>
      </c>
      <c r="BF1230">
        <v>0</v>
      </c>
      <c r="BG1230">
        <v>0</v>
      </c>
      <c r="BH1230">
        <v>1</v>
      </c>
      <c r="BI1230">
        <v>3.7</v>
      </c>
      <c r="BJ1230">
        <v>6.5</v>
      </c>
      <c r="BK1230">
        <v>6.5</v>
      </c>
      <c r="BL1230" s="4">
        <v>163.89</v>
      </c>
      <c r="BM1230" s="4">
        <v>24.58</v>
      </c>
      <c r="BN1230" s="4">
        <v>188.47</v>
      </c>
      <c r="BO1230" s="4">
        <v>188.47</v>
      </c>
      <c r="BQ1230" t="s">
        <v>135</v>
      </c>
      <c r="BR1230" t="s">
        <v>84</v>
      </c>
      <c r="BS1230" s="3">
        <v>43812</v>
      </c>
      <c r="BT1230" s="5">
        <v>0.42569444444444443</v>
      </c>
      <c r="BU1230" t="s">
        <v>1742</v>
      </c>
      <c r="BV1230" t="s">
        <v>86</v>
      </c>
      <c r="BY1230">
        <v>32448.39</v>
      </c>
      <c r="CA1230" t="s">
        <v>1609</v>
      </c>
      <c r="CC1230" t="s">
        <v>222</v>
      </c>
      <c r="CD1230">
        <v>3201</v>
      </c>
      <c r="CE1230" t="s">
        <v>116</v>
      </c>
      <c r="CF1230" s="3">
        <v>43816</v>
      </c>
      <c r="CI1230">
        <v>1</v>
      </c>
      <c r="CJ1230">
        <v>1</v>
      </c>
      <c r="CK1230">
        <v>21</v>
      </c>
      <c r="CL1230" t="s">
        <v>89</v>
      </c>
    </row>
    <row r="1231" spans="1:90">
      <c r="A1231" t="s">
        <v>72</v>
      </c>
      <c r="B1231" t="s">
        <v>73</v>
      </c>
      <c r="C1231" t="s">
        <v>74</v>
      </c>
      <c r="E1231" t="str">
        <f>"FES1162727969"</f>
        <v>FES1162727969</v>
      </c>
      <c r="F1231" s="3">
        <v>43811</v>
      </c>
      <c r="G1231">
        <v>202006</v>
      </c>
      <c r="H1231" t="s">
        <v>75</v>
      </c>
      <c r="I1231" t="s">
        <v>76</v>
      </c>
      <c r="J1231" t="s">
        <v>77</v>
      </c>
      <c r="K1231" t="s">
        <v>78</v>
      </c>
      <c r="L1231" t="s">
        <v>90</v>
      </c>
      <c r="M1231" t="s">
        <v>91</v>
      </c>
      <c r="N1231" t="s">
        <v>110</v>
      </c>
      <c r="O1231" t="s">
        <v>82</v>
      </c>
      <c r="P1231" t="str">
        <f>"2170718867                    "</f>
        <v xml:space="preserve">2170718867                    </v>
      </c>
      <c r="Q1231">
        <v>0</v>
      </c>
      <c r="R1231">
        <v>0</v>
      </c>
      <c r="S1231">
        <v>0</v>
      </c>
      <c r="T1231">
        <v>0</v>
      </c>
      <c r="U1231">
        <v>0</v>
      </c>
      <c r="V1231">
        <v>0</v>
      </c>
      <c r="W1231">
        <v>0</v>
      </c>
      <c r="X1231">
        <v>0</v>
      </c>
      <c r="Y1231">
        <v>0</v>
      </c>
      <c r="Z1231">
        <v>0</v>
      </c>
      <c r="AA1231">
        <v>0</v>
      </c>
      <c r="AB1231">
        <v>0</v>
      </c>
      <c r="AC1231">
        <v>0</v>
      </c>
      <c r="AD1231">
        <v>0</v>
      </c>
      <c r="AE1231">
        <v>0</v>
      </c>
      <c r="AF1231">
        <v>0</v>
      </c>
      <c r="AG1231">
        <v>0</v>
      </c>
      <c r="AH1231">
        <v>0</v>
      </c>
      <c r="AI1231">
        <v>0</v>
      </c>
      <c r="AJ1231">
        <v>0</v>
      </c>
      <c r="AK1231">
        <v>0</v>
      </c>
      <c r="AL1231">
        <v>0</v>
      </c>
      <c r="AM1231">
        <v>8.58</v>
      </c>
      <c r="AN1231">
        <v>0</v>
      </c>
      <c r="AO1231">
        <v>0</v>
      </c>
      <c r="AP1231">
        <v>0</v>
      </c>
      <c r="AQ1231">
        <v>0</v>
      </c>
      <c r="AR1231">
        <v>0</v>
      </c>
      <c r="AS1231">
        <v>0</v>
      </c>
      <c r="AT1231">
        <v>0</v>
      </c>
      <c r="AU1231">
        <v>0</v>
      </c>
      <c r="AV1231">
        <v>0</v>
      </c>
      <c r="AW1231">
        <v>0</v>
      </c>
      <c r="AX1231">
        <v>0</v>
      </c>
      <c r="AY1231">
        <v>0</v>
      </c>
      <c r="AZ1231">
        <v>0</v>
      </c>
      <c r="BA1231">
        <v>0</v>
      </c>
      <c r="BB1231">
        <v>0</v>
      </c>
      <c r="BC1231">
        <v>0</v>
      </c>
      <c r="BD1231">
        <v>0</v>
      </c>
      <c r="BE1231">
        <v>0</v>
      </c>
      <c r="BF1231">
        <v>0</v>
      </c>
      <c r="BG1231">
        <v>0</v>
      </c>
      <c r="BH1231">
        <v>1</v>
      </c>
      <c r="BI1231">
        <v>1.8</v>
      </c>
      <c r="BJ1231">
        <v>2</v>
      </c>
      <c r="BK1231">
        <v>2</v>
      </c>
      <c r="BL1231" s="4">
        <v>50.45</v>
      </c>
      <c r="BM1231" s="4">
        <v>7.57</v>
      </c>
      <c r="BN1231" s="4">
        <v>58.02</v>
      </c>
      <c r="BO1231" s="4">
        <v>58.02</v>
      </c>
      <c r="BQ1231" t="s">
        <v>147</v>
      </c>
      <c r="BR1231" t="s">
        <v>84</v>
      </c>
      <c r="BS1231" s="3">
        <v>43812</v>
      </c>
      <c r="BT1231" s="5">
        <v>0.33680555555555558</v>
      </c>
      <c r="BU1231" t="s">
        <v>1743</v>
      </c>
      <c r="BV1231" t="s">
        <v>86</v>
      </c>
      <c r="BY1231">
        <v>9775.76</v>
      </c>
      <c r="CA1231" t="s">
        <v>112</v>
      </c>
      <c r="CC1231" t="s">
        <v>91</v>
      </c>
      <c r="CD1231">
        <v>7405</v>
      </c>
      <c r="CE1231" t="s">
        <v>116</v>
      </c>
      <c r="CF1231" s="3">
        <v>43816</v>
      </c>
      <c r="CI1231">
        <v>1</v>
      </c>
      <c r="CJ1231">
        <v>1</v>
      </c>
      <c r="CK1231">
        <v>21</v>
      </c>
      <c r="CL1231" t="s">
        <v>89</v>
      </c>
    </row>
    <row r="1232" spans="1:90">
      <c r="A1232" t="s">
        <v>72</v>
      </c>
      <c r="B1232" t="s">
        <v>73</v>
      </c>
      <c r="C1232" t="s">
        <v>74</v>
      </c>
      <c r="E1232" t="str">
        <f>"FES1162728123"</f>
        <v>FES1162728123</v>
      </c>
      <c r="F1232" s="3">
        <v>43811</v>
      </c>
      <c r="G1232">
        <v>202006</v>
      </c>
      <c r="H1232" t="s">
        <v>75</v>
      </c>
      <c r="I1232" t="s">
        <v>76</v>
      </c>
      <c r="J1232" t="s">
        <v>77</v>
      </c>
      <c r="K1232" t="s">
        <v>78</v>
      </c>
      <c r="L1232" t="s">
        <v>90</v>
      </c>
      <c r="M1232" t="s">
        <v>91</v>
      </c>
      <c r="N1232" t="s">
        <v>1582</v>
      </c>
      <c r="O1232" t="s">
        <v>82</v>
      </c>
      <c r="P1232" t="str">
        <f>"2170718764                    "</f>
        <v xml:space="preserve">2170718764                    </v>
      </c>
      <c r="Q1232">
        <v>0</v>
      </c>
      <c r="R1232">
        <v>0</v>
      </c>
      <c r="S1232">
        <v>0</v>
      </c>
      <c r="T1232">
        <v>0</v>
      </c>
      <c r="U1232">
        <v>0</v>
      </c>
      <c r="V1232">
        <v>0</v>
      </c>
      <c r="W1232">
        <v>0</v>
      </c>
      <c r="X1232">
        <v>0</v>
      </c>
      <c r="Y1232">
        <v>0</v>
      </c>
      <c r="Z1232">
        <v>0</v>
      </c>
      <c r="AA1232">
        <v>0</v>
      </c>
      <c r="AB1232">
        <v>0</v>
      </c>
      <c r="AC1232">
        <v>0</v>
      </c>
      <c r="AD1232">
        <v>0</v>
      </c>
      <c r="AE1232">
        <v>0</v>
      </c>
      <c r="AF1232">
        <v>0</v>
      </c>
      <c r="AG1232">
        <v>0</v>
      </c>
      <c r="AH1232">
        <v>0</v>
      </c>
      <c r="AI1232">
        <v>0</v>
      </c>
      <c r="AJ1232">
        <v>0</v>
      </c>
      <c r="AK1232">
        <v>0</v>
      </c>
      <c r="AL1232">
        <v>0</v>
      </c>
      <c r="AM1232">
        <v>10.73</v>
      </c>
      <c r="AN1232">
        <v>0</v>
      </c>
      <c r="AO1232">
        <v>0</v>
      </c>
      <c r="AP1232">
        <v>0</v>
      </c>
      <c r="AQ1232">
        <v>0</v>
      </c>
      <c r="AR1232">
        <v>0</v>
      </c>
      <c r="AS1232">
        <v>0</v>
      </c>
      <c r="AT1232">
        <v>0</v>
      </c>
      <c r="AU1232">
        <v>0</v>
      </c>
      <c r="AV1232">
        <v>0</v>
      </c>
      <c r="AW1232">
        <v>0</v>
      </c>
      <c r="AX1232">
        <v>0</v>
      </c>
      <c r="AY1232">
        <v>0</v>
      </c>
      <c r="AZ1232">
        <v>0</v>
      </c>
      <c r="BA1232">
        <v>0</v>
      </c>
      <c r="BB1232">
        <v>0</v>
      </c>
      <c r="BC1232">
        <v>0</v>
      </c>
      <c r="BD1232">
        <v>0</v>
      </c>
      <c r="BE1232">
        <v>0</v>
      </c>
      <c r="BF1232">
        <v>0</v>
      </c>
      <c r="BG1232">
        <v>0</v>
      </c>
      <c r="BH1232">
        <v>1</v>
      </c>
      <c r="BI1232">
        <v>2.2000000000000002</v>
      </c>
      <c r="BJ1232">
        <v>1.4</v>
      </c>
      <c r="BK1232">
        <v>2.5</v>
      </c>
      <c r="BL1232" s="4">
        <v>63.06</v>
      </c>
      <c r="BM1232" s="4">
        <v>9.4600000000000009</v>
      </c>
      <c r="BN1232" s="4">
        <v>72.52</v>
      </c>
      <c r="BO1232" s="4">
        <v>72.52</v>
      </c>
      <c r="BQ1232" t="s">
        <v>256</v>
      </c>
      <c r="BR1232" t="s">
        <v>84</v>
      </c>
      <c r="BS1232" s="3">
        <v>43812</v>
      </c>
      <c r="BT1232" s="5">
        <v>0.43541666666666662</v>
      </c>
      <c r="BU1232" t="s">
        <v>678</v>
      </c>
      <c r="BV1232" t="s">
        <v>86</v>
      </c>
      <c r="BY1232">
        <v>6975</v>
      </c>
      <c r="CA1232" t="s">
        <v>539</v>
      </c>
      <c r="CC1232" t="s">
        <v>91</v>
      </c>
      <c r="CD1232">
        <v>7580</v>
      </c>
      <c r="CE1232" t="s">
        <v>96</v>
      </c>
      <c r="CF1232" s="3">
        <v>43816</v>
      </c>
      <c r="CI1232">
        <v>1</v>
      </c>
      <c r="CJ1232">
        <v>1</v>
      </c>
      <c r="CK1232">
        <v>21</v>
      </c>
      <c r="CL1232" t="s">
        <v>89</v>
      </c>
    </row>
    <row r="1233" spans="1:90">
      <c r="A1233" t="s">
        <v>72</v>
      </c>
      <c r="B1233" t="s">
        <v>73</v>
      </c>
      <c r="C1233" t="s">
        <v>74</v>
      </c>
      <c r="E1233" t="str">
        <f>"FES1162728124"</f>
        <v>FES1162728124</v>
      </c>
      <c r="F1233" s="3">
        <v>43811</v>
      </c>
      <c r="G1233">
        <v>202006</v>
      </c>
      <c r="H1233" t="s">
        <v>75</v>
      </c>
      <c r="I1233" t="s">
        <v>76</v>
      </c>
      <c r="J1233" t="s">
        <v>77</v>
      </c>
      <c r="K1233" t="s">
        <v>78</v>
      </c>
      <c r="L1233" t="s">
        <v>90</v>
      </c>
      <c r="M1233" t="s">
        <v>91</v>
      </c>
      <c r="N1233" t="s">
        <v>1582</v>
      </c>
      <c r="O1233" t="s">
        <v>82</v>
      </c>
      <c r="P1233" t="str">
        <f>"2170718768                    "</f>
        <v xml:space="preserve">2170718768                    </v>
      </c>
      <c r="Q1233">
        <v>0</v>
      </c>
      <c r="R1233">
        <v>0</v>
      </c>
      <c r="S1233">
        <v>0</v>
      </c>
      <c r="T1233">
        <v>0</v>
      </c>
      <c r="U1233">
        <v>0</v>
      </c>
      <c r="V1233">
        <v>0</v>
      </c>
      <c r="W1233">
        <v>0</v>
      </c>
      <c r="X1233">
        <v>0</v>
      </c>
      <c r="Y1233">
        <v>0</v>
      </c>
      <c r="Z1233">
        <v>0</v>
      </c>
      <c r="AA1233">
        <v>0</v>
      </c>
      <c r="AB1233">
        <v>0</v>
      </c>
      <c r="AC1233">
        <v>0</v>
      </c>
      <c r="AD1233">
        <v>0</v>
      </c>
      <c r="AE1233">
        <v>0</v>
      </c>
      <c r="AF1233">
        <v>0</v>
      </c>
      <c r="AG1233">
        <v>0</v>
      </c>
      <c r="AH1233">
        <v>0</v>
      </c>
      <c r="AI1233">
        <v>0</v>
      </c>
      <c r="AJ1233">
        <v>0</v>
      </c>
      <c r="AK1233">
        <v>0</v>
      </c>
      <c r="AL1233">
        <v>0</v>
      </c>
      <c r="AM1233">
        <v>12.87</v>
      </c>
      <c r="AN1233">
        <v>0</v>
      </c>
      <c r="AO1233">
        <v>0</v>
      </c>
      <c r="AP1233">
        <v>0</v>
      </c>
      <c r="AQ1233">
        <v>0</v>
      </c>
      <c r="AR1233">
        <v>0</v>
      </c>
      <c r="AS1233">
        <v>0</v>
      </c>
      <c r="AT1233">
        <v>0</v>
      </c>
      <c r="AU1233">
        <v>0</v>
      </c>
      <c r="AV1233">
        <v>0</v>
      </c>
      <c r="AW1233">
        <v>0</v>
      </c>
      <c r="AX1233">
        <v>0</v>
      </c>
      <c r="AY1233">
        <v>0</v>
      </c>
      <c r="AZ1233">
        <v>0</v>
      </c>
      <c r="BA1233">
        <v>0</v>
      </c>
      <c r="BB1233">
        <v>0</v>
      </c>
      <c r="BC1233">
        <v>0</v>
      </c>
      <c r="BD1233">
        <v>0</v>
      </c>
      <c r="BE1233">
        <v>0</v>
      </c>
      <c r="BF1233">
        <v>0</v>
      </c>
      <c r="BG1233">
        <v>0</v>
      </c>
      <c r="BH1233">
        <v>2</v>
      </c>
      <c r="BI1233">
        <v>2.9</v>
      </c>
      <c r="BJ1233">
        <v>3</v>
      </c>
      <c r="BK1233">
        <v>3</v>
      </c>
      <c r="BL1233" s="4">
        <v>75.66</v>
      </c>
      <c r="BM1233" s="4">
        <v>11.35</v>
      </c>
      <c r="BN1233" s="4">
        <v>87.01</v>
      </c>
      <c r="BO1233" s="4">
        <v>87.01</v>
      </c>
      <c r="BQ1233" t="s">
        <v>256</v>
      </c>
      <c r="BR1233" t="s">
        <v>84</v>
      </c>
      <c r="BS1233" s="3">
        <v>43812</v>
      </c>
      <c r="BT1233" s="5">
        <v>0.43541666666666662</v>
      </c>
      <c r="BU1233" t="s">
        <v>678</v>
      </c>
      <c r="BV1233" t="s">
        <v>86</v>
      </c>
      <c r="BY1233">
        <v>14874.38</v>
      </c>
      <c r="CA1233" t="s">
        <v>539</v>
      </c>
      <c r="CC1233" t="s">
        <v>91</v>
      </c>
      <c r="CD1233">
        <v>7580</v>
      </c>
      <c r="CE1233" t="s">
        <v>1073</v>
      </c>
      <c r="CF1233" s="3">
        <v>43816</v>
      </c>
      <c r="CI1233">
        <v>1</v>
      </c>
      <c r="CJ1233">
        <v>1</v>
      </c>
      <c r="CK1233">
        <v>21</v>
      </c>
      <c r="CL1233" t="s">
        <v>89</v>
      </c>
    </row>
    <row r="1234" spans="1:90">
      <c r="A1234" t="s">
        <v>72</v>
      </c>
      <c r="B1234" t="s">
        <v>73</v>
      </c>
      <c r="C1234" t="s">
        <v>74</v>
      </c>
      <c r="E1234" t="str">
        <f>"FES1162728017"</f>
        <v>FES1162728017</v>
      </c>
      <c r="F1234" s="3">
        <v>43811</v>
      </c>
      <c r="G1234">
        <v>202006</v>
      </c>
      <c r="H1234" t="s">
        <v>75</v>
      </c>
      <c r="I1234" t="s">
        <v>76</v>
      </c>
      <c r="J1234" t="s">
        <v>77</v>
      </c>
      <c r="K1234" t="s">
        <v>78</v>
      </c>
      <c r="L1234" t="s">
        <v>186</v>
      </c>
      <c r="M1234" t="s">
        <v>187</v>
      </c>
      <c r="N1234" t="s">
        <v>188</v>
      </c>
      <c r="O1234" t="s">
        <v>82</v>
      </c>
      <c r="P1234" t="str">
        <f>"2170720264                    "</f>
        <v xml:space="preserve">2170720264                    </v>
      </c>
      <c r="Q1234">
        <v>0</v>
      </c>
      <c r="R1234">
        <v>0</v>
      </c>
      <c r="S1234">
        <v>0</v>
      </c>
      <c r="T1234">
        <v>0</v>
      </c>
      <c r="U1234">
        <v>0</v>
      </c>
      <c r="V1234">
        <v>0</v>
      </c>
      <c r="W1234">
        <v>0</v>
      </c>
      <c r="X1234">
        <v>0</v>
      </c>
      <c r="Y1234">
        <v>0</v>
      </c>
      <c r="Z1234">
        <v>0</v>
      </c>
      <c r="AA1234">
        <v>0</v>
      </c>
      <c r="AB1234">
        <v>0</v>
      </c>
      <c r="AC1234">
        <v>0</v>
      </c>
      <c r="AD1234">
        <v>0</v>
      </c>
      <c r="AE1234">
        <v>0</v>
      </c>
      <c r="AF1234">
        <v>0</v>
      </c>
      <c r="AG1234">
        <v>0</v>
      </c>
      <c r="AH1234">
        <v>0</v>
      </c>
      <c r="AI1234">
        <v>0</v>
      </c>
      <c r="AJ1234">
        <v>0</v>
      </c>
      <c r="AK1234">
        <v>0</v>
      </c>
      <c r="AL1234">
        <v>0</v>
      </c>
      <c r="AM1234">
        <v>35.409999999999997</v>
      </c>
      <c r="AN1234">
        <v>0</v>
      </c>
      <c r="AO1234">
        <v>0</v>
      </c>
      <c r="AP1234">
        <v>0</v>
      </c>
      <c r="AQ1234">
        <v>0</v>
      </c>
      <c r="AR1234">
        <v>0</v>
      </c>
      <c r="AS1234">
        <v>0</v>
      </c>
      <c r="AT1234">
        <v>0</v>
      </c>
      <c r="AU1234">
        <v>0</v>
      </c>
      <c r="AV1234">
        <v>0</v>
      </c>
      <c r="AW1234">
        <v>0</v>
      </c>
      <c r="AX1234">
        <v>0</v>
      </c>
      <c r="AY1234">
        <v>0</v>
      </c>
      <c r="AZ1234">
        <v>0</v>
      </c>
      <c r="BA1234">
        <v>0</v>
      </c>
      <c r="BB1234">
        <v>0</v>
      </c>
      <c r="BC1234">
        <v>0</v>
      </c>
      <c r="BD1234">
        <v>0</v>
      </c>
      <c r="BE1234">
        <v>0</v>
      </c>
      <c r="BF1234">
        <v>0</v>
      </c>
      <c r="BG1234">
        <v>0</v>
      </c>
      <c r="BH1234">
        <v>1</v>
      </c>
      <c r="BI1234">
        <v>4.4000000000000004</v>
      </c>
      <c r="BJ1234">
        <v>1.7</v>
      </c>
      <c r="BK1234">
        <v>4.5</v>
      </c>
      <c r="BL1234" s="4">
        <v>208.13</v>
      </c>
      <c r="BM1234" s="4">
        <v>31.22</v>
      </c>
      <c r="BN1234" s="4">
        <v>239.35</v>
      </c>
      <c r="BO1234" s="4">
        <v>239.35</v>
      </c>
      <c r="BQ1234" t="s">
        <v>93</v>
      </c>
      <c r="BR1234" t="s">
        <v>84</v>
      </c>
      <c r="BS1234" t="s">
        <v>717</v>
      </c>
      <c r="BY1234">
        <v>8384.33</v>
      </c>
      <c r="CC1234" t="s">
        <v>187</v>
      </c>
      <c r="CD1234">
        <v>6849</v>
      </c>
      <c r="CE1234" t="s">
        <v>96</v>
      </c>
      <c r="CI1234">
        <v>3</v>
      </c>
      <c r="CJ1234" t="s">
        <v>717</v>
      </c>
      <c r="CK1234">
        <v>23</v>
      </c>
      <c r="CL1234" t="s">
        <v>89</v>
      </c>
    </row>
    <row r="1235" spans="1:90">
      <c r="A1235" t="s">
        <v>72</v>
      </c>
      <c r="B1235" t="s">
        <v>73</v>
      </c>
      <c r="C1235" t="s">
        <v>74</v>
      </c>
      <c r="E1235" t="str">
        <f>"FES1162727944"</f>
        <v>FES1162727944</v>
      </c>
      <c r="F1235" s="3">
        <v>43811</v>
      </c>
      <c r="G1235">
        <v>202006</v>
      </c>
      <c r="H1235" t="s">
        <v>75</v>
      </c>
      <c r="I1235" t="s">
        <v>76</v>
      </c>
      <c r="J1235" t="s">
        <v>77</v>
      </c>
      <c r="K1235" t="s">
        <v>78</v>
      </c>
      <c r="L1235" t="s">
        <v>79</v>
      </c>
      <c r="M1235" t="s">
        <v>80</v>
      </c>
      <c r="N1235" t="s">
        <v>1597</v>
      </c>
      <c r="O1235" t="s">
        <v>82</v>
      </c>
      <c r="P1235" t="str">
        <f>"2170721426                    "</f>
        <v xml:space="preserve">2170721426                    </v>
      </c>
      <c r="Q1235">
        <v>0</v>
      </c>
      <c r="R1235">
        <v>0</v>
      </c>
      <c r="S1235">
        <v>0</v>
      </c>
      <c r="T1235">
        <v>0</v>
      </c>
      <c r="U1235">
        <v>0</v>
      </c>
      <c r="V1235">
        <v>0</v>
      </c>
      <c r="W1235">
        <v>0</v>
      </c>
      <c r="X1235">
        <v>0</v>
      </c>
      <c r="Y1235">
        <v>0</v>
      </c>
      <c r="Z1235">
        <v>0</v>
      </c>
      <c r="AA1235">
        <v>0</v>
      </c>
      <c r="AB1235">
        <v>0</v>
      </c>
      <c r="AC1235">
        <v>0</v>
      </c>
      <c r="AD1235">
        <v>0</v>
      </c>
      <c r="AE1235">
        <v>0</v>
      </c>
      <c r="AF1235">
        <v>0</v>
      </c>
      <c r="AG1235">
        <v>0</v>
      </c>
      <c r="AH1235">
        <v>0</v>
      </c>
      <c r="AI1235">
        <v>0</v>
      </c>
      <c r="AJ1235">
        <v>0</v>
      </c>
      <c r="AK1235">
        <v>0</v>
      </c>
      <c r="AL1235">
        <v>0</v>
      </c>
      <c r="AM1235">
        <v>42.89</v>
      </c>
      <c r="AN1235">
        <v>0</v>
      </c>
      <c r="AO1235">
        <v>0</v>
      </c>
      <c r="AP1235">
        <v>0</v>
      </c>
      <c r="AQ1235">
        <v>0</v>
      </c>
      <c r="AR1235">
        <v>0</v>
      </c>
      <c r="AS1235">
        <v>0</v>
      </c>
      <c r="AT1235">
        <v>0</v>
      </c>
      <c r="AU1235">
        <v>0</v>
      </c>
      <c r="AV1235">
        <v>0</v>
      </c>
      <c r="AW1235">
        <v>0</v>
      </c>
      <c r="AX1235">
        <v>0</v>
      </c>
      <c r="AY1235">
        <v>0</v>
      </c>
      <c r="AZ1235">
        <v>0</v>
      </c>
      <c r="BA1235">
        <v>0</v>
      </c>
      <c r="BB1235">
        <v>0</v>
      </c>
      <c r="BC1235">
        <v>0</v>
      </c>
      <c r="BD1235">
        <v>0</v>
      </c>
      <c r="BE1235">
        <v>0</v>
      </c>
      <c r="BF1235">
        <v>0</v>
      </c>
      <c r="BG1235">
        <v>0</v>
      </c>
      <c r="BH1235">
        <v>1</v>
      </c>
      <c r="BI1235">
        <v>4.0999999999999996</v>
      </c>
      <c r="BJ1235">
        <v>9.6999999999999993</v>
      </c>
      <c r="BK1235">
        <v>10</v>
      </c>
      <c r="BL1235" s="4">
        <v>252.12</v>
      </c>
      <c r="BM1235" s="4">
        <v>37.82</v>
      </c>
      <c r="BN1235" s="4">
        <v>289.94</v>
      </c>
      <c r="BO1235" s="4">
        <v>289.94</v>
      </c>
      <c r="BQ1235" t="s">
        <v>1598</v>
      </c>
      <c r="BR1235" t="s">
        <v>84</v>
      </c>
      <c r="BS1235" s="3">
        <v>43812</v>
      </c>
      <c r="BT1235" s="5">
        <v>0.39444444444444443</v>
      </c>
      <c r="BU1235" t="s">
        <v>983</v>
      </c>
      <c r="BV1235" t="s">
        <v>86</v>
      </c>
      <c r="BY1235">
        <v>48408.36</v>
      </c>
      <c r="CA1235" t="s">
        <v>131</v>
      </c>
      <c r="CC1235" t="s">
        <v>80</v>
      </c>
      <c r="CD1235">
        <v>6001</v>
      </c>
      <c r="CE1235" t="s">
        <v>96</v>
      </c>
      <c r="CF1235" s="3">
        <v>43816</v>
      </c>
      <c r="CI1235">
        <v>1</v>
      </c>
      <c r="CJ1235">
        <v>1</v>
      </c>
      <c r="CK1235">
        <v>21</v>
      </c>
      <c r="CL1235" t="s">
        <v>89</v>
      </c>
    </row>
    <row r="1236" spans="1:90">
      <c r="A1236" t="s">
        <v>72</v>
      </c>
      <c r="B1236" t="s">
        <v>73</v>
      </c>
      <c r="C1236" t="s">
        <v>74</v>
      </c>
      <c r="E1236" t="str">
        <f>"FES1162728196"</f>
        <v>FES1162728196</v>
      </c>
      <c r="F1236" s="3">
        <v>43811</v>
      </c>
      <c r="G1236">
        <v>202006</v>
      </c>
      <c r="H1236" t="s">
        <v>75</v>
      </c>
      <c r="I1236" t="s">
        <v>76</v>
      </c>
      <c r="J1236" t="s">
        <v>77</v>
      </c>
      <c r="K1236" t="s">
        <v>78</v>
      </c>
      <c r="L1236" t="s">
        <v>79</v>
      </c>
      <c r="M1236" t="s">
        <v>80</v>
      </c>
      <c r="N1236" t="s">
        <v>1486</v>
      </c>
      <c r="O1236" t="s">
        <v>82</v>
      </c>
      <c r="P1236" t="str">
        <f>"2170718440                    "</f>
        <v xml:space="preserve">2170718440                    </v>
      </c>
      <c r="Q1236">
        <v>0</v>
      </c>
      <c r="R1236">
        <v>0</v>
      </c>
      <c r="S1236">
        <v>0</v>
      </c>
      <c r="T1236">
        <v>0</v>
      </c>
      <c r="U1236">
        <v>0</v>
      </c>
      <c r="V1236">
        <v>0</v>
      </c>
      <c r="W1236">
        <v>0</v>
      </c>
      <c r="X1236">
        <v>0</v>
      </c>
      <c r="Y1236">
        <v>0</v>
      </c>
      <c r="Z1236">
        <v>0</v>
      </c>
      <c r="AA1236">
        <v>0</v>
      </c>
      <c r="AB1236">
        <v>0</v>
      </c>
      <c r="AC1236">
        <v>0</v>
      </c>
      <c r="AD1236">
        <v>0</v>
      </c>
      <c r="AE1236">
        <v>0</v>
      </c>
      <c r="AF1236">
        <v>0</v>
      </c>
      <c r="AG1236">
        <v>0</v>
      </c>
      <c r="AH1236">
        <v>0</v>
      </c>
      <c r="AI1236">
        <v>0</v>
      </c>
      <c r="AJ1236">
        <v>0</v>
      </c>
      <c r="AK1236">
        <v>0</v>
      </c>
      <c r="AL1236">
        <v>0</v>
      </c>
      <c r="AM1236">
        <v>15.02</v>
      </c>
      <c r="AN1236">
        <v>0</v>
      </c>
      <c r="AO1236">
        <v>0</v>
      </c>
      <c r="AP1236">
        <v>0</v>
      </c>
      <c r="AQ1236">
        <v>0</v>
      </c>
      <c r="AR1236">
        <v>0</v>
      </c>
      <c r="AS1236">
        <v>0</v>
      </c>
      <c r="AT1236">
        <v>0</v>
      </c>
      <c r="AU1236">
        <v>0</v>
      </c>
      <c r="AV1236">
        <v>0</v>
      </c>
      <c r="AW1236">
        <v>0</v>
      </c>
      <c r="AX1236">
        <v>0</v>
      </c>
      <c r="AY1236">
        <v>0</v>
      </c>
      <c r="AZ1236">
        <v>0</v>
      </c>
      <c r="BA1236">
        <v>0</v>
      </c>
      <c r="BB1236">
        <v>0</v>
      </c>
      <c r="BC1236">
        <v>0</v>
      </c>
      <c r="BD1236">
        <v>0</v>
      </c>
      <c r="BE1236">
        <v>0</v>
      </c>
      <c r="BF1236">
        <v>0</v>
      </c>
      <c r="BG1236">
        <v>0</v>
      </c>
      <c r="BH1236">
        <v>1</v>
      </c>
      <c r="BI1236">
        <v>0.9</v>
      </c>
      <c r="BJ1236">
        <v>3.5</v>
      </c>
      <c r="BK1236">
        <v>3.5</v>
      </c>
      <c r="BL1236" s="4">
        <v>88.27</v>
      </c>
      <c r="BM1236" s="4">
        <v>13.24</v>
      </c>
      <c r="BN1236" s="4">
        <v>101.51</v>
      </c>
      <c r="BO1236" s="4">
        <v>101.51</v>
      </c>
      <c r="BQ1236" t="s">
        <v>147</v>
      </c>
      <c r="BR1236" t="s">
        <v>84</v>
      </c>
      <c r="BS1236" s="3">
        <v>43812</v>
      </c>
      <c r="BT1236" s="5">
        <v>0.35000000000000003</v>
      </c>
      <c r="BU1236" t="s">
        <v>1649</v>
      </c>
      <c r="BV1236" t="s">
        <v>86</v>
      </c>
      <c r="BY1236">
        <v>17611.5</v>
      </c>
      <c r="CA1236" t="s">
        <v>131</v>
      </c>
      <c r="CC1236" t="s">
        <v>80</v>
      </c>
      <c r="CD1236">
        <v>6001</v>
      </c>
      <c r="CE1236" t="s">
        <v>96</v>
      </c>
      <c r="CF1236" s="3">
        <v>43816</v>
      </c>
      <c r="CI1236">
        <v>1</v>
      </c>
      <c r="CJ1236">
        <v>1</v>
      </c>
      <c r="CK1236">
        <v>21</v>
      </c>
      <c r="CL1236" t="s">
        <v>89</v>
      </c>
    </row>
    <row r="1237" spans="1:90">
      <c r="A1237" t="s">
        <v>72</v>
      </c>
      <c r="B1237" t="s">
        <v>73</v>
      </c>
      <c r="C1237" t="s">
        <v>74</v>
      </c>
      <c r="E1237" t="str">
        <f>"FES1162728021"</f>
        <v>FES1162728021</v>
      </c>
      <c r="F1237" s="3">
        <v>43811</v>
      </c>
      <c r="G1237">
        <v>202006</v>
      </c>
      <c r="H1237" t="s">
        <v>75</v>
      </c>
      <c r="I1237" t="s">
        <v>76</v>
      </c>
      <c r="J1237" t="s">
        <v>77</v>
      </c>
      <c r="K1237" t="s">
        <v>78</v>
      </c>
      <c r="L1237" t="s">
        <v>138</v>
      </c>
      <c r="M1237" t="s">
        <v>139</v>
      </c>
      <c r="N1237" t="s">
        <v>1744</v>
      </c>
      <c r="O1237" t="s">
        <v>82</v>
      </c>
      <c r="P1237" t="str">
        <f>"2170721214                    "</f>
        <v xml:space="preserve">2170721214                    </v>
      </c>
      <c r="Q1237">
        <v>0</v>
      </c>
      <c r="R1237">
        <v>0</v>
      </c>
      <c r="S1237">
        <v>0</v>
      </c>
      <c r="T1237">
        <v>0</v>
      </c>
      <c r="U1237">
        <v>0</v>
      </c>
      <c r="V1237">
        <v>0</v>
      </c>
      <c r="W1237">
        <v>0</v>
      </c>
      <c r="X1237">
        <v>0</v>
      </c>
      <c r="Y1237">
        <v>0</v>
      </c>
      <c r="Z1237">
        <v>0</v>
      </c>
      <c r="AA1237">
        <v>0</v>
      </c>
      <c r="AB1237">
        <v>0</v>
      </c>
      <c r="AC1237">
        <v>0</v>
      </c>
      <c r="AD1237">
        <v>0</v>
      </c>
      <c r="AE1237">
        <v>0</v>
      </c>
      <c r="AF1237">
        <v>0</v>
      </c>
      <c r="AG1237">
        <v>0</v>
      </c>
      <c r="AH1237">
        <v>0</v>
      </c>
      <c r="AI1237">
        <v>0</v>
      </c>
      <c r="AJ1237">
        <v>0</v>
      </c>
      <c r="AK1237">
        <v>0</v>
      </c>
      <c r="AL1237">
        <v>0</v>
      </c>
      <c r="AM1237">
        <v>6.71</v>
      </c>
      <c r="AN1237">
        <v>0</v>
      </c>
      <c r="AO1237">
        <v>0</v>
      </c>
      <c r="AP1237">
        <v>0</v>
      </c>
      <c r="AQ1237">
        <v>0</v>
      </c>
      <c r="AR1237">
        <v>0</v>
      </c>
      <c r="AS1237">
        <v>0</v>
      </c>
      <c r="AT1237">
        <v>0</v>
      </c>
      <c r="AU1237">
        <v>0</v>
      </c>
      <c r="AV1237">
        <v>0</v>
      </c>
      <c r="AW1237">
        <v>0</v>
      </c>
      <c r="AX1237">
        <v>0</v>
      </c>
      <c r="AY1237">
        <v>0</v>
      </c>
      <c r="AZ1237">
        <v>0</v>
      </c>
      <c r="BA1237">
        <v>0</v>
      </c>
      <c r="BB1237">
        <v>0</v>
      </c>
      <c r="BC1237">
        <v>0</v>
      </c>
      <c r="BD1237">
        <v>0</v>
      </c>
      <c r="BE1237">
        <v>0</v>
      </c>
      <c r="BF1237">
        <v>0</v>
      </c>
      <c r="BG1237">
        <v>0</v>
      </c>
      <c r="BH1237">
        <v>1</v>
      </c>
      <c r="BI1237">
        <v>0.3</v>
      </c>
      <c r="BJ1237">
        <v>0.7</v>
      </c>
      <c r="BK1237">
        <v>1</v>
      </c>
      <c r="BL1237" s="4">
        <v>39.42</v>
      </c>
      <c r="BM1237" s="4">
        <v>5.91</v>
      </c>
      <c r="BN1237" s="4">
        <v>45.33</v>
      </c>
      <c r="BO1237" s="4">
        <v>45.33</v>
      </c>
      <c r="BQ1237" t="s">
        <v>1745</v>
      </c>
      <c r="BR1237" t="s">
        <v>84</v>
      </c>
      <c r="BS1237" s="3">
        <v>43812</v>
      </c>
      <c r="BT1237" s="5">
        <v>0.3125</v>
      </c>
      <c r="BU1237" t="s">
        <v>1746</v>
      </c>
      <c r="BV1237" t="s">
        <v>86</v>
      </c>
      <c r="BY1237">
        <v>3507.14</v>
      </c>
      <c r="CC1237" t="s">
        <v>139</v>
      </c>
      <c r="CD1237">
        <v>1422</v>
      </c>
      <c r="CE1237" t="s">
        <v>96</v>
      </c>
      <c r="CF1237" s="3">
        <v>43816</v>
      </c>
      <c r="CI1237">
        <v>1</v>
      </c>
      <c r="CJ1237">
        <v>1</v>
      </c>
      <c r="CK1237">
        <v>22</v>
      </c>
      <c r="CL1237" t="s">
        <v>89</v>
      </c>
    </row>
    <row r="1238" spans="1:90">
      <c r="A1238" t="s">
        <v>72</v>
      </c>
      <c r="B1238" t="s">
        <v>73</v>
      </c>
      <c r="C1238" t="s">
        <v>74</v>
      </c>
      <c r="E1238" t="str">
        <f>"FES1162728148"</f>
        <v>FES1162728148</v>
      </c>
      <c r="F1238" s="3">
        <v>43811</v>
      </c>
      <c r="G1238">
        <v>202006</v>
      </c>
      <c r="H1238" t="s">
        <v>75</v>
      </c>
      <c r="I1238" t="s">
        <v>76</v>
      </c>
      <c r="J1238" t="s">
        <v>77</v>
      </c>
      <c r="K1238" t="s">
        <v>78</v>
      </c>
      <c r="L1238" t="s">
        <v>75</v>
      </c>
      <c r="M1238" t="s">
        <v>76</v>
      </c>
      <c r="N1238" t="s">
        <v>305</v>
      </c>
      <c r="O1238" t="s">
        <v>82</v>
      </c>
      <c r="P1238" t="str">
        <f>"2170721302                    "</f>
        <v xml:space="preserve">2170721302                    </v>
      </c>
      <c r="Q1238">
        <v>0</v>
      </c>
      <c r="R1238">
        <v>0</v>
      </c>
      <c r="S1238">
        <v>0</v>
      </c>
      <c r="T1238">
        <v>0</v>
      </c>
      <c r="U1238">
        <v>0</v>
      </c>
      <c r="V1238">
        <v>0</v>
      </c>
      <c r="W1238">
        <v>0</v>
      </c>
      <c r="X1238">
        <v>0</v>
      </c>
      <c r="Y1238">
        <v>0</v>
      </c>
      <c r="Z1238">
        <v>0</v>
      </c>
      <c r="AA1238">
        <v>0</v>
      </c>
      <c r="AB1238">
        <v>0</v>
      </c>
      <c r="AC1238">
        <v>0</v>
      </c>
      <c r="AD1238">
        <v>0</v>
      </c>
      <c r="AE1238">
        <v>0</v>
      </c>
      <c r="AF1238">
        <v>0</v>
      </c>
      <c r="AG1238">
        <v>0</v>
      </c>
      <c r="AH1238">
        <v>0</v>
      </c>
      <c r="AI1238">
        <v>0</v>
      </c>
      <c r="AJ1238">
        <v>0</v>
      </c>
      <c r="AK1238">
        <v>0</v>
      </c>
      <c r="AL1238">
        <v>0</v>
      </c>
      <c r="AM1238">
        <v>6.71</v>
      </c>
      <c r="AN1238">
        <v>0</v>
      </c>
      <c r="AO1238">
        <v>0</v>
      </c>
      <c r="AP1238">
        <v>0</v>
      </c>
      <c r="AQ1238">
        <v>0</v>
      </c>
      <c r="AR1238">
        <v>0</v>
      </c>
      <c r="AS1238">
        <v>0</v>
      </c>
      <c r="AT1238">
        <v>0</v>
      </c>
      <c r="AU1238">
        <v>0</v>
      </c>
      <c r="AV1238">
        <v>0</v>
      </c>
      <c r="AW1238">
        <v>0</v>
      </c>
      <c r="AX1238">
        <v>0</v>
      </c>
      <c r="AY1238">
        <v>0</v>
      </c>
      <c r="AZ1238">
        <v>0</v>
      </c>
      <c r="BA1238">
        <v>0</v>
      </c>
      <c r="BB1238">
        <v>0</v>
      </c>
      <c r="BC1238">
        <v>0</v>
      </c>
      <c r="BD1238">
        <v>0</v>
      </c>
      <c r="BE1238">
        <v>0</v>
      </c>
      <c r="BF1238">
        <v>0</v>
      </c>
      <c r="BG1238">
        <v>0</v>
      </c>
      <c r="BH1238">
        <v>1</v>
      </c>
      <c r="BI1238">
        <v>1.2</v>
      </c>
      <c r="BJ1238">
        <v>1.6</v>
      </c>
      <c r="BK1238">
        <v>2</v>
      </c>
      <c r="BL1238" s="4">
        <v>39.42</v>
      </c>
      <c r="BM1238" s="4">
        <v>5.91</v>
      </c>
      <c r="BN1238" s="4">
        <v>45.33</v>
      </c>
      <c r="BO1238" s="4">
        <v>45.33</v>
      </c>
      <c r="BQ1238" t="s">
        <v>147</v>
      </c>
      <c r="BR1238" t="s">
        <v>84</v>
      </c>
      <c r="BS1238" s="3">
        <v>43812</v>
      </c>
      <c r="BT1238" s="5">
        <v>0.31319444444444444</v>
      </c>
      <c r="BU1238" t="s">
        <v>306</v>
      </c>
      <c r="BV1238" t="s">
        <v>86</v>
      </c>
      <c r="BY1238">
        <v>8081.46</v>
      </c>
      <c r="CA1238" t="s">
        <v>307</v>
      </c>
      <c r="CC1238" t="s">
        <v>76</v>
      </c>
      <c r="CD1238">
        <v>1645</v>
      </c>
      <c r="CE1238" t="s">
        <v>96</v>
      </c>
      <c r="CF1238" s="3">
        <v>43816</v>
      </c>
      <c r="CI1238">
        <v>1</v>
      </c>
      <c r="CJ1238">
        <v>1</v>
      </c>
      <c r="CK1238">
        <v>22</v>
      </c>
      <c r="CL1238" t="s">
        <v>89</v>
      </c>
    </row>
    <row r="1239" spans="1:90">
      <c r="A1239" t="s">
        <v>72</v>
      </c>
      <c r="B1239" t="s">
        <v>73</v>
      </c>
      <c r="C1239" t="s">
        <v>74</v>
      </c>
      <c r="E1239" t="str">
        <f>"FES1162728067"</f>
        <v>FES1162728067</v>
      </c>
      <c r="F1239" s="3">
        <v>43811</v>
      </c>
      <c r="G1239">
        <v>202006</v>
      </c>
      <c r="H1239" t="s">
        <v>75</v>
      </c>
      <c r="I1239" t="s">
        <v>76</v>
      </c>
      <c r="J1239" t="s">
        <v>77</v>
      </c>
      <c r="K1239" t="s">
        <v>78</v>
      </c>
      <c r="L1239" t="s">
        <v>79</v>
      </c>
      <c r="M1239" t="s">
        <v>80</v>
      </c>
      <c r="N1239" t="s">
        <v>388</v>
      </c>
      <c r="O1239" t="s">
        <v>82</v>
      </c>
      <c r="P1239" t="str">
        <f>"2170718216                    "</f>
        <v xml:space="preserve">2170718216                    </v>
      </c>
      <c r="Q1239">
        <v>0</v>
      </c>
      <c r="R1239">
        <v>0</v>
      </c>
      <c r="S1239">
        <v>0</v>
      </c>
      <c r="T1239">
        <v>0</v>
      </c>
      <c r="U1239">
        <v>0</v>
      </c>
      <c r="V1239">
        <v>0</v>
      </c>
      <c r="W1239">
        <v>0</v>
      </c>
      <c r="X1239">
        <v>0</v>
      </c>
      <c r="Y1239">
        <v>0</v>
      </c>
      <c r="Z1239">
        <v>0</v>
      </c>
      <c r="AA1239">
        <v>0</v>
      </c>
      <c r="AB1239">
        <v>0</v>
      </c>
      <c r="AC1239">
        <v>0</v>
      </c>
      <c r="AD1239">
        <v>0</v>
      </c>
      <c r="AE1239">
        <v>0</v>
      </c>
      <c r="AF1239">
        <v>0</v>
      </c>
      <c r="AG1239">
        <v>0</v>
      </c>
      <c r="AH1239">
        <v>0</v>
      </c>
      <c r="AI1239">
        <v>0</v>
      </c>
      <c r="AJ1239">
        <v>0</v>
      </c>
      <c r="AK1239">
        <v>0</v>
      </c>
      <c r="AL1239">
        <v>0</v>
      </c>
      <c r="AM1239">
        <v>8.58</v>
      </c>
      <c r="AN1239">
        <v>0</v>
      </c>
      <c r="AO1239">
        <v>0</v>
      </c>
      <c r="AP1239">
        <v>0</v>
      </c>
      <c r="AQ1239">
        <v>0</v>
      </c>
      <c r="AR1239">
        <v>0</v>
      </c>
      <c r="AS1239">
        <v>0</v>
      </c>
      <c r="AT1239">
        <v>0</v>
      </c>
      <c r="AU1239">
        <v>0</v>
      </c>
      <c r="AV1239">
        <v>0</v>
      </c>
      <c r="AW1239">
        <v>0</v>
      </c>
      <c r="AX1239">
        <v>0</v>
      </c>
      <c r="AY1239">
        <v>0</v>
      </c>
      <c r="AZ1239">
        <v>0</v>
      </c>
      <c r="BA1239">
        <v>0</v>
      </c>
      <c r="BB1239">
        <v>0</v>
      </c>
      <c r="BC1239">
        <v>0</v>
      </c>
      <c r="BD1239">
        <v>0</v>
      </c>
      <c r="BE1239">
        <v>0</v>
      </c>
      <c r="BF1239">
        <v>0</v>
      </c>
      <c r="BG1239">
        <v>0</v>
      </c>
      <c r="BH1239">
        <v>1</v>
      </c>
      <c r="BI1239">
        <v>1</v>
      </c>
      <c r="BJ1239">
        <v>0.2</v>
      </c>
      <c r="BK1239">
        <v>1</v>
      </c>
      <c r="BL1239" s="4">
        <v>50.45</v>
      </c>
      <c r="BM1239" s="4">
        <v>7.57</v>
      </c>
      <c r="BN1239" s="4">
        <v>58.02</v>
      </c>
      <c r="BO1239" s="4">
        <v>58.02</v>
      </c>
      <c r="BQ1239" t="s">
        <v>147</v>
      </c>
      <c r="BR1239" t="s">
        <v>84</v>
      </c>
      <c r="BS1239" s="3">
        <v>43812</v>
      </c>
      <c r="BT1239" s="5">
        <v>0.375</v>
      </c>
      <c r="BU1239" t="s">
        <v>368</v>
      </c>
      <c r="BV1239" t="s">
        <v>86</v>
      </c>
      <c r="BY1239">
        <v>1200</v>
      </c>
      <c r="CA1239" t="s">
        <v>131</v>
      </c>
      <c r="CC1239" t="s">
        <v>80</v>
      </c>
      <c r="CD1239">
        <v>6001</v>
      </c>
      <c r="CE1239" t="s">
        <v>88</v>
      </c>
      <c r="CF1239" s="3">
        <v>43816</v>
      </c>
      <c r="CI1239">
        <v>1</v>
      </c>
      <c r="CJ1239">
        <v>1</v>
      </c>
      <c r="CK1239">
        <v>21</v>
      </c>
      <c r="CL1239" t="s">
        <v>89</v>
      </c>
    </row>
    <row r="1240" spans="1:90">
      <c r="A1240" t="s">
        <v>72</v>
      </c>
      <c r="B1240" t="s">
        <v>73</v>
      </c>
      <c r="C1240" t="s">
        <v>74</v>
      </c>
      <c r="E1240" t="str">
        <f>"FES1162728105"</f>
        <v>FES1162728105</v>
      </c>
      <c r="F1240" s="3">
        <v>43811</v>
      </c>
      <c r="G1240">
        <v>202006</v>
      </c>
      <c r="H1240" t="s">
        <v>75</v>
      </c>
      <c r="I1240" t="s">
        <v>76</v>
      </c>
      <c r="J1240" t="s">
        <v>77</v>
      </c>
      <c r="K1240" t="s">
        <v>78</v>
      </c>
      <c r="L1240" t="s">
        <v>164</v>
      </c>
      <c r="M1240" t="s">
        <v>165</v>
      </c>
      <c r="N1240" t="s">
        <v>1747</v>
      </c>
      <c r="O1240" t="s">
        <v>82</v>
      </c>
      <c r="P1240" t="str">
        <f>"2170718631                    "</f>
        <v xml:space="preserve">2170718631                    </v>
      </c>
      <c r="Q1240">
        <v>0</v>
      </c>
      <c r="R1240">
        <v>0</v>
      </c>
      <c r="S1240">
        <v>0</v>
      </c>
      <c r="T1240">
        <v>0</v>
      </c>
      <c r="U1240">
        <v>0</v>
      </c>
      <c r="V1240">
        <v>0</v>
      </c>
      <c r="W1240">
        <v>0</v>
      </c>
      <c r="X1240">
        <v>0</v>
      </c>
      <c r="Y1240">
        <v>0</v>
      </c>
      <c r="Z1240">
        <v>0</v>
      </c>
      <c r="AA1240">
        <v>0</v>
      </c>
      <c r="AB1240">
        <v>0</v>
      </c>
      <c r="AC1240">
        <v>0</v>
      </c>
      <c r="AD1240">
        <v>0</v>
      </c>
      <c r="AE1240">
        <v>0</v>
      </c>
      <c r="AF1240">
        <v>0</v>
      </c>
      <c r="AG1240">
        <v>0</v>
      </c>
      <c r="AH1240">
        <v>0</v>
      </c>
      <c r="AI1240">
        <v>0</v>
      </c>
      <c r="AJ1240">
        <v>0</v>
      </c>
      <c r="AK1240">
        <v>0</v>
      </c>
      <c r="AL1240">
        <v>0</v>
      </c>
      <c r="AM1240">
        <v>8.58</v>
      </c>
      <c r="AN1240">
        <v>0</v>
      </c>
      <c r="AO1240">
        <v>0</v>
      </c>
      <c r="AP1240">
        <v>0</v>
      </c>
      <c r="AQ1240">
        <v>0</v>
      </c>
      <c r="AR1240">
        <v>0</v>
      </c>
      <c r="AS1240">
        <v>0</v>
      </c>
      <c r="AT1240">
        <v>0</v>
      </c>
      <c r="AU1240">
        <v>0</v>
      </c>
      <c r="AV1240">
        <v>0</v>
      </c>
      <c r="AW1240">
        <v>0</v>
      </c>
      <c r="AX1240">
        <v>0</v>
      </c>
      <c r="AY1240">
        <v>0</v>
      </c>
      <c r="AZ1240">
        <v>0</v>
      </c>
      <c r="BA1240">
        <v>0</v>
      </c>
      <c r="BB1240">
        <v>0</v>
      </c>
      <c r="BC1240">
        <v>0</v>
      </c>
      <c r="BD1240">
        <v>0</v>
      </c>
      <c r="BE1240">
        <v>0</v>
      </c>
      <c r="BF1240">
        <v>0</v>
      </c>
      <c r="BG1240">
        <v>0</v>
      </c>
      <c r="BH1240">
        <v>1</v>
      </c>
      <c r="BI1240">
        <v>1</v>
      </c>
      <c r="BJ1240">
        <v>0.2</v>
      </c>
      <c r="BK1240">
        <v>1</v>
      </c>
      <c r="BL1240" s="4">
        <v>50.45</v>
      </c>
      <c r="BM1240" s="4">
        <v>7.57</v>
      </c>
      <c r="BN1240" s="4">
        <v>58.02</v>
      </c>
      <c r="BO1240" s="4">
        <v>58.02</v>
      </c>
      <c r="BQ1240" t="s">
        <v>93</v>
      </c>
      <c r="BR1240" t="s">
        <v>84</v>
      </c>
      <c r="BS1240" s="3">
        <v>43812</v>
      </c>
      <c r="BT1240" s="5">
        <v>0.39861111111111108</v>
      </c>
      <c r="BU1240" t="s">
        <v>1748</v>
      </c>
      <c r="BV1240" t="s">
        <v>86</v>
      </c>
      <c r="BY1240">
        <v>1200</v>
      </c>
      <c r="CA1240" t="s">
        <v>168</v>
      </c>
      <c r="CC1240" t="s">
        <v>165</v>
      </c>
      <c r="CD1240">
        <v>5201</v>
      </c>
      <c r="CE1240" t="s">
        <v>88</v>
      </c>
      <c r="CF1240" s="3">
        <v>43816</v>
      </c>
      <c r="CI1240">
        <v>1</v>
      </c>
      <c r="CJ1240">
        <v>1</v>
      </c>
      <c r="CK1240">
        <v>21</v>
      </c>
      <c r="CL1240" t="s">
        <v>89</v>
      </c>
    </row>
    <row r="1241" spans="1:90">
      <c r="A1241" t="s">
        <v>72</v>
      </c>
      <c r="B1241" t="s">
        <v>73</v>
      </c>
      <c r="C1241" t="s">
        <v>74</v>
      </c>
      <c r="E1241" t="str">
        <f>"FES1162728010"</f>
        <v>FES1162728010</v>
      </c>
      <c r="F1241" s="3">
        <v>43811</v>
      </c>
      <c r="G1241">
        <v>202006</v>
      </c>
      <c r="H1241" t="s">
        <v>75</v>
      </c>
      <c r="I1241" t="s">
        <v>76</v>
      </c>
      <c r="J1241" t="s">
        <v>77</v>
      </c>
      <c r="K1241" t="s">
        <v>78</v>
      </c>
      <c r="L1241" t="s">
        <v>164</v>
      </c>
      <c r="M1241" t="s">
        <v>165</v>
      </c>
      <c r="N1241" t="s">
        <v>416</v>
      </c>
      <c r="O1241" t="s">
        <v>82</v>
      </c>
      <c r="P1241" t="str">
        <f>"2170719490                    "</f>
        <v xml:space="preserve">2170719490                    </v>
      </c>
      <c r="Q1241">
        <v>0</v>
      </c>
      <c r="R1241">
        <v>0</v>
      </c>
      <c r="S1241">
        <v>0</v>
      </c>
      <c r="T1241">
        <v>0</v>
      </c>
      <c r="U1241">
        <v>0</v>
      </c>
      <c r="V1241">
        <v>0</v>
      </c>
      <c r="W1241">
        <v>0</v>
      </c>
      <c r="X1241">
        <v>0</v>
      </c>
      <c r="Y1241">
        <v>0</v>
      </c>
      <c r="Z1241">
        <v>0</v>
      </c>
      <c r="AA1241">
        <v>0</v>
      </c>
      <c r="AB1241">
        <v>0</v>
      </c>
      <c r="AC1241">
        <v>0</v>
      </c>
      <c r="AD1241">
        <v>0</v>
      </c>
      <c r="AE1241">
        <v>0</v>
      </c>
      <c r="AF1241">
        <v>0</v>
      </c>
      <c r="AG1241">
        <v>0</v>
      </c>
      <c r="AH1241">
        <v>0</v>
      </c>
      <c r="AI1241">
        <v>0</v>
      </c>
      <c r="AJ1241">
        <v>0</v>
      </c>
      <c r="AK1241">
        <v>0</v>
      </c>
      <c r="AL1241">
        <v>0</v>
      </c>
      <c r="AM1241">
        <v>8.58</v>
      </c>
      <c r="AN1241">
        <v>0</v>
      </c>
      <c r="AO1241">
        <v>0</v>
      </c>
      <c r="AP1241">
        <v>0</v>
      </c>
      <c r="AQ1241">
        <v>0</v>
      </c>
      <c r="AR1241">
        <v>0</v>
      </c>
      <c r="AS1241">
        <v>0</v>
      </c>
      <c r="AT1241">
        <v>0</v>
      </c>
      <c r="AU1241">
        <v>0</v>
      </c>
      <c r="AV1241">
        <v>0</v>
      </c>
      <c r="AW1241">
        <v>0</v>
      </c>
      <c r="AX1241">
        <v>0</v>
      </c>
      <c r="AY1241">
        <v>0</v>
      </c>
      <c r="AZ1241">
        <v>0</v>
      </c>
      <c r="BA1241">
        <v>0</v>
      </c>
      <c r="BB1241">
        <v>0</v>
      </c>
      <c r="BC1241">
        <v>0</v>
      </c>
      <c r="BD1241">
        <v>0</v>
      </c>
      <c r="BE1241">
        <v>0</v>
      </c>
      <c r="BF1241">
        <v>0</v>
      </c>
      <c r="BG1241">
        <v>0</v>
      </c>
      <c r="BH1241">
        <v>1</v>
      </c>
      <c r="BI1241">
        <v>1</v>
      </c>
      <c r="BJ1241">
        <v>0.2</v>
      </c>
      <c r="BK1241">
        <v>1</v>
      </c>
      <c r="BL1241" s="4">
        <v>50.45</v>
      </c>
      <c r="BM1241" s="4">
        <v>7.57</v>
      </c>
      <c r="BN1241" s="4">
        <v>58.02</v>
      </c>
      <c r="BO1241" s="4">
        <v>58.02</v>
      </c>
      <c r="BQ1241" t="s">
        <v>256</v>
      </c>
      <c r="BR1241" t="s">
        <v>84</v>
      </c>
      <c r="BS1241" s="3">
        <v>43812</v>
      </c>
      <c r="BT1241" s="5">
        <v>0.41805555555555557</v>
      </c>
      <c r="BU1241" t="s">
        <v>417</v>
      </c>
      <c r="BV1241" t="s">
        <v>86</v>
      </c>
      <c r="BY1241">
        <v>1200</v>
      </c>
      <c r="CA1241" t="s">
        <v>168</v>
      </c>
      <c r="CC1241" t="s">
        <v>165</v>
      </c>
      <c r="CD1241">
        <v>5201</v>
      </c>
      <c r="CE1241" t="s">
        <v>88</v>
      </c>
      <c r="CF1241" s="3">
        <v>43816</v>
      </c>
      <c r="CI1241">
        <v>1</v>
      </c>
      <c r="CJ1241">
        <v>1</v>
      </c>
      <c r="CK1241">
        <v>21</v>
      </c>
      <c r="CL1241" t="s">
        <v>89</v>
      </c>
    </row>
    <row r="1242" spans="1:90">
      <c r="A1242" t="s">
        <v>72</v>
      </c>
      <c r="B1242" t="s">
        <v>73</v>
      </c>
      <c r="C1242" t="s">
        <v>74</v>
      </c>
      <c r="E1242" t="str">
        <f>"FES1162728014"</f>
        <v>FES1162728014</v>
      </c>
      <c r="F1242" s="3">
        <v>43811</v>
      </c>
      <c r="G1242">
        <v>202006</v>
      </c>
      <c r="H1242" t="s">
        <v>75</v>
      </c>
      <c r="I1242" t="s">
        <v>76</v>
      </c>
      <c r="J1242" t="s">
        <v>77</v>
      </c>
      <c r="K1242" t="s">
        <v>78</v>
      </c>
      <c r="L1242" t="s">
        <v>79</v>
      </c>
      <c r="M1242" t="s">
        <v>80</v>
      </c>
      <c r="N1242" t="s">
        <v>300</v>
      </c>
      <c r="O1242" t="s">
        <v>82</v>
      </c>
      <c r="P1242" t="str">
        <f>"2170719815                    "</f>
        <v xml:space="preserve">2170719815                    </v>
      </c>
      <c r="Q1242">
        <v>0</v>
      </c>
      <c r="R1242">
        <v>0</v>
      </c>
      <c r="S1242">
        <v>0</v>
      </c>
      <c r="T1242">
        <v>0</v>
      </c>
      <c r="U1242">
        <v>0</v>
      </c>
      <c r="V1242">
        <v>0</v>
      </c>
      <c r="W1242">
        <v>0</v>
      </c>
      <c r="X1242">
        <v>0</v>
      </c>
      <c r="Y1242">
        <v>0</v>
      </c>
      <c r="Z1242">
        <v>0</v>
      </c>
      <c r="AA1242">
        <v>0</v>
      </c>
      <c r="AB1242">
        <v>0</v>
      </c>
      <c r="AC1242">
        <v>0</v>
      </c>
      <c r="AD1242">
        <v>0</v>
      </c>
      <c r="AE1242">
        <v>0</v>
      </c>
      <c r="AF1242">
        <v>0</v>
      </c>
      <c r="AG1242">
        <v>0</v>
      </c>
      <c r="AH1242">
        <v>0</v>
      </c>
      <c r="AI1242">
        <v>0</v>
      </c>
      <c r="AJ1242">
        <v>0</v>
      </c>
      <c r="AK1242">
        <v>0</v>
      </c>
      <c r="AL1242">
        <v>0</v>
      </c>
      <c r="AM1242">
        <v>8.58</v>
      </c>
      <c r="AN1242">
        <v>0</v>
      </c>
      <c r="AO1242">
        <v>0</v>
      </c>
      <c r="AP1242">
        <v>0</v>
      </c>
      <c r="AQ1242">
        <v>0</v>
      </c>
      <c r="AR1242">
        <v>0</v>
      </c>
      <c r="AS1242">
        <v>0</v>
      </c>
      <c r="AT1242">
        <v>0</v>
      </c>
      <c r="AU1242">
        <v>0</v>
      </c>
      <c r="AV1242">
        <v>0</v>
      </c>
      <c r="AW1242">
        <v>0</v>
      </c>
      <c r="AX1242">
        <v>0</v>
      </c>
      <c r="AY1242">
        <v>0</v>
      </c>
      <c r="AZ1242">
        <v>0</v>
      </c>
      <c r="BA1242">
        <v>0</v>
      </c>
      <c r="BB1242">
        <v>0</v>
      </c>
      <c r="BC1242">
        <v>0</v>
      </c>
      <c r="BD1242">
        <v>0</v>
      </c>
      <c r="BE1242">
        <v>0</v>
      </c>
      <c r="BF1242">
        <v>0</v>
      </c>
      <c r="BG1242">
        <v>0</v>
      </c>
      <c r="BH1242">
        <v>1</v>
      </c>
      <c r="BI1242">
        <v>1</v>
      </c>
      <c r="BJ1242">
        <v>0.2</v>
      </c>
      <c r="BK1242">
        <v>1</v>
      </c>
      <c r="BL1242" s="4">
        <v>50.45</v>
      </c>
      <c r="BM1242" s="4">
        <v>7.57</v>
      </c>
      <c r="BN1242" s="4">
        <v>58.02</v>
      </c>
      <c r="BO1242" s="4">
        <v>58.02</v>
      </c>
      <c r="BQ1242" t="s">
        <v>147</v>
      </c>
      <c r="BR1242" t="s">
        <v>84</v>
      </c>
      <c r="BS1242" s="3">
        <v>43816</v>
      </c>
      <c r="BT1242" s="5">
        <v>0.5</v>
      </c>
      <c r="BU1242" t="s">
        <v>562</v>
      </c>
      <c r="BV1242" t="s">
        <v>89</v>
      </c>
      <c r="BW1242" t="s">
        <v>1254</v>
      </c>
      <c r="BX1242" t="s">
        <v>594</v>
      </c>
      <c r="BY1242">
        <v>1200</v>
      </c>
      <c r="CC1242" t="s">
        <v>80</v>
      </c>
      <c r="CD1242">
        <v>6001</v>
      </c>
      <c r="CE1242" t="s">
        <v>88</v>
      </c>
      <c r="CF1242" s="3">
        <v>43818</v>
      </c>
      <c r="CI1242">
        <v>1</v>
      </c>
      <c r="CJ1242">
        <v>3</v>
      </c>
      <c r="CK1242">
        <v>21</v>
      </c>
      <c r="CL1242" t="s">
        <v>89</v>
      </c>
    </row>
    <row r="1243" spans="1:90">
      <c r="A1243" t="s">
        <v>72</v>
      </c>
      <c r="B1243" t="s">
        <v>73</v>
      </c>
      <c r="C1243" t="s">
        <v>74</v>
      </c>
      <c r="E1243" t="str">
        <f>"FES1162728185"</f>
        <v>FES1162728185</v>
      </c>
      <c r="F1243" s="3">
        <v>43811</v>
      </c>
      <c r="G1243">
        <v>202006</v>
      </c>
      <c r="H1243" t="s">
        <v>75</v>
      </c>
      <c r="I1243" t="s">
        <v>76</v>
      </c>
      <c r="J1243" t="s">
        <v>77</v>
      </c>
      <c r="K1243" t="s">
        <v>78</v>
      </c>
      <c r="L1243" t="s">
        <v>79</v>
      </c>
      <c r="M1243" t="s">
        <v>80</v>
      </c>
      <c r="N1243" t="s">
        <v>129</v>
      </c>
      <c r="O1243" t="s">
        <v>82</v>
      </c>
      <c r="P1243" t="str">
        <f>"2170721516                    "</f>
        <v xml:space="preserve">2170721516                    </v>
      </c>
      <c r="Q1243">
        <v>0</v>
      </c>
      <c r="R1243">
        <v>0</v>
      </c>
      <c r="S1243">
        <v>0</v>
      </c>
      <c r="T1243">
        <v>0</v>
      </c>
      <c r="U1243">
        <v>0</v>
      </c>
      <c r="V1243">
        <v>0</v>
      </c>
      <c r="W1243">
        <v>0</v>
      </c>
      <c r="X1243">
        <v>0</v>
      </c>
      <c r="Y1243">
        <v>0</v>
      </c>
      <c r="Z1243">
        <v>0</v>
      </c>
      <c r="AA1243">
        <v>0</v>
      </c>
      <c r="AB1243">
        <v>0</v>
      </c>
      <c r="AC1243">
        <v>0</v>
      </c>
      <c r="AD1243">
        <v>0</v>
      </c>
      <c r="AE1243">
        <v>0</v>
      </c>
      <c r="AF1243">
        <v>0</v>
      </c>
      <c r="AG1243">
        <v>0</v>
      </c>
      <c r="AH1243">
        <v>0</v>
      </c>
      <c r="AI1243">
        <v>0</v>
      </c>
      <c r="AJ1243">
        <v>0</v>
      </c>
      <c r="AK1243">
        <v>0</v>
      </c>
      <c r="AL1243">
        <v>0</v>
      </c>
      <c r="AM1243">
        <v>8.58</v>
      </c>
      <c r="AN1243">
        <v>0</v>
      </c>
      <c r="AO1243">
        <v>0</v>
      </c>
      <c r="AP1243">
        <v>0</v>
      </c>
      <c r="AQ1243">
        <v>0</v>
      </c>
      <c r="AR1243">
        <v>0</v>
      </c>
      <c r="AS1243">
        <v>0</v>
      </c>
      <c r="AT1243">
        <v>0</v>
      </c>
      <c r="AU1243">
        <v>0</v>
      </c>
      <c r="AV1243">
        <v>0</v>
      </c>
      <c r="AW1243">
        <v>0</v>
      </c>
      <c r="AX1243">
        <v>0</v>
      </c>
      <c r="AY1243">
        <v>0</v>
      </c>
      <c r="AZ1243">
        <v>0</v>
      </c>
      <c r="BA1243">
        <v>0</v>
      </c>
      <c r="BB1243">
        <v>0</v>
      </c>
      <c r="BC1243">
        <v>0</v>
      </c>
      <c r="BD1243">
        <v>0</v>
      </c>
      <c r="BE1243">
        <v>0</v>
      </c>
      <c r="BF1243">
        <v>0</v>
      </c>
      <c r="BG1243">
        <v>0</v>
      </c>
      <c r="BH1243">
        <v>1</v>
      </c>
      <c r="BI1243">
        <v>1</v>
      </c>
      <c r="BJ1243">
        <v>0.2</v>
      </c>
      <c r="BK1243">
        <v>1</v>
      </c>
      <c r="BL1243" s="4">
        <v>50.45</v>
      </c>
      <c r="BM1243" s="4">
        <v>7.57</v>
      </c>
      <c r="BN1243" s="4">
        <v>58.02</v>
      </c>
      <c r="BO1243" s="4">
        <v>58.02</v>
      </c>
      <c r="BQ1243" t="s">
        <v>147</v>
      </c>
      <c r="BR1243" t="s">
        <v>84</v>
      </c>
      <c r="BS1243" s="3">
        <v>43812</v>
      </c>
      <c r="BT1243" s="5">
        <v>0.38541666666666669</v>
      </c>
      <c r="BU1243" t="s">
        <v>1648</v>
      </c>
      <c r="BV1243" t="s">
        <v>86</v>
      </c>
      <c r="BY1243">
        <v>1200</v>
      </c>
      <c r="CA1243" t="s">
        <v>131</v>
      </c>
      <c r="CC1243" t="s">
        <v>80</v>
      </c>
      <c r="CD1243">
        <v>6001</v>
      </c>
      <c r="CE1243" t="s">
        <v>88</v>
      </c>
      <c r="CF1243" s="3">
        <v>43816</v>
      </c>
      <c r="CI1243">
        <v>1</v>
      </c>
      <c r="CJ1243">
        <v>1</v>
      </c>
      <c r="CK1243">
        <v>21</v>
      </c>
      <c r="CL1243" t="s">
        <v>89</v>
      </c>
    </row>
    <row r="1244" spans="1:90">
      <c r="A1244" t="s">
        <v>72</v>
      </c>
      <c r="B1244" t="s">
        <v>73</v>
      </c>
      <c r="C1244" t="s">
        <v>74</v>
      </c>
      <c r="E1244" t="str">
        <f>"FES1162728163"</f>
        <v>FES1162728163</v>
      </c>
      <c r="F1244" s="3">
        <v>43811</v>
      </c>
      <c r="G1244">
        <v>202006</v>
      </c>
      <c r="H1244" t="s">
        <v>75</v>
      </c>
      <c r="I1244" t="s">
        <v>76</v>
      </c>
      <c r="J1244" t="s">
        <v>77</v>
      </c>
      <c r="K1244" t="s">
        <v>78</v>
      </c>
      <c r="L1244" t="s">
        <v>79</v>
      </c>
      <c r="M1244" t="s">
        <v>80</v>
      </c>
      <c r="N1244" t="s">
        <v>129</v>
      </c>
      <c r="O1244" t="s">
        <v>82</v>
      </c>
      <c r="P1244" t="str">
        <f>"2170720309                    "</f>
        <v xml:space="preserve">2170720309                    </v>
      </c>
      <c r="Q1244">
        <v>0</v>
      </c>
      <c r="R1244">
        <v>0</v>
      </c>
      <c r="S1244">
        <v>0</v>
      </c>
      <c r="T1244">
        <v>0</v>
      </c>
      <c r="U1244">
        <v>0</v>
      </c>
      <c r="V1244">
        <v>0</v>
      </c>
      <c r="W1244">
        <v>0</v>
      </c>
      <c r="X1244">
        <v>0</v>
      </c>
      <c r="Y1244">
        <v>0</v>
      </c>
      <c r="Z1244">
        <v>0</v>
      </c>
      <c r="AA1244">
        <v>0</v>
      </c>
      <c r="AB1244">
        <v>0</v>
      </c>
      <c r="AC1244">
        <v>0</v>
      </c>
      <c r="AD1244">
        <v>0</v>
      </c>
      <c r="AE1244">
        <v>0</v>
      </c>
      <c r="AF1244">
        <v>0</v>
      </c>
      <c r="AG1244">
        <v>0</v>
      </c>
      <c r="AH1244">
        <v>0</v>
      </c>
      <c r="AI1244">
        <v>0</v>
      </c>
      <c r="AJ1244">
        <v>0</v>
      </c>
      <c r="AK1244">
        <v>0</v>
      </c>
      <c r="AL1244">
        <v>0</v>
      </c>
      <c r="AM1244">
        <v>8.58</v>
      </c>
      <c r="AN1244">
        <v>0</v>
      </c>
      <c r="AO1244">
        <v>0</v>
      </c>
      <c r="AP1244">
        <v>0</v>
      </c>
      <c r="AQ1244">
        <v>0</v>
      </c>
      <c r="AR1244">
        <v>0</v>
      </c>
      <c r="AS1244">
        <v>0</v>
      </c>
      <c r="AT1244">
        <v>0</v>
      </c>
      <c r="AU1244">
        <v>0</v>
      </c>
      <c r="AV1244">
        <v>0</v>
      </c>
      <c r="AW1244">
        <v>0</v>
      </c>
      <c r="AX1244">
        <v>0</v>
      </c>
      <c r="AY1244">
        <v>0</v>
      </c>
      <c r="AZ1244">
        <v>0</v>
      </c>
      <c r="BA1244">
        <v>0</v>
      </c>
      <c r="BB1244">
        <v>0</v>
      </c>
      <c r="BC1244">
        <v>0</v>
      </c>
      <c r="BD1244">
        <v>0</v>
      </c>
      <c r="BE1244">
        <v>0</v>
      </c>
      <c r="BF1244">
        <v>0</v>
      </c>
      <c r="BG1244">
        <v>0</v>
      </c>
      <c r="BH1244">
        <v>1</v>
      </c>
      <c r="BI1244">
        <v>1</v>
      </c>
      <c r="BJ1244">
        <v>0.2</v>
      </c>
      <c r="BK1244">
        <v>1</v>
      </c>
      <c r="BL1244" s="4">
        <v>50.45</v>
      </c>
      <c r="BM1244" s="4">
        <v>7.57</v>
      </c>
      <c r="BN1244" s="4">
        <v>58.02</v>
      </c>
      <c r="BO1244" s="4">
        <v>58.02</v>
      </c>
      <c r="BQ1244" t="s">
        <v>147</v>
      </c>
      <c r="BR1244" t="s">
        <v>84</v>
      </c>
      <c r="BS1244" s="3">
        <v>43812</v>
      </c>
      <c r="BT1244" s="5">
        <v>0.38541666666666669</v>
      </c>
      <c r="BU1244" t="s">
        <v>1648</v>
      </c>
      <c r="BV1244" t="s">
        <v>86</v>
      </c>
      <c r="BY1244">
        <v>1200</v>
      </c>
      <c r="CA1244" t="s">
        <v>131</v>
      </c>
      <c r="CC1244" t="s">
        <v>80</v>
      </c>
      <c r="CD1244">
        <v>6001</v>
      </c>
      <c r="CE1244" t="s">
        <v>88</v>
      </c>
      <c r="CF1244" s="3">
        <v>43816</v>
      </c>
      <c r="CI1244">
        <v>1</v>
      </c>
      <c r="CJ1244">
        <v>1</v>
      </c>
      <c r="CK1244">
        <v>21</v>
      </c>
      <c r="CL1244" t="s">
        <v>89</v>
      </c>
    </row>
    <row r="1245" spans="1:90">
      <c r="A1245" t="s">
        <v>72</v>
      </c>
      <c r="B1245" t="s">
        <v>73</v>
      </c>
      <c r="C1245" t="s">
        <v>74</v>
      </c>
      <c r="E1245" t="str">
        <f>"FES1162727961"</f>
        <v>FES1162727961</v>
      </c>
      <c r="F1245" s="3">
        <v>43811</v>
      </c>
      <c r="G1245">
        <v>202006</v>
      </c>
      <c r="H1245" t="s">
        <v>75</v>
      </c>
      <c r="I1245" t="s">
        <v>76</v>
      </c>
      <c r="J1245" t="s">
        <v>77</v>
      </c>
      <c r="K1245" t="s">
        <v>78</v>
      </c>
      <c r="L1245" t="s">
        <v>164</v>
      </c>
      <c r="M1245" t="s">
        <v>165</v>
      </c>
      <c r="N1245" t="s">
        <v>1749</v>
      </c>
      <c r="O1245" t="s">
        <v>82</v>
      </c>
      <c r="P1245" t="str">
        <f>"2170717742                    "</f>
        <v xml:space="preserve">2170717742                    </v>
      </c>
      <c r="Q1245">
        <v>0</v>
      </c>
      <c r="R1245">
        <v>0</v>
      </c>
      <c r="S1245">
        <v>0</v>
      </c>
      <c r="T1245">
        <v>0</v>
      </c>
      <c r="U1245">
        <v>0</v>
      </c>
      <c r="V1245">
        <v>0</v>
      </c>
      <c r="W1245">
        <v>0</v>
      </c>
      <c r="X1245">
        <v>0</v>
      </c>
      <c r="Y1245">
        <v>0</v>
      </c>
      <c r="Z1245">
        <v>0</v>
      </c>
      <c r="AA1245">
        <v>0</v>
      </c>
      <c r="AB1245">
        <v>0</v>
      </c>
      <c r="AC1245">
        <v>0</v>
      </c>
      <c r="AD1245">
        <v>0</v>
      </c>
      <c r="AE1245">
        <v>0</v>
      </c>
      <c r="AF1245">
        <v>0</v>
      </c>
      <c r="AG1245">
        <v>0</v>
      </c>
      <c r="AH1245">
        <v>0</v>
      </c>
      <c r="AI1245">
        <v>0</v>
      </c>
      <c r="AJ1245">
        <v>0</v>
      </c>
      <c r="AK1245">
        <v>0</v>
      </c>
      <c r="AL1245">
        <v>0</v>
      </c>
      <c r="AM1245">
        <v>8.58</v>
      </c>
      <c r="AN1245">
        <v>0</v>
      </c>
      <c r="AO1245">
        <v>0</v>
      </c>
      <c r="AP1245">
        <v>0</v>
      </c>
      <c r="AQ1245">
        <v>0</v>
      </c>
      <c r="AR1245">
        <v>0</v>
      </c>
      <c r="AS1245">
        <v>0</v>
      </c>
      <c r="AT1245">
        <v>0</v>
      </c>
      <c r="AU1245">
        <v>0</v>
      </c>
      <c r="AV1245">
        <v>0</v>
      </c>
      <c r="AW1245">
        <v>0</v>
      </c>
      <c r="AX1245">
        <v>0</v>
      </c>
      <c r="AY1245">
        <v>0</v>
      </c>
      <c r="AZ1245">
        <v>0</v>
      </c>
      <c r="BA1245">
        <v>0</v>
      </c>
      <c r="BB1245">
        <v>0</v>
      </c>
      <c r="BC1245">
        <v>0</v>
      </c>
      <c r="BD1245">
        <v>0</v>
      </c>
      <c r="BE1245">
        <v>0</v>
      </c>
      <c r="BF1245">
        <v>0</v>
      </c>
      <c r="BG1245">
        <v>0</v>
      </c>
      <c r="BH1245">
        <v>1</v>
      </c>
      <c r="BI1245">
        <v>1</v>
      </c>
      <c r="BJ1245">
        <v>0.2</v>
      </c>
      <c r="BK1245">
        <v>1</v>
      </c>
      <c r="BL1245" s="4">
        <v>50.45</v>
      </c>
      <c r="BM1245" s="4">
        <v>7.57</v>
      </c>
      <c r="BN1245" s="4">
        <v>58.02</v>
      </c>
      <c r="BO1245" s="4">
        <v>58.02</v>
      </c>
      <c r="BQ1245" t="s">
        <v>93</v>
      </c>
      <c r="BR1245" t="s">
        <v>84</v>
      </c>
      <c r="BS1245" s="3">
        <v>43812</v>
      </c>
      <c r="BT1245" s="5">
        <v>0.42152777777777778</v>
      </c>
      <c r="BU1245" t="s">
        <v>1750</v>
      </c>
      <c r="BV1245" t="s">
        <v>86</v>
      </c>
      <c r="BY1245">
        <v>1200</v>
      </c>
      <c r="CA1245" t="s">
        <v>168</v>
      </c>
      <c r="CC1245" t="s">
        <v>165</v>
      </c>
      <c r="CD1245">
        <v>5201</v>
      </c>
      <c r="CE1245" t="s">
        <v>88</v>
      </c>
      <c r="CF1245" s="3">
        <v>43816</v>
      </c>
      <c r="CI1245">
        <v>1</v>
      </c>
      <c r="CJ1245">
        <v>1</v>
      </c>
      <c r="CK1245">
        <v>21</v>
      </c>
      <c r="CL1245" t="s">
        <v>89</v>
      </c>
    </row>
    <row r="1246" spans="1:90">
      <c r="A1246" t="s">
        <v>72</v>
      </c>
      <c r="B1246" t="s">
        <v>73</v>
      </c>
      <c r="C1246" t="s">
        <v>74</v>
      </c>
      <c r="E1246" t="str">
        <f>"FES1162727977"</f>
        <v>FES1162727977</v>
      </c>
      <c r="F1246" s="3">
        <v>43811</v>
      </c>
      <c r="G1246">
        <v>202006</v>
      </c>
      <c r="H1246" t="s">
        <v>75</v>
      </c>
      <c r="I1246" t="s">
        <v>76</v>
      </c>
      <c r="J1246" t="s">
        <v>77</v>
      </c>
      <c r="K1246" t="s">
        <v>78</v>
      </c>
      <c r="L1246" t="s">
        <v>79</v>
      </c>
      <c r="M1246" t="s">
        <v>80</v>
      </c>
      <c r="N1246" t="s">
        <v>605</v>
      </c>
      <c r="O1246" t="s">
        <v>82</v>
      </c>
      <c r="P1246" t="str">
        <f>"2170718984                    "</f>
        <v xml:space="preserve">2170718984                    </v>
      </c>
      <c r="Q1246">
        <v>0</v>
      </c>
      <c r="R1246">
        <v>0</v>
      </c>
      <c r="S1246">
        <v>0</v>
      </c>
      <c r="T1246">
        <v>0</v>
      </c>
      <c r="U1246">
        <v>0</v>
      </c>
      <c r="V1246">
        <v>0</v>
      </c>
      <c r="W1246">
        <v>0</v>
      </c>
      <c r="X1246">
        <v>0</v>
      </c>
      <c r="Y1246">
        <v>0</v>
      </c>
      <c r="Z1246">
        <v>0</v>
      </c>
      <c r="AA1246">
        <v>0</v>
      </c>
      <c r="AB1246">
        <v>0</v>
      </c>
      <c r="AC1246">
        <v>0</v>
      </c>
      <c r="AD1246">
        <v>0</v>
      </c>
      <c r="AE1246">
        <v>0</v>
      </c>
      <c r="AF1246">
        <v>0</v>
      </c>
      <c r="AG1246">
        <v>0</v>
      </c>
      <c r="AH1246">
        <v>0</v>
      </c>
      <c r="AI1246">
        <v>0</v>
      </c>
      <c r="AJ1246">
        <v>0</v>
      </c>
      <c r="AK1246">
        <v>0</v>
      </c>
      <c r="AL1246">
        <v>0</v>
      </c>
      <c r="AM1246">
        <v>8.58</v>
      </c>
      <c r="AN1246">
        <v>0</v>
      </c>
      <c r="AO1246">
        <v>0</v>
      </c>
      <c r="AP1246">
        <v>0</v>
      </c>
      <c r="AQ1246">
        <v>0</v>
      </c>
      <c r="AR1246">
        <v>0</v>
      </c>
      <c r="AS1246">
        <v>0</v>
      </c>
      <c r="AT1246">
        <v>0</v>
      </c>
      <c r="AU1246">
        <v>0</v>
      </c>
      <c r="AV1246">
        <v>0</v>
      </c>
      <c r="AW1246">
        <v>0</v>
      </c>
      <c r="AX1246">
        <v>0</v>
      </c>
      <c r="AY1246">
        <v>0</v>
      </c>
      <c r="AZ1246">
        <v>0</v>
      </c>
      <c r="BA1246">
        <v>0</v>
      </c>
      <c r="BB1246">
        <v>0</v>
      </c>
      <c r="BC1246">
        <v>0</v>
      </c>
      <c r="BD1246">
        <v>0</v>
      </c>
      <c r="BE1246">
        <v>0</v>
      </c>
      <c r="BF1246">
        <v>0</v>
      </c>
      <c r="BG1246">
        <v>0</v>
      </c>
      <c r="BH1246">
        <v>1</v>
      </c>
      <c r="BI1246">
        <v>1</v>
      </c>
      <c r="BJ1246">
        <v>0.2</v>
      </c>
      <c r="BK1246">
        <v>1</v>
      </c>
      <c r="BL1246" s="4">
        <v>50.45</v>
      </c>
      <c r="BM1246" s="4">
        <v>7.57</v>
      </c>
      <c r="BN1246" s="4">
        <v>58.02</v>
      </c>
      <c r="BO1246" s="4">
        <v>58.02</v>
      </c>
      <c r="BQ1246" t="s">
        <v>287</v>
      </c>
      <c r="BR1246" t="s">
        <v>84</v>
      </c>
      <c r="BS1246" s="3">
        <v>43812</v>
      </c>
      <c r="BT1246" s="5">
        <v>0.35833333333333334</v>
      </c>
      <c r="BU1246" t="s">
        <v>606</v>
      </c>
      <c r="BV1246" t="s">
        <v>86</v>
      </c>
      <c r="BY1246">
        <v>1200</v>
      </c>
      <c r="CA1246" t="s">
        <v>419</v>
      </c>
      <c r="CC1246" t="s">
        <v>80</v>
      </c>
      <c r="CD1246">
        <v>6001</v>
      </c>
      <c r="CE1246" t="s">
        <v>88</v>
      </c>
      <c r="CF1246" s="3">
        <v>43816</v>
      </c>
      <c r="CI1246">
        <v>1</v>
      </c>
      <c r="CJ1246">
        <v>1</v>
      </c>
      <c r="CK1246">
        <v>21</v>
      </c>
      <c r="CL1246" t="s">
        <v>89</v>
      </c>
    </row>
    <row r="1247" spans="1:90">
      <c r="A1247" t="s">
        <v>72</v>
      </c>
      <c r="B1247" t="s">
        <v>73</v>
      </c>
      <c r="C1247" t="s">
        <v>74</v>
      </c>
      <c r="E1247" t="str">
        <f>"FES1162727975"</f>
        <v>FES1162727975</v>
      </c>
      <c r="F1247" s="3">
        <v>43811</v>
      </c>
      <c r="G1247">
        <v>202006</v>
      </c>
      <c r="H1247" t="s">
        <v>75</v>
      </c>
      <c r="I1247" t="s">
        <v>76</v>
      </c>
      <c r="J1247" t="s">
        <v>77</v>
      </c>
      <c r="K1247" t="s">
        <v>78</v>
      </c>
      <c r="L1247" t="s">
        <v>79</v>
      </c>
      <c r="M1247" t="s">
        <v>80</v>
      </c>
      <c r="N1247" t="s">
        <v>300</v>
      </c>
      <c r="O1247" t="s">
        <v>82</v>
      </c>
      <c r="P1247" t="str">
        <f>"21718944                      "</f>
        <v xml:space="preserve">21718944                      </v>
      </c>
      <c r="Q1247">
        <v>0</v>
      </c>
      <c r="R1247">
        <v>0</v>
      </c>
      <c r="S1247">
        <v>0</v>
      </c>
      <c r="T1247">
        <v>0</v>
      </c>
      <c r="U1247">
        <v>0</v>
      </c>
      <c r="V1247">
        <v>0</v>
      </c>
      <c r="W1247">
        <v>0</v>
      </c>
      <c r="X1247">
        <v>0</v>
      </c>
      <c r="Y1247">
        <v>0</v>
      </c>
      <c r="Z1247">
        <v>0</v>
      </c>
      <c r="AA1247">
        <v>0</v>
      </c>
      <c r="AB1247">
        <v>0</v>
      </c>
      <c r="AC1247">
        <v>0</v>
      </c>
      <c r="AD1247">
        <v>0</v>
      </c>
      <c r="AE1247">
        <v>0</v>
      </c>
      <c r="AF1247">
        <v>0</v>
      </c>
      <c r="AG1247">
        <v>0</v>
      </c>
      <c r="AH1247">
        <v>0</v>
      </c>
      <c r="AI1247">
        <v>0</v>
      </c>
      <c r="AJ1247">
        <v>0</v>
      </c>
      <c r="AK1247">
        <v>0</v>
      </c>
      <c r="AL1247">
        <v>0</v>
      </c>
      <c r="AM1247">
        <v>8.58</v>
      </c>
      <c r="AN1247">
        <v>0</v>
      </c>
      <c r="AO1247">
        <v>0</v>
      </c>
      <c r="AP1247">
        <v>0</v>
      </c>
      <c r="AQ1247">
        <v>0</v>
      </c>
      <c r="AR1247">
        <v>0</v>
      </c>
      <c r="AS1247">
        <v>0</v>
      </c>
      <c r="AT1247">
        <v>0</v>
      </c>
      <c r="AU1247">
        <v>0</v>
      </c>
      <c r="AV1247">
        <v>0</v>
      </c>
      <c r="AW1247">
        <v>0</v>
      </c>
      <c r="AX1247">
        <v>0</v>
      </c>
      <c r="AY1247">
        <v>0</v>
      </c>
      <c r="AZ1247">
        <v>0</v>
      </c>
      <c r="BA1247">
        <v>0</v>
      </c>
      <c r="BB1247">
        <v>0</v>
      </c>
      <c r="BC1247">
        <v>0</v>
      </c>
      <c r="BD1247">
        <v>0</v>
      </c>
      <c r="BE1247">
        <v>0</v>
      </c>
      <c r="BF1247">
        <v>0</v>
      </c>
      <c r="BG1247">
        <v>0</v>
      </c>
      <c r="BH1247">
        <v>1</v>
      </c>
      <c r="BI1247">
        <v>1</v>
      </c>
      <c r="BJ1247">
        <v>0.2</v>
      </c>
      <c r="BK1247">
        <v>1</v>
      </c>
      <c r="BL1247" s="4">
        <v>50.45</v>
      </c>
      <c r="BM1247" s="4">
        <v>7.57</v>
      </c>
      <c r="BN1247" s="4">
        <v>58.02</v>
      </c>
      <c r="BO1247" s="4">
        <v>58.02</v>
      </c>
      <c r="BQ1247" t="s">
        <v>147</v>
      </c>
      <c r="BR1247" t="s">
        <v>84</v>
      </c>
      <c r="BS1247" s="3">
        <v>43816</v>
      </c>
      <c r="BT1247" s="5">
        <v>0.5</v>
      </c>
      <c r="BU1247" t="s">
        <v>562</v>
      </c>
      <c r="BV1247" t="s">
        <v>89</v>
      </c>
      <c r="BW1247" t="s">
        <v>1254</v>
      </c>
      <c r="BX1247" t="s">
        <v>594</v>
      </c>
      <c r="BY1247">
        <v>1200</v>
      </c>
      <c r="CC1247" t="s">
        <v>80</v>
      </c>
      <c r="CD1247">
        <v>6001</v>
      </c>
      <c r="CE1247" t="s">
        <v>88</v>
      </c>
      <c r="CF1247" s="3">
        <v>43818</v>
      </c>
      <c r="CI1247">
        <v>1</v>
      </c>
      <c r="CJ1247">
        <v>3</v>
      </c>
      <c r="CK1247">
        <v>21</v>
      </c>
      <c r="CL1247" t="s">
        <v>89</v>
      </c>
    </row>
    <row r="1248" spans="1:90">
      <c r="A1248" t="s">
        <v>72</v>
      </c>
      <c r="B1248" t="s">
        <v>73</v>
      </c>
      <c r="C1248" t="s">
        <v>74</v>
      </c>
      <c r="E1248" t="str">
        <f>"FES1162728013"</f>
        <v>FES1162728013</v>
      </c>
      <c r="F1248" s="3">
        <v>43811</v>
      </c>
      <c r="G1248">
        <v>202006</v>
      </c>
      <c r="H1248" t="s">
        <v>75</v>
      </c>
      <c r="I1248" t="s">
        <v>76</v>
      </c>
      <c r="J1248" t="s">
        <v>77</v>
      </c>
      <c r="K1248" t="s">
        <v>78</v>
      </c>
      <c r="L1248" t="s">
        <v>79</v>
      </c>
      <c r="M1248" t="s">
        <v>80</v>
      </c>
      <c r="N1248" t="s">
        <v>300</v>
      </c>
      <c r="O1248" t="s">
        <v>82</v>
      </c>
      <c r="P1248" t="str">
        <f>"2170719809                    "</f>
        <v xml:space="preserve">2170719809                    </v>
      </c>
      <c r="Q1248">
        <v>0</v>
      </c>
      <c r="R1248">
        <v>0</v>
      </c>
      <c r="S1248">
        <v>0</v>
      </c>
      <c r="T1248">
        <v>0</v>
      </c>
      <c r="U1248">
        <v>0</v>
      </c>
      <c r="V1248">
        <v>0</v>
      </c>
      <c r="W1248">
        <v>0</v>
      </c>
      <c r="X1248">
        <v>0</v>
      </c>
      <c r="Y1248">
        <v>0</v>
      </c>
      <c r="Z1248">
        <v>0</v>
      </c>
      <c r="AA1248">
        <v>0</v>
      </c>
      <c r="AB1248">
        <v>0</v>
      </c>
      <c r="AC1248">
        <v>0</v>
      </c>
      <c r="AD1248">
        <v>0</v>
      </c>
      <c r="AE1248">
        <v>0</v>
      </c>
      <c r="AF1248">
        <v>0</v>
      </c>
      <c r="AG1248">
        <v>0</v>
      </c>
      <c r="AH1248">
        <v>0</v>
      </c>
      <c r="AI1248">
        <v>0</v>
      </c>
      <c r="AJ1248">
        <v>0</v>
      </c>
      <c r="AK1248">
        <v>0</v>
      </c>
      <c r="AL1248">
        <v>0</v>
      </c>
      <c r="AM1248">
        <v>8.58</v>
      </c>
      <c r="AN1248">
        <v>0</v>
      </c>
      <c r="AO1248">
        <v>0</v>
      </c>
      <c r="AP1248">
        <v>0</v>
      </c>
      <c r="AQ1248">
        <v>0</v>
      </c>
      <c r="AR1248">
        <v>0</v>
      </c>
      <c r="AS1248">
        <v>0</v>
      </c>
      <c r="AT1248">
        <v>0</v>
      </c>
      <c r="AU1248">
        <v>0</v>
      </c>
      <c r="AV1248">
        <v>0</v>
      </c>
      <c r="AW1248">
        <v>0</v>
      </c>
      <c r="AX1248">
        <v>0</v>
      </c>
      <c r="AY1248">
        <v>0</v>
      </c>
      <c r="AZ1248">
        <v>0</v>
      </c>
      <c r="BA1248">
        <v>0</v>
      </c>
      <c r="BB1248">
        <v>0</v>
      </c>
      <c r="BC1248">
        <v>0</v>
      </c>
      <c r="BD1248">
        <v>0</v>
      </c>
      <c r="BE1248">
        <v>0</v>
      </c>
      <c r="BF1248">
        <v>0</v>
      </c>
      <c r="BG1248">
        <v>0</v>
      </c>
      <c r="BH1248">
        <v>1</v>
      </c>
      <c r="BI1248">
        <v>1</v>
      </c>
      <c r="BJ1248">
        <v>0.2</v>
      </c>
      <c r="BK1248">
        <v>1</v>
      </c>
      <c r="BL1248" s="4">
        <v>50.45</v>
      </c>
      <c r="BM1248" s="4">
        <v>7.57</v>
      </c>
      <c r="BN1248" s="4">
        <v>58.02</v>
      </c>
      <c r="BO1248" s="4">
        <v>58.02</v>
      </c>
      <c r="BQ1248" t="s">
        <v>147</v>
      </c>
      <c r="BR1248" t="s">
        <v>84</v>
      </c>
      <c r="BS1248" s="3">
        <v>43816</v>
      </c>
      <c r="BT1248" s="5">
        <v>0.5</v>
      </c>
      <c r="BU1248" t="s">
        <v>562</v>
      </c>
      <c r="BV1248" t="s">
        <v>89</v>
      </c>
      <c r="BW1248" t="s">
        <v>1254</v>
      </c>
      <c r="BX1248" t="s">
        <v>594</v>
      </c>
      <c r="BY1248">
        <v>1200</v>
      </c>
      <c r="CC1248" t="s">
        <v>80</v>
      </c>
      <c r="CD1248">
        <v>6001</v>
      </c>
      <c r="CE1248" t="s">
        <v>88</v>
      </c>
      <c r="CF1248" s="3">
        <v>43818</v>
      </c>
      <c r="CI1248">
        <v>1</v>
      </c>
      <c r="CJ1248">
        <v>3</v>
      </c>
      <c r="CK1248">
        <v>21</v>
      </c>
      <c r="CL1248" t="s">
        <v>89</v>
      </c>
    </row>
    <row r="1249" spans="1:90">
      <c r="A1249" t="s">
        <v>72</v>
      </c>
      <c r="B1249" t="s">
        <v>73</v>
      </c>
      <c r="C1249" t="s">
        <v>74</v>
      </c>
      <c r="E1249" t="str">
        <f>"FES1162727978"</f>
        <v>FES1162727978</v>
      </c>
      <c r="F1249" s="3">
        <v>43811</v>
      </c>
      <c r="G1249">
        <v>202006</v>
      </c>
      <c r="H1249" t="s">
        <v>75</v>
      </c>
      <c r="I1249" t="s">
        <v>76</v>
      </c>
      <c r="J1249" t="s">
        <v>77</v>
      </c>
      <c r="K1249" t="s">
        <v>78</v>
      </c>
      <c r="L1249" t="s">
        <v>164</v>
      </c>
      <c r="M1249" t="s">
        <v>165</v>
      </c>
      <c r="N1249" t="s">
        <v>369</v>
      </c>
      <c r="O1249" t="s">
        <v>82</v>
      </c>
      <c r="P1249" t="str">
        <f>"2170719003                    "</f>
        <v xml:space="preserve">2170719003                    </v>
      </c>
      <c r="Q1249">
        <v>0</v>
      </c>
      <c r="R1249">
        <v>0</v>
      </c>
      <c r="S1249">
        <v>0</v>
      </c>
      <c r="T1249">
        <v>0</v>
      </c>
      <c r="U1249">
        <v>0</v>
      </c>
      <c r="V1249">
        <v>0</v>
      </c>
      <c r="W1249">
        <v>0</v>
      </c>
      <c r="X1249">
        <v>0</v>
      </c>
      <c r="Y1249">
        <v>0</v>
      </c>
      <c r="Z1249">
        <v>0</v>
      </c>
      <c r="AA1249">
        <v>0</v>
      </c>
      <c r="AB1249">
        <v>0</v>
      </c>
      <c r="AC1249">
        <v>0</v>
      </c>
      <c r="AD1249">
        <v>0</v>
      </c>
      <c r="AE1249">
        <v>0</v>
      </c>
      <c r="AF1249">
        <v>0</v>
      </c>
      <c r="AG1249">
        <v>0</v>
      </c>
      <c r="AH1249">
        <v>0</v>
      </c>
      <c r="AI1249">
        <v>0</v>
      </c>
      <c r="AJ1249">
        <v>0</v>
      </c>
      <c r="AK1249">
        <v>0</v>
      </c>
      <c r="AL1249">
        <v>0</v>
      </c>
      <c r="AM1249">
        <v>8.58</v>
      </c>
      <c r="AN1249">
        <v>0</v>
      </c>
      <c r="AO1249">
        <v>0</v>
      </c>
      <c r="AP1249">
        <v>0</v>
      </c>
      <c r="AQ1249">
        <v>0</v>
      </c>
      <c r="AR1249">
        <v>0</v>
      </c>
      <c r="AS1249">
        <v>0</v>
      </c>
      <c r="AT1249">
        <v>0</v>
      </c>
      <c r="AU1249">
        <v>0</v>
      </c>
      <c r="AV1249">
        <v>0</v>
      </c>
      <c r="AW1249">
        <v>0</v>
      </c>
      <c r="AX1249">
        <v>0</v>
      </c>
      <c r="AY1249">
        <v>0</v>
      </c>
      <c r="AZ1249">
        <v>0</v>
      </c>
      <c r="BA1249">
        <v>0</v>
      </c>
      <c r="BB1249">
        <v>0</v>
      </c>
      <c r="BC1249">
        <v>0</v>
      </c>
      <c r="BD1249">
        <v>0</v>
      </c>
      <c r="BE1249">
        <v>0</v>
      </c>
      <c r="BF1249">
        <v>0</v>
      </c>
      <c r="BG1249">
        <v>0</v>
      </c>
      <c r="BH1249">
        <v>1</v>
      </c>
      <c r="BI1249">
        <v>1</v>
      </c>
      <c r="BJ1249">
        <v>0.2</v>
      </c>
      <c r="BK1249">
        <v>1</v>
      </c>
      <c r="BL1249" s="4">
        <v>50.45</v>
      </c>
      <c r="BM1249" s="4">
        <v>7.57</v>
      </c>
      <c r="BN1249" s="4">
        <v>58.02</v>
      </c>
      <c r="BO1249" s="4">
        <v>58.02</v>
      </c>
      <c r="BQ1249" t="s">
        <v>93</v>
      </c>
      <c r="BR1249" t="s">
        <v>84</v>
      </c>
      <c r="BS1249" s="3">
        <v>43812</v>
      </c>
      <c r="BT1249" s="5">
        <v>0.43263888888888885</v>
      </c>
      <c r="BU1249" t="s">
        <v>1013</v>
      </c>
      <c r="BV1249" t="s">
        <v>86</v>
      </c>
      <c r="BY1249">
        <v>1200</v>
      </c>
      <c r="CA1249" t="s">
        <v>1647</v>
      </c>
      <c r="CC1249" t="s">
        <v>165</v>
      </c>
      <c r="CD1249">
        <v>5201</v>
      </c>
      <c r="CE1249" t="s">
        <v>88</v>
      </c>
      <c r="CF1249" s="3">
        <v>43816</v>
      </c>
      <c r="CI1249">
        <v>1</v>
      </c>
      <c r="CJ1249">
        <v>1</v>
      </c>
      <c r="CK1249">
        <v>21</v>
      </c>
      <c r="CL1249" t="s">
        <v>89</v>
      </c>
    </row>
    <row r="1250" spans="1:90">
      <c r="A1250" t="s">
        <v>72</v>
      </c>
      <c r="B1250" t="s">
        <v>73</v>
      </c>
      <c r="C1250" t="s">
        <v>74</v>
      </c>
      <c r="E1250" t="str">
        <f>"FES1162728103"</f>
        <v>FES1162728103</v>
      </c>
      <c r="F1250" s="3">
        <v>43811</v>
      </c>
      <c r="G1250">
        <v>202006</v>
      </c>
      <c r="H1250" t="s">
        <v>75</v>
      </c>
      <c r="I1250" t="s">
        <v>76</v>
      </c>
      <c r="J1250" t="s">
        <v>77</v>
      </c>
      <c r="K1250" t="s">
        <v>78</v>
      </c>
      <c r="L1250" t="s">
        <v>332</v>
      </c>
      <c r="M1250" t="s">
        <v>333</v>
      </c>
      <c r="N1250" t="s">
        <v>1751</v>
      </c>
      <c r="O1250" t="s">
        <v>82</v>
      </c>
      <c r="P1250" t="str">
        <f>"2170715627                    "</f>
        <v xml:space="preserve">2170715627                    </v>
      </c>
      <c r="Q1250">
        <v>0</v>
      </c>
      <c r="R1250">
        <v>0</v>
      </c>
      <c r="S1250">
        <v>0</v>
      </c>
      <c r="T1250">
        <v>0</v>
      </c>
      <c r="U1250">
        <v>0</v>
      </c>
      <c r="V1250">
        <v>0</v>
      </c>
      <c r="W1250">
        <v>0</v>
      </c>
      <c r="X1250">
        <v>0</v>
      </c>
      <c r="Y1250">
        <v>0</v>
      </c>
      <c r="Z1250">
        <v>0</v>
      </c>
      <c r="AA1250">
        <v>0</v>
      </c>
      <c r="AB1250">
        <v>0</v>
      </c>
      <c r="AC1250">
        <v>0</v>
      </c>
      <c r="AD1250">
        <v>0</v>
      </c>
      <c r="AE1250">
        <v>0</v>
      </c>
      <c r="AF1250">
        <v>0</v>
      </c>
      <c r="AG1250">
        <v>0</v>
      </c>
      <c r="AH1250">
        <v>0</v>
      </c>
      <c r="AI1250">
        <v>0</v>
      </c>
      <c r="AJ1250">
        <v>0</v>
      </c>
      <c r="AK1250">
        <v>0</v>
      </c>
      <c r="AL1250">
        <v>0</v>
      </c>
      <c r="AM1250">
        <v>6.71</v>
      </c>
      <c r="AN1250">
        <v>0</v>
      </c>
      <c r="AO1250">
        <v>0</v>
      </c>
      <c r="AP1250">
        <v>0</v>
      </c>
      <c r="AQ1250">
        <v>0</v>
      </c>
      <c r="AR1250">
        <v>0</v>
      </c>
      <c r="AS1250">
        <v>0</v>
      </c>
      <c r="AT1250">
        <v>0</v>
      </c>
      <c r="AU1250">
        <v>0</v>
      </c>
      <c r="AV1250">
        <v>0</v>
      </c>
      <c r="AW1250">
        <v>0</v>
      </c>
      <c r="AX1250">
        <v>0</v>
      </c>
      <c r="AY1250">
        <v>0</v>
      </c>
      <c r="AZ1250">
        <v>0</v>
      </c>
      <c r="BA1250">
        <v>0</v>
      </c>
      <c r="BB1250">
        <v>0</v>
      </c>
      <c r="BC1250">
        <v>0</v>
      </c>
      <c r="BD1250">
        <v>0</v>
      </c>
      <c r="BE1250">
        <v>0</v>
      </c>
      <c r="BF1250">
        <v>0</v>
      </c>
      <c r="BG1250">
        <v>0</v>
      </c>
      <c r="BH1250">
        <v>1</v>
      </c>
      <c r="BI1250">
        <v>1</v>
      </c>
      <c r="BJ1250">
        <v>0.2</v>
      </c>
      <c r="BK1250">
        <v>1</v>
      </c>
      <c r="BL1250" s="4">
        <v>39.42</v>
      </c>
      <c r="BM1250" s="4">
        <v>5.91</v>
      </c>
      <c r="BN1250" s="4">
        <v>45.33</v>
      </c>
      <c r="BO1250" s="4">
        <v>45.33</v>
      </c>
      <c r="BQ1250" t="s">
        <v>1752</v>
      </c>
      <c r="BR1250" t="s">
        <v>84</v>
      </c>
      <c r="BS1250" s="3">
        <v>43812</v>
      </c>
      <c r="BT1250" s="5">
        <v>0.36388888888888887</v>
      </c>
      <c r="BU1250" t="s">
        <v>1753</v>
      </c>
      <c r="BV1250" t="s">
        <v>86</v>
      </c>
      <c r="BY1250">
        <v>1200</v>
      </c>
      <c r="CA1250" t="s">
        <v>700</v>
      </c>
      <c r="CC1250" t="s">
        <v>333</v>
      </c>
      <c r="CD1250">
        <v>2049</v>
      </c>
      <c r="CE1250" t="s">
        <v>88</v>
      </c>
      <c r="CF1250" s="3">
        <v>43816</v>
      </c>
      <c r="CI1250">
        <v>1</v>
      </c>
      <c r="CJ1250">
        <v>1</v>
      </c>
      <c r="CK1250">
        <v>22</v>
      </c>
      <c r="CL1250" t="s">
        <v>89</v>
      </c>
    </row>
    <row r="1251" spans="1:90">
      <c r="A1251" t="s">
        <v>72</v>
      </c>
      <c r="B1251" t="s">
        <v>73</v>
      </c>
      <c r="C1251" t="s">
        <v>74</v>
      </c>
      <c r="E1251" t="str">
        <f>"FES1162728168"</f>
        <v>FES1162728168</v>
      </c>
      <c r="F1251" s="3">
        <v>43811</v>
      </c>
      <c r="G1251">
        <v>202006</v>
      </c>
      <c r="H1251" t="s">
        <v>75</v>
      </c>
      <c r="I1251" t="s">
        <v>76</v>
      </c>
      <c r="J1251" t="s">
        <v>77</v>
      </c>
      <c r="K1251" t="s">
        <v>78</v>
      </c>
      <c r="L1251" t="s">
        <v>169</v>
      </c>
      <c r="M1251" t="s">
        <v>170</v>
      </c>
      <c r="N1251" t="s">
        <v>1754</v>
      </c>
      <c r="O1251" t="s">
        <v>82</v>
      </c>
      <c r="P1251" t="str">
        <f>"217071489                     "</f>
        <v xml:space="preserve">217071489                     </v>
      </c>
      <c r="Q1251">
        <v>0</v>
      </c>
      <c r="R1251">
        <v>0</v>
      </c>
      <c r="S1251">
        <v>0</v>
      </c>
      <c r="T1251">
        <v>0</v>
      </c>
      <c r="U1251">
        <v>0</v>
      </c>
      <c r="V1251">
        <v>0</v>
      </c>
      <c r="W1251">
        <v>0</v>
      </c>
      <c r="X1251">
        <v>0</v>
      </c>
      <c r="Y1251">
        <v>0</v>
      </c>
      <c r="Z1251">
        <v>0</v>
      </c>
      <c r="AA1251">
        <v>0</v>
      </c>
      <c r="AB1251">
        <v>0</v>
      </c>
      <c r="AC1251">
        <v>0</v>
      </c>
      <c r="AD1251">
        <v>0</v>
      </c>
      <c r="AE1251">
        <v>0</v>
      </c>
      <c r="AF1251">
        <v>0</v>
      </c>
      <c r="AG1251">
        <v>0</v>
      </c>
      <c r="AH1251">
        <v>0</v>
      </c>
      <c r="AI1251">
        <v>0</v>
      </c>
      <c r="AJ1251">
        <v>0</v>
      </c>
      <c r="AK1251">
        <v>0</v>
      </c>
      <c r="AL1251">
        <v>0</v>
      </c>
      <c r="AM1251">
        <v>6.71</v>
      </c>
      <c r="AN1251">
        <v>0</v>
      </c>
      <c r="AO1251">
        <v>0</v>
      </c>
      <c r="AP1251">
        <v>0</v>
      </c>
      <c r="AQ1251">
        <v>0</v>
      </c>
      <c r="AR1251">
        <v>0</v>
      </c>
      <c r="AS1251">
        <v>0</v>
      </c>
      <c r="AT1251">
        <v>0</v>
      </c>
      <c r="AU1251">
        <v>0</v>
      </c>
      <c r="AV1251">
        <v>0</v>
      </c>
      <c r="AW1251">
        <v>0</v>
      </c>
      <c r="AX1251">
        <v>0</v>
      </c>
      <c r="AY1251">
        <v>0</v>
      </c>
      <c r="AZ1251">
        <v>0</v>
      </c>
      <c r="BA1251">
        <v>0</v>
      </c>
      <c r="BB1251">
        <v>0</v>
      </c>
      <c r="BC1251">
        <v>0</v>
      </c>
      <c r="BD1251">
        <v>0</v>
      </c>
      <c r="BE1251">
        <v>0</v>
      </c>
      <c r="BF1251">
        <v>0</v>
      </c>
      <c r="BG1251">
        <v>0</v>
      </c>
      <c r="BH1251">
        <v>1</v>
      </c>
      <c r="BI1251">
        <v>1</v>
      </c>
      <c r="BJ1251">
        <v>0.2</v>
      </c>
      <c r="BK1251">
        <v>1</v>
      </c>
      <c r="BL1251" s="4">
        <v>39.42</v>
      </c>
      <c r="BM1251" s="4">
        <v>5.91</v>
      </c>
      <c r="BN1251" s="4">
        <v>45.33</v>
      </c>
      <c r="BO1251" s="4">
        <v>45.33</v>
      </c>
      <c r="BQ1251" t="s">
        <v>147</v>
      </c>
      <c r="BR1251" t="s">
        <v>84</v>
      </c>
      <c r="BS1251" s="3">
        <v>43812</v>
      </c>
      <c r="BT1251" s="5">
        <v>0.2638888888888889</v>
      </c>
      <c r="BU1251" t="s">
        <v>1755</v>
      </c>
      <c r="BV1251" t="s">
        <v>86</v>
      </c>
      <c r="BY1251">
        <v>1200</v>
      </c>
      <c r="CC1251" t="s">
        <v>170</v>
      </c>
      <c r="CD1251">
        <v>1459</v>
      </c>
      <c r="CE1251" t="s">
        <v>88</v>
      </c>
      <c r="CF1251" s="3">
        <v>43816</v>
      </c>
      <c r="CI1251">
        <v>1</v>
      </c>
      <c r="CJ1251">
        <v>1</v>
      </c>
      <c r="CK1251">
        <v>22</v>
      </c>
      <c r="CL1251" t="s">
        <v>89</v>
      </c>
    </row>
    <row r="1252" spans="1:90">
      <c r="A1252" t="s">
        <v>72</v>
      </c>
      <c r="B1252" t="s">
        <v>73</v>
      </c>
      <c r="C1252" t="s">
        <v>74</v>
      </c>
      <c r="E1252" t="str">
        <f>"FES1162728031"</f>
        <v>FES1162728031</v>
      </c>
      <c r="F1252" s="3">
        <v>43811</v>
      </c>
      <c r="G1252">
        <v>202006</v>
      </c>
      <c r="H1252" t="s">
        <v>75</v>
      </c>
      <c r="I1252" t="s">
        <v>76</v>
      </c>
      <c r="J1252" t="s">
        <v>77</v>
      </c>
      <c r="K1252" t="s">
        <v>78</v>
      </c>
      <c r="L1252" t="s">
        <v>361</v>
      </c>
      <c r="M1252" t="s">
        <v>362</v>
      </c>
      <c r="N1252" t="s">
        <v>363</v>
      </c>
      <c r="O1252" t="s">
        <v>82</v>
      </c>
      <c r="P1252" t="str">
        <f>"217721459                     "</f>
        <v xml:space="preserve">217721459                     </v>
      </c>
      <c r="Q1252">
        <v>0</v>
      </c>
      <c r="R1252">
        <v>0</v>
      </c>
      <c r="S1252">
        <v>0</v>
      </c>
      <c r="T1252">
        <v>0</v>
      </c>
      <c r="U1252">
        <v>0</v>
      </c>
      <c r="V1252">
        <v>0</v>
      </c>
      <c r="W1252">
        <v>0</v>
      </c>
      <c r="X1252">
        <v>0</v>
      </c>
      <c r="Y1252">
        <v>0</v>
      </c>
      <c r="Z1252">
        <v>0</v>
      </c>
      <c r="AA1252">
        <v>0</v>
      </c>
      <c r="AB1252">
        <v>0</v>
      </c>
      <c r="AC1252">
        <v>0</v>
      </c>
      <c r="AD1252">
        <v>0</v>
      </c>
      <c r="AE1252">
        <v>0</v>
      </c>
      <c r="AF1252">
        <v>0</v>
      </c>
      <c r="AG1252">
        <v>0</v>
      </c>
      <c r="AH1252">
        <v>0</v>
      </c>
      <c r="AI1252">
        <v>0</v>
      </c>
      <c r="AJ1252">
        <v>0</v>
      </c>
      <c r="AK1252">
        <v>0</v>
      </c>
      <c r="AL1252">
        <v>0</v>
      </c>
      <c r="AM1252">
        <v>8.58</v>
      </c>
      <c r="AN1252">
        <v>0</v>
      </c>
      <c r="AO1252">
        <v>0</v>
      </c>
      <c r="AP1252">
        <v>0</v>
      </c>
      <c r="AQ1252">
        <v>0</v>
      </c>
      <c r="AR1252">
        <v>0</v>
      </c>
      <c r="AS1252">
        <v>0</v>
      </c>
      <c r="AT1252">
        <v>0</v>
      </c>
      <c r="AU1252">
        <v>0</v>
      </c>
      <c r="AV1252">
        <v>0</v>
      </c>
      <c r="AW1252">
        <v>0</v>
      </c>
      <c r="AX1252">
        <v>0</v>
      </c>
      <c r="AY1252">
        <v>0</v>
      </c>
      <c r="AZ1252">
        <v>0</v>
      </c>
      <c r="BA1252">
        <v>0</v>
      </c>
      <c r="BB1252">
        <v>0</v>
      </c>
      <c r="BC1252">
        <v>0</v>
      </c>
      <c r="BD1252">
        <v>0</v>
      </c>
      <c r="BE1252">
        <v>0</v>
      </c>
      <c r="BF1252">
        <v>0</v>
      </c>
      <c r="BG1252">
        <v>0</v>
      </c>
      <c r="BH1252">
        <v>1</v>
      </c>
      <c r="BI1252">
        <v>1</v>
      </c>
      <c r="BJ1252">
        <v>0.2</v>
      </c>
      <c r="BK1252">
        <v>1</v>
      </c>
      <c r="BL1252" s="4">
        <v>50.45</v>
      </c>
      <c r="BM1252" s="4">
        <v>7.57</v>
      </c>
      <c r="BN1252" s="4">
        <v>58.02</v>
      </c>
      <c r="BO1252" s="4">
        <v>58.02</v>
      </c>
      <c r="BQ1252" t="s">
        <v>93</v>
      </c>
      <c r="BR1252" t="s">
        <v>84</v>
      </c>
      <c r="BS1252" s="3">
        <v>43812</v>
      </c>
      <c r="BT1252" s="5">
        <v>0.37638888888888888</v>
      </c>
      <c r="BU1252" t="s">
        <v>364</v>
      </c>
      <c r="BV1252" t="s">
        <v>86</v>
      </c>
      <c r="BY1252">
        <v>1200</v>
      </c>
      <c r="CA1252" t="s">
        <v>185</v>
      </c>
      <c r="CC1252" t="s">
        <v>362</v>
      </c>
      <c r="CD1252">
        <v>6220</v>
      </c>
      <c r="CE1252" t="s">
        <v>88</v>
      </c>
      <c r="CF1252" s="3">
        <v>43816</v>
      </c>
      <c r="CI1252">
        <v>1</v>
      </c>
      <c r="CJ1252">
        <v>1</v>
      </c>
      <c r="CK1252">
        <v>21</v>
      </c>
      <c r="CL1252" t="s">
        <v>89</v>
      </c>
    </row>
    <row r="1253" spans="1:90">
      <c r="A1253" t="s">
        <v>72</v>
      </c>
      <c r="B1253" t="s">
        <v>73</v>
      </c>
      <c r="C1253" t="s">
        <v>74</v>
      </c>
      <c r="E1253" t="str">
        <f>"FES1162728011"</f>
        <v>FES1162728011</v>
      </c>
      <c r="F1253" s="3">
        <v>43811</v>
      </c>
      <c r="G1253">
        <v>202006</v>
      </c>
      <c r="H1253" t="s">
        <v>75</v>
      </c>
      <c r="I1253" t="s">
        <v>76</v>
      </c>
      <c r="J1253" t="s">
        <v>77</v>
      </c>
      <c r="K1253" t="s">
        <v>78</v>
      </c>
      <c r="L1253" t="s">
        <v>332</v>
      </c>
      <c r="M1253" t="s">
        <v>333</v>
      </c>
      <c r="N1253" t="s">
        <v>1756</v>
      </c>
      <c r="O1253" t="s">
        <v>82</v>
      </c>
      <c r="P1253" t="str">
        <f>"2170719493                    "</f>
        <v xml:space="preserve">2170719493                    </v>
      </c>
      <c r="Q1253">
        <v>0</v>
      </c>
      <c r="R1253">
        <v>0</v>
      </c>
      <c r="S1253">
        <v>0</v>
      </c>
      <c r="T1253">
        <v>0</v>
      </c>
      <c r="U1253">
        <v>0</v>
      </c>
      <c r="V1253">
        <v>0</v>
      </c>
      <c r="W1253">
        <v>0</v>
      </c>
      <c r="X1253">
        <v>0</v>
      </c>
      <c r="Y1253">
        <v>0</v>
      </c>
      <c r="Z1253">
        <v>0</v>
      </c>
      <c r="AA1253">
        <v>0</v>
      </c>
      <c r="AB1253">
        <v>0</v>
      </c>
      <c r="AC1253">
        <v>0</v>
      </c>
      <c r="AD1253">
        <v>0</v>
      </c>
      <c r="AE1253">
        <v>0</v>
      </c>
      <c r="AF1253">
        <v>0</v>
      </c>
      <c r="AG1253">
        <v>0</v>
      </c>
      <c r="AH1253">
        <v>0</v>
      </c>
      <c r="AI1253">
        <v>0</v>
      </c>
      <c r="AJ1253">
        <v>0</v>
      </c>
      <c r="AK1253">
        <v>0</v>
      </c>
      <c r="AL1253">
        <v>0</v>
      </c>
      <c r="AM1253">
        <v>6.71</v>
      </c>
      <c r="AN1253">
        <v>0</v>
      </c>
      <c r="AO1253">
        <v>0</v>
      </c>
      <c r="AP1253">
        <v>0</v>
      </c>
      <c r="AQ1253">
        <v>0</v>
      </c>
      <c r="AR1253">
        <v>0</v>
      </c>
      <c r="AS1253">
        <v>0</v>
      </c>
      <c r="AT1253">
        <v>0</v>
      </c>
      <c r="AU1253">
        <v>0</v>
      </c>
      <c r="AV1253">
        <v>0</v>
      </c>
      <c r="AW1253">
        <v>0</v>
      </c>
      <c r="AX1253">
        <v>0</v>
      </c>
      <c r="AY1253">
        <v>0</v>
      </c>
      <c r="AZ1253">
        <v>0</v>
      </c>
      <c r="BA1253">
        <v>0</v>
      </c>
      <c r="BB1253">
        <v>0</v>
      </c>
      <c r="BC1253">
        <v>0</v>
      </c>
      <c r="BD1253">
        <v>0</v>
      </c>
      <c r="BE1253">
        <v>0</v>
      </c>
      <c r="BF1253">
        <v>0</v>
      </c>
      <c r="BG1253">
        <v>0</v>
      </c>
      <c r="BH1253">
        <v>1</v>
      </c>
      <c r="BI1253">
        <v>1</v>
      </c>
      <c r="BJ1253">
        <v>0.2</v>
      </c>
      <c r="BK1253">
        <v>1</v>
      </c>
      <c r="BL1253" s="4">
        <v>39.42</v>
      </c>
      <c r="BM1253" s="4">
        <v>5.91</v>
      </c>
      <c r="BN1253" s="4">
        <v>45.33</v>
      </c>
      <c r="BO1253" s="4">
        <v>45.33</v>
      </c>
      <c r="BQ1253" t="s">
        <v>135</v>
      </c>
      <c r="BR1253" t="s">
        <v>84</v>
      </c>
      <c r="BS1253" s="3">
        <v>43812</v>
      </c>
      <c r="BT1253" s="5">
        <v>0.33333333333333331</v>
      </c>
      <c r="BU1253" t="s">
        <v>1757</v>
      </c>
      <c r="BV1253" t="s">
        <v>86</v>
      </c>
      <c r="BY1253">
        <v>1200</v>
      </c>
      <c r="CC1253" t="s">
        <v>333</v>
      </c>
      <c r="CD1253">
        <v>2013</v>
      </c>
      <c r="CE1253" t="s">
        <v>88</v>
      </c>
      <c r="CF1253" s="3">
        <v>43816</v>
      </c>
      <c r="CI1253">
        <v>1</v>
      </c>
      <c r="CJ1253">
        <v>1</v>
      </c>
      <c r="CK1253">
        <v>22</v>
      </c>
      <c r="CL1253" t="s">
        <v>89</v>
      </c>
    </row>
    <row r="1254" spans="1:90">
      <c r="A1254" t="s">
        <v>72</v>
      </c>
      <c r="B1254" t="s">
        <v>73</v>
      </c>
      <c r="C1254" t="s">
        <v>74</v>
      </c>
      <c r="E1254" t="str">
        <f>"FES1162728119"</f>
        <v>FES1162728119</v>
      </c>
      <c r="F1254" s="3">
        <v>43811</v>
      </c>
      <c r="G1254">
        <v>202006</v>
      </c>
      <c r="H1254" t="s">
        <v>75</v>
      </c>
      <c r="I1254" t="s">
        <v>76</v>
      </c>
      <c r="J1254" t="s">
        <v>77</v>
      </c>
      <c r="K1254" t="s">
        <v>78</v>
      </c>
      <c r="L1254" t="s">
        <v>169</v>
      </c>
      <c r="M1254" t="s">
        <v>170</v>
      </c>
      <c r="N1254" t="s">
        <v>248</v>
      </c>
      <c r="O1254" t="s">
        <v>82</v>
      </c>
      <c r="P1254" t="str">
        <f>"2170718725                    "</f>
        <v xml:space="preserve">2170718725                    </v>
      </c>
      <c r="Q1254">
        <v>0</v>
      </c>
      <c r="R1254">
        <v>0</v>
      </c>
      <c r="S1254">
        <v>0</v>
      </c>
      <c r="T1254">
        <v>0</v>
      </c>
      <c r="U1254">
        <v>0</v>
      </c>
      <c r="V1254">
        <v>0</v>
      </c>
      <c r="W1254">
        <v>0</v>
      </c>
      <c r="X1254">
        <v>0</v>
      </c>
      <c r="Y1254">
        <v>0</v>
      </c>
      <c r="Z1254">
        <v>0</v>
      </c>
      <c r="AA1254">
        <v>0</v>
      </c>
      <c r="AB1254">
        <v>0</v>
      </c>
      <c r="AC1254">
        <v>0</v>
      </c>
      <c r="AD1254">
        <v>0</v>
      </c>
      <c r="AE1254">
        <v>0</v>
      </c>
      <c r="AF1254">
        <v>0</v>
      </c>
      <c r="AG1254">
        <v>0</v>
      </c>
      <c r="AH1254">
        <v>0</v>
      </c>
      <c r="AI1254">
        <v>0</v>
      </c>
      <c r="AJ1254">
        <v>0</v>
      </c>
      <c r="AK1254">
        <v>0</v>
      </c>
      <c r="AL1254">
        <v>0</v>
      </c>
      <c r="AM1254">
        <v>6.71</v>
      </c>
      <c r="AN1254">
        <v>0</v>
      </c>
      <c r="AO1254">
        <v>0</v>
      </c>
      <c r="AP1254">
        <v>0</v>
      </c>
      <c r="AQ1254">
        <v>0</v>
      </c>
      <c r="AR1254">
        <v>0</v>
      </c>
      <c r="AS1254">
        <v>0</v>
      </c>
      <c r="AT1254">
        <v>0</v>
      </c>
      <c r="AU1254">
        <v>0</v>
      </c>
      <c r="AV1254">
        <v>0</v>
      </c>
      <c r="AW1254">
        <v>0</v>
      </c>
      <c r="AX1254">
        <v>0</v>
      </c>
      <c r="AY1254">
        <v>0</v>
      </c>
      <c r="AZ1254">
        <v>0</v>
      </c>
      <c r="BA1254">
        <v>0</v>
      </c>
      <c r="BB1254">
        <v>0</v>
      </c>
      <c r="BC1254">
        <v>0</v>
      </c>
      <c r="BD1254">
        <v>0</v>
      </c>
      <c r="BE1254">
        <v>0</v>
      </c>
      <c r="BF1254">
        <v>0</v>
      </c>
      <c r="BG1254">
        <v>0</v>
      </c>
      <c r="BH1254">
        <v>1</v>
      </c>
      <c r="BI1254">
        <v>1</v>
      </c>
      <c r="BJ1254">
        <v>0.2</v>
      </c>
      <c r="BK1254">
        <v>1</v>
      </c>
      <c r="BL1254" s="4">
        <v>39.42</v>
      </c>
      <c r="BM1254" s="4">
        <v>5.91</v>
      </c>
      <c r="BN1254" s="4">
        <v>45.33</v>
      </c>
      <c r="BO1254" s="4">
        <v>45.33</v>
      </c>
      <c r="BQ1254" t="s">
        <v>147</v>
      </c>
      <c r="BR1254" t="s">
        <v>84</v>
      </c>
      <c r="BS1254" s="3">
        <v>43812</v>
      </c>
      <c r="BT1254" s="5">
        <v>0.3347222222222222</v>
      </c>
      <c r="BU1254" t="s">
        <v>1089</v>
      </c>
      <c r="BV1254" t="s">
        <v>86</v>
      </c>
      <c r="BY1254">
        <v>1200</v>
      </c>
      <c r="CA1254" t="s">
        <v>250</v>
      </c>
      <c r="CC1254" t="s">
        <v>170</v>
      </c>
      <c r="CD1254">
        <v>1459</v>
      </c>
      <c r="CE1254" t="s">
        <v>88</v>
      </c>
      <c r="CF1254" s="3">
        <v>43816</v>
      </c>
      <c r="CI1254">
        <v>1</v>
      </c>
      <c r="CJ1254">
        <v>1</v>
      </c>
      <c r="CK1254">
        <v>22</v>
      </c>
      <c r="CL1254" t="s">
        <v>89</v>
      </c>
    </row>
    <row r="1255" spans="1:90">
      <c r="A1255" t="s">
        <v>72</v>
      </c>
      <c r="B1255" t="s">
        <v>73</v>
      </c>
      <c r="C1255" t="s">
        <v>74</v>
      </c>
      <c r="E1255" t="str">
        <f>"FES1162728171"</f>
        <v>FES1162728171</v>
      </c>
      <c r="F1255" s="3">
        <v>43811</v>
      </c>
      <c r="G1255">
        <v>202006</v>
      </c>
      <c r="H1255" t="s">
        <v>75</v>
      </c>
      <c r="I1255" t="s">
        <v>76</v>
      </c>
      <c r="J1255" t="s">
        <v>77</v>
      </c>
      <c r="K1255" t="s">
        <v>78</v>
      </c>
      <c r="L1255" t="s">
        <v>75</v>
      </c>
      <c r="M1255" t="s">
        <v>76</v>
      </c>
      <c r="N1255" t="s">
        <v>305</v>
      </c>
      <c r="O1255" t="s">
        <v>82</v>
      </c>
      <c r="P1255" t="str">
        <f>"2170719492                    "</f>
        <v xml:space="preserve">2170719492                    </v>
      </c>
      <c r="Q1255">
        <v>0</v>
      </c>
      <c r="R1255">
        <v>0</v>
      </c>
      <c r="S1255">
        <v>0</v>
      </c>
      <c r="T1255">
        <v>0</v>
      </c>
      <c r="U1255">
        <v>0</v>
      </c>
      <c r="V1255">
        <v>0</v>
      </c>
      <c r="W1255">
        <v>0</v>
      </c>
      <c r="X1255">
        <v>0</v>
      </c>
      <c r="Y1255">
        <v>0</v>
      </c>
      <c r="Z1255">
        <v>0</v>
      </c>
      <c r="AA1255">
        <v>0</v>
      </c>
      <c r="AB1255">
        <v>0</v>
      </c>
      <c r="AC1255">
        <v>0</v>
      </c>
      <c r="AD1255">
        <v>0</v>
      </c>
      <c r="AE1255">
        <v>0</v>
      </c>
      <c r="AF1255">
        <v>0</v>
      </c>
      <c r="AG1255">
        <v>0</v>
      </c>
      <c r="AH1255">
        <v>0</v>
      </c>
      <c r="AI1255">
        <v>0</v>
      </c>
      <c r="AJ1255">
        <v>0</v>
      </c>
      <c r="AK1255">
        <v>0</v>
      </c>
      <c r="AL1255">
        <v>0</v>
      </c>
      <c r="AM1255">
        <v>6.71</v>
      </c>
      <c r="AN1255">
        <v>0</v>
      </c>
      <c r="AO1255">
        <v>0</v>
      </c>
      <c r="AP1255">
        <v>0</v>
      </c>
      <c r="AQ1255">
        <v>0</v>
      </c>
      <c r="AR1255">
        <v>0</v>
      </c>
      <c r="AS1255">
        <v>0</v>
      </c>
      <c r="AT1255">
        <v>0</v>
      </c>
      <c r="AU1255">
        <v>0</v>
      </c>
      <c r="AV1255">
        <v>0</v>
      </c>
      <c r="AW1255">
        <v>0</v>
      </c>
      <c r="AX1255">
        <v>0</v>
      </c>
      <c r="AY1255">
        <v>0</v>
      </c>
      <c r="AZ1255">
        <v>0</v>
      </c>
      <c r="BA1255">
        <v>0</v>
      </c>
      <c r="BB1255">
        <v>0</v>
      </c>
      <c r="BC1255">
        <v>0</v>
      </c>
      <c r="BD1255">
        <v>0</v>
      </c>
      <c r="BE1255">
        <v>0</v>
      </c>
      <c r="BF1255">
        <v>0</v>
      </c>
      <c r="BG1255">
        <v>0</v>
      </c>
      <c r="BH1255">
        <v>1</v>
      </c>
      <c r="BI1255">
        <v>1</v>
      </c>
      <c r="BJ1255">
        <v>0.2</v>
      </c>
      <c r="BK1255">
        <v>1</v>
      </c>
      <c r="BL1255" s="4">
        <v>39.42</v>
      </c>
      <c r="BM1255" s="4">
        <v>5.91</v>
      </c>
      <c r="BN1255" s="4">
        <v>45.33</v>
      </c>
      <c r="BO1255" s="4">
        <v>45.33</v>
      </c>
      <c r="BQ1255" t="s">
        <v>147</v>
      </c>
      <c r="BR1255" t="s">
        <v>84</v>
      </c>
      <c r="BS1255" s="3">
        <v>43812</v>
      </c>
      <c r="BT1255" s="5">
        <v>0.31319444444444444</v>
      </c>
      <c r="BU1255" t="s">
        <v>306</v>
      </c>
      <c r="BV1255" t="s">
        <v>86</v>
      </c>
      <c r="BY1255">
        <v>1200</v>
      </c>
      <c r="CA1255" t="s">
        <v>307</v>
      </c>
      <c r="CC1255" t="s">
        <v>76</v>
      </c>
      <c r="CD1255">
        <v>1645</v>
      </c>
      <c r="CE1255" t="s">
        <v>88</v>
      </c>
      <c r="CF1255" s="3">
        <v>43816</v>
      </c>
      <c r="CI1255">
        <v>1</v>
      </c>
      <c r="CJ1255">
        <v>1</v>
      </c>
      <c r="CK1255">
        <v>22</v>
      </c>
      <c r="CL1255" t="s">
        <v>89</v>
      </c>
    </row>
    <row r="1256" spans="1:90">
      <c r="A1256" t="s">
        <v>72</v>
      </c>
      <c r="B1256" t="s">
        <v>73</v>
      </c>
      <c r="C1256" t="s">
        <v>74</v>
      </c>
      <c r="E1256" t="str">
        <f>"FES1162728005"</f>
        <v>FES1162728005</v>
      </c>
      <c r="F1256" s="3">
        <v>43811</v>
      </c>
      <c r="G1256">
        <v>202006</v>
      </c>
      <c r="H1256" t="s">
        <v>75</v>
      </c>
      <c r="I1256" t="s">
        <v>76</v>
      </c>
      <c r="J1256" t="s">
        <v>77</v>
      </c>
      <c r="K1256" t="s">
        <v>78</v>
      </c>
      <c r="L1256" t="s">
        <v>79</v>
      </c>
      <c r="M1256" t="s">
        <v>80</v>
      </c>
      <c r="N1256" t="s">
        <v>129</v>
      </c>
      <c r="O1256" t="s">
        <v>82</v>
      </c>
      <c r="P1256" t="str">
        <f>"2170719332                    "</f>
        <v xml:space="preserve">2170719332                    </v>
      </c>
      <c r="Q1256">
        <v>0</v>
      </c>
      <c r="R1256">
        <v>0</v>
      </c>
      <c r="S1256">
        <v>0</v>
      </c>
      <c r="T1256">
        <v>0</v>
      </c>
      <c r="U1256">
        <v>0</v>
      </c>
      <c r="V1256">
        <v>0</v>
      </c>
      <c r="W1256">
        <v>0</v>
      </c>
      <c r="X1256">
        <v>0</v>
      </c>
      <c r="Y1256">
        <v>0</v>
      </c>
      <c r="Z1256">
        <v>0</v>
      </c>
      <c r="AA1256">
        <v>0</v>
      </c>
      <c r="AB1256">
        <v>0</v>
      </c>
      <c r="AC1256">
        <v>0</v>
      </c>
      <c r="AD1256">
        <v>0</v>
      </c>
      <c r="AE1256">
        <v>0</v>
      </c>
      <c r="AF1256">
        <v>0</v>
      </c>
      <c r="AG1256">
        <v>0</v>
      </c>
      <c r="AH1256">
        <v>0</v>
      </c>
      <c r="AI1256">
        <v>0</v>
      </c>
      <c r="AJ1256">
        <v>0</v>
      </c>
      <c r="AK1256">
        <v>0</v>
      </c>
      <c r="AL1256">
        <v>0</v>
      </c>
      <c r="AM1256">
        <v>8.58</v>
      </c>
      <c r="AN1256">
        <v>0</v>
      </c>
      <c r="AO1256">
        <v>0</v>
      </c>
      <c r="AP1256">
        <v>0</v>
      </c>
      <c r="AQ1256">
        <v>0</v>
      </c>
      <c r="AR1256">
        <v>0</v>
      </c>
      <c r="AS1256">
        <v>0</v>
      </c>
      <c r="AT1256">
        <v>0</v>
      </c>
      <c r="AU1256">
        <v>0</v>
      </c>
      <c r="AV1256">
        <v>0</v>
      </c>
      <c r="AW1256">
        <v>0</v>
      </c>
      <c r="AX1256">
        <v>0</v>
      </c>
      <c r="AY1256">
        <v>0</v>
      </c>
      <c r="AZ1256">
        <v>0</v>
      </c>
      <c r="BA1256">
        <v>0</v>
      </c>
      <c r="BB1256">
        <v>0</v>
      </c>
      <c r="BC1256">
        <v>0</v>
      </c>
      <c r="BD1256">
        <v>0</v>
      </c>
      <c r="BE1256">
        <v>0</v>
      </c>
      <c r="BF1256">
        <v>0</v>
      </c>
      <c r="BG1256">
        <v>0</v>
      </c>
      <c r="BH1256">
        <v>1</v>
      </c>
      <c r="BI1256">
        <v>1</v>
      </c>
      <c r="BJ1256">
        <v>0.2</v>
      </c>
      <c r="BK1256">
        <v>1</v>
      </c>
      <c r="BL1256" s="4">
        <v>50.45</v>
      </c>
      <c r="BM1256" s="4">
        <v>7.57</v>
      </c>
      <c r="BN1256" s="4">
        <v>58.02</v>
      </c>
      <c r="BO1256" s="4">
        <v>58.02</v>
      </c>
      <c r="BQ1256" t="s">
        <v>147</v>
      </c>
      <c r="BR1256" t="s">
        <v>84</v>
      </c>
      <c r="BS1256" s="3">
        <v>43812</v>
      </c>
      <c r="BT1256" s="5">
        <v>0.38541666666666669</v>
      </c>
      <c r="BU1256" t="s">
        <v>1648</v>
      </c>
      <c r="BV1256" t="s">
        <v>86</v>
      </c>
      <c r="BY1256">
        <v>1200</v>
      </c>
      <c r="CA1256" t="s">
        <v>131</v>
      </c>
      <c r="CC1256" t="s">
        <v>80</v>
      </c>
      <c r="CD1256">
        <v>6001</v>
      </c>
      <c r="CE1256" t="s">
        <v>88</v>
      </c>
      <c r="CF1256" s="3">
        <v>43816</v>
      </c>
      <c r="CI1256">
        <v>1</v>
      </c>
      <c r="CJ1256">
        <v>1</v>
      </c>
      <c r="CK1256">
        <v>21</v>
      </c>
      <c r="CL1256" t="s">
        <v>89</v>
      </c>
    </row>
    <row r="1257" spans="1:90">
      <c r="A1257" t="s">
        <v>72</v>
      </c>
      <c r="B1257" t="s">
        <v>73</v>
      </c>
      <c r="C1257" t="s">
        <v>74</v>
      </c>
      <c r="E1257" t="str">
        <f>"FES1162728107"</f>
        <v>FES1162728107</v>
      </c>
      <c r="F1257" s="3">
        <v>43811</v>
      </c>
      <c r="G1257">
        <v>202006</v>
      </c>
      <c r="H1257" t="s">
        <v>75</v>
      </c>
      <c r="I1257" t="s">
        <v>76</v>
      </c>
      <c r="J1257" t="s">
        <v>77</v>
      </c>
      <c r="K1257" t="s">
        <v>78</v>
      </c>
      <c r="L1257" t="s">
        <v>75</v>
      </c>
      <c r="M1257" t="s">
        <v>76</v>
      </c>
      <c r="N1257" t="s">
        <v>305</v>
      </c>
      <c r="O1257" t="s">
        <v>82</v>
      </c>
      <c r="P1257" t="str">
        <f>"2170718638                    "</f>
        <v xml:space="preserve">2170718638                    </v>
      </c>
      <c r="Q1257">
        <v>0</v>
      </c>
      <c r="R1257">
        <v>0</v>
      </c>
      <c r="S1257">
        <v>0</v>
      </c>
      <c r="T1257">
        <v>0</v>
      </c>
      <c r="U1257">
        <v>0</v>
      </c>
      <c r="V1257">
        <v>0</v>
      </c>
      <c r="W1257">
        <v>0</v>
      </c>
      <c r="X1257">
        <v>0</v>
      </c>
      <c r="Y1257">
        <v>0</v>
      </c>
      <c r="Z1257">
        <v>0</v>
      </c>
      <c r="AA1257">
        <v>0</v>
      </c>
      <c r="AB1257">
        <v>0</v>
      </c>
      <c r="AC1257">
        <v>0</v>
      </c>
      <c r="AD1257">
        <v>0</v>
      </c>
      <c r="AE1257">
        <v>0</v>
      </c>
      <c r="AF1257">
        <v>0</v>
      </c>
      <c r="AG1257">
        <v>0</v>
      </c>
      <c r="AH1257">
        <v>0</v>
      </c>
      <c r="AI1257">
        <v>0</v>
      </c>
      <c r="AJ1257">
        <v>0</v>
      </c>
      <c r="AK1257">
        <v>0</v>
      </c>
      <c r="AL1257">
        <v>0</v>
      </c>
      <c r="AM1257">
        <v>6.71</v>
      </c>
      <c r="AN1257">
        <v>0</v>
      </c>
      <c r="AO1257">
        <v>0</v>
      </c>
      <c r="AP1257">
        <v>0</v>
      </c>
      <c r="AQ1257">
        <v>0</v>
      </c>
      <c r="AR1257">
        <v>0</v>
      </c>
      <c r="AS1257">
        <v>0</v>
      </c>
      <c r="AT1257">
        <v>0</v>
      </c>
      <c r="AU1257">
        <v>0</v>
      </c>
      <c r="AV1257">
        <v>0</v>
      </c>
      <c r="AW1257">
        <v>0</v>
      </c>
      <c r="AX1257">
        <v>0</v>
      </c>
      <c r="AY1257">
        <v>0</v>
      </c>
      <c r="AZ1257">
        <v>0</v>
      </c>
      <c r="BA1257">
        <v>0</v>
      </c>
      <c r="BB1257">
        <v>0</v>
      </c>
      <c r="BC1257">
        <v>0</v>
      </c>
      <c r="BD1257">
        <v>0</v>
      </c>
      <c r="BE1257">
        <v>0</v>
      </c>
      <c r="BF1257">
        <v>0</v>
      </c>
      <c r="BG1257">
        <v>0</v>
      </c>
      <c r="BH1257">
        <v>1</v>
      </c>
      <c r="BI1257">
        <v>1</v>
      </c>
      <c r="BJ1257">
        <v>0.2</v>
      </c>
      <c r="BK1257">
        <v>1</v>
      </c>
      <c r="BL1257" s="4">
        <v>39.42</v>
      </c>
      <c r="BM1257" s="4">
        <v>5.91</v>
      </c>
      <c r="BN1257" s="4">
        <v>45.33</v>
      </c>
      <c r="BO1257" s="4">
        <v>45.33</v>
      </c>
      <c r="BQ1257" t="s">
        <v>147</v>
      </c>
      <c r="BR1257" t="s">
        <v>84</v>
      </c>
      <c r="BS1257" s="3">
        <v>43812</v>
      </c>
      <c r="BT1257" s="5">
        <v>0.3125</v>
      </c>
      <c r="BU1257" t="s">
        <v>306</v>
      </c>
      <c r="BV1257" t="s">
        <v>86</v>
      </c>
      <c r="BY1257">
        <v>1200</v>
      </c>
      <c r="CA1257" t="s">
        <v>307</v>
      </c>
      <c r="CC1257" t="s">
        <v>76</v>
      </c>
      <c r="CD1257">
        <v>1645</v>
      </c>
      <c r="CE1257" t="s">
        <v>88</v>
      </c>
      <c r="CF1257" s="3">
        <v>43816</v>
      </c>
      <c r="CI1257">
        <v>1</v>
      </c>
      <c r="CJ1257">
        <v>1</v>
      </c>
      <c r="CK1257">
        <v>22</v>
      </c>
      <c r="CL1257" t="s">
        <v>89</v>
      </c>
    </row>
    <row r="1258" spans="1:90">
      <c r="A1258" t="s">
        <v>72</v>
      </c>
      <c r="B1258" t="s">
        <v>73</v>
      </c>
      <c r="C1258" t="s">
        <v>74</v>
      </c>
      <c r="E1258" t="str">
        <f>"FES1162728061"</f>
        <v>FES1162728061</v>
      </c>
      <c r="F1258" s="3">
        <v>43811</v>
      </c>
      <c r="G1258">
        <v>202006</v>
      </c>
      <c r="H1258" t="s">
        <v>75</v>
      </c>
      <c r="I1258" t="s">
        <v>76</v>
      </c>
      <c r="J1258" t="s">
        <v>77</v>
      </c>
      <c r="K1258" t="s">
        <v>78</v>
      </c>
      <c r="L1258" t="s">
        <v>1758</v>
      </c>
      <c r="M1258" t="s">
        <v>1759</v>
      </c>
      <c r="N1258" t="s">
        <v>1760</v>
      </c>
      <c r="O1258" t="s">
        <v>82</v>
      </c>
      <c r="P1258" t="str">
        <f>"2170718149                    "</f>
        <v xml:space="preserve">2170718149                    </v>
      </c>
      <c r="Q1258">
        <v>0</v>
      </c>
      <c r="R1258">
        <v>0</v>
      </c>
      <c r="S1258">
        <v>0</v>
      </c>
      <c r="T1258">
        <v>0</v>
      </c>
      <c r="U1258">
        <v>0</v>
      </c>
      <c r="V1258">
        <v>0</v>
      </c>
      <c r="W1258">
        <v>0</v>
      </c>
      <c r="X1258">
        <v>0</v>
      </c>
      <c r="Y1258">
        <v>0</v>
      </c>
      <c r="Z1258">
        <v>0</v>
      </c>
      <c r="AA1258">
        <v>0</v>
      </c>
      <c r="AB1258">
        <v>0</v>
      </c>
      <c r="AC1258">
        <v>0</v>
      </c>
      <c r="AD1258">
        <v>0</v>
      </c>
      <c r="AE1258">
        <v>0</v>
      </c>
      <c r="AF1258">
        <v>0</v>
      </c>
      <c r="AG1258">
        <v>0</v>
      </c>
      <c r="AH1258">
        <v>0</v>
      </c>
      <c r="AI1258">
        <v>0</v>
      </c>
      <c r="AJ1258">
        <v>0</v>
      </c>
      <c r="AK1258">
        <v>0</v>
      </c>
      <c r="AL1258">
        <v>0</v>
      </c>
      <c r="AM1258">
        <v>16.63</v>
      </c>
      <c r="AN1258">
        <v>0</v>
      </c>
      <c r="AO1258">
        <v>0</v>
      </c>
      <c r="AP1258">
        <v>0</v>
      </c>
      <c r="AQ1258">
        <v>0</v>
      </c>
      <c r="AR1258">
        <v>0</v>
      </c>
      <c r="AS1258">
        <v>0</v>
      </c>
      <c r="AT1258">
        <v>0</v>
      </c>
      <c r="AU1258">
        <v>0</v>
      </c>
      <c r="AV1258">
        <v>0</v>
      </c>
      <c r="AW1258">
        <v>0</v>
      </c>
      <c r="AX1258">
        <v>0</v>
      </c>
      <c r="AY1258">
        <v>0</v>
      </c>
      <c r="AZ1258">
        <v>0</v>
      </c>
      <c r="BA1258">
        <v>0</v>
      </c>
      <c r="BB1258">
        <v>0</v>
      </c>
      <c r="BC1258">
        <v>0</v>
      </c>
      <c r="BD1258">
        <v>0</v>
      </c>
      <c r="BE1258">
        <v>0</v>
      </c>
      <c r="BF1258">
        <v>0</v>
      </c>
      <c r="BG1258">
        <v>0</v>
      </c>
      <c r="BH1258">
        <v>1</v>
      </c>
      <c r="BI1258">
        <v>1</v>
      </c>
      <c r="BJ1258">
        <v>0.2</v>
      </c>
      <c r="BK1258">
        <v>1</v>
      </c>
      <c r="BL1258" s="4">
        <v>97.75</v>
      </c>
      <c r="BM1258" s="4">
        <v>14.66</v>
      </c>
      <c r="BN1258" s="4">
        <v>112.41</v>
      </c>
      <c r="BO1258" s="4">
        <v>112.41</v>
      </c>
      <c r="BR1258" t="s">
        <v>84</v>
      </c>
      <c r="BS1258" s="3">
        <v>43816</v>
      </c>
      <c r="BT1258" s="5">
        <v>0.58333333333333337</v>
      </c>
      <c r="BU1258" t="s">
        <v>1761</v>
      </c>
      <c r="BV1258" t="s">
        <v>86</v>
      </c>
      <c r="BY1258">
        <v>1200</v>
      </c>
      <c r="CC1258" t="s">
        <v>1759</v>
      </c>
      <c r="CD1258">
        <v>6335</v>
      </c>
      <c r="CE1258" t="s">
        <v>88</v>
      </c>
      <c r="CF1258" s="3">
        <v>43819</v>
      </c>
      <c r="CI1258">
        <v>3</v>
      </c>
      <c r="CJ1258">
        <v>3</v>
      </c>
      <c r="CK1258">
        <v>23</v>
      </c>
      <c r="CL1258" t="s">
        <v>89</v>
      </c>
    </row>
    <row r="1259" spans="1:90">
      <c r="A1259" t="s">
        <v>72</v>
      </c>
      <c r="B1259" t="s">
        <v>73</v>
      </c>
      <c r="C1259" t="s">
        <v>74</v>
      </c>
      <c r="E1259" t="str">
        <f>"FES1162727986"</f>
        <v>FES1162727986</v>
      </c>
      <c r="F1259" s="3">
        <v>43811</v>
      </c>
      <c r="G1259">
        <v>202006</v>
      </c>
      <c r="H1259" t="s">
        <v>75</v>
      </c>
      <c r="I1259" t="s">
        <v>76</v>
      </c>
      <c r="J1259" t="s">
        <v>77</v>
      </c>
      <c r="K1259" t="s">
        <v>78</v>
      </c>
      <c r="L1259" t="s">
        <v>164</v>
      </c>
      <c r="M1259" t="s">
        <v>165</v>
      </c>
      <c r="N1259" t="s">
        <v>369</v>
      </c>
      <c r="O1259" t="s">
        <v>82</v>
      </c>
      <c r="P1259" t="str">
        <f>"2170719097                    "</f>
        <v xml:space="preserve">2170719097                    </v>
      </c>
      <c r="Q1259">
        <v>0</v>
      </c>
      <c r="R1259">
        <v>0</v>
      </c>
      <c r="S1259">
        <v>0</v>
      </c>
      <c r="T1259">
        <v>0</v>
      </c>
      <c r="U1259">
        <v>0</v>
      </c>
      <c r="V1259">
        <v>0</v>
      </c>
      <c r="W1259">
        <v>0</v>
      </c>
      <c r="X1259">
        <v>0</v>
      </c>
      <c r="Y1259">
        <v>0</v>
      </c>
      <c r="Z1259">
        <v>0</v>
      </c>
      <c r="AA1259">
        <v>0</v>
      </c>
      <c r="AB1259">
        <v>0</v>
      </c>
      <c r="AC1259">
        <v>0</v>
      </c>
      <c r="AD1259">
        <v>0</v>
      </c>
      <c r="AE1259">
        <v>0</v>
      </c>
      <c r="AF1259">
        <v>0</v>
      </c>
      <c r="AG1259">
        <v>0</v>
      </c>
      <c r="AH1259">
        <v>0</v>
      </c>
      <c r="AI1259">
        <v>0</v>
      </c>
      <c r="AJ1259">
        <v>0</v>
      </c>
      <c r="AK1259">
        <v>0</v>
      </c>
      <c r="AL1259">
        <v>0</v>
      </c>
      <c r="AM1259">
        <v>8.58</v>
      </c>
      <c r="AN1259">
        <v>0</v>
      </c>
      <c r="AO1259">
        <v>0</v>
      </c>
      <c r="AP1259">
        <v>0</v>
      </c>
      <c r="AQ1259">
        <v>0</v>
      </c>
      <c r="AR1259">
        <v>0</v>
      </c>
      <c r="AS1259">
        <v>0</v>
      </c>
      <c r="AT1259">
        <v>0</v>
      </c>
      <c r="AU1259">
        <v>0</v>
      </c>
      <c r="AV1259">
        <v>0</v>
      </c>
      <c r="AW1259">
        <v>0</v>
      </c>
      <c r="AX1259">
        <v>0</v>
      </c>
      <c r="AY1259">
        <v>0</v>
      </c>
      <c r="AZ1259">
        <v>0</v>
      </c>
      <c r="BA1259">
        <v>0</v>
      </c>
      <c r="BB1259">
        <v>0</v>
      </c>
      <c r="BC1259">
        <v>0</v>
      </c>
      <c r="BD1259">
        <v>0</v>
      </c>
      <c r="BE1259">
        <v>0</v>
      </c>
      <c r="BF1259">
        <v>0</v>
      </c>
      <c r="BG1259">
        <v>0</v>
      </c>
      <c r="BH1259">
        <v>1</v>
      </c>
      <c r="BI1259">
        <v>1</v>
      </c>
      <c r="BJ1259">
        <v>0.2</v>
      </c>
      <c r="BK1259">
        <v>1</v>
      </c>
      <c r="BL1259" s="4">
        <v>50.45</v>
      </c>
      <c r="BM1259" s="4">
        <v>7.57</v>
      </c>
      <c r="BN1259" s="4">
        <v>58.02</v>
      </c>
      <c r="BO1259" s="4">
        <v>58.02</v>
      </c>
      <c r="BQ1259" t="s">
        <v>93</v>
      </c>
      <c r="BR1259" t="s">
        <v>84</v>
      </c>
      <c r="BS1259" s="3">
        <v>43812</v>
      </c>
      <c r="BT1259" s="5">
        <v>0.43263888888888885</v>
      </c>
      <c r="BU1259" t="s">
        <v>1013</v>
      </c>
      <c r="BV1259" t="s">
        <v>86</v>
      </c>
      <c r="BY1259">
        <v>1200</v>
      </c>
      <c r="CA1259" t="s">
        <v>1647</v>
      </c>
      <c r="CC1259" t="s">
        <v>165</v>
      </c>
      <c r="CD1259">
        <v>5201</v>
      </c>
      <c r="CE1259" t="s">
        <v>88</v>
      </c>
      <c r="CF1259" s="3">
        <v>43816</v>
      </c>
      <c r="CI1259">
        <v>1</v>
      </c>
      <c r="CJ1259">
        <v>1</v>
      </c>
      <c r="CK1259">
        <v>21</v>
      </c>
      <c r="CL1259" t="s">
        <v>89</v>
      </c>
    </row>
    <row r="1260" spans="1:90">
      <c r="A1260" t="s">
        <v>72</v>
      </c>
      <c r="B1260" t="s">
        <v>73</v>
      </c>
      <c r="C1260" t="s">
        <v>74</v>
      </c>
      <c r="E1260" t="str">
        <f>"FES1162728018"</f>
        <v>FES1162728018</v>
      </c>
      <c r="F1260" s="3">
        <v>43811</v>
      </c>
      <c r="G1260">
        <v>202006</v>
      </c>
      <c r="H1260" t="s">
        <v>75</v>
      </c>
      <c r="I1260" t="s">
        <v>76</v>
      </c>
      <c r="J1260" t="s">
        <v>77</v>
      </c>
      <c r="K1260" t="s">
        <v>78</v>
      </c>
      <c r="L1260" t="s">
        <v>164</v>
      </c>
      <c r="M1260" t="s">
        <v>165</v>
      </c>
      <c r="N1260" t="s">
        <v>369</v>
      </c>
      <c r="O1260" t="s">
        <v>82</v>
      </c>
      <c r="P1260" t="str">
        <f>"2170720409                    "</f>
        <v xml:space="preserve">2170720409                    </v>
      </c>
      <c r="Q1260">
        <v>0</v>
      </c>
      <c r="R1260">
        <v>0</v>
      </c>
      <c r="S1260">
        <v>0</v>
      </c>
      <c r="T1260">
        <v>0</v>
      </c>
      <c r="U1260">
        <v>0</v>
      </c>
      <c r="V1260">
        <v>0</v>
      </c>
      <c r="W1260">
        <v>0</v>
      </c>
      <c r="X1260">
        <v>0</v>
      </c>
      <c r="Y1260">
        <v>0</v>
      </c>
      <c r="Z1260">
        <v>0</v>
      </c>
      <c r="AA1260">
        <v>0</v>
      </c>
      <c r="AB1260">
        <v>0</v>
      </c>
      <c r="AC1260">
        <v>0</v>
      </c>
      <c r="AD1260">
        <v>0</v>
      </c>
      <c r="AE1260">
        <v>0</v>
      </c>
      <c r="AF1260">
        <v>0</v>
      </c>
      <c r="AG1260">
        <v>0</v>
      </c>
      <c r="AH1260">
        <v>0</v>
      </c>
      <c r="AI1260">
        <v>0</v>
      </c>
      <c r="AJ1260">
        <v>0</v>
      </c>
      <c r="AK1260">
        <v>0</v>
      </c>
      <c r="AL1260">
        <v>0</v>
      </c>
      <c r="AM1260">
        <v>8.58</v>
      </c>
      <c r="AN1260">
        <v>0</v>
      </c>
      <c r="AO1260">
        <v>0</v>
      </c>
      <c r="AP1260">
        <v>0</v>
      </c>
      <c r="AQ1260">
        <v>0</v>
      </c>
      <c r="AR1260">
        <v>0</v>
      </c>
      <c r="AS1260">
        <v>0</v>
      </c>
      <c r="AT1260">
        <v>0</v>
      </c>
      <c r="AU1260">
        <v>0</v>
      </c>
      <c r="AV1260">
        <v>0</v>
      </c>
      <c r="AW1260">
        <v>0</v>
      </c>
      <c r="AX1260">
        <v>0</v>
      </c>
      <c r="AY1260">
        <v>0</v>
      </c>
      <c r="AZ1260">
        <v>0</v>
      </c>
      <c r="BA1260">
        <v>0</v>
      </c>
      <c r="BB1260">
        <v>0</v>
      </c>
      <c r="BC1260">
        <v>0</v>
      </c>
      <c r="BD1260">
        <v>0</v>
      </c>
      <c r="BE1260">
        <v>0</v>
      </c>
      <c r="BF1260">
        <v>0</v>
      </c>
      <c r="BG1260">
        <v>0</v>
      </c>
      <c r="BH1260">
        <v>1</v>
      </c>
      <c r="BI1260">
        <v>1</v>
      </c>
      <c r="BJ1260">
        <v>0.2</v>
      </c>
      <c r="BK1260">
        <v>1</v>
      </c>
      <c r="BL1260" s="4">
        <v>50.45</v>
      </c>
      <c r="BM1260" s="4">
        <v>7.57</v>
      </c>
      <c r="BN1260" s="4">
        <v>58.02</v>
      </c>
      <c r="BO1260" s="4">
        <v>58.02</v>
      </c>
      <c r="BQ1260" t="s">
        <v>93</v>
      </c>
      <c r="BR1260" t="s">
        <v>84</v>
      </c>
      <c r="BS1260" s="3">
        <v>43812</v>
      </c>
      <c r="BT1260" s="5">
        <v>0.43263888888888885</v>
      </c>
      <c r="BU1260" t="s">
        <v>1013</v>
      </c>
      <c r="BV1260" t="s">
        <v>86</v>
      </c>
      <c r="BY1260">
        <v>1200</v>
      </c>
      <c r="CA1260" t="s">
        <v>1647</v>
      </c>
      <c r="CC1260" t="s">
        <v>165</v>
      </c>
      <c r="CD1260">
        <v>5201</v>
      </c>
      <c r="CE1260" t="s">
        <v>88</v>
      </c>
      <c r="CF1260" s="3">
        <v>43816</v>
      </c>
      <c r="CI1260">
        <v>1</v>
      </c>
      <c r="CJ1260">
        <v>1</v>
      </c>
      <c r="CK1260">
        <v>21</v>
      </c>
      <c r="CL1260" t="s">
        <v>89</v>
      </c>
    </row>
    <row r="1261" spans="1:90">
      <c r="A1261" t="s">
        <v>72</v>
      </c>
      <c r="B1261" t="s">
        <v>73</v>
      </c>
      <c r="C1261" t="s">
        <v>74</v>
      </c>
      <c r="E1261" t="str">
        <f>"FES1162728015"</f>
        <v>FES1162728015</v>
      </c>
      <c r="F1261" s="3">
        <v>43811</v>
      </c>
      <c r="G1261">
        <v>202006</v>
      </c>
      <c r="H1261" t="s">
        <v>75</v>
      </c>
      <c r="I1261" t="s">
        <v>76</v>
      </c>
      <c r="J1261" t="s">
        <v>77</v>
      </c>
      <c r="K1261" t="s">
        <v>78</v>
      </c>
      <c r="L1261" t="s">
        <v>79</v>
      </c>
      <c r="M1261" t="s">
        <v>80</v>
      </c>
      <c r="N1261" t="s">
        <v>300</v>
      </c>
      <c r="O1261" t="s">
        <v>82</v>
      </c>
      <c r="P1261" t="str">
        <f>"2170719817                    "</f>
        <v xml:space="preserve">2170719817                    </v>
      </c>
      <c r="Q1261">
        <v>0</v>
      </c>
      <c r="R1261">
        <v>0</v>
      </c>
      <c r="S1261">
        <v>0</v>
      </c>
      <c r="T1261">
        <v>0</v>
      </c>
      <c r="U1261">
        <v>0</v>
      </c>
      <c r="V1261">
        <v>0</v>
      </c>
      <c r="W1261">
        <v>0</v>
      </c>
      <c r="X1261">
        <v>0</v>
      </c>
      <c r="Y1261">
        <v>0</v>
      </c>
      <c r="Z1261">
        <v>0</v>
      </c>
      <c r="AA1261">
        <v>0</v>
      </c>
      <c r="AB1261">
        <v>0</v>
      </c>
      <c r="AC1261">
        <v>0</v>
      </c>
      <c r="AD1261">
        <v>0</v>
      </c>
      <c r="AE1261">
        <v>0</v>
      </c>
      <c r="AF1261">
        <v>0</v>
      </c>
      <c r="AG1261">
        <v>0</v>
      </c>
      <c r="AH1261">
        <v>0</v>
      </c>
      <c r="AI1261">
        <v>0</v>
      </c>
      <c r="AJ1261">
        <v>0</v>
      </c>
      <c r="AK1261">
        <v>0</v>
      </c>
      <c r="AL1261">
        <v>0</v>
      </c>
      <c r="AM1261">
        <v>8.58</v>
      </c>
      <c r="AN1261">
        <v>0</v>
      </c>
      <c r="AO1261">
        <v>0</v>
      </c>
      <c r="AP1261">
        <v>0</v>
      </c>
      <c r="AQ1261">
        <v>0</v>
      </c>
      <c r="AR1261">
        <v>0</v>
      </c>
      <c r="AS1261">
        <v>0</v>
      </c>
      <c r="AT1261">
        <v>0</v>
      </c>
      <c r="AU1261">
        <v>0</v>
      </c>
      <c r="AV1261">
        <v>0</v>
      </c>
      <c r="AW1261">
        <v>0</v>
      </c>
      <c r="AX1261">
        <v>0</v>
      </c>
      <c r="AY1261">
        <v>0</v>
      </c>
      <c r="AZ1261">
        <v>0</v>
      </c>
      <c r="BA1261">
        <v>0</v>
      </c>
      <c r="BB1261">
        <v>0</v>
      </c>
      <c r="BC1261">
        <v>0</v>
      </c>
      <c r="BD1261">
        <v>0</v>
      </c>
      <c r="BE1261">
        <v>0</v>
      </c>
      <c r="BF1261">
        <v>0</v>
      </c>
      <c r="BG1261">
        <v>0</v>
      </c>
      <c r="BH1261">
        <v>1</v>
      </c>
      <c r="BI1261">
        <v>1</v>
      </c>
      <c r="BJ1261">
        <v>0.2</v>
      </c>
      <c r="BK1261">
        <v>1</v>
      </c>
      <c r="BL1261" s="4">
        <v>50.45</v>
      </c>
      <c r="BM1261" s="4">
        <v>7.57</v>
      </c>
      <c r="BN1261" s="4">
        <v>58.02</v>
      </c>
      <c r="BO1261" s="4">
        <v>58.02</v>
      </c>
      <c r="BQ1261" t="s">
        <v>147</v>
      </c>
      <c r="BR1261" t="s">
        <v>84</v>
      </c>
      <c r="BS1261" s="3">
        <v>43816</v>
      </c>
      <c r="BT1261" s="5">
        <v>0.5</v>
      </c>
      <c r="BU1261" t="s">
        <v>562</v>
      </c>
      <c r="BV1261" t="s">
        <v>89</v>
      </c>
      <c r="BW1261" t="s">
        <v>1254</v>
      </c>
      <c r="BX1261" t="s">
        <v>594</v>
      </c>
      <c r="BY1261">
        <v>1200</v>
      </c>
      <c r="CC1261" t="s">
        <v>80</v>
      </c>
      <c r="CD1261">
        <v>6001</v>
      </c>
      <c r="CE1261" t="s">
        <v>88</v>
      </c>
      <c r="CF1261" s="3">
        <v>43818</v>
      </c>
      <c r="CI1261">
        <v>1</v>
      </c>
      <c r="CJ1261">
        <v>3</v>
      </c>
      <c r="CK1261">
        <v>21</v>
      </c>
      <c r="CL1261" t="s">
        <v>89</v>
      </c>
    </row>
    <row r="1262" spans="1:90">
      <c r="A1262" t="s">
        <v>72</v>
      </c>
      <c r="B1262" t="s">
        <v>73</v>
      </c>
      <c r="C1262" t="s">
        <v>74</v>
      </c>
      <c r="E1262" t="str">
        <f>"FES1162728077"</f>
        <v>FES1162728077</v>
      </c>
      <c r="F1262" s="3">
        <v>43811</v>
      </c>
      <c r="G1262">
        <v>202006</v>
      </c>
      <c r="H1262" t="s">
        <v>75</v>
      </c>
      <c r="I1262" t="s">
        <v>76</v>
      </c>
      <c r="J1262" t="s">
        <v>77</v>
      </c>
      <c r="K1262" t="s">
        <v>78</v>
      </c>
      <c r="L1262" t="s">
        <v>75</v>
      </c>
      <c r="M1262" t="s">
        <v>76</v>
      </c>
      <c r="N1262" t="s">
        <v>305</v>
      </c>
      <c r="O1262" t="s">
        <v>82</v>
      </c>
      <c r="P1262" t="str">
        <f>"2170718341                    "</f>
        <v xml:space="preserve">2170718341                    </v>
      </c>
      <c r="Q1262">
        <v>0</v>
      </c>
      <c r="R1262">
        <v>0</v>
      </c>
      <c r="S1262">
        <v>0</v>
      </c>
      <c r="T1262">
        <v>0</v>
      </c>
      <c r="U1262">
        <v>0</v>
      </c>
      <c r="V1262">
        <v>0</v>
      </c>
      <c r="W1262">
        <v>0</v>
      </c>
      <c r="X1262">
        <v>0</v>
      </c>
      <c r="Y1262">
        <v>0</v>
      </c>
      <c r="Z1262">
        <v>0</v>
      </c>
      <c r="AA1262">
        <v>0</v>
      </c>
      <c r="AB1262">
        <v>0</v>
      </c>
      <c r="AC1262">
        <v>0</v>
      </c>
      <c r="AD1262">
        <v>0</v>
      </c>
      <c r="AE1262">
        <v>0</v>
      </c>
      <c r="AF1262">
        <v>0</v>
      </c>
      <c r="AG1262">
        <v>0</v>
      </c>
      <c r="AH1262">
        <v>0</v>
      </c>
      <c r="AI1262">
        <v>0</v>
      </c>
      <c r="AJ1262">
        <v>0</v>
      </c>
      <c r="AK1262">
        <v>0</v>
      </c>
      <c r="AL1262">
        <v>0</v>
      </c>
      <c r="AM1262">
        <v>6.71</v>
      </c>
      <c r="AN1262">
        <v>0</v>
      </c>
      <c r="AO1262">
        <v>0</v>
      </c>
      <c r="AP1262">
        <v>0</v>
      </c>
      <c r="AQ1262">
        <v>0</v>
      </c>
      <c r="AR1262">
        <v>0</v>
      </c>
      <c r="AS1262">
        <v>0</v>
      </c>
      <c r="AT1262">
        <v>0</v>
      </c>
      <c r="AU1262">
        <v>0</v>
      </c>
      <c r="AV1262">
        <v>0</v>
      </c>
      <c r="AW1262">
        <v>0</v>
      </c>
      <c r="AX1262">
        <v>0</v>
      </c>
      <c r="AY1262">
        <v>0</v>
      </c>
      <c r="AZ1262">
        <v>0</v>
      </c>
      <c r="BA1262">
        <v>0</v>
      </c>
      <c r="BB1262">
        <v>0</v>
      </c>
      <c r="BC1262">
        <v>0</v>
      </c>
      <c r="BD1262">
        <v>0</v>
      </c>
      <c r="BE1262">
        <v>0</v>
      </c>
      <c r="BF1262">
        <v>0</v>
      </c>
      <c r="BG1262">
        <v>0</v>
      </c>
      <c r="BH1262">
        <v>1</v>
      </c>
      <c r="BI1262">
        <v>1</v>
      </c>
      <c r="BJ1262">
        <v>0.2</v>
      </c>
      <c r="BK1262">
        <v>1</v>
      </c>
      <c r="BL1262" s="4">
        <v>39.42</v>
      </c>
      <c r="BM1262" s="4">
        <v>5.91</v>
      </c>
      <c r="BN1262" s="4">
        <v>45.33</v>
      </c>
      <c r="BO1262" s="4">
        <v>45.33</v>
      </c>
      <c r="BQ1262" t="s">
        <v>147</v>
      </c>
      <c r="BR1262" t="s">
        <v>84</v>
      </c>
      <c r="BS1262" s="3">
        <v>43812</v>
      </c>
      <c r="BT1262" s="5">
        <v>0.3263888888888889</v>
      </c>
      <c r="BU1262" t="s">
        <v>306</v>
      </c>
      <c r="BV1262" t="s">
        <v>86</v>
      </c>
      <c r="BY1262">
        <v>1200</v>
      </c>
      <c r="CA1262" t="s">
        <v>307</v>
      </c>
      <c r="CC1262" t="s">
        <v>76</v>
      </c>
      <c r="CD1262">
        <v>1645</v>
      </c>
      <c r="CE1262" t="s">
        <v>88</v>
      </c>
      <c r="CF1262" s="3">
        <v>43816</v>
      </c>
      <c r="CI1262">
        <v>1</v>
      </c>
      <c r="CJ1262">
        <v>1</v>
      </c>
      <c r="CK1262">
        <v>22</v>
      </c>
      <c r="CL1262" t="s">
        <v>89</v>
      </c>
    </row>
    <row r="1263" spans="1:90">
      <c r="A1263" t="s">
        <v>72</v>
      </c>
      <c r="B1263" t="s">
        <v>73</v>
      </c>
      <c r="C1263" t="s">
        <v>74</v>
      </c>
      <c r="E1263" t="str">
        <f>"FES1162728169"</f>
        <v>FES1162728169</v>
      </c>
      <c r="F1263" s="3">
        <v>43811</v>
      </c>
      <c r="G1263">
        <v>202006</v>
      </c>
      <c r="H1263" t="s">
        <v>75</v>
      </c>
      <c r="I1263" t="s">
        <v>76</v>
      </c>
      <c r="J1263" t="s">
        <v>77</v>
      </c>
      <c r="K1263" t="s">
        <v>78</v>
      </c>
      <c r="L1263" t="s">
        <v>169</v>
      </c>
      <c r="M1263" t="s">
        <v>170</v>
      </c>
      <c r="N1263" t="s">
        <v>1754</v>
      </c>
      <c r="O1263" t="s">
        <v>82</v>
      </c>
      <c r="P1263" t="str">
        <f>"2170719490                    "</f>
        <v xml:space="preserve">2170719490                    </v>
      </c>
      <c r="Q1263">
        <v>0</v>
      </c>
      <c r="R1263">
        <v>0</v>
      </c>
      <c r="S1263">
        <v>0</v>
      </c>
      <c r="T1263">
        <v>0</v>
      </c>
      <c r="U1263">
        <v>0</v>
      </c>
      <c r="V1263">
        <v>0</v>
      </c>
      <c r="W1263">
        <v>0</v>
      </c>
      <c r="X1263">
        <v>0</v>
      </c>
      <c r="Y1263">
        <v>0</v>
      </c>
      <c r="Z1263">
        <v>0</v>
      </c>
      <c r="AA1263">
        <v>0</v>
      </c>
      <c r="AB1263">
        <v>0</v>
      </c>
      <c r="AC1263">
        <v>0</v>
      </c>
      <c r="AD1263">
        <v>0</v>
      </c>
      <c r="AE1263">
        <v>0</v>
      </c>
      <c r="AF1263">
        <v>0</v>
      </c>
      <c r="AG1263">
        <v>0</v>
      </c>
      <c r="AH1263">
        <v>0</v>
      </c>
      <c r="AI1263">
        <v>0</v>
      </c>
      <c r="AJ1263">
        <v>0</v>
      </c>
      <c r="AK1263">
        <v>0</v>
      </c>
      <c r="AL1263">
        <v>0</v>
      </c>
      <c r="AM1263">
        <v>6.71</v>
      </c>
      <c r="AN1263">
        <v>0</v>
      </c>
      <c r="AO1263">
        <v>0</v>
      </c>
      <c r="AP1263">
        <v>0</v>
      </c>
      <c r="AQ1263">
        <v>0</v>
      </c>
      <c r="AR1263">
        <v>0</v>
      </c>
      <c r="AS1263">
        <v>0</v>
      </c>
      <c r="AT1263">
        <v>0</v>
      </c>
      <c r="AU1263">
        <v>0</v>
      </c>
      <c r="AV1263">
        <v>0</v>
      </c>
      <c r="AW1263">
        <v>0</v>
      </c>
      <c r="AX1263">
        <v>0</v>
      </c>
      <c r="AY1263">
        <v>0</v>
      </c>
      <c r="AZ1263">
        <v>0</v>
      </c>
      <c r="BA1263">
        <v>0</v>
      </c>
      <c r="BB1263">
        <v>0</v>
      </c>
      <c r="BC1263">
        <v>0</v>
      </c>
      <c r="BD1263">
        <v>0</v>
      </c>
      <c r="BE1263">
        <v>0</v>
      </c>
      <c r="BF1263">
        <v>0</v>
      </c>
      <c r="BG1263">
        <v>0</v>
      </c>
      <c r="BH1263">
        <v>1</v>
      </c>
      <c r="BI1263">
        <v>1</v>
      </c>
      <c r="BJ1263">
        <v>0.2</v>
      </c>
      <c r="BK1263">
        <v>1</v>
      </c>
      <c r="BL1263" s="4">
        <v>39.42</v>
      </c>
      <c r="BM1263" s="4">
        <v>5.91</v>
      </c>
      <c r="BN1263" s="4">
        <v>45.33</v>
      </c>
      <c r="BO1263" s="4">
        <v>45.33</v>
      </c>
      <c r="BQ1263" t="s">
        <v>147</v>
      </c>
      <c r="BR1263" t="s">
        <v>84</v>
      </c>
      <c r="BS1263" s="3">
        <v>43812</v>
      </c>
      <c r="BT1263" s="5">
        <v>0.2638888888888889</v>
      </c>
      <c r="BU1263" t="s">
        <v>1755</v>
      </c>
      <c r="BV1263" t="s">
        <v>86</v>
      </c>
      <c r="BY1263">
        <v>1200</v>
      </c>
      <c r="CC1263" t="s">
        <v>170</v>
      </c>
      <c r="CD1263">
        <v>1459</v>
      </c>
      <c r="CE1263" t="s">
        <v>88</v>
      </c>
      <c r="CF1263" s="3">
        <v>43816</v>
      </c>
      <c r="CI1263">
        <v>1</v>
      </c>
      <c r="CJ1263">
        <v>1</v>
      </c>
      <c r="CK1263">
        <v>22</v>
      </c>
      <c r="CL1263" t="s">
        <v>89</v>
      </c>
    </row>
    <row r="1264" spans="1:90">
      <c r="A1264" t="s">
        <v>72</v>
      </c>
      <c r="B1264" t="s">
        <v>73</v>
      </c>
      <c r="C1264" t="s">
        <v>74</v>
      </c>
      <c r="E1264" t="str">
        <f>"FES1162728134"</f>
        <v>FES1162728134</v>
      </c>
      <c r="F1264" s="3">
        <v>43811</v>
      </c>
      <c r="G1264">
        <v>202006</v>
      </c>
      <c r="H1264" t="s">
        <v>75</v>
      </c>
      <c r="I1264" t="s">
        <v>76</v>
      </c>
      <c r="J1264" t="s">
        <v>77</v>
      </c>
      <c r="K1264" t="s">
        <v>78</v>
      </c>
      <c r="L1264" t="s">
        <v>169</v>
      </c>
      <c r="M1264" t="s">
        <v>170</v>
      </c>
      <c r="N1264" t="s">
        <v>1762</v>
      </c>
      <c r="O1264" t="s">
        <v>82</v>
      </c>
      <c r="P1264" t="str">
        <f>"2170719105                    "</f>
        <v xml:space="preserve">2170719105                    </v>
      </c>
      <c r="Q1264">
        <v>0</v>
      </c>
      <c r="R1264">
        <v>0</v>
      </c>
      <c r="S1264">
        <v>0</v>
      </c>
      <c r="T1264">
        <v>0</v>
      </c>
      <c r="U1264">
        <v>0</v>
      </c>
      <c r="V1264">
        <v>0</v>
      </c>
      <c r="W1264">
        <v>0</v>
      </c>
      <c r="X1264">
        <v>0</v>
      </c>
      <c r="Y1264">
        <v>0</v>
      </c>
      <c r="Z1264">
        <v>0</v>
      </c>
      <c r="AA1264">
        <v>0</v>
      </c>
      <c r="AB1264">
        <v>0</v>
      </c>
      <c r="AC1264">
        <v>0</v>
      </c>
      <c r="AD1264">
        <v>0</v>
      </c>
      <c r="AE1264">
        <v>0</v>
      </c>
      <c r="AF1264">
        <v>0</v>
      </c>
      <c r="AG1264">
        <v>0</v>
      </c>
      <c r="AH1264">
        <v>0</v>
      </c>
      <c r="AI1264">
        <v>0</v>
      </c>
      <c r="AJ1264">
        <v>0</v>
      </c>
      <c r="AK1264">
        <v>0</v>
      </c>
      <c r="AL1264">
        <v>0</v>
      </c>
      <c r="AM1264">
        <v>6.71</v>
      </c>
      <c r="AN1264">
        <v>0</v>
      </c>
      <c r="AO1264">
        <v>0</v>
      </c>
      <c r="AP1264">
        <v>0</v>
      </c>
      <c r="AQ1264">
        <v>0</v>
      </c>
      <c r="AR1264">
        <v>0</v>
      </c>
      <c r="AS1264">
        <v>0</v>
      </c>
      <c r="AT1264">
        <v>0</v>
      </c>
      <c r="AU1264">
        <v>0</v>
      </c>
      <c r="AV1264">
        <v>0</v>
      </c>
      <c r="AW1264">
        <v>0</v>
      </c>
      <c r="AX1264">
        <v>0</v>
      </c>
      <c r="AY1264">
        <v>0</v>
      </c>
      <c r="AZ1264">
        <v>0</v>
      </c>
      <c r="BA1264">
        <v>0</v>
      </c>
      <c r="BB1264">
        <v>0</v>
      </c>
      <c r="BC1264">
        <v>0</v>
      </c>
      <c r="BD1264">
        <v>0</v>
      </c>
      <c r="BE1264">
        <v>0</v>
      </c>
      <c r="BF1264">
        <v>0</v>
      </c>
      <c r="BG1264">
        <v>0</v>
      </c>
      <c r="BH1264">
        <v>1</v>
      </c>
      <c r="BI1264">
        <v>1</v>
      </c>
      <c r="BJ1264">
        <v>0.2</v>
      </c>
      <c r="BK1264">
        <v>1</v>
      </c>
      <c r="BL1264" s="4">
        <v>39.42</v>
      </c>
      <c r="BM1264" s="4">
        <v>5.91</v>
      </c>
      <c r="BN1264" s="4">
        <v>45.33</v>
      </c>
      <c r="BO1264" s="4">
        <v>45.33</v>
      </c>
      <c r="BR1264" t="s">
        <v>84</v>
      </c>
      <c r="BS1264" s="3">
        <v>43812</v>
      </c>
      <c r="BT1264" s="5">
        <v>0.40972222222222227</v>
      </c>
      <c r="BU1264" t="s">
        <v>1763</v>
      </c>
      <c r="BV1264" t="s">
        <v>86</v>
      </c>
      <c r="BY1264">
        <v>1200</v>
      </c>
      <c r="CC1264" t="s">
        <v>170</v>
      </c>
      <c r="CD1264">
        <v>1459</v>
      </c>
      <c r="CE1264" t="s">
        <v>88</v>
      </c>
      <c r="CF1264" s="3">
        <v>43816</v>
      </c>
      <c r="CI1264">
        <v>1</v>
      </c>
      <c r="CJ1264">
        <v>1</v>
      </c>
      <c r="CK1264">
        <v>22</v>
      </c>
      <c r="CL1264" t="s">
        <v>89</v>
      </c>
    </row>
    <row r="1265" spans="1:90">
      <c r="A1265" t="s">
        <v>72</v>
      </c>
      <c r="B1265" t="s">
        <v>73</v>
      </c>
      <c r="C1265" t="s">
        <v>74</v>
      </c>
      <c r="E1265" t="str">
        <f>"FES1162727990"</f>
        <v>FES1162727990</v>
      </c>
      <c r="F1265" s="3">
        <v>43811</v>
      </c>
      <c r="G1265">
        <v>202006</v>
      </c>
      <c r="H1265" t="s">
        <v>75</v>
      </c>
      <c r="I1265" t="s">
        <v>76</v>
      </c>
      <c r="J1265" t="s">
        <v>77</v>
      </c>
      <c r="K1265" t="s">
        <v>78</v>
      </c>
      <c r="L1265" t="s">
        <v>79</v>
      </c>
      <c r="M1265" t="s">
        <v>80</v>
      </c>
      <c r="N1265" t="s">
        <v>1244</v>
      </c>
      <c r="O1265" t="s">
        <v>82</v>
      </c>
      <c r="P1265" t="str">
        <f>"2170719191                    "</f>
        <v xml:space="preserve">2170719191                    </v>
      </c>
      <c r="Q1265">
        <v>0</v>
      </c>
      <c r="R1265">
        <v>0</v>
      </c>
      <c r="S1265">
        <v>0</v>
      </c>
      <c r="T1265">
        <v>0</v>
      </c>
      <c r="U1265">
        <v>0</v>
      </c>
      <c r="V1265">
        <v>0</v>
      </c>
      <c r="W1265">
        <v>0</v>
      </c>
      <c r="X1265">
        <v>0</v>
      </c>
      <c r="Y1265">
        <v>0</v>
      </c>
      <c r="Z1265">
        <v>0</v>
      </c>
      <c r="AA1265">
        <v>0</v>
      </c>
      <c r="AB1265">
        <v>0</v>
      </c>
      <c r="AC1265">
        <v>0</v>
      </c>
      <c r="AD1265">
        <v>0</v>
      </c>
      <c r="AE1265">
        <v>0</v>
      </c>
      <c r="AF1265">
        <v>0</v>
      </c>
      <c r="AG1265">
        <v>0</v>
      </c>
      <c r="AH1265">
        <v>0</v>
      </c>
      <c r="AI1265">
        <v>0</v>
      </c>
      <c r="AJ1265">
        <v>0</v>
      </c>
      <c r="AK1265">
        <v>0</v>
      </c>
      <c r="AL1265">
        <v>0</v>
      </c>
      <c r="AM1265">
        <v>8.58</v>
      </c>
      <c r="AN1265">
        <v>0</v>
      </c>
      <c r="AO1265">
        <v>0</v>
      </c>
      <c r="AP1265">
        <v>0</v>
      </c>
      <c r="AQ1265">
        <v>0</v>
      </c>
      <c r="AR1265">
        <v>0</v>
      </c>
      <c r="AS1265">
        <v>0</v>
      </c>
      <c r="AT1265">
        <v>0</v>
      </c>
      <c r="AU1265">
        <v>0</v>
      </c>
      <c r="AV1265">
        <v>0</v>
      </c>
      <c r="AW1265">
        <v>0</v>
      </c>
      <c r="AX1265">
        <v>0</v>
      </c>
      <c r="AY1265">
        <v>0</v>
      </c>
      <c r="AZ1265">
        <v>0</v>
      </c>
      <c r="BA1265">
        <v>0</v>
      </c>
      <c r="BB1265">
        <v>0</v>
      </c>
      <c r="BC1265">
        <v>0</v>
      </c>
      <c r="BD1265">
        <v>0</v>
      </c>
      <c r="BE1265">
        <v>0</v>
      </c>
      <c r="BF1265">
        <v>0</v>
      </c>
      <c r="BG1265">
        <v>0</v>
      </c>
      <c r="BH1265">
        <v>1</v>
      </c>
      <c r="BI1265">
        <v>1</v>
      </c>
      <c r="BJ1265">
        <v>0.2</v>
      </c>
      <c r="BK1265">
        <v>1</v>
      </c>
      <c r="BL1265" s="4">
        <v>50.45</v>
      </c>
      <c r="BM1265" s="4">
        <v>7.57</v>
      </c>
      <c r="BN1265" s="4">
        <v>58.02</v>
      </c>
      <c r="BO1265" s="4">
        <v>58.02</v>
      </c>
      <c r="BQ1265" t="s">
        <v>93</v>
      </c>
      <c r="BR1265" t="s">
        <v>84</v>
      </c>
      <c r="BS1265" s="3">
        <v>43812</v>
      </c>
      <c r="BT1265" s="5">
        <v>0.33263888888888887</v>
      </c>
      <c r="BU1265" t="s">
        <v>1764</v>
      </c>
      <c r="BV1265" t="s">
        <v>86</v>
      </c>
      <c r="BY1265">
        <v>1200</v>
      </c>
      <c r="CA1265" t="s">
        <v>185</v>
      </c>
      <c r="CC1265" t="s">
        <v>80</v>
      </c>
      <c r="CD1265">
        <v>6001</v>
      </c>
      <c r="CE1265" t="s">
        <v>88</v>
      </c>
      <c r="CF1265" s="3">
        <v>43816</v>
      </c>
      <c r="CI1265">
        <v>1</v>
      </c>
      <c r="CJ1265">
        <v>1</v>
      </c>
      <c r="CK1265">
        <v>21</v>
      </c>
      <c r="CL1265" t="s">
        <v>89</v>
      </c>
    </row>
    <row r="1266" spans="1:90">
      <c r="A1266" t="s">
        <v>72</v>
      </c>
      <c r="B1266" t="s">
        <v>73</v>
      </c>
      <c r="C1266" t="s">
        <v>74</v>
      </c>
      <c r="E1266" t="str">
        <f>"FES1162728019"</f>
        <v>FES1162728019</v>
      </c>
      <c r="F1266" s="3">
        <v>43811</v>
      </c>
      <c r="G1266">
        <v>202006</v>
      </c>
      <c r="H1266" t="s">
        <v>75</v>
      </c>
      <c r="I1266" t="s">
        <v>76</v>
      </c>
      <c r="J1266" t="s">
        <v>77</v>
      </c>
      <c r="K1266" t="s">
        <v>78</v>
      </c>
      <c r="L1266" t="s">
        <v>169</v>
      </c>
      <c r="M1266" t="s">
        <v>170</v>
      </c>
      <c r="N1266" t="s">
        <v>772</v>
      </c>
      <c r="O1266" t="s">
        <v>82</v>
      </c>
      <c r="P1266" t="str">
        <f>"217071921650                  "</f>
        <v xml:space="preserve">217071921650                  </v>
      </c>
      <c r="Q1266">
        <v>0</v>
      </c>
      <c r="R1266">
        <v>0</v>
      </c>
      <c r="S1266">
        <v>0</v>
      </c>
      <c r="T1266">
        <v>0</v>
      </c>
      <c r="U1266">
        <v>0</v>
      </c>
      <c r="V1266">
        <v>0</v>
      </c>
      <c r="W1266">
        <v>0</v>
      </c>
      <c r="X1266">
        <v>0</v>
      </c>
      <c r="Y1266">
        <v>0</v>
      </c>
      <c r="Z1266">
        <v>0</v>
      </c>
      <c r="AA1266">
        <v>0</v>
      </c>
      <c r="AB1266">
        <v>0</v>
      </c>
      <c r="AC1266">
        <v>0</v>
      </c>
      <c r="AD1266">
        <v>0</v>
      </c>
      <c r="AE1266">
        <v>0</v>
      </c>
      <c r="AF1266">
        <v>0</v>
      </c>
      <c r="AG1266">
        <v>0</v>
      </c>
      <c r="AH1266">
        <v>0</v>
      </c>
      <c r="AI1266">
        <v>0</v>
      </c>
      <c r="AJ1266">
        <v>0</v>
      </c>
      <c r="AK1266">
        <v>0</v>
      </c>
      <c r="AL1266">
        <v>0</v>
      </c>
      <c r="AM1266">
        <v>6.71</v>
      </c>
      <c r="AN1266">
        <v>0</v>
      </c>
      <c r="AO1266">
        <v>0</v>
      </c>
      <c r="AP1266">
        <v>0</v>
      </c>
      <c r="AQ1266">
        <v>0</v>
      </c>
      <c r="AR1266">
        <v>0</v>
      </c>
      <c r="AS1266">
        <v>0</v>
      </c>
      <c r="AT1266">
        <v>0</v>
      </c>
      <c r="AU1266">
        <v>0</v>
      </c>
      <c r="AV1266">
        <v>0</v>
      </c>
      <c r="AW1266">
        <v>0</v>
      </c>
      <c r="AX1266">
        <v>0</v>
      </c>
      <c r="AY1266">
        <v>0</v>
      </c>
      <c r="AZ1266">
        <v>0</v>
      </c>
      <c r="BA1266">
        <v>0</v>
      </c>
      <c r="BB1266">
        <v>0</v>
      </c>
      <c r="BC1266">
        <v>0</v>
      </c>
      <c r="BD1266">
        <v>0</v>
      </c>
      <c r="BE1266">
        <v>0</v>
      </c>
      <c r="BF1266">
        <v>0</v>
      </c>
      <c r="BG1266">
        <v>0</v>
      </c>
      <c r="BH1266">
        <v>1</v>
      </c>
      <c r="BI1266">
        <v>1</v>
      </c>
      <c r="BJ1266">
        <v>0.2</v>
      </c>
      <c r="BK1266">
        <v>1</v>
      </c>
      <c r="BL1266" s="4">
        <v>39.42</v>
      </c>
      <c r="BM1266" s="4">
        <v>5.91</v>
      </c>
      <c r="BN1266" s="4">
        <v>45.33</v>
      </c>
      <c r="BO1266" s="4">
        <v>45.33</v>
      </c>
      <c r="BQ1266" t="s">
        <v>147</v>
      </c>
      <c r="BR1266" t="s">
        <v>84</v>
      </c>
      <c r="BS1266" s="3">
        <v>43812</v>
      </c>
      <c r="BT1266" s="5">
        <v>0.33333333333333331</v>
      </c>
      <c r="BU1266" t="s">
        <v>1765</v>
      </c>
      <c r="BV1266" t="s">
        <v>86</v>
      </c>
      <c r="BY1266">
        <v>1200</v>
      </c>
      <c r="CC1266" t="s">
        <v>170</v>
      </c>
      <c r="CD1266">
        <v>1459</v>
      </c>
      <c r="CE1266" t="s">
        <v>88</v>
      </c>
      <c r="CF1266" s="3">
        <v>43816</v>
      </c>
      <c r="CI1266">
        <v>1</v>
      </c>
      <c r="CJ1266">
        <v>1</v>
      </c>
      <c r="CK1266">
        <v>22</v>
      </c>
      <c r="CL1266" t="s">
        <v>89</v>
      </c>
    </row>
    <row r="1267" spans="1:90">
      <c r="A1267" t="s">
        <v>72</v>
      </c>
      <c r="B1267" t="s">
        <v>73</v>
      </c>
      <c r="C1267" t="s">
        <v>74</v>
      </c>
      <c r="E1267" t="str">
        <f>"FES1162728008"</f>
        <v>FES1162728008</v>
      </c>
      <c r="F1267" s="3">
        <v>43811</v>
      </c>
      <c r="G1267">
        <v>202006</v>
      </c>
      <c r="H1267" t="s">
        <v>75</v>
      </c>
      <c r="I1267" t="s">
        <v>76</v>
      </c>
      <c r="J1267" t="s">
        <v>77</v>
      </c>
      <c r="K1267" t="s">
        <v>78</v>
      </c>
      <c r="L1267" t="s">
        <v>138</v>
      </c>
      <c r="M1267" t="s">
        <v>139</v>
      </c>
      <c r="N1267" t="s">
        <v>1766</v>
      </c>
      <c r="O1267" t="s">
        <v>82</v>
      </c>
      <c r="P1267" t="str">
        <f>"2170719428                    "</f>
        <v xml:space="preserve">2170719428                    </v>
      </c>
      <c r="Q1267">
        <v>0</v>
      </c>
      <c r="R1267">
        <v>0</v>
      </c>
      <c r="S1267">
        <v>0</v>
      </c>
      <c r="T1267">
        <v>0</v>
      </c>
      <c r="U1267">
        <v>0</v>
      </c>
      <c r="V1267">
        <v>0</v>
      </c>
      <c r="W1267">
        <v>0</v>
      </c>
      <c r="X1267">
        <v>0</v>
      </c>
      <c r="Y1267">
        <v>0</v>
      </c>
      <c r="Z1267">
        <v>0</v>
      </c>
      <c r="AA1267">
        <v>0</v>
      </c>
      <c r="AB1267">
        <v>0</v>
      </c>
      <c r="AC1267">
        <v>0</v>
      </c>
      <c r="AD1267">
        <v>0</v>
      </c>
      <c r="AE1267">
        <v>0</v>
      </c>
      <c r="AF1267">
        <v>0</v>
      </c>
      <c r="AG1267">
        <v>0</v>
      </c>
      <c r="AH1267">
        <v>0</v>
      </c>
      <c r="AI1267">
        <v>0</v>
      </c>
      <c r="AJ1267">
        <v>0</v>
      </c>
      <c r="AK1267">
        <v>0</v>
      </c>
      <c r="AL1267">
        <v>0</v>
      </c>
      <c r="AM1267">
        <v>6.71</v>
      </c>
      <c r="AN1267">
        <v>0</v>
      </c>
      <c r="AO1267">
        <v>0</v>
      </c>
      <c r="AP1267">
        <v>0</v>
      </c>
      <c r="AQ1267">
        <v>0</v>
      </c>
      <c r="AR1267">
        <v>0</v>
      </c>
      <c r="AS1267">
        <v>0</v>
      </c>
      <c r="AT1267">
        <v>0</v>
      </c>
      <c r="AU1267">
        <v>0</v>
      </c>
      <c r="AV1267">
        <v>0</v>
      </c>
      <c r="AW1267">
        <v>0</v>
      </c>
      <c r="AX1267">
        <v>0</v>
      </c>
      <c r="AY1267">
        <v>0</v>
      </c>
      <c r="AZ1267">
        <v>0</v>
      </c>
      <c r="BA1267">
        <v>0</v>
      </c>
      <c r="BB1267">
        <v>0</v>
      </c>
      <c r="BC1267">
        <v>0</v>
      </c>
      <c r="BD1267">
        <v>0</v>
      </c>
      <c r="BE1267">
        <v>0</v>
      </c>
      <c r="BF1267">
        <v>0</v>
      </c>
      <c r="BG1267">
        <v>0</v>
      </c>
      <c r="BH1267">
        <v>1</v>
      </c>
      <c r="BI1267">
        <v>1</v>
      </c>
      <c r="BJ1267">
        <v>0.2</v>
      </c>
      <c r="BK1267">
        <v>1</v>
      </c>
      <c r="BL1267" s="4">
        <v>39.42</v>
      </c>
      <c r="BM1267" s="4">
        <v>5.91</v>
      </c>
      <c r="BN1267" s="4">
        <v>45.33</v>
      </c>
      <c r="BO1267" s="4">
        <v>45.33</v>
      </c>
      <c r="BQ1267" t="s">
        <v>147</v>
      </c>
      <c r="BR1267" t="s">
        <v>84</v>
      </c>
      <c r="BS1267" s="3">
        <v>43812</v>
      </c>
      <c r="BT1267" s="5">
        <v>0.38680555555555557</v>
      </c>
      <c r="BU1267" t="s">
        <v>287</v>
      </c>
      <c r="BV1267" t="s">
        <v>86</v>
      </c>
      <c r="BY1267">
        <v>1200</v>
      </c>
      <c r="CC1267" t="s">
        <v>139</v>
      </c>
      <c r="CD1267">
        <v>1400</v>
      </c>
      <c r="CE1267" t="s">
        <v>88</v>
      </c>
      <c r="CF1267" s="3">
        <v>43816</v>
      </c>
      <c r="CI1267">
        <v>1</v>
      </c>
      <c r="CJ1267">
        <v>1</v>
      </c>
      <c r="CK1267">
        <v>22</v>
      </c>
      <c r="CL1267" t="s">
        <v>89</v>
      </c>
    </row>
    <row r="1268" spans="1:90">
      <c r="A1268" t="s">
        <v>72</v>
      </c>
      <c r="B1268" t="s">
        <v>73</v>
      </c>
      <c r="C1268" t="s">
        <v>74</v>
      </c>
      <c r="E1268" t="str">
        <f>"FES1162728016"</f>
        <v>FES1162728016</v>
      </c>
      <c r="F1268" s="3">
        <v>43811</v>
      </c>
      <c r="G1268">
        <v>202006</v>
      </c>
      <c r="H1268" t="s">
        <v>75</v>
      </c>
      <c r="I1268" t="s">
        <v>76</v>
      </c>
      <c r="J1268" t="s">
        <v>77</v>
      </c>
      <c r="K1268" t="s">
        <v>78</v>
      </c>
      <c r="L1268" t="s">
        <v>169</v>
      </c>
      <c r="M1268" t="s">
        <v>170</v>
      </c>
      <c r="N1268" t="s">
        <v>878</v>
      </c>
      <c r="O1268" t="s">
        <v>82</v>
      </c>
      <c r="P1268" t="str">
        <f>"217071981842                  "</f>
        <v xml:space="preserve">217071981842                  </v>
      </c>
      <c r="Q1268">
        <v>0</v>
      </c>
      <c r="R1268">
        <v>0</v>
      </c>
      <c r="S1268">
        <v>0</v>
      </c>
      <c r="T1268">
        <v>0</v>
      </c>
      <c r="U1268">
        <v>0</v>
      </c>
      <c r="V1268">
        <v>0</v>
      </c>
      <c r="W1268">
        <v>0</v>
      </c>
      <c r="X1268">
        <v>0</v>
      </c>
      <c r="Y1268">
        <v>0</v>
      </c>
      <c r="Z1268">
        <v>0</v>
      </c>
      <c r="AA1268">
        <v>0</v>
      </c>
      <c r="AB1268">
        <v>0</v>
      </c>
      <c r="AC1268">
        <v>0</v>
      </c>
      <c r="AD1268">
        <v>0</v>
      </c>
      <c r="AE1268">
        <v>0</v>
      </c>
      <c r="AF1268">
        <v>0</v>
      </c>
      <c r="AG1268">
        <v>0</v>
      </c>
      <c r="AH1268">
        <v>0</v>
      </c>
      <c r="AI1268">
        <v>0</v>
      </c>
      <c r="AJ1268">
        <v>0</v>
      </c>
      <c r="AK1268">
        <v>0</v>
      </c>
      <c r="AL1268">
        <v>0</v>
      </c>
      <c r="AM1268">
        <v>6.71</v>
      </c>
      <c r="AN1268">
        <v>0</v>
      </c>
      <c r="AO1268">
        <v>0</v>
      </c>
      <c r="AP1268">
        <v>0</v>
      </c>
      <c r="AQ1268">
        <v>0</v>
      </c>
      <c r="AR1268">
        <v>0</v>
      </c>
      <c r="AS1268">
        <v>0</v>
      </c>
      <c r="AT1268">
        <v>0</v>
      </c>
      <c r="AU1268">
        <v>0</v>
      </c>
      <c r="AV1268">
        <v>0</v>
      </c>
      <c r="AW1268">
        <v>0</v>
      </c>
      <c r="AX1268">
        <v>0</v>
      </c>
      <c r="AY1268">
        <v>0</v>
      </c>
      <c r="AZ1268">
        <v>0</v>
      </c>
      <c r="BA1268">
        <v>0</v>
      </c>
      <c r="BB1268">
        <v>0</v>
      </c>
      <c r="BC1268">
        <v>0</v>
      </c>
      <c r="BD1268">
        <v>0</v>
      </c>
      <c r="BE1268">
        <v>0</v>
      </c>
      <c r="BF1268">
        <v>0</v>
      </c>
      <c r="BG1268">
        <v>0</v>
      </c>
      <c r="BH1268">
        <v>1</v>
      </c>
      <c r="BI1268">
        <v>1</v>
      </c>
      <c r="BJ1268">
        <v>0.2</v>
      </c>
      <c r="BK1268">
        <v>1</v>
      </c>
      <c r="BL1268" s="4">
        <v>39.42</v>
      </c>
      <c r="BM1268" s="4">
        <v>5.91</v>
      </c>
      <c r="BN1268" s="4">
        <v>45.33</v>
      </c>
      <c r="BO1268" s="4">
        <v>45.33</v>
      </c>
      <c r="BR1268" t="s">
        <v>84</v>
      </c>
      <c r="BS1268" s="3">
        <v>43812</v>
      </c>
      <c r="BT1268" s="5">
        <v>0.3520833333333333</v>
      </c>
      <c r="BU1268" t="s">
        <v>1767</v>
      </c>
      <c r="BV1268" t="s">
        <v>86</v>
      </c>
      <c r="BY1268">
        <v>1200</v>
      </c>
      <c r="CC1268" t="s">
        <v>170</v>
      </c>
      <c r="CD1268">
        <v>1460</v>
      </c>
      <c r="CE1268" t="s">
        <v>88</v>
      </c>
      <c r="CF1268" s="3">
        <v>43816</v>
      </c>
      <c r="CI1268">
        <v>1</v>
      </c>
      <c r="CJ1268">
        <v>1</v>
      </c>
      <c r="CK1268">
        <v>22</v>
      </c>
      <c r="CL1268" t="s">
        <v>89</v>
      </c>
    </row>
    <row r="1269" spans="1:90">
      <c r="A1269" t="s">
        <v>72</v>
      </c>
      <c r="B1269" t="s">
        <v>73</v>
      </c>
      <c r="C1269" t="s">
        <v>74</v>
      </c>
      <c r="E1269" t="str">
        <f>"FES1162727992"</f>
        <v>FES1162727992</v>
      </c>
      <c r="F1269" s="3">
        <v>43811</v>
      </c>
      <c r="G1269">
        <v>202006</v>
      </c>
      <c r="H1269" t="s">
        <v>75</v>
      </c>
      <c r="I1269" t="s">
        <v>76</v>
      </c>
      <c r="J1269" t="s">
        <v>77</v>
      </c>
      <c r="K1269" t="s">
        <v>78</v>
      </c>
      <c r="L1269" t="s">
        <v>138</v>
      </c>
      <c r="M1269" t="s">
        <v>139</v>
      </c>
      <c r="N1269" t="s">
        <v>703</v>
      </c>
      <c r="O1269" t="s">
        <v>82</v>
      </c>
      <c r="P1269" t="str">
        <f>"2170719211                    "</f>
        <v xml:space="preserve">2170719211                    </v>
      </c>
      <c r="Q1269">
        <v>0</v>
      </c>
      <c r="R1269">
        <v>0</v>
      </c>
      <c r="S1269">
        <v>0</v>
      </c>
      <c r="T1269">
        <v>0</v>
      </c>
      <c r="U1269">
        <v>0</v>
      </c>
      <c r="V1269">
        <v>0</v>
      </c>
      <c r="W1269">
        <v>0</v>
      </c>
      <c r="X1269">
        <v>0</v>
      </c>
      <c r="Y1269">
        <v>0</v>
      </c>
      <c r="Z1269">
        <v>0</v>
      </c>
      <c r="AA1269">
        <v>0</v>
      </c>
      <c r="AB1269">
        <v>0</v>
      </c>
      <c r="AC1269">
        <v>0</v>
      </c>
      <c r="AD1269">
        <v>0</v>
      </c>
      <c r="AE1269">
        <v>0</v>
      </c>
      <c r="AF1269">
        <v>0</v>
      </c>
      <c r="AG1269">
        <v>0</v>
      </c>
      <c r="AH1269">
        <v>0</v>
      </c>
      <c r="AI1269">
        <v>0</v>
      </c>
      <c r="AJ1269">
        <v>0</v>
      </c>
      <c r="AK1269">
        <v>0</v>
      </c>
      <c r="AL1269">
        <v>0</v>
      </c>
      <c r="AM1269">
        <v>6.71</v>
      </c>
      <c r="AN1269">
        <v>0</v>
      </c>
      <c r="AO1269">
        <v>0</v>
      </c>
      <c r="AP1269">
        <v>0</v>
      </c>
      <c r="AQ1269">
        <v>0</v>
      </c>
      <c r="AR1269">
        <v>0</v>
      </c>
      <c r="AS1269">
        <v>0</v>
      </c>
      <c r="AT1269">
        <v>0</v>
      </c>
      <c r="AU1269">
        <v>0</v>
      </c>
      <c r="AV1269">
        <v>0</v>
      </c>
      <c r="AW1269">
        <v>0</v>
      </c>
      <c r="AX1269">
        <v>0</v>
      </c>
      <c r="AY1269">
        <v>0</v>
      </c>
      <c r="AZ1269">
        <v>0</v>
      </c>
      <c r="BA1269">
        <v>0</v>
      </c>
      <c r="BB1269">
        <v>0</v>
      </c>
      <c r="BC1269">
        <v>0</v>
      </c>
      <c r="BD1269">
        <v>0</v>
      </c>
      <c r="BE1269">
        <v>0</v>
      </c>
      <c r="BF1269">
        <v>0</v>
      </c>
      <c r="BG1269">
        <v>0</v>
      </c>
      <c r="BH1269">
        <v>1</v>
      </c>
      <c r="BI1269">
        <v>1</v>
      </c>
      <c r="BJ1269">
        <v>0.2</v>
      </c>
      <c r="BK1269">
        <v>1</v>
      </c>
      <c r="BL1269" s="4">
        <v>39.42</v>
      </c>
      <c r="BM1269" s="4">
        <v>5.91</v>
      </c>
      <c r="BN1269" s="4">
        <v>45.33</v>
      </c>
      <c r="BO1269" s="4">
        <v>45.33</v>
      </c>
      <c r="BQ1269" t="s">
        <v>704</v>
      </c>
      <c r="BR1269" t="s">
        <v>84</v>
      </c>
      <c r="BS1269" s="3">
        <v>43812</v>
      </c>
      <c r="BT1269" s="5">
        <v>0.35833333333333334</v>
      </c>
      <c r="BU1269" t="s">
        <v>1765</v>
      </c>
      <c r="BV1269" t="s">
        <v>86</v>
      </c>
      <c r="BY1269">
        <v>1200</v>
      </c>
      <c r="CC1269" t="s">
        <v>139</v>
      </c>
      <c r="CD1269">
        <v>1422</v>
      </c>
      <c r="CE1269" t="s">
        <v>88</v>
      </c>
      <c r="CF1269" s="3">
        <v>43816</v>
      </c>
      <c r="CI1269">
        <v>1</v>
      </c>
      <c r="CJ1269">
        <v>1</v>
      </c>
      <c r="CK1269">
        <v>22</v>
      </c>
      <c r="CL1269" t="s">
        <v>89</v>
      </c>
    </row>
    <row r="1270" spans="1:90">
      <c r="A1270" t="s">
        <v>72</v>
      </c>
      <c r="B1270" t="s">
        <v>73</v>
      </c>
      <c r="C1270" t="s">
        <v>74</v>
      </c>
      <c r="E1270" t="str">
        <f>"FES1162727981"</f>
        <v>FES1162727981</v>
      </c>
      <c r="F1270" s="3">
        <v>43811</v>
      </c>
      <c r="G1270">
        <v>202006</v>
      </c>
      <c r="H1270" t="s">
        <v>75</v>
      </c>
      <c r="I1270" t="s">
        <v>76</v>
      </c>
      <c r="J1270" t="s">
        <v>77</v>
      </c>
      <c r="K1270" t="s">
        <v>78</v>
      </c>
      <c r="L1270" t="s">
        <v>138</v>
      </c>
      <c r="M1270" t="s">
        <v>139</v>
      </c>
      <c r="N1270" t="s">
        <v>1768</v>
      </c>
      <c r="O1270" t="s">
        <v>82</v>
      </c>
      <c r="P1270" t="str">
        <f>"2170719038                    "</f>
        <v xml:space="preserve">2170719038                    </v>
      </c>
      <c r="Q1270">
        <v>0</v>
      </c>
      <c r="R1270">
        <v>0</v>
      </c>
      <c r="S1270">
        <v>0</v>
      </c>
      <c r="T1270">
        <v>0</v>
      </c>
      <c r="U1270">
        <v>0</v>
      </c>
      <c r="V1270">
        <v>0</v>
      </c>
      <c r="W1270">
        <v>0</v>
      </c>
      <c r="X1270">
        <v>0</v>
      </c>
      <c r="Y1270">
        <v>0</v>
      </c>
      <c r="Z1270">
        <v>0</v>
      </c>
      <c r="AA1270">
        <v>0</v>
      </c>
      <c r="AB1270">
        <v>0</v>
      </c>
      <c r="AC1270">
        <v>0</v>
      </c>
      <c r="AD1270">
        <v>0</v>
      </c>
      <c r="AE1270">
        <v>0</v>
      </c>
      <c r="AF1270">
        <v>0</v>
      </c>
      <c r="AG1270">
        <v>0</v>
      </c>
      <c r="AH1270">
        <v>0</v>
      </c>
      <c r="AI1270">
        <v>0</v>
      </c>
      <c r="AJ1270">
        <v>0</v>
      </c>
      <c r="AK1270">
        <v>0</v>
      </c>
      <c r="AL1270">
        <v>0</v>
      </c>
      <c r="AM1270">
        <v>6.71</v>
      </c>
      <c r="AN1270">
        <v>0</v>
      </c>
      <c r="AO1270">
        <v>0</v>
      </c>
      <c r="AP1270">
        <v>0</v>
      </c>
      <c r="AQ1270">
        <v>0</v>
      </c>
      <c r="AR1270">
        <v>0</v>
      </c>
      <c r="AS1270">
        <v>0</v>
      </c>
      <c r="AT1270">
        <v>0</v>
      </c>
      <c r="AU1270">
        <v>0</v>
      </c>
      <c r="AV1270">
        <v>0</v>
      </c>
      <c r="AW1270">
        <v>0</v>
      </c>
      <c r="AX1270">
        <v>0</v>
      </c>
      <c r="AY1270">
        <v>0</v>
      </c>
      <c r="AZ1270">
        <v>0</v>
      </c>
      <c r="BA1270">
        <v>0</v>
      </c>
      <c r="BB1270">
        <v>0</v>
      </c>
      <c r="BC1270">
        <v>0</v>
      </c>
      <c r="BD1270">
        <v>0</v>
      </c>
      <c r="BE1270">
        <v>0</v>
      </c>
      <c r="BF1270">
        <v>0</v>
      </c>
      <c r="BG1270">
        <v>0</v>
      </c>
      <c r="BH1270">
        <v>1</v>
      </c>
      <c r="BI1270">
        <v>1</v>
      </c>
      <c r="BJ1270">
        <v>0.2</v>
      </c>
      <c r="BK1270">
        <v>1</v>
      </c>
      <c r="BL1270" s="4">
        <v>39.42</v>
      </c>
      <c r="BM1270" s="4">
        <v>5.91</v>
      </c>
      <c r="BN1270" s="4">
        <v>45.33</v>
      </c>
      <c r="BO1270" s="4">
        <v>45.33</v>
      </c>
      <c r="BR1270" t="s">
        <v>84</v>
      </c>
      <c r="BS1270" s="3">
        <v>43819</v>
      </c>
      <c r="BT1270" s="5">
        <v>0.85277777777777775</v>
      </c>
      <c r="BU1270" t="s">
        <v>675</v>
      </c>
      <c r="BV1270" t="s">
        <v>89</v>
      </c>
      <c r="BY1270">
        <v>1200</v>
      </c>
      <c r="CA1270" t="s">
        <v>620</v>
      </c>
      <c r="CC1270" t="s">
        <v>139</v>
      </c>
      <c r="CD1270">
        <v>1422</v>
      </c>
      <c r="CE1270" t="s">
        <v>88</v>
      </c>
      <c r="CI1270">
        <v>1</v>
      </c>
      <c r="CJ1270">
        <v>6</v>
      </c>
      <c r="CK1270">
        <v>22</v>
      </c>
      <c r="CL1270" t="s">
        <v>89</v>
      </c>
    </row>
    <row r="1271" spans="1:90">
      <c r="A1271" t="s">
        <v>72</v>
      </c>
      <c r="B1271" t="s">
        <v>73</v>
      </c>
      <c r="C1271" t="s">
        <v>74</v>
      </c>
      <c r="E1271" t="str">
        <f>"FES1162727957"</f>
        <v>FES1162727957</v>
      </c>
      <c r="F1271" s="3">
        <v>43811</v>
      </c>
      <c r="G1271">
        <v>202006</v>
      </c>
      <c r="H1271" t="s">
        <v>75</v>
      </c>
      <c r="I1271" t="s">
        <v>76</v>
      </c>
      <c r="J1271" t="s">
        <v>77</v>
      </c>
      <c r="K1271" t="s">
        <v>78</v>
      </c>
      <c r="L1271" t="s">
        <v>361</v>
      </c>
      <c r="M1271" t="s">
        <v>362</v>
      </c>
      <c r="N1271" t="s">
        <v>837</v>
      </c>
      <c r="O1271" t="s">
        <v>82</v>
      </c>
      <c r="P1271" t="str">
        <f>"2170712437                    "</f>
        <v xml:space="preserve">2170712437                    </v>
      </c>
      <c r="Q1271">
        <v>0</v>
      </c>
      <c r="R1271">
        <v>0</v>
      </c>
      <c r="S1271">
        <v>0</v>
      </c>
      <c r="T1271">
        <v>0</v>
      </c>
      <c r="U1271">
        <v>0</v>
      </c>
      <c r="V1271">
        <v>0</v>
      </c>
      <c r="W1271">
        <v>0</v>
      </c>
      <c r="X1271">
        <v>0</v>
      </c>
      <c r="Y1271">
        <v>0</v>
      </c>
      <c r="Z1271">
        <v>0</v>
      </c>
      <c r="AA1271">
        <v>0</v>
      </c>
      <c r="AB1271">
        <v>0</v>
      </c>
      <c r="AC1271">
        <v>0</v>
      </c>
      <c r="AD1271">
        <v>0</v>
      </c>
      <c r="AE1271">
        <v>0</v>
      </c>
      <c r="AF1271">
        <v>0</v>
      </c>
      <c r="AG1271">
        <v>0</v>
      </c>
      <c r="AH1271">
        <v>0</v>
      </c>
      <c r="AI1271">
        <v>0</v>
      </c>
      <c r="AJ1271">
        <v>0</v>
      </c>
      <c r="AK1271">
        <v>0</v>
      </c>
      <c r="AL1271">
        <v>0</v>
      </c>
      <c r="AM1271">
        <v>8.58</v>
      </c>
      <c r="AN1271">
        <v>0</v>
      </c>
      <c r="AO1271">
        <v>0</v>
      </c>
      <c r="AP1271">
        <v>0</v>
      </c>
      <c r="AQ1271">
        <v>0</v>
      </c>
      <c r="AR1271">
        <v>0</v>
      </c>
      <c r="AS1271">
        <v>0</v>
      </c>
      <c r="AT1271">
        <v>0</v>
      </c>
      <c r="AU1271">
        <v>0</v>
      </c>
      <c r="AV1271">
        <v>0</v>
      </c>
      <c r="AW1271">
        <v>0</v>
      </c>
      <c r="AX1271">
        <v>0</v>
      </c>
      <c r="AY1271">
        <v>0</v>
      </c>
      <c r="AZ1271">
        <v>0</v>
      </c>
      <c r="BA1271">
        <v>0</v>
      </c>
      <c r="BB1271">
        <v>0</v>
      </c>
      <c r="BC1271">
        <v>0</v>
      </c>
      <c r="BD1271">
        <v>0</v>
      </c>
      <c r="BE1271">
        <v>0</v>
      </c>
      <c r="BF1271">
        <v>0</v>
      </c>
      <c r="BG1271">
        <v>0</v>
      </c>
      <c r="BH1271">
        <v>1</v>
      </c>
      <c r="BI1271">
        <v>1</v>
      </c>
      <c r="BJ1271">
        <v>0.2</v>
      </c>
      <c r="BK1271">
        <v>1</v>
      </c>
      <c r="BL1271" s="4">
        <v>50.45</v>
      </c>
      <c r="BM1271" s="4">
        <v>7.57</v>
      </c>
      <c r="BN1271" s="4">
        <v>58.02</v>
      </c>
      <c r="BO1271" s="4">
        <v>58.02</v>
      </c>
      <c r="BQ1271" t="s">
        <v>1087</v>
      </c>
      <c r="BR1271" t="s">
        <v>84</v>
      </c>
      <c r="BS1271" s="3">
        <v>43812</v>
      </c>
      <c r="BT1271" s="5">
        <v>0.41111111111111115</v>
      </c>
      <c r="BU1271" t="s">
        <v>1019</v>
      </c>
      <c r="BV1271" t="s">
        <v>86</v>
      </c>
      <c r="BY1271">
        <v>1200</v>
      </c>
      <c r="CA1271" t="s">
        <v>185</v>
      </c>
      <c r="CC1271" t="s">
        <v>362</v>
      </c>
      <c r="CD1271">
        <v>6220</v>
      </c>
      <c r="CE1271" t="s">
        <v>88</v>
      </c>
      <c r="CF1271" s="3">
        <v>43816</v>
      </c>
      <c r="CI1271">
        <v>1</v>
      </c>
      <c r="CJ1271">
        <v>1</v>
      </c>
      <c r="CK1271">
        <v>21</v>
      </c>
      <c r="CL1271" t="s">
        <v>89</v>
      </c>
    </row>
    <row r="1272" spans="1:90">
      <c r="A1272" t="s">
        <v>72</v>
      </c>
      <c r="B1272" t="s">
        <v>73</v>
      </c>
      <c r="C1272" t="s">
        <v>74</v>
      </c>
      <c r="E1272" t="str">
        <f>"FES1162727951"</f>
        <v>FES1162727951</v>
      </c>
      <c r="F1272" s="3">
        <v>43811</v>
      </c>
      <c r="G1272">
        <v>202006</v>
      </c>
      <c r="H1272" t="s">
        <v>75</v>
      </c>
      <c r="I1272" t="s">
        <v>76</v>
      </c>
      <c r="J1272" t="s">
        <v>77</v>
      </c>
      <c r="K1272" t="s">
        <v>78</v>
      </c>
      <c r="L1272" t="s">
        <v>79</v>
      </c>
      <c r="M1272" t="s">
        <v>80</v>
      </c>
      <c r="N1272" t="s">
        <v>388</v>
      </c>
      <c r="O1272" t="s">
        <v>82</v>
      </c>
      <c r="P1272" t="str">
        <f>"2170714352                    "</f>
        <v xml:space="preserve">2170714352                    </v>
      </c>
      <c r="Q1272">
        <v>0</v>
      </c>
      <c r="R1272">
        <v>0</v>
      </c>
      <c r="S1272">
        <v>0</v>
      </c>
      <c r="T1272">
        <v>0</v>
      </c>
      <c r="U1272">
        <v>0</v>
      </c>
      <c r="V1272">
        <v>0</v>
      </c>
      <c r="W1272">
        <v>0</v>
      </c>
      <c r="X1272">
        <v>0</v>
      </c>
      <c r="Y1272">
        <v>0</v>
      </c>
      <c r="Z1272">
        <v>0</v>
      </c>
      <c r="AA1272">
        <v>0</v>
      </c>
      <c r="AB1272">
        <v>0</v>
      </c>
      <c r="AC1272">
        <v>0</v>
      </c>
      <c r="AD1272">
        <v>0</v>
      </c>
      <c r="AE1272">
        <v>0</v>
      </c>
      <c r="AF1272">
        <v>0</v>
      </c>
      <c r="AG1272">
        <v>0</v>
      </c>
      <c r="AH1272">
        <v>0</v>
      </c>
      <c r="AI1272">
        <v>0</v>
      </c>
      <c r="AJ1272">
        <v>0</v>
      </c>
      <c r="AK1272">
        <v>0</v>
      </c>
      <c r="AL1272">
        <v>0</v>
      </c>
      <c r="AM1272">
        <v>8.58</v>
      </c>
      <c r="AN1272">
        <v>0</v>
      </c>
      <c r="AO1272">
        <v>0</v>
      </c>
      <c r="AP1272">
        <v>0</v>
      </c>
      <c r="AQ1272">
        <v>0</v>
      </c>
      <c r="AR1272">
        <v>0</v>
      </c>
      <c r="AS1272">
        <v>0</v>
      </c>
      <c r="AT1272">
        <v>0</v>
      </c>
      <c r="AU1272">
        <v>0</v>
      </c>
      <c r="AV1272">
        <v>0</v>
      </c>
      <c r="AW1272">
        <v>0</v>
      </c>
      <c r="AX1272">
        <v>0</v>
      </c>
      <c r="AY1272">
        <v>0</v>
      </c>
      <c r="AZ1272">
        <v>0</v>
      </c>
      <c r="BA1272">
        <v>0</v>
      </c>
      <c r="BB1272">
        <v>0</v>
      </c>
      <c r="BC1272">
        <v>0</v>
      </c>
      <c r="BD1272">
        <v>0</v>
      </c>
      <c r="BE1272">
        <v>0</v>
      </c>
      <c r="BF1272">
        <v>0</v>
      </c>
      <c r="BG1272">
        <v>0</v>
      </c>
      <c r="BH1272">
        <v>1</v>
      </c>
      <c r="BI1272">
        <v>1</v>
      </c>
      <c r="BJ1272">
        <v>0.2</v>
      </c>
      <c r="BK1272">
        <v>1</v>
      </c>
      <c r="BL1272" s="4">
        <v>50.45</v>
      </c>
      <c r="BM1272" s="4">
        <v>7.57</v>
      </c>
      <c r="BN1272" s="4">
        <v>58.02</v>
      </c>
      <c r="BO1272" s="4">
        <v>58.02</v>
      </c>
      <c r="BQ1272" t="s">
        <v>147</v>
      </c>
      <c r="BR1272" t="s">
        <v>84</v>
      </c>
      <c r="BS1272" s="3">
        <v>43812</v>
      </c>
      <c r="BT1272" s="5">
        <v>0.375</v>
      </c>
      <c r="BU1272" t="s">
        <v>368</v>
      </c>
      <c r="BV1272" t="s">
        <v>86</v>
      </c>
      <c r="BY1272">
        <v>1200</v>
      </c>
      <c r="CA1272" t="s">
        <v>131</v>
      </c>
      <c r="CC1272" t="s">
        <v>80</v>
      </c>
      <c r="CD1272">
        <v>6001</v>
      </c>
      <c r="CE1272" t="s">
        <v>88</v>
      </c>
      <c r="CF1272" s="3">
        <v>43816</v>
      </c>
      <c r="CI1272">
        <v>1</v>
      </c>
      <c r="CJ1272">
        <v>1</v>
      </c>
      <c r="CK1272">
        <v>21</v>
      </c>
      <c r="CL1272" t="s">
        <v>89</v>
      </c>
    </row>
    <row r="1273" spans="1:90">
      <c r="A1273" t="s">
        <v>72</v>
      </c>
      <c r="B1273" t="s">
        <v>73</v>
      </c>
      <c r="C1273" t="s">
        <v>74</v>
      </c>
      <c r="E1273" t="str">
        <f>"FES1162727955"</f>
        <v>FES1162727955</v>
      </c>
      <c r="F1273" s="3">
        <v>43811</v>
      </c>
      <c r="G1273">
        <v>202006</v>
      </c>
      <c r="H1273" t="s">
        <v>75</v>
      </c>
      <c r="I1273" t="s">
        <v>76</v>
      </c>
      <c r="J1273" t="s">
        <v>77</v>
      </c>
      <c r="K1273" t="s">
        <v>78</v>
      </c>
      <c r="L1273" t="s">
        <v>361</v>
      </c>
      <c r="M1273" t="s">
        <v>362</v>
      </c>
      <c r="N1273" t="s">
        <v>837</v>
      </c>
      <c r="O1273" t="s">
        <v>82</v>
      </c>
      <c r="P1273" t="str">
        <f>"2170712011                    "</f>
        <v xml:space="preserve">2170712011                    </v>
      </c>
      <c r="Q1273">
        <v>0</v>
      </c>
      <c r="R1273">
        <v>0</v>
      </c>
      <c r="S1273">
        <v>0</v>
      </c>
      <c r="T1273">
        <v>0</v>
      </c>
      <c r="U1273">
        <v>0</v>
      </c>
      <c r="V1273">
        <v>0</v>
      </c>
      <c r="W1273">
        <v>0</v>
      </c>
      <c r="X1273">
        <v>0</v>
      </c>
      <c r="Y1273">
        <v>0</v>
      </c>
      <c r="Z1273">
        <v>0</v>
      </c>
      <c r="AA1273">
        <v>0</v>
      </c>
      <c r="AB1273">
        <v>0</v>
      </c>
      <c r="AC1273">
        <v>0</v>
      </c>
      <c r="AD1273">
        <v>0</v>
      </c>
      <c r="AE1273">
        <v>0</v>
      </c>
      <c r="AF1273">
        <v>0</v>
      </c>
      <c r="AG1273">
        <v>0</v>
      </c>
      <c r="AH1273">
        <v>0</v>
      </c>
      <c r="AI1273">
        <v>0</v>
      </c>
      <c r="AJ1273">
        <v>0</v>
      </c>
      <c r="AK1273">
        <v>0</v>
      </c>
      <c r="AL1273">
        <v>0</v>
      </c>
      <c r="AM1273">
        <v>8.58</v>
      </c>
      <c r="AN1273">
        <v>0</v>
      </c>
      <c r="AO1273">
        <v>0</v>
      </c>
      <c r="AP1273">
        <v>0</v>
      </c>
      <c r="AQ1273">
        <v>0</v>
      </c>
      <c r="AR1273">
        <v>0</v>
      </c>
      <c r="AS1273">
        <v>0</v>
      </c>
      <c r="AT1273">
        <v>0</v>
      </c>
      <c r="AU1273">
        <v>0</v>
      </c>
      <c r="AV1273">
        <v>0</v>
      </c>
      <c r="AW1273">
        <v>0</v>
      </c>
      <c r="AX1273">
        <v>0</v>
      </c>
      <c r="AY1273">
        <v>0</v>
      </c>
      <c r="AZ1273">
        <v>0</v>
      </c>
      <c r="BA1273">
        <v>0</v>
      </c>
      <c r="BB1273">
        <v>0</v>
      </c>
      <c r="BC1273">
        <v>0</v>
      </c>
      <c r="BD1273">
        <v>0</v>
      </c>
      <c r="BE1273">
        <v>0</v>
      </c>
      <c r="BF1273">
        <v>0</v>
      </c>
      <c r="BG1273">
        <v>0</v>
      </c>
      <c r="BH1273">
        <v>1</v>
      </c>
      <c r="BI1273">
        <v>1</v>
      </c>
      <c r="BJ1273">
        <v>0.2</v>
      </c>
      <c r="BK1273">
        <v>1</v>
      </c>
      <c r="BL1273" s="4">
        <v>50.45</v>
      </c>
      <c r="BM1273" s="4">
        <v>7.57</v>
      </c>
      <c r="BN1273" s="4">
        <v>58.02</v>
      </c>
      <c r="BO1273" s="4">
        <v>58.02</v>
      </c>
      <c r="BQ1273" t="s">
        <v>1087</v>
      </c>
      <c r="BR1273" t="s">
        <v>84</v>
      </c>
      <c r="BS1273" s="3">
        <v>43812</v>
      </c>
      <c r="BT1273" s="5">
        <v>0.41111111111111115</v>
      </c>
      <c r="BU1273" t="s">
        <v>1019</v>
      </c>
      <c r="BV1273" t="s">
        <v>86</v>
      </c>
      <c r="BY1273">
        <v>1200</v>
      </c>
      <c r="CA1273" t="s">
        <v>185</v>
      </c>
      <c r="CC1273" t="s">
        <v>362</v>
      </c>
      <c r="CD1273">
        <v>6220</v>
      </c>
      <c r="CE1273" t="s">
        <v>88</v>
      </c>
      <c r="CF1273" s="3">
        <v>43816</v>
      </c>
      <c r="CI1273">
        <v>1</v>
      </c>
      <c r="CJ1273">
        <v>1</v>
      </c>
      <c r="CK1273">
        <v>21</v>
      </c>
      <c r="CL1273" t="s">
        <v>89</v>
      </c>
    </row>
    <row r="1274" spans="1:90">
      <c r="A1274" t="s">
        <v>72</v>
      </c>
      <c r="B1274" t="s">
        <v>73</v>
      </c>
      <c r="C1274" t="s">
        <v>74</v>
      </c>
      <c r="E1274" t="str">
        <f>"FES1162727950"</f>
        <v>FES1162727950</v>
      </c>
      <c r="F1274" s="3">
        <v>43811</v>
      </c>
      <c r="G1274">
        <v>202006</v>
      </c>
      <c r="H1274" t="s">
        <v>75</v>
      </c>
      <c r="I1274" t="s">
        <v>76</v>
      </c>
      <c r="J1274" t="s">
        <v>77</v>
      </c>
      <c r="K1274" t="s">
        <v>78</v>
      </c>
      <c r="L1274" t="s">
        <v>79</v>
      </c>
      <c r="M1274" t="s">
        <v>80</v>
      </c>
      <c r="N1274" t="s">
        <v>388</v>
      </c>
      <c r="O1274" t="s">
        <v>82</v>
      </c>
      <c r="P1274" t="str">
        <f>"2170712434                    "</f>
        <v xml:space="preserve">2170712434                    </v>
      </c>
      <c r="Q1274">
        <v>0</v>
      </c>
      <c r="R1274">
        <v>0</v>
      </c>
      <c r="S1274">
        <v>0</v>
      </c>
      <c r="T1274">
        <v>0</v>
      </c>
      <c r="U1274">
        <v>0</v>
      </c>
      <c r="V1274">
        <v>0</v>
      </c>
      <c r="W1274">
        <v>0</v>
      </c>
      <c r="X1274">
        <v>0</v>
      </c>
      <c r="Y1274">
        <v>0</v>
      </c>
      <c r="Z1274">
        <v>0</v>
      </c>
      <c r="AA1274">
        <v>0</v>
      </c>
      <c r="AB1274">
        <v>0</v>
      </c>
      <c r="AC1274">
        <v>0</v>
      </c>
      <c r="AD1274">
        <v>0</v>
      </c>
      <c r="AE1274">
        <v>0</v>
      </c>
      <c r="AF1274">
        <v>0</v>
      </c>
      <c r="AG1274">
        <v>0</v>
      </c>
      <c r="AH1274">
        <v>0</v>
      </c>
      <c r="AI1274">
        <v>0</v>
      </c>
      <c r="AJ1274">
        <v>0</v>
      </c>
      <c r="AK1274">
        <v>0</v>
      </c>
      <c r="AL1274">
        <v>0</v>
      </c>
      <c r="AM1274">
        <v>8.58</v>
      </c>
      <c r="AN1274">
        <v>0</v>
      </c>
      <c r="AO1274">
        <v>0</v>
      </c>
      <c r="AP1274">
        <v>0</v>
      </c>
      <c r="AQ1274">
        <v>0</v>
      </c>
      <c r="AR1274">
        <v>0</v>
      </c>
      <c r="AS1274">
        <v>0</v>
      </c>
      <c r="AT1274">
        <v>0</v>
      </c>
      <c r="AU1274">
        <v>0</v>
      </c>
      <c r="AV1274">
        <v>0</v>
      </c>
      <c r="AW1274">
        <v>0</v>
      </c>
      <c r="AX1274">
        <v>0</v>
      </c>
      <c r="AY1274">
        <v>0</v>
      </c>
      <c r="AZ1274">
        <v>0</v>
      </c>
      <c r="BA1274">
        <v>0</v>
      </c>
      <c r="BB1274">
        <v>0</v>
      </c>
      <c r="BC1274">
        <v>0</v>
      </c>
      <c r="BD1274">
        <v>0</v>
      </c>
      <c r="BE1274">
        <v>0</v>
      </c>
      <c r="BF1274">
        <v>0</v>
      </c>
      <c r="BG1274">
        <v>0</v>
      </c>
      <c r="BH1274">
        <v>1</v>
      </c>
      <c r="BI1274">
        <v>1</v>
      </c>
      <c r="BJ1274">
        <v>0.2</v>
      </c>
      <c r="BK1274">
        <v>1</v>
      </c>
      <c r="BL1274" s="4">
        <v>50.45</v>
      </c>
      <c r="BM1274" s="4">
        <v>7.57</v>
      </c>
      <c r="BN1274" s="4">
        <v>58.02</v>
      </c>
      <c r="BO1274" s="4">
        <v>58.02</v>
      </c>
      <c r="BQ1274" t="s">
        <v>147</v>
      </c>
      <c r="BR1274" t="s">
        <v>84</v>
      </c>
      <c r="BS1274" s="3">
        <v>43812</v>
      </c>
      <c r="BT1274" s="5">
        <v>0.375</v>
      </c>
      <c r="BU1274" t="s">
        <v>368</v>
      </c>
      <c r="BV1274" t="s">
        <v>86</v>
      </c>
      <c r="BY1274">
        <v>1200</v>
      </c>
      <c r="CA1274" t="s">
        <v>131</v>
      </c>
      <c r="CC1274" t="s">
        <v>80</v>
      </c>
      <c r="CD1274">
        <v>6001</v>
      </c>
      <c r="CE1274" t="s">
        <v>88</v>
      </c>
      <c r="CF1274" s="3">
        <v>43816</v>
      </c>
      <c r="CI1274">
        <v>1</v>
      </c>
      <c r="CJ1274">
        <v>1</v>
      </c>
      <c r="CK1274">
        <v>21</v>
      </c>
      <c r="CL1274" t="s">
        <v>89</v>
      </c>
    </row>
    <row r="1275" spans="1:90">
      <c r="A1275" t="s">
        <v>72</v>
      </c>
      <c r="B1275" t="s">
        <v>73</v>
      </c>
      <c r="C1275" t="s">
        <v>74</v>
      </c>
      <c r="E1275" t="str">
        <f>"FES1162727979"</f>
        <v>FES1162727979</v>
      </c>
      <c r="F1275" s="3">
        <v>43811</v>
      </c>
      <c r="G1275">
        <v>202006</v>
      </c>
      <c r="H1275" t="s">
        <v>75</v>
      </c>
      <c r="I1275" t="s">
        <v>76</v>
      </c>
      <c r="J1275" t="s">
        <v>77</v>
      </c>
      <c r="K1275" t="s">
        <v>78</v>
      </c>
      <c r="L1275" t="s">
        <v>79</v>
      </c>
      <c r="M1275" t="s">
        <v>80</v>
      </c>
      <c r="N1275" t="s">
        <v>1769</v>
      </c>
      <c r="O1275" t="s">
        <v>82</v>
      </c>
      <c r="P1275" t="str">
        <f>"2170719004                    "</f>
        <v xml:space="preserve">2170719004                    </v>
      </c>
      <c r="Q1275">
        <v>0</v>
      </c>
      <c r="R1275">
        <v>0</v>
      </c>
      <c r="S1275">
        <v>0</v>
      </c>
      <c r="T1275">
        <v>0</v>
      </c>
      <c r="U1275">
        <v>0</v>
      </c>
      <c r="V1275">
        <v>0</v>
      </c>
      <c r="W1275">
        <v>0</v>
      </c>
      <c r="X1275">
        <v>0</v>
      </c>
      <c r="Y1275">
        <v>0</v>
      </c>
      <c r="Z1275">
        <v>0</v>
      </c>
      <c r="AA1275">
        <v>0</v>
      </c>
      <c r="AB1275">
        <v>0</v>
      </c>
      <c r="AC1275">
        <v>0</v>
      </c>
      <c r="AD1275">
        <v>0</v>
      </c>
      <c r="AE1275">
        <v>0</v>
      </c>
      <c r="AF1275">
        <v>0</v>
      </c>
      <c r="AG1275">
        <v>0</v>
      </c>
      <c r="AH1275">
        <v>0</v>
      </c>
      <c r="AI1275">
        <v>0</v>
      </c>
      <c r="AJ1275">
        <v>0</v>
      </c>
      <c r="AK1275">
        <v>0</v>
      </c>
      <c r="AL1275">
        <v>0</v>
      </c>
      <c r="AM1275">
        <v>8.58</v>
      </c>
      <c r="AN1275">
        <v>0</v>
      </c>
      <c r="AO1275">
        <v>0</v>
      </c>
      <c r="AP1275">
        <v>0</v>
      </c>
      <c r="AQ1275">
        <v>0</v>
      </c>
      <c r="AR1275">
        <v>0</v>
      </c>
      <c r="AS1275">
        <v>0</v>
      </c>
      <c r="AT1275">
        <v>0</v>
      </c>
      <c r="AU1275">
        <v>0</v>
      </c>
      <c r="AV1275">
        <v>0</v>
      </c>
      <c r="AW1275">
        <v>0</v>
      </c>
      <c r="AX1275">
        <v>0</v>
      </c>
      <c r="AY1275">
        <v>0</v>
      </c>
      <c r="AZ1275">
        <v>0</v>
      </c>
      <c r="BA1275">
        <v>0</v>
      </c>
      <c r="BB1275">
        <v>0</v>
      </c>
      <c r="BC1275">
        <v>0</v>
      </c>
      <c r="BD1275">
        <v>0</v>
      </c>
      <c r="BE1275">
        <v>0</v>
      </c>
      <c r="BF1275">
        <v>0</v>
      </c>
      <c r="BG1275">
        <v>0</v>
      </c>
      <c r="BH1275">
        <v>1</v>
      </c>
      <c r="BI1275">
        <v>1</v>
      </c>
      <c r="BJ1275">
        <v>0.2</v>
      </c>
      <c r="BK1275">
        <v>1</v>
      </c>
      <c r="BL1275" s="4">
        <v>50.45</v>
      </c>
      <c r="BM1275" s="4">
        <v>7.57</v>
      </c>
      <c r="BN1275" s="4">
        <v>58.02</v>
      </c>
      <c r="BO1275" s="4">
        <v>58.02</v>
      </c>
      <c r="BQ1275" t="s">
        <v>93</v>
      </c>
      <c r="BR1275" t="s">
        <v>84</v>
      </c>
      <c r="BS1275" s="3">
        <v>43812</v>
      </c>
      <c r="BT1275" s="5">
        <v>0.3840277777777778</v>
      </c>
      <c r="BU1275" t="s">
        <v>1770</v>
      </c>
      <c r="BV1275" t="s">
        <v>86</v>
      </c>
      <c r="BY1275">
        <v>1200</v>
      </c>
      <c r="CA1275" t="s">
        <v>185</v>
      </c>
      <c r="CC1275" t="s">
        <v>80</v>
      </c>
      <c r="CD1275">
        <v>6001</v>
      </c>
      <c r="CE1275" t="s">
        <v>88</v>
      </c>
      <c r="CF1275" s="3">
        <v>43816</v>
      </c>
      <c r="CI1275">
        <v>1</v>
      </c>
      <c r="CJ1275">
        <v>1</v>
      </c>
      <c r="CK1275">
        <v>21</v>
      </c>
      <c r="CL1275" t="s">
        <v>89</v>
      </c>
    </row>
    <row r="1276" spans="1:90">
      <c r="A1276" t="s">
        <v>72</v>
      </c>
      <c r="B1276" t="s">
        <v>73</v>
      </c>
      <c r="C1276" t="s">
        <v>74</v>
      </c>
      <c r="E1276" t="str">
        <f>"FES1162728040"</f>
        <v>FES1162728040</v>
      </c>
      <c r="F1276" s="3">
        <v>43811</v>
      </c>
      <c r="G1276">
        <v>202006</v>
      </c>
      <c r="H1276" t="s">
        <v>75</v>
      </c>
      <c r="I1276" t="s">
        <v>76</v>
      </c>
      <c r="J1276" t="s">
        <v>77</v>
      </c>
      <c r="K1276" t="s">
        <v>78</v>
      </c>
      <c r="L1276" t="s">
        <v>90</v>
      </c>
      <c r="M1276" t="s">
        <v>91</v>
      </c>
      <c r="N1276" t="s">
        <v>219</v>
      </c>
      <c r="O1276" t="s">
        <v>82</v>
      </c>
      <c r="P1276" t="str">
        <f>"2170712476                    "</f>
        <v xml:space="preserve">2170712476                    </v>
      </c>
      <c r="Q1276">
        <v>0</v>
      </c>
      <c r="R1276">
        <v>0</v>
      </c>
      <c r="S1276">
        <v>0</v>
      </c>
      <c r="T1276">
        <v>0</v>
      </c>
      <c r="U1276">
        <v>0</v>
      </c>
      <c r="V1276">
        <v>0</v>
      </c>
      <c r="W1276">
        <v>0</v>
      </c>
      <c r="X1276">
        <v>0</v>
      </c>
      <c r="Y1276">
        <v>0</v>
      </c>
      <c r="Z1276">
        <v>0</v>
      </c>
      <c r="AA1276">
        <v>0</v>
      </c>
      <c r="AB1276">
        <v>0</v>
      </c>
      <c r="AC1276">
        <v>0</v>
      </c>
      <c r="AD1276">
        <v>0</v>
      </c>
      <c r="AE1276">
        <v>0</v>
      </c>
      <c r="AF1276">
        <v>0</v>
      </c>
      <c r="AG1276">
        <v>0</v>
      </c>
      <c r="AH1276">
        <v>0</v>
      </c>
      <c r="AI1276">
        <v>0</v>
      </c>
      <c r="AJ1276">
        <v>0</v>
      </c>
      <c r="AK1276">
        <v>0</v>
      </c>
      <c r="AL1276">
        <v>0</v>
      </c>
      <c r="AM1276">
        <v>8.58</v>
      </c>
      <c r="AN1276">
        <v>0</v>
      </c>
      <c r="AO1276">
        <v>0</v>
      </c>
      <c r="AP1276">
        <v>0</v>
      </c>
      <c r="AQ1276">
        <v>0</v>
      </c>
      <c r="AR1276">
        <v>0</v>
      </c>
      <c r="AS1276">
        <v>0</v>
      </c>
      <c r="AT1276">
        <v>0</v>
      </c>
      <c r="AU1276">
        <v>0</v>
      </c>
      <c r="AV1276">
        <v>0</v>
      </c>
      <c r="AW1276">
        <v>0</v>
      </c>
      <c r="AX1276">
        <v>0</v>
      </c>
      <c r="AY1276">
        <v>0</v>
      </c>
      <c r="AZ1276">
        <v>0</v>
      </c>
      <c r="BA1276">
        <v>0</v>
      </c>
      <c r="BB1276">
        <v>0</v>
      </c>
      <c r="BC1276">
        <v>0</v>
      </c>
      <c r="BD1276">
        <v>0</v>
      </c>
      <c r="BE1276">
        <v>0</v>
      </c>
      <c r="BF1276">
        <v>0</v>
      </c>
      <c r="BG1276">
        <v>0</v>
      </c>
      <c r="BH1276">
        <v>1</v>
      </c>
      <c r="BI1276">
        <v>1</v>
      </c>
      <c r="BJ1276">
        <v>0.2</v>
      </c>
      <c r="BK1276">
        <v>1</v>
      </c>
      <c r="BL1276" s="4">
        <v>50.45</v>
      </c>
      <c r="BM1276" s="4">
        <v>7.57</v>
      </c>
      <c r="BN1276" s="4">
        <v>58.02</v>
      </c>
      <c r="BO1276" s="4">
        <v>58.02</v>
      </c>
      <c r="BQ1276" t="s">
        <v>147</v>
      </c>
      <c r="BR1276" t="s">
        <v>84</v>
      </c>
      <c r="BS1276" s="3">
        <v>43812</v>
      </c>
      <c r="BT1276" s="5">
        <v>0.36319444444444443</v>
      </c>
      <c r="BU1276" t="s">
        <v>220</v>
      </c>
      <c r="BV1276" t="s">
        <v>86</v>
      </c>
      <c r="BY1276">
        <v>1200</v>
      </c>
      <c r="CA1276" t="s">
        <v>112</v>
      </c>
      <c r="CC1276" t="s">
        <v>91</v>
      </c>
      <c r="CD1276">
        <v>7441</v>
      </c>
      <c r="CE1276" t="s">
        <v>88</v>
      </c>
      <c r="CF1276" s="3">
        <v>43816</v>
      </c>
      <c r="CI1276">
        <v>1</v>
      </c>
      <c r="CJ1276">
        <v>1</v>
      </c>
      <c r="CK1276">
        <v>21</v>
      </c>
      <c r="CL1276" t="s">
        <v>89</v>
      </c>
    </row>
    <row r="1277" spans="1:90">
      <c r="A1277" t="s">
        <v>72</v>
      </c>
      <c r="B1277" t="s">
        <v>73</v>
      </c>
      <c r="C1277" t="s">
        <v>74</v>
      </c>
      <c r="E1277" t="str">
        <f>"FES1162728125"</f>
        <v>FES1162728125</v>
      </c>
      <c r="F1277" s="3">
        <v>43811</v>
      </c>
      <c r="G1277">
        <v>202006</v>
      </c>
      <c r="H1277" t="s">
        <v>75</v>
      </c>
      <c r="I1277" t="s">
        <v>76</v>
      </c>
      <c r="J1277" t="s">
        <v>77</v>
      </c>
      <c r="K1277" t="s">
        <v>78</v>
      </c>
      <c r="L1277" t="s">
        <v>90</v>
      </c>
      <c r="M1277" t="s">
        <v>91</v>
      </c>
      <c r="N1277" t="s">
        <v>1582</v>
      </c>
      <c r="O1277" t="s">
        <v>82</v>
      </c>
      <c r="P1277" t="str">
        <f>"2170718770                    "</f>
        <v xml:space="preserve">2170718770                    </v>
      </c>
      <c r="Q1277">
        <v>0</v>
      </c>
      <c r="R1277">
        <v>0</v>
      </c>
      <c r="S1277">
        <v>0</v>
      </c>
      <c r="T1277">
        <v>0</v>
      </c>
      <c r="U1277">
        <v>0</v>
      </c>
      <c r="V1277">
        <v>0</v>
      </c>
      <c r="W1277">
        <v>0</v>
      </c>
      <c r="X1277">
        <v>0</v>
      </c>
      <c r="Y1277">
        <v>0</v>
      </c>
      <c r="Z1277">
        <v>0</v>
      </c>
      <c r="AA1277">
        <v>0</v>
      </c>
      <c r="AB1277">
        <v>0</v>
      </c>
      <c r="AC1277">
        <v>0</v>
      </c>
      <c r="AD1277">
        <v>0</v>
      </c>
      <c r="AE1277">
        <v>0</v>
      </c>
      <c r="AF1277">
        <v>0</v>
      </c>
      <c r="AG1277">
        <v>0</v>
      </c>
      <c r="AH1277">
        <v>0</v>
      </c>
      <c r="AI1277">
        <v>0</v>
      </c>
      <c r="AJ1277">
        <v>0</v>
      </c>
      <c r="AK1277">
        <v>0</v>
      </c>
      <c r="AL1277">
        <v>0</v>
      </c>
      <c r="AM1277">
        <v>8.58</v>
      </c>
      <c r="AN1277">
        <v>0</v>
      </c>
      <c r="AO1277">
        <v>0</v>
      </c>
      <c r="AP1277">
        <v>0</v>
      </c>
      <c r="AQ1277">
        <v>0</v>
      </c>
      <c r="AR1277">
        <v>0</v>
      </c>
      <c r="AS1277">
        <v>0</v>
      </c>
      <c r="AT1277">
        <v>0</v>
      </c>
      <c r="AU1277">
        <v>0</v>
      </c>
      <c r="AV1277">
        <v>0</v>
      </c>
      <c r="AW1277">
        <v>0</v>
      </c>
      <c r="AX1277">
        <v>0</v>
      </c>
      <c r="AY1277">
        <v>0</v>
      </c>
      <c r="AZ1277">
        <v>0</v>
      </c>
      <c r="BA1277">
        <v>0</v>
      </c>
      <c r="BB1277">
        <v>0</v>
      </c>
      <c r="BC1277">
        <v>0</v>
      </c>
      <c r="BD1277">
        <v>0</v>
      </c>
      <c r="BE1277">
        <v>0</v>
      </c>
      <c r="BF1277">
        <v>0</v>
      </c>
      <c r="BG1277">
        <v>0</v>
      </c>
      <c r="BH1277">
        <v>1</v>
      </c>
      <c r="BI1277">
        <v>1</v>
      </c>
      <c r="BJ1277">
        <v>0.2</v>
      </c>
      <c r="BK1277">
        <v>1</v>
      </c>
      <c r="BL1277" s="4">
        <v>50.45</v>
      </c>
      <c r="BM1277" s="4">
        <v>7.57</v>
      </c>
      <c r="BN1277" s="4">
        <v>58.02</v>
      </c>
      <c r="BO1277" s="4">
        <v>58.02</v>
      </c>
      <c r="BQ1277" t="s">
        <v>256</v>
      </c>
      <c r="BR1277" t="s">
        <v>84</v>
      </c>
      <c r="BS1277" s="3">
        <v>43812</v>
      </c>
      <c r="BT1277" s="5">
        <v>0.43402777777777773</v>
      </c>
      <c r="BU1277" t="s">
        <v>678</v>
      </c>
      <c r="BV1277" t="s">
        <v>86</v>
      </c>
      <c r="BY1277">
        <v>1200</v>
      </c>
      <c r="CA1277" t="s">
        <v>539</v>
      </c>
      <c r="CC1277" t="s">
        <v>91</v>
      </c>
      <c r="CD1277">
        <v>7580</v>
      </c>
      <c r="CE1277" t="s">
        <v>88</v>
      </c>
      <c r="CF1277" s="3">
        <v>43816</v>
      </c>
      <c r="CI1277">
        <v>1</v>
      </c>
      <c r="CJ1277">
        <v>1</v>
      </c>
      <c r="CK1277">
        <v>21</v>
      </c>
      <c r="CL1277" t="s">
        <v>89</v>
      </c>
    </row>
    <row r="1278" spans="1:90">
      <c r="A1278" t="s">
        <v>72</v>
      </c>
      <c r="B1278" t="s">
        <v>73</v>
      </c>
      <c r="C1278" t="s">
        <v>74</v>
      </c>
      <c r="E1278" t="str">
        <f>"FES1162728132"</f>
        <v>FES1162728132</v>
      </c>
      <c r="F1278" s="3">
        <v>43811</v>
      </c>
      <c r="G1278">
        <v>202006</v>
      </c>
      <c r="H1278" t="s">
        <v>75</v>
      </c>
      <c r="I1278" t="s">
        <v>76</v>
      </c>
      <c r="J1278" t="s">
        <v>77</v>
      </c>
      <c r="K1278" t="s">
        <v>78</v>
      </c>
      <c r="L1278" t="s">
        <v>90</v>
      </c>
      <c r="M1278" t="s">
        <v>91</v>
      </c>
      <c r="N1278" t="s">
        <v>207</v>
      </c>
      <c r="O1278" t="s">
        <v>82</v>
      </c>
      <c r="P1278" t="str">
        <f>"21707180907                   "</f>
        <v xml:space="preserve">21707180907                   </v>
      </c>
      <c r="Q1278">
        <v>0</v>
      </c>
      <c r="R1278">
        <v>0</v>
      </c>
      <c r="S1278">
        <v>0</v>
      </c>
      <c r="T1278">
        <v>0</v>
      </c>
      <c r="U1278">
        <v>0</v>
      </c>
      <c r="V1278">
        <v>0</v>
      </c>
      <c r="W1278">
        <v>0</v>
      </c>
      <c r="X1278">
        <v>0</v>
      </c>
      <c r="Y1278">
        <v>0</v>
      </c>
      <c r="Z1278">
        <v>0</v>
      </c>
      <c r="AA1278">
        <v>0</v>
      </c>
      <c r="AB1278">
        <v>0</v>
      </c>
      <c r="AC1278">
        <v>0</v>
      </c>
      <c r="AD1278">
        <v>0</v>
      </c>
      <c r="AE1278">
        <v>0</v>
      </c>
      <c r="AF1278">
        <v>0</v>
      </c>
      <c r="AG1278">
        <v>0</v>
      </c>
      <c r="AH1278">
        <v>0</v>
      </c>
      <c r="AI1278">
        <v>0</v>
      </c>
      <c r="AJ1278">
        <v>0</v>
      </c>
      <c r="AK1278">
        <v>0</v>
      </c>
      <c r="AL1278">
        <v>0</v>
      </c>
      <c r="AM1278">
        <v>8.58</v>
      </c>
      <c r="AN1278">
        <v>0</v>
      </c>
      <c r="AO1278">
        <v>0</v>
      </c>
      <c r="AP1278">
        <v>0</v>
      </c>
      <c r="AQ1278">
        <v>0</v>
      </c>
      <c r="AR1278">
        <v>0</v>
      </c>
      <c r="AS1278">
        <v>0</v>
      </c>
      <c r="AT1278">
        <v>0</v>
      </c>
      <c r="AU1278">
        <v>0</v>
      </c>
      <c r="AV1278">
        <v>0</v>
      </c>
      <c r="AW1278">
        <v>0</v>
      </c>
      <c r="AX1278">
        <v>0</v>
      </c>
      <c r="AY1278">
        <v>0</v>
      </c>
      <c r="AZ1278">
        <v>0</v>
      </c>
      <c r="BA1278">
        <v>0</v>
      </c>
      <c r="BB1278">
        <v>0</v>
      </c>
      <c r="BC1278">
        <v>0</v>
      </c>
      <c r="BD1278">
        <v>0</v>
      </c>
      <c r="BE1278">
        <v>0</v>
      </c>
      <c r="BF1278">
        <v>0</v>
      </c>
      <c r="BG1278">
        <v>0</v>
      </c>
      <c r="BH1278">
        <v>1</v>
      </c>
      <c r="BI1278">
        <v>1</v>
      </c>
      <c r="BJ1278">
        <v>0.2</v>
      </c>
      <c r="BK1278">
        <v>1</v>
      </c>
      <c r="BL1278" s="4">
        <v>50.45</v>
      </c>
      <c r="BM1278" s="4">
        <v>7.57</v>
      </c>
      <c r="BN1278" s="4">
        <v>58.02</v>
      </c>
      <c r="BO1278" s="4">
        <v>58.02</v>
      </c>
      <c r="BQ1278" t="s">
        <v>147</v>
      </c>
      <c r="BR1278" t="s">
        <v>84</v>
      </c>
      <c r="BS1278" s="3">
        <v>43812</v>
      </c>
      <c r="BT1278" s="5">
        <v>0.37013888888888885</v>
      </c>
      <c r="BU1278" t="s">
        <v>747</v>
      </c>
      <c r="BV1278" t="s">
        <v>86</v>
      </c>
      <c r="BY1278">
        <v>1200</v>
      </c>
      <c r="CA1278" t="s">
        <v>209</v>
      </c>
      <c r="CC1278" t="s">
        <v>91</v>
      </c>
      <c r="CD1278">
        <v>7441</v>
      </c>
      <c r="CE1278" t="s">
        <v>88</v>
      </c>
      <c r="CF1278" s="3">
        <v>43816</v>
      </c>
      <c r="CI1278">
        <v>1</v>
      </c>
      <c r="CJ1278">
        <v>1</v>
      </c>
      <c r="CK1278">
        <v>21</v>
      </c>
      <c r="CL1278" t="s">
        <v>89</v>
      </c>
    </row>
    <row r="1279" spans="1:90">
      <c r="A1279" t="s">
        <v>72</v>
      </c>
      <c r="B1279" t="s">
        <v>73</v>
      </c>
      <c r="C1279" t="s">
        <v>74</v>
      </c>
      <c r="E1279" t="str">
        <f>"FES1162728052"</f>
        <v>FES1162728052</v>
      </c>
      <c r="F1279" s="3">
        <v>43811</v>
      </c>
      <c r="G1279">
        <v>202006</v>
      </c>
      <c r="H1279" t="s">
        <v>75</v>
      </c>
      <c r="I1279" t="s">
        <v>76</v>
      </c>
      <c r="J1279" t="s">
        <v>77</v>
      </c>
      <c r="K1279" t="s">
        <v>78</v>
      </c>
      <c r="L1279" t="s">
        <v>258</v>
      </c>
      <c r="M1279" t="s">
        <v>259</v>
      </c>
      <c r="N1279" t="s">
        <v>820</v>
      </c>
      <c r="O1279" t="s">
        <v>82</v>
      </c>
      <c r="P1279" t="str">
        <f>"2170716023                    "</f>
        <v xml:space="preserve">2170716023                    </v>
      </c>
      <c r="Q1279">
        <v>0</v>
      </c>
      <c r="R1279">
        <v>0</v>
      </c>
      <c r="S1279">
        <v>0</v>
      </c>
      <c r="T1279">
        <v>0</v>
      </c>
      <c r="U1279">
        <v>0</v>
      </c>
      <c r="V1279">
        <v>0</v>
      </c>
      <c r="W1279">
        <v>0</v>
      </c>
      <c r="X1279">
        <v>0</v>
      </c>
      <c r="Y1279">
        <v>0</v>
      </c>
      <c r="Z1279">
        <v>0</v>
      </c>
      <c r="AA1279">
        <v>0</v>
      </c>
      <c r="AB1279">
        <v>0</v>
      </c>
      <c r="AC1279">
        <v>0</v>
      </c>
      <c r="AD1279">
        <v>0</v>
      </c>
      <c r="AE1279">
        <v>0</v>
      </c>
      <c r="AF1279">
        <v>0</v>
      </c>
      <c r="AG1279">
        <v>0</v>
      </c>
      <c r="AH1279">
        <v>0</v>
      </c>
      <c r="AI1279">
        <v>0</v>
      </c>
      <c r="AJ1279">
        <v>0</v>
      </c>
      <c r="AK1279">
        <v>0</v>
      </c>
      <c r="AL1279">
        <v>0</v>
      </c>
      <c r="AM1279">
        <v>8.58</v>
      </c>
      <c r="AN1279">
        <v>0</v>
      </c>
      <c r="AO1279">
        <v>0</v>
      </c>
      <c r="AP1279">
        <v>0</v>
      </c>
      <c r="AQ1279">
        <v>0</v>
      </c>
      <c r="AR1279">
        <v>0</v>
      </c>
      <c r="AS1279">
        <v>0</v>
      </c>
      <c r="AT1279">
        <v>0</v>
      </c>
      <c r="AU1279">
        <v>0</v>
      </c>
      <c r="AV1279">
        <v>0</v>
      </c>
      <c r="AW1279">
        <v>0</v>
      </c>
      <c r="AX1279">
        <v>0</v>
      </c>
      <c r="AY1279">
        <v>0</v>
      </c>
      <c r="AZ1279">
        <v>0</v>
      </c>
      <c r="BA1279">
        <v>0</v>
      </c>
      <c r="BB1279">
        <v>0</v>
      </c>
      <c r="BC1279">
        <v>0</v>
      </c>
      <c r="BD1279">
        <v>0</v>
      </c>
      <c r="BE1279">
        <v>0</v>
      </c>
      <c r="BF1279">
        <v>0</v>
      </c>
      <c r="BG1279">
        <v>0</v>
      </c>
      <c r="BH1279">
        <v>1</v>
      </c>
      <c r="BI1279">
        <v>1</v>
      </c>
      <c r="BJ1279">
        <v>0.2</v>
      </c>
      <c r="BK1279">
        <v>1</v>
      </c>
      <c r="BL1279" s="4">
        <v>50.45</v>
      </c>
      <c r="BM1279" s="4">
        <v>7.57</v>
      </c>
      <c r="BN1279" s="4">
        <v>58.02</v>
      </c>
      <c r="BO1279" s="4">
        <v>58.02</v>
      </c>
      <c r="BQ1279" t="s">
        <v>93</v>
      </c>
      <c r="BR1279" t="s">
        <v>84</v>
      </c>
      <c r="BS1279" s="3">
        <v>43812</v>
      </c>
      <c r="BT1279" s="5">
        <v>0.38958333333333334</v>
      </c>
      <c r="BU1279" t="s">
        <v>821</v>
      </c>
      <c r="BV1279" t="s">
        <v>86</v>
      </c>
      <c r="BY1279">
        <v>1200</v>
      </c>
      <c r="CA1279" t="s">
        <v>262</v>
      </c>
      <c r="CC1279" t="s">
        <v>259</v>
      </c>
      <c r="CD1279">
        <v>7600</v>
      </c>
      <c r="CE1279" t="s">
        <v>88</v>
      </c>
      <c r="CF1279" s="3">
        <v>43816</v>
      </c>
      <c r="CI1279">
        <v>1</v>
      </c>
      <c r="CJ1279">
        <v>1</v>
      </c>
      <c r="CK1279">
        <v>21</v>
      </c>
      <c r="CL1279" t="s">
        <v>89</v>
      </c>
    </row>
    <row r="1280" spans="1:90">
      <c r="A1280" t="s">
        <v>72</v>
      </c>
      <c r="B1280" t="s">
        <v>73</v>
      </c>
      <c r="C1280" t="s">
        <v>74</v>
      </c>
      <c r="E1280" t="str">
        <f>"FES1162727989"</f>
        <v>FES1162727989</v>
      </c>
      <c r="F1280" s="3">
        <v>43811</v>
      </c>
      <c r="G1280">
        <v>202006</v>
      </c>
      <c r="H1280" t="s">
        <v>75</v>
      </c>
      <c r="I1280" t="s">
        <v>76</v>
      </c>
      <c r="J1280" t="s">
        <v>77</v>
      </c>
      <c r="K1280" t="s">
        <v>78</v>
      </c>
      <c r="L1280" t="s">
        <v>90</v>
      </c>
      <c r="M1280" t="s">
        <v>91</v>
      </c>
      <c r="N1280" t="s">
        <v>1771</v>
      </c>
      <c r="O1280" t="s">
        <v>82</v>
      </c>
      <c r="P1280" t="str">
        <f>"2170719134                    "</f>
        <v xml:space="preserve">2170719134                    </v>
      </c>
      <c r="Q1280">
        <v>0</v>
      </c>
      <c r="R1280">
        <v>0</v>
      </c>
      <c r="S1280">
        <v>0</v>
      </c>
      <c r="T1280">
        <v>0</v>
      </c>
      <c r="U1280">
        <v>0</v>
      </c>
      <c r="V1280">
        <v>0</v>
      </c>
      <c r="W1280">
        <v>0</v>
      </c>
      <c r="X1280">
        <v>0</v>
      </c>
      <c r="Y1280">
        <v>0</v>
      </c>
      <c r="Z1280">
        <v>0</v>
      </c>
      <c r="AA1280">
        <v>0</v>
      </c>
      <c r="AB1280">
        <v>0</v>
      </c>
      <c r="AC1280">
        <v>0</v>
      </c>
      <c r="AD1280">
        <v>0</v>
      </c>
      <c r="AE1280">
        <v>0</v>
      </c>
      <c r="AF1280">
        <v>0</v>
      </c>
      <c r="AG1280">
        <v>0</v>
      </c>
      <c r="AH1280">
        <v>0</v>
      </c>
      <c r="AI1280">
        <v>0</v>
      </c>
      <c r="AJ1280">
        <v>0</v>
      </c>
      <c r="AK1280">
        <v>0</v>
      </c>
      <c r="AL1280">
        <v>0</v>
      </c>
      <c r="AM1280">
        <v>8.58</v>
      </c>
      <c r="AN1280">
        <v>0</v>
      </c>
      <c r="AO1280">
        <v>0</v>
      </c>
      <c r="AP1280">
        <v>0</v>
      </c>
      <c r="AQ1280">
        <v>0</v>
      </c>
      <c r="AR1280">
        <v>0</v>
      </c>
      <c r="AS1280">
        <v>0</v>
      </c>
      <c r="AT1280">
        <v>0</v>
      </c>
      <c r="AU1280">
        <v>0</v>
      </c>
      <c r="AV1280">
        <v>0</v>
      </c>
      <c r="AW1280">
        <v>0</v>
      </c>
      <c r="AX1280">
        <v>0</v>
      </c>
      <c r="AY1280">
        <v>0</v>
      </c>
      <c r="AZ1280">
        <v>0</v>
      </c>
      <c r="BA1280">
        <v>0</v>
      </c>
      <c r="BB1280">
        <v>0</v>
      </c>
      <c r="BC1280">
        <v>0</v>
      </c>
      <c r="BD1280">
        <v>0</v>
      </c>
      <c r="BE1280">
        <v>0</v>
      </c>
      <c r="BF1280">
        <v>0</v>
      </c>
      <c r="BG1280">
        <v>0</v>
      </c>
      <c r="BH1280">
        <v>1</v>
      </c>
      <c r="BI1280">
        <v>1</v>
      </c>
      <c r="BJ1280">
        <v>0.2</v>
      </c>
      <c r="BK1280">
        <v>1</v>
      </c>
      <c r="BL1280" s="4">
        <v>50.45</v>
      </c>
      <c r="BM1280" s="4">
        <v>7.57</v>
      </c>
      <c r="BN1280" s="4">
        <v>58.02</v>
      </c>
      <c r="BO1280" s="4">
        <v>58.02</v>
      </c>
      <c r="BQ1280" t="s">
        <v>1772</v>
      </c>
      <c r="BR1280" t="s">
        <v>84</v>
      </c>
      <c r="BS1280" s="3">
        <v>43812</v>
      </c>
      <c r="BT1280" s="5">
        <v>0.32777777777777778</v>
      </c>
      <c r="BU1280" t="s">
        <v>1773</v>
      </c>
      <c r="BV1280" t="s">
        <v>86</v>
      </c>
      <c r="BY1280">
        <v>1200</v>
      </c>
      <c r="CA1280" t="s">
        <v>550</v>
      </c>
      <c r="CC1280" t="s">
        <v>91</v>
      </c>
      <c r="CD1280">
        <v>7530</v>
      </c>
      <c r="CE1280" t="s">
        <v>88</v>
      </c>
      <c r="CF1280" s="3">
        <v>43816</v>
      </c>
      <c r="CI1280">
        <v>1</v>
      </c>
      <c r="CJ1280">
        <v>1</v>
      </c>
      <c r="CK1280">
        <v>21</v>
      </c>
      <c r="CL1280" t="s">
        <v>89</v>
      </c>
    </row>
    <row r="1281" spans="1:90">
      <c r="A1281" t="s">
        <v>72</v>
      </c>
      <c r="B1281" t="s">
        <v>73</v>
      </c>
      <c r="C1281" t="s">
        <v>74</v>
      </c>
      <c r="E1281" t="str">
        <f>"FES1162728187"</f>
        <v>FES1162728187</v>
      </c>
      <c r="F1281" s="3">
        <v>43811</v>
      </c>
      <c r="G1281">
        <v>202006</v>
      </c>
      <c r="H1281" t="s">
        <v>75</v>
      </c>
      <c r="I1281" t="s">
        <v>76</v>
      </c>
      <c r="J1281" t="s">
        <v>77</v>
      </c>
      <c r="K1281" t="s">
        <v>78</v>
      </c>
      <c r="L1281" t="s">
        <v>90</v>
      </c>
      <c r="M1281" t="s">
        <v>91</v>
      </c>
      <c r="N1281" t="s">
        <v>219</v>
      </c>
      <c r="O1281" t="s">
        <v>82</v>
      </c>
      <c r="P1281" t="str">
        <f>"2170720071                    "</f>
        <v xml:space="preserve">2170720071                    </v>
      </c>
      <c r="Q1281">
        <v>0</v>
      </c>
      <c r="R1281">
        <v>0</v>
      </c>
      <c r="S1281">
        <v>0</v>
      </c>
      <c r="T1281">
        <v>0</v>
      </c>
      <c r="U1281">
        <v>0</v>
      </c>
      <c r="V1281">
        <v>0</v>
      </c>
      <c r="W1281">
        <v>0</v>
      </c>
      <c r="X1281">
        <v>0</v>
      </c>
      <c r="Y1281">
        <v>0</v>
      </c>
      <c r="Z1281">
        <v>0</v>
      </c>
      <c r="AA1281">
        <v>0</v>
      </c>
      <c r="AB1281">
        <v>0</v>
      </c>
      <c r="AC1281">
        <v>0</v>
      </c>
      <c r="AD1281">
        <v>0</v>
      </c>
      <c r="AE1281">
        <v>0</v>
      </c>
      <c r="AF1281">
        <v>0</v>
      </c>
      <c r="AG1281">
        <v>0</v>
      </c>
      <c r="AH1281">
        <v>0</v>
      </c>
      <c r="AI1281">
        <v>0</v>
      </c>
      <c r="AJ1281">
        <v>0</v>
      </c>
      <c r="AK1281">
        <v>0</v>
      </c>
      <c r="AL1281">
        <v>0</v>
      </c>
      <c r="AM1281">
        <v>8.58</v>
      </c>
      <c r="AN1281">
        <v>0</v>
      </c>
      <c r="AO1281">
        <v>0</v>
      </c>
      <c r="AP1281">
        <v>0</v>
      </c>
      <c r="AQ1281">
        <v>0</v>
      </c>
      <c r="AR1281">
        <v>0</v>
      </c>
      <c r="AS1281">
        <v>0</v>
      </c>
      <c r="AT1281">
        <v>0</v>
      </c>
      <c r="AU1281">
        <v>0</v>
      </c>
      <c r="AV1281">
        <v>0</v>
      </c>
      <c r="AW1281">
        <v>0</v>
      </c>
      <c r="AX1281">
        <v>0</v>
      </c>
      <c r="AY1281">
        <v>0</v>
      </c>
      <c r="AZ1281">
        <v>0</v>
      </c>
      <c r="BA1281">
        <v>0</v>
      </c>
      <c r="BB1281">
        <v>0</v>
      </c>
      <c r="BC1281">
        <v>0</v>
      </c>
      <c r="BD1281">
        <v>0</v>
      </c>
      <c r="BE1281">
        <v>0</v>
      </c>
      <c r="BF1281">
        <v>0</v>
      </c>
      <c r="BG1281">
        <v>0</v>
      </c>
      <c r="BH1281">
        <v>1</v>
      </c>
      <c r="BI1281">
        <v>1</v>
      </c>
      <c r="BJ1281">
        <v>0.2</v>
      </c>
      <c r="BK1281">
        <v>1</v>
      </c>
      <c r="BL1281" s="4">
        <v>50.45</v>
      </c>
      <c r="BM1281" s="4">
        <v>7.57</v>
      </c>
      <c r="BN1281" s="4">
        <v>58.02</v>
      </c>
      <c r="BO1281" s="4">
        <v>58.02</v>
      </c>
      <c r="BQ1281" t="s">
        <v>147</v>
      </c>
      <c r="BR1281" t="s">
        <v>84</v>
      </c>
      <c r="BS1281" s="3">
        <v>43812</v>
      </c>
      <c r="BT1281" s="5">
        <v>0.36319444444444443</v>
      </c>
      <c r="BU1281" t="s">
        <v>220</v>
      </c>
      <c r="BV1281" t="s">
        <v>86</v>
      </c>
      <c r="BY1281">
        <v>1200</v>
      </c>
      <c r="CA1281" t="s">
        <v>112</v>
      </c>
      <c r="CC1281" t="s">
        <v>91</v>
      </c>
      <c r="CD1281">
        <v>7441</v>
      </c>
      <c r="CE1281" t="s">
        <v>88</v>
      </c>
      <c r="CF1281" s="3">
        <v>43816</v>
      </c>
      <c r="CI1281">
        <v>1</v>
      </c>
      <c r="CJ1281">
        <v>1</v>
      </c>
      <c r="CK1281">
        <v>21</v>
      </c>
      <c r="CL1281" t="s">
        <v>89</v>
      </c>
    </row>
    <row r="1282" spans="1:90">
      <c r="A1282" t="s">
        <v>72</v>
      </c>
      <c r="B1282" t="s">
        <v>73</v>
      </c>
      <c r="C1282" t="s">
        <v>74</v>
      </c>
      <c r="E1282" t="str">
        <f>"FES1162728009"</f>
        <v>FES1162728009</v>
      </c>
      <c r="F1282" s="3">
        <v>43811</v>
      </c>
      <c r="G1282">
        <v>202006</v>
      </c>
      <c r="H1282" t="s">
        <v>75</v>
      </c>
      <c r="I1282" t="s">
        <v>76</v>
      </c>
      <c r="J1282" t="s">
        <v>77</v>
      </c>
      <c r="K1282" t="s">
        <v>78</v>
      </c>
      <c r="L1282" t="s">
        <v>90</v>
      </c>
      <c r="M1282" t="s">
        <v>91</v>
      </c>
      <c r="N1282" t="s">
        <v>1774</v>
      </c>
      <c r="O1282" t="s">
        <v>82</v>
      </c>
      <c r="P1282" t="str">
        <f>"217071944                     "</f>
        <v xml:space="preserve">217071944                     </v>
      </c>
      <c r="Q1282">
        <v>0</v>
      </c>
      <c r="R1282">
        <v>0</v>
      </c>
      <c r="S1282">
        <v>0</v>
      </c>
      <c r="T1282">
        <v>0</v>
      </c>
      <c r="U1282">
        <v>0</v>
      </c>
      <c r="V1282">
        <v>0</v>
      </c>
      <c r="W1282">
        <v>0</v>
      </c>
      <c r="X1282">
        <v>0</v>
      </c>
      <c r="Y1282">
        <v>0</v>
      </c>
      <c r="Z1282">
        <v>0</v>
      </c>
      <c r="AA1282">
        <v>0</v>
      </c>
      <c r="AB1282">
        <v>0</v>
      </c>
      <c r="AC1282">
        <v>0</v>
      </c>
      <c r="AD1282">
        <v>0</v>
      </c>
      <c r="AE1282">
        <v>0</v>
      </c>
      <c r="AF1282">
        <v>0</v>
      </c>
      <c r="AG1282">
        <v>0</v>
      </c>
      <c r="AH1282">
        <v>0</v>
      </c>
      <c r="AI1282">
        <v>0</v>
      </c>
      <c r="AJ1282">
        <v>0</v>
      </c>
      <c r="AK1282">
        <v>0</v>
      </c>
      <c r="AL1282">
        <v>0</v>
      </c>
      <c r="AM1282">
        <v>8.58</v>
      </c>
      <c r="AN1282">
        <v>0</v>
      </c>
      <c r="AO1282">
        <v>0</v>
      </c>
      <c r="AP1282">
        <v>0</v>
      </c>
      <c r="AQ1282">
        <v>0</v>
      </c>
      <c r="AR1282">
        <v>0</v>
      </c>
      <c r="AS1282">
        <v>0</v>
      </c>
      <c r="AT1282">
        <v>0</v>
      </c>
      <c r="AU1282">
        <v>0</v>
      </c>
      <c r="AV1282">
        <v>0</v>
      </c>
      <c r="AW1282">
        <v>0</v>
      </c>
      <c r="AX1282">
        <v>0</v>
      </c>
      <c r="AY1282">
        <v>0</v>
      </c>
      <c r="AZ1282">
        <v>0</v>
      </c>
      <c r="BA1282">
        <v>0</v>
      </c>
      <c r="BB1282">
        <v>0</v>
      </c>
      <c r="BC1282">
        <v>0</v>
      </c>
      <c r="BD1282">
        <v>0</v>
      </c>
      <c r="BE1282">
        <v>0</v>
      </c>
      <c r="BF1282">
        <v>0</v>
      </c>
      <c r="BG1282">
        <v>0</v>
      </c>
      <c r="BH1282">
        <v>1</v>
      </c>
      <c r="BI1282">
        <v>1</v>
      </c>
      <c r="BJ1282">
        <v>0.2</v>
      </c>
      <c r="BK1282">
        <v>1</v>
      </c>
      <c r="BL1282" s="4">
        <v>50.45</v>
      </c>
      <c r="BM1282" s="4">
        <v>7.57</v>
      </c>
      <c r="BN1282" s="4">
        <v>58.02</v>
      </c>
      <c r="BO1282" s="4">
        <v>58.02</v>
      </c>
      <c r="BQ1282" t="s">
        <v>93</v>
      </c>
      <c r="BR1282" t="s">
        <v>84</v>
      </c>
      <c r="BS1282" s="3">
        <v>43812</v>
      </c>
      <c r="BT1282" s="5">
        <v>0.33194444444444443</v>
      </c>
      <c r="BU1282" t="s">
        <v>1775</v>
      </c>
      <c r="BV1282" t="s">
        <v>86</v>
      </c>
      <c r="BY1282">
        <v>1200</v>
      </c>
      <c r="CA1282" t="s">
        <v>550</v>
      </c>
      <c r="CC1282" t="s">
        <v>91</v>
      </c>
      <c r="CD1282">
        <v>7530</v>
      </c>
      <c r="CE1282" t="s">
        <v>88</v>
      </c>
      <c r="CF1282" s="3">
        <v>43816</v>
      </c>
      <c r="CI1282">
        <v>1</v>
      </c>
      <c r="CJ1282">
        <v>1</v>
      </c>
      <c r="CK1282">
        <v>21</v>
      </c>
      <c r="CL1282" t="s">
        <v>89</v>
      </c>
    </row>
    <row r="1283" spans="1:90">
      <c r="A1283" t="s">
        <v>72</v>
      </c>
      <c r="B1283" t="s">
        <v>73</v>
      </c>
      <c r="C1283" t="s">
        <v>74</v>
      </c>
      <c r="E1283" t="str">
        <f>"FES1162727987"</f>
        <v>FES1162727987</v>
      </c>
      <c r="F1283" s="3">
        <v>43811</v>
      </c>
      <c r="G1283">
        <v>202006</v>
      </c>
      <c r="H1283" t="s">
        <v>75</v>
      </c>
      <c r="I1283" t="s">
        <v>76</v>
      </c>
      <c r="J1283" t="s">
        <v>77</v>
      </c>
      <c r="K1283" t="s">
        <v>78</v>
      </c>
      <c r="L1283" t="s">
        <v>169</v>
      </c>
      <c r="M1283" t="s">
        <v>170</v>
      </c>
      <c r="N1283" t="s">
        <v>1762</v>
      </c>
      <c r="O1283" t="s">
        <v>82</v>
      </c>
      <c r="P1283" t="str">
        <f>"2170719105                    "</f>
        <v xml:space="preserve">2170719105                    </v>
      </c>
      <c r="Q1283">
        <v>0</v>
      </c>
      <c r="R1283">
        <v>0</v>
      </c>
      <c r="S1283">
        <v>0</v>
      </c>
      <c r="T1283">
        <v>0</v>
      </c>
      <c r="U1283">
        <v>0</v>
      </c>
      <c r="V1283">
        <v>0</v>
      </c>
      <c r="W1283">
        <v>0</v>
      </c>
      <c r="X1283">
        <v>0</v>
      </c>
      <c r="Y1283">
        <v>0</v>
      </c>
      <c r="Z1283">
        <v>0</v>
      </c>
      <c r="AA1283">
        <v>0</v>
      </c>
      <c r="AB1283">
        <v>0</v>
      </c>
      <c r="AC1283">
        <v>0</v>
      </c>
      <c r="AD1283">
        <v>0</v>
      </c>
      <c r="AE1283">
        <v>0</v>
      </c>
      <c r="AF1283">
        <v>0</v>
      </c>
      <c r="AG1283">
        <v>0</v>
      </c>
      <c r="AH1283">
        <v>0</v>
      </c>
      <c r="AI1283">
        <v>0</v>
      </c>
      <c r="AJ1283">
        <v>0</v>
      </c>
      <c r="AK1283">
        <v>0</v>
      </c>
      <c r="AL1283">
        <v>0</v>
      </c>
      <c r="AM1283">
        <v>6.71</v>
      </c>
      <c r="AN1283">
        <v>0</v>
      </c>
      <c r="AO1283">
        <v>0</v>
      </c>
      <c r="AP1283">
        <v>0</v>
      </c>
      <c r="AQ1283">
        <v>0</v>
      </c>
      <c r="AR1283">
        <v>0</v>
      </c>
      <c r="AS1283">
        <v>0</v>
      </c>
      <c r="AT1283">
        <v>0</v>
      </c>
      <c r="AU1283">
        <v>0</v>
      </c>
      <c r="AV1283">
        <v>0</v>
      </c>
      <c r="AW1283">
        <v>0</v>
      </c>
      <c r="AX1283">
        <v>0</v>
      </c>
      <c r="AY1283">
        <v>0</v>
      </c>
      <c r="AZ1283">
        <v>0</v>
      </c>
      <c r="BA1283">
        <v>0</v>
      </c>
      <c r="BB1283">
        <v>0</v>
      </c>
      <c r="BC1283">
        <v>0</v>
      </c>
      <c r="BD1283">
        <v>0</v>
      </c>
      <c r="BE1283">
        <v>0</v>
      </c>
      <c r="BF1283">
        <v>0</v>
      </c>
      <c r="BG1283">
        <v>0</v>
      </c>
      <c r="BH1283">
        <v>1</v>
      </c>
      <c r="BI1283">
        <v>1</v>
      </c>
      <c r="BJ1283">
        <v>0.2</v>
      </c>
      <c r="BK1283">
        <v>1</v>
      </c>
      <c r="BL1283" s="4">
        <v>39.42</v>
      </c>
      <c r="BM1283" s="4">
        <v>5.91</v>
      </c>
      <c r="BN1283" s="4">
        <v>45.33</v>
      </c>
      <c r="BO1283" s="4">
        <v>45.33</v>
      </c>
      <c r="BR1283" t="s">
        <v>84</v>
      </c>
      <c r="BS1283" s="3">
        <v>43812</v>
      </c>
      <c r="BT1283" s="5">
        <v>0.40972222222222227</v>
      </c>
      <c r="BU1283" t="s">
        <v>1763</v>
      </c>
      <c r="BV1283" t="s">
        <v>86</v>
      </c>
      <c r="BY1283">
        <v>1200</v>
      </c>
      <c r="CC1283" t="s">
        <v>170</v>
      </c>
      <c r="CD1283">
        <v>1459</v>
      </c>
      <c r="CE1283" t="s">
        <v>88</v>
      </c>
      <c r="CF1283" s="3">
        <v>43816</v>
      </c>
      <c r="CI1283">
        <v>1</v>
      </c>
      <c r="CJ1283">
        <v>1</v>
      </c>
      <c r="CK1283">
        <v>22</v>
      </c>
      <c r="CL1283" t="s">
        <v>89</v>
      </c>
    </row>
    <row r="1284" spans="1:90">
      <c r="A1284" t="s">
        <v>72</v>
      </c>
      <c r="B1284" t="s">
        <v>73</v>
      </c>
      <c r="C1284" t="s">
        <v>74</v>
      </c>
      <c r="E1284" t="str">
        <f>"FES1162727967"</f>
        <v>FES1162727967</v>
      </c>
      <c r="F1284" s="3">
        <v>43811</v>
      </c>
      <c r="G1284">
        <v>202006</v>
      </c>
      <c r="H1284" t="s">
        <v>75</v>
      </c>
      <c r="I1284" t="s">
        <v>76</v>
      </c>
      <c r="J1284" t="s">
        <v>77</v>
      </c>
      <c r="K1284" t="s">
        <v>78</v>
      </c>
      <c r="L1284" t="s">
        <v>90</v>
      </c>
      <c r="M1284" t="s">
        <v>91</v>
      </c>
      <c r="N1284" t="s">
        <v>1582</v>
      </c>
      <c r="O1284" t="s">
        <v>82</v>
      </c>
      <c r="P1284" t="str">
        <f>"2170718764                    "</f>
        <v xml:space="preserve">2170718764                    </v>
      </c>
      <c r="Q1284">
        <v>0</v>
      </c>
      <c r="R1284">
        <v>0</v>
      </c>
      <c r="S1284">
        <v>0</v>
      </c>
      <c r="T1284">
        <v>0</v>
      </c>
      <c r="U1284">
        <v>0</v>
      </c>
      <c r="V1284">
        <v>0</v>
      </c>
      <c r="W1284">
        <v>0</v>
      </c>
      <c r="X1284">
        <v>0</v>
      </c>
      <c r="Y1284">
        <v>0</v>
      </c>
      <c r="Z1284">
        <v>0</v>
      </c>
      <c r="AA1284">
        <v>0</v>
      </c>
      <c r="AB1284">
        <v>0</v>
      </c>
      <c r="AC1284">
        <v>0</v>
      </c>
      <c r="AD1284">
        <v>0</v>
      </c>
      <c r="AE1284">
        <v>0</v>
      </c>
      <c r="AF1284">
        <v>0</v>
      </c>
      <c r="AG1284">
        <v>0</v>
      </c>
      <c r="AH1284">
        <v>0</v>
      </c>
      <c r="AI1284">
        <v>0</v>
      </c>
      <c r="AJ1284">
        <v>0</v>
      </c>
      <c r="AK1284">
        <v>0</v>
      </c>
      <c r="AL1284">
        <v>0</v>
      </c>
      <c r="AM1284">
        <v>8.58</v>
      </c>
      <c r="AN1284">
        <v>0</v>
      </c>
      <c r="AO1284">
        <v>0</v>
      </c>
      <c r="AP1284">
        <v>0</v>
      </c>
      <c r="AQ1284">
        <v>0</v>
      </c>
      <c r="AR1284">
        <v>0</v>
      </c>
      <c r="AS1284">
        <v>0</v>
      </c>
      <c r="AT1284">
        <v>0</v>
      </c>
      <c r="AU1284">
        <v>0</v>
      </c>
      <c r="AV1284">
        <v>0</v>
      </c>
      <c r="AW1284">
        <v>0</v>
      </c>
      <c r="AX1284">
        <v>0</v>
      </c>
      <c r="AY1284">
        <v>0</v>
      </c>
      <c r="AZ1284">
        <v>0</v>
      </c>
      <c r="BA1284">
        <v>0</v>
      </c>
      <c r="BB1284">
        <v>0</v>
      </c>
      <c r="BC1284">
        <v>0</v>
      </c>
      <c r="BD1284">
        <v>0</v>
      </c>
      <c r="BE1284">
        <v>0</v>
      </c>
      <c r="BF1284">
        <v>0</v>
      </c>
      <c r="BG1284">
        <v>0</v>
      </c>
      <c r="BH1284">
        <v>1</v>
      </c>
      <c r="BI1284">
        <v>1</v>
      </c>
      <c r="BJ1284">
        <v>0.2</v>
      </c>
      <c r="BK1284">
        <v>1</v>
      </c>
      <c r="BL1284" s="4">
        <v>50.45</v>
      </c>
      <c r="BM1284" s="4">
        <v>7.57</v>
      </c>
      <c r="BN1284" s="4">
        <v>58.02</v>
      </c>
      <c r="BO1284" s="4">
        <v>58.02</v>
      </c>
      <c r="BQ1284" t="s">
        <v>256</v>
      </c>
      <c r="BR1284" t="s">
        <v>84</v>
      </c>
      <c r="BS1284" s="3">
        <v>43812</v>
      </c>
      <c r="BT1284" s="5">
        <v>0.43541666666666662</v>
      </c>
      <c r="BU1284" t="s">
        <v>678</v>
      </c>
      <c r="BV1284" t="s">
        <v>86</v>
      </c>
      <c r="BY1284">
        <v>1200</v>
      </c>
      <c r="CA1284" t="s">
        <v>539</v>
      </c>
      <c r="CC1284" t="s">
        <v>91</v>
      </c>
      <c r="CD1284">
        <v>7580</v>
      </c>
      <c r="CE1284" t="s">
        <v>88</v>
      </c>
      <c r="CF1284" s="3">
        <v>43816</v>
      </c>
      <c r="CI1284">
        <v>1</v>
      </c>
      <c r="CJ1284">
        <v>1</v>
      </c>
      <c r="CK1284">
        <v>21</v>
      </c>
      <c r="CL1284" t="s">
        <v>89</v>
      </c>
    </row>
    <row r="1285" spans="1:90">
      <c r="A1285" t="s">
        <v>72</v>
      </c>
      <c r="B1285" t="s">
        <v>73</v>
      </c>
      <c r="C1285" t="s">
        <v>74</v>
      </c>
      <c r="E1285" t="str">
        <f>"FES1162728153"</f>
        <v>FES1162728153</v>
      </c>
      <c r="F1285" s="3">
        <v>43811</v>
      </c>
      <c r="G1285">
        <v>202006</v>
      </c>
      <c r="H1285" t="s">
        <v>75</v>
      </c>
      <c r="I1285" t="s">
        <v>76</v>
      </c>
      <c r="J1285" t="s">
        <v>77</v>
      </c>
      <c r="K1285" t="s">
        <v>78</v>
      </c>
      <c r="L1285" t="s">
        <v>75</v>
      </c>
      <c r="M1285" t="s">
        <v>76</v>
      </c>
      <c r="N1285" t="s">
        <v>1776</v>
      </c>
      <c r="O1285" t="s">
        <v>82</v>
      </c>
      <c r="P1285" t="str">
        <f>"2170719811                    "</f>
        <v xml:space="preserve">2170719811                    </v>
      </c>
      <c r="Q1285">
        <v>0</v>
      </c>
      <c r="R1285">
        <v>0</v>
      </c>
      <c r="S1285">
        <v>0</v>
      </c>
      <c r="T1285">
        <v>0</v>
      </c>
      <c r="U1285">
        <v>0</v>
      </c>
      <c r="V1285">
        <v>0</v>
      </c>
      <c r="W1285">
        <v>0</v>
      </c>
      <c r="X1285">
        <v>0</v>
      </c>
      <c r="Y1285">
        <v>0</v>
      </c>
      <c r="Z1285">
        <v>0</v>
      </c>
      <c r="AA1285">
        <v>0</v>
      </c>
      <c r="AB1285">
        <v>0</v>
      </c>
      <c r="AC1285">
        <v>0</v>
      </c>
      <c r="AD1285">
        <v>0</v>
      </c>
      <c r="AE1285">
        <v>0</v>
      </c>
      <c r="AF1285">
        <v>0</v>
      </c>
      <c r="AG1285">
        <v>0</v>
      </c>
      <c r="AH1285">
        <v>0</v>
      </c>
      <c r="AI1285">
        <v>0</v>
      </c>
      <c r="AJ1285">
        <v>0</v>
      </c>
      <c r="AK1285">
        <v>0</v>
      </c>
      <c r="AL1285">
        <v>0</v>
      </c>
      <c r="AM1285">
        <v>6.71</v>
      </c>
      <c r="AN1285">
        <v>0</v>
      </c>
      <c r="AO1285">
        <v>0</v>
      </c>
      <c r="AP1285">
        <v>0</v>
      </c>
      <c r="AQ1285">
        <v>0</v>
      </c>
      <c r="AR1285">
        <v>0</v>
      </c>
      <c r="AS1285">
        <v>0</v>
      </c>
      <c r="AT1285">
        <v>0</v>
      </c>
      <c r="AU1285">
        <v>0</v>
      </c>
      <c r="AV1285">
        <v>0</v>
      </c>
      <c r="AW1285">
        <v>0</v>
      </c>
      <c r="AX1285">
        <v>0</v>
      </c>
      <c r="AY1285">
        <v>0</v>
      </c>
      <c r="AZ1285">
        <v>0</v>
      </c>
      <c r="BA1285">
        <v>0</v>
      </c>
      <c r="BB1285">
        <v>0</v>
      </c>
      <c r="BC1285">
        <v>0</v>
      </c>
      <c r="BD1285">
        <v>0</v>
      </c>
      <c r="BE1285">
        <v>0</v>
      </c>
      <c r="BF1285">
        <v>0</v>
      </c>
      <c r="BG1285">
        <v>0</v>
      </c>
      <c r="BH1285">
        <v>1</v>
      </c>
      <c r="BI1285">
        <v>1</v>
      </c>
      <c r="BJ1285">
        <v>0.2</v>
      </c>
      <c r="BK1285">
        <v>1</v>
      </c>
      <c r="BL1285" s="4">
        <v>39.42</v>
      </c>
      <c r="BM1285" s="4">
        <v>5.91</v>
      </c>
      <c r="BN1285" s="4">
        <v>45.33</v>
      </c>
      <c r="BO1285" s="4">
        <v>45.33</v>
      </c>
      <c r="BR1285" t="s">
        <v>84</v>
      </c>
      <c r="BS1285" s="3">
        <v>43812</v>
      </c>
      <c r="BT1285" s="5">
        <v>0.30277777777777776</v>
      </c>
      <c r="BU1285" t="s">
        <v>1777</v>
      </c>
      <c r="BV1285" t="s">
        <v>86</v>
      </c>
      <c r="BY1285">
        <v>1200</v>
      </c>
      <c r="CA1285" t="s">
        <v>588</v>
      </c>
      <c r="CC1285" t="s">
        <v>76</v>
      </c>
      <c r="CD1285">
        <v>1600</v>
      </c>
      <c r="CE1285" t="s">
        <v>88</v>
      </c>
      <c r="CF1285" s="3">
        <v>43816</v>
      </c>
      <c r="CI1285">
        <v>1</v>
      </c>
      <c r="CJ1285">
        <v>1</v>
      </c>
      <c r="CK1285">
        <v>22</v>
      </c>
      <c r="CL1285" t="s">
        <v>89</v>
      </c>
    </row>
    <row r="1286" spans="1:90">
      <c r="A1286" t="s">
        <v>72</v>
      </c>
      <c r="B1286" t="s">
        <v>73</v>
      </c>
      <c r="C1286" t="s">
        <v>74</v>
      </c>
      <c r="E1286" t="str">
        <f>"FES1162728189"</f>
        <v>FES1162728189</v>
      </c>
      <c r="F1286" s="3">
        <v>43811</v>
      </c>
      <c r="G1286">
        <v>202006</v>
      </c>
      <c r="H1286" t="s">
        <v>75</v>
      </c>
      <c r="I1286" t="s">
        <v>76</v>
      </c>
      <c r="J1286" t="s">
        <v>77</v>
      </c>
      <c r="K1286" t="s">
        <v>78</v>
      </c>
      <c r="L1286" t="s">
        <v>90</v>
      </c>
      <c r="M1286" t="s">
        <v>91</v>
      </c>
      <c r="N1286" t="s">
        <v>548</v>
      </c>
      <c r="O1286" t="s">
        <v>82</v>
      </c>
      <c r="P1286" t="str">
        <f>"2170721521                    "</f>
        <v xml:space="preserve">2170721521                    </v>
      </c>
      <c r="Q1286">
        <v>0</v>
      </c>
      <c r="R1286">
        <v>0</v>
      </c>
      <c r="S1286">
        <v>0</v>
      </c>
      <c r="T1286">
        <v>0</v>
      </c>
      <c r="U1286">
        <v>0</v>
      </c>
      <c r="V1286">
        <v>0</v>
      </c>
      <c r="W1286">
        <v>0</v>
      </c>
      <c r="X1286">
        <v>0</v>
      </c>
      <c r="Y1286">
        <v>0</v>
      </c>
      <c r="Z1286">
        <v>0</v>
      </c>
      <c r="AA1286">
        <v>0</v>
      </c>
      <c r="AB1286">
        <v>0</v>
      </c>
      <c r="AC1286">
        <v>0</v>
      </c>
      <c r="AD1286">
        <v>0</v>
      </c>
      <c r="AE1286">
        <v>0</v>
      </c>
      <c r="AF1286">
        <v>0</v>
      </c>
      <c r="AG1286">
        <v>0</v>
      </c>
      <c r="AH1286">
        <v>0</v>
      </c>
      <c r="AI1286">
        <v>0</v>
      </c>
      <c r="AJ1286">
        <v>0</v>
      </c>
      <c r="AK1286">
        <v>0</v>
      </c>
      <c r="AL1286">
        <v>0</v>
      </c>
      <c r="AM1286">
        <v>8.58</v>
      </c>
      <c r="AN1286">
        <v>0</v>
      </c>
      <c r="AO1286">
        <v>0</v>
      </c>
      <c r="AP1286">
        <v>0</v>
      </c>
      <c r="AQ1286">
        <v>0</v>
      </c>
      <c r="AR1286">
        <v>0</v>
      </c>
      <c r="AS1286">
        <v>0</v>
      </c>
      <c r="AT1286">
        <v>0</v>
      </c>
      <c r="AU1286">
        <v>0</v>
      </c>
      <c r="AV1286">
        <v>0</v>
      </c>
      <c r="AW1286">
        <v>0</v>
      </c>
      <c r="AX1286">
        <v>0</v>
      </c>
      <c r="AY1286">
        <v>0</v>
      </c>
      <c r="AZ1286">
        <v>0</v>
      </c>
      <c r="BA1286">
        <v>0</v>
      </c>
      <c r="BB1286">
        <v>0</v>
      </c>
      <c r="BC1286">
        <v>0</v>
      </c>
      <c r="BD1286">
        <v>0</v>
      </c>
      <c r="BE1286">
        <v>0</v>
      </c>
      <c r="BF1286">
        <v>0</v>
      </c>
      <c r="BG1286">
        <v>0</v>
      </c>
      <c r="BH1286">
        <v>1</v>
      </c>
      <c r="BI1286">
        <v>1</v>
      </c>
      <c r="BJ1286">
        <v>0.2</v>
      </c>
      <c r="BK1286">
        <v>1</v>
      </c>
      <c r="BL1286" s="4">
        <v>50.45</v>
      </c>
      <c r="BM1286" s="4">
        <v>7.57</v>
      </c>
      <c r="BN1286" s="4">
        <v>58.02</v>
      </c>
      <c r="BO1286" s="4">
        <v>58.02</v>
      </c>
      <c r="BQ1286" t="s">
        <v>147</v>
      </c>
      <c r="BR1286" t="s">
        <v>84</v>
      </c>
      <c r="BS1286" s="3">
        <v>43812</v>
      </c>
      <c r="BT1286" s="5">
        <v>0.33819444444444446</v>
      </c>
      <c r="BU1286" t="s">
        <v>1461</v>
      </c>
      <c r="BV1286" t="s">
        <v>86</v>
      </c>
      <c r="BY1286">
        <v>1200</v>
      </c>
      <c r="CA1286" t="s">
        <v>550</v>
      </c>
      <c r="CC1286" t="s">
        <v>91</v>
      </c>
      <c r="CD1286">
        <v>7530</v>
      </c>
      <c r="CE1286" t="s">
        <v>88</v>
      </c>
      <c r="CF1286" s="3">
        <v>43816</v>
      </c>
      <c r="CI1286">
        <v>1</v>
      </c>
      <c r="CJ1286">
        <v>1</v>
      </c>
      <c r="CK1286">
        <v>21</v>
      </c>
      <c r="CL1286" t="s">
        <v>89</v>
      </c>
    </row>
    <row r="1287" spans="1:90">
      <c r="A1287" t="s">
        <v>72</v>
      </c>
      <c r="B1287" t="s">
        <v>73</v>
      </c>
      <c r="C1287" t="s">
        <v>74</v>
      </c>
      <c r="E1287" t="str">
        <f>"FES1162727921"</f>
        <v>FES1162727921</v>
      </c>
      <c r="F1287" s="3">
        <v>43811</v>
      </c>
      <c r="G1287">
        <v>202006</v>
      </c>
      <c r="H1287" t="s">
        <v>75</v>
      </c>
      <c r="I1287" t="s">
        <v>76</v>
      </c>
      <c r="J1287" t="s">
        <v>77</v>
      </c>
      <c r="K1287" t="s">
        <v>78</v>
      </c>
      <c r="L1287" t="s">
        <v>79</v>
      </c>
      <c r="M1287" t="s">
        <v>80</v>
      </c>
      <c r="N1287" t="s">
        <v>934</v>
      </c>
      <c r="O1287" t="s">
        <v>82</v>
      </c>
      <c r="P1287" t="str">
        <f>"2170719882                    "</f>
        <v xml:space="preserve">2170719882                    </v>
      </c>
      <c r="Q1287">
        <v>0</v>
      </c>
      <c r="R1287">
        <v>0</v>
      </c>
      <c r="S1287">
        <v>0</v>
      </c>
      <c r="T1287">
        <v>0</v>
      </c>
      <c r="U1287">
        <v>0</v>
      </c>
      <c r="V1287">
        <v>0</v>
      </c>
      <c r="W1287">
        <v>0</v>
      </c>
      <c r="X1287">
        <v>0</v>
      </c>
      <c r="Y1287">
        <v>0</v>
      </c>
      <c r="Z1287">
        <v>0</v>
      </c>
      <c r="AA1287">
        <v>0</v>
      </c>
      <c r="AB1287">
        <v>0</v>
      </c>
      <c r="AC1287">
        <v>0</v>
      </c>
      <c r="AD1287">
        <v>0</v>
      </c>
      <c r="AE1287">
        <v>0</v>
      </c>
      <c r="AF1287">
        <v>0</v>
      </c>
      <c r="AG1287">
        <v>0</v>
      </c>
      <c r="AH1287">
        <v>0</v>
      </c>
      <c r="AI1287">
        <v>0</v>
      </c>
      <c r="AJ1287">
        <v>0</v>
      </c>
      <c r="AK1287">
        <v>0</v>
      </c>
      <c r="AL1287">
        <v>0</v>
      </c>
      <c r="AM1287">
        <v>19.3</v>
      </c>
      <c r="AN1287">
        <v>0</v>
      </c>
      <c r="AO1287">
        <v>0</v>
      </c>
      <c r="AP1287">
        <v>0</v>
      </c>
      <c r="AQ1287">
        <v>0</v>
      </c>
      <c r="AR1287">
        <v>0</v>
      </c>
      <c r="AS1287">
        <v>0</v>
      </c>
      <c r="AT1287">
        <v>0</v>
      </c>
      <c r="AU1287">
        <v>0</v>
      </c>
      <c r="AV1287">
        <v>0</v>
      </c>
      <c r="AW1287">
        <v>0</v>
      </c>
      <c r="AX1287">
        <v>0</v>
      </c>
      <c r="AY1287">
        <v>0</v>
      </c>
      <c r="AZ1287">
        <v>0</v>
      </c>
      <c r="BA1287">
        <v>0</v>
      </c>
      <c r="BB1287">
        <v>0</v>
      </c>
      <c r="BC1287">
        <v>0</v>
      </c>
      <c r="BD1287">
        <v>0</v>
      </c>
      <c r="BE1287">
        <v>0</v>
      </c>
      <c r="BF1287">
        <v>0</v>
      </c>
      <c r="BG1287">
        <v>0</v>
      </c>
      <c r="BH1287">
        <v>1</v>
      </c>
      <c r="BI1287">
        <v>4.5</v>
      </c>
      <c r="BJ1287">
        <v>3.3</v>
      </c>
      <c r="BK1287">
        <v>4.5</v>
      </c>
      <c r="BL1287" s="4">
        <v>113.47</v>
      </c>
      <c r="BM1287" s="4">
        <v>17.02</v>
      </c>
      <c r="BN1287" s="4">
        <v>130.49</v>
      </c>
      <c r="BO1287" s="4">
        <v>130.49</v>
      </c>
      <c r="BQ1287" t="s">
        <v>93</v>
      </c>
      <c r="BR1287" t="s">
        <v>84</v>
      </c>
      <c r="BS1287" s="3">
        <v>43812</v>
      </c>
      <c r="BT1287" s="5">
        <v>0.4152777777777778</v>
      </c>
      <c r="BU1287" t="s">
        <v>1778</v>
      </c>
      <c r="BV1287" t="s">
        <v>86</v>
      </c>
      <c r="BY1287">
        <v>16610.04</v>
      </c>
      <c r="CA1287" t="s">
        <v>131</v>
      </c>
      <c r="CC1287" t="s">
        <v>80</v>
      </c>
      <c r="CD1287">
        <v>6001</v>
      </c>
      <c r="CE1287" t="s">
        <v>96</v>
      </c>
      <c r="CF1287" s="3">
        <v>43816</v>
      </c>
      <c r="CI1287">
        <v>1</v>
      </c>
      <c r="CJ1287">
        <v>1</v>
      </c>
      <c r="CK1287">
        <v>21</v>
      </c>
      <c r="CL1287" t="s">
        <v>89</v>
      </c>
    </row>
    <row r="1288" spans="1:90">
      <c r="A1288" t="s">
        <v>72</v>
      </c>
      <c r="B1288" t="s">
        <v>73</v>
      </c>
      <c r="C1288" t="s">
        <v>74</v>
      </c>
      <c r="E1288" t="str">
        <f>"FES1162728226"</f>
        <v>FES1162728226</v>
      </c>
      <c r="F1288" s="3">
        <v>43811</v>
      </c>
      <c r="G1288">
        <v>202006</v>
      </c>
      <c r="H1288" t="s">
        <v>75</v>
      </c>
      <c r="I1288" t="s">
        <v>76</v>
      </c>
      <c r="J1288" t="s">
        <v>77</v>
      </c>
      <c r="K1288" t="s">
        <v>78</v>
      </c>
      <c r="L1288" t="s">
        <v>79</v>
      </c>
      <c r="M1288" t="s">
        <v>80</v>
      </c>
      <c r="N1288" t="s">
        <v>420</v>
      </c>
      <c r="O1288" t="s">
        <v>82</v>
      </c>
      <c r="P1288" t="str">
        <f>"217071218581                  "</f>
        <v xml:space="preserve">217071218581                  </v>
      </c>
      <c r="Q1288">
        <v>0</v>
      </c>
      <c r="R1288">
        <v>0</v>
      </c>
      <c r="S1288">
        <v>0</v>
      </c>
      <c r="T1288">
        <v>0</v>
      </c>
      <c r="U1288">
        <v>0</v>
      </c>
      <c r="V1288">
        <v>0</v>
      </c>
      <c r="W1288">
        <v>0</v>
      </c>
      <c r="X1288">
        <v>0</v>
      </c>
      <c r="Y1288">
        <v>0</v>
      </c>
      <c r="Z1288">
        <v>0</v>
      </c>
      <c r="AA1288">
        <v>0</v>
      </c>
      <c r="AB1288">
        <v>0</v>
      </c>
      <c r="AC1288">
        <v>0</v>
      </c>
      <c r="AD1288">
        <v>0</v>
      </c>
      <c r="AE1288">
        <v>0</v>
      </c>
      <c r="AF1288">
        <v>0</v>
      </c>
      <c r="AG1288">
        <v>0</v>
      </c>
      <c r="AH1288">
        <v>0</v>
      </c>
      <c r="AI1288">
        <v>0</v>
      </c>
      <c r="AJ1288">
        <v>0</v>
      </c>
      <c r="AK1288">
        <v>0</v>
      </c>
      <c r="AL1288">
        <v>0</v>
      </c>
      <c r="AM1288">
        <v>8.58</v>
      </c>
      <c r="AN1288">
        <v>0</v>
      </c>
      <c r="AO1288">
        <v>0</v>
      </c>
      <c r="AP1288">
        <v>0</v>
      </c>
      <c r="AQ1288">
        <v>0</v>
      </c>
      <c r="AR1288">
        <v>0</v>
      </c>
      <c r="AS1288">
        <v>0</v>
      </c>
      <c r="AT1288">
        <v>0</v>
      </c>
      <c r="AU1288">
        <v>0</v>
      </c>
      <c r="AV1288">
        <v>0</v>
      </c>
      <c r="AW1288">
        <v>0</v>
      </c>
      <c r="AX1288">
        <v>0</v>
      </c>
      <c r="AY1288">
        <v>0</v>
      </c>
      <c r="AZ1288">
        <v>0</v>
      </c>
      <c r="BA1288">
        <v>0</v>
      </c>
      <c r="BB1288">
        <v>0</v>
      </c>
      <c r="BC1288">
        <v>0</v>
      </c>
      <c r="BD1288">
        <v>0</v>
      </c>
      <c r="BE1288">
        <v>0</v>
      </c>
      <c r="BF1288">
        <v>0</v>
      </c>
      <c r="BG1288">
        <v>0</v>
      </c>
      <c r="BH1288">
        <v>1</v>
      </c>
      <c r="BI1288">
        <v>1</v>
      </c>
      <c r="BJ1288">
        <v>0.2</v>
      </c>
      <c r="BK1288">
        <v>1</v>
      </c>
      <c r="BL1288" s="4">
        <v>50.45</v>
      </c>
      <c r="BM1288" s="4">
        <v>7.57</v>
      </c>
      <c r="BN1288" s="4">
        <v>58.02</v>
      </c>
      <c r="BO1288" s="4">
        <v>58.02</v>
      </c>
      <c r="BQ1288" t="s">
        <v>147</v>
      </c>
      <c r="BR1288" t="s">
        <v>84</v>
      </c>
      <c r="BS1288" s="3">
        <v>43812</v>
      </c>
      <c r="BT1288" s="5">
        <v>0.3756944444444445</v>
      </c>
      <c r="BU1288" t="s">
        <v>1779</v>
      </c>
      <c r="BV1288" t="s">
        <v>86</v>
      </c>
      <c r="BY1288">
        <v>1200</v>
      </c>
      <c r="CA1288" t="s">
        <v>185</v>
      </c>
      <c r="CC1288" t="s">
        <v>80</v>
      </c>
      <c r="CD1288">
        <v>6001</v>
      </c>
      <c r="CE1288" t="s">
        <v>88</v>
      </c>
      <c r="CF1288" s="3">
        <v>43816</v>
      </c>
      <c r="CI1288">
        <v>1</v>
      </c>
      <c r="CJ1288">
        <v>1</v>
      </c>
      <c r="CK1288">
        <v>21</v>
      </c>
      <c r="CL1288" t="s">
        <v>89</v>
      </c>
    </row>
    <row r="1289" spans="1:90">
      <c r="A1289" t="s">
        <v>72</v>
      </c>
      <c r="B1289" t="s">
        <v>73</v>
      </c>
      <c r="C1289" t="s">
        <v>74</v>
      </c>
      <c r="E1289" t="str">
        <f>"FES1162728170"</f>
        <v>FES1162728170</v>
      </c>
      <c r="F1289" s="3">
        <v>43811</v>
      </c>
      <c r="G1289">
        <v>202006</v>
      </c>
      <c r="H1289" t="s">
        <v>75</v>
      </c>
      <c r="I1289" t="s">
        <v>76</v>
      </c>
      <c r="J1289" t="s">
        <v>77</v>
      </c>
      <c r="K1289" t="s">
        <v>78</v>
      </c>
      <c r="L1289" t="s">
        <v>169</v>
      </c>
      <c r="M1289" t="s">
        <v>170</v>
      </c>
      <c r="N1289" t="s">
        <v>1754</v>
      </c>
      <c r="O1289" t="s">
        <v>82</v>
      </c>
      <c r="P1289" t="str">
        <f>"217071491                     "</f>
        <v xml:space="preserve">217071491                     </v>
      </c>
      <c r="Q1289">
        <v>0</v>
      </c>
      <c r="R1289">
        <v>0</v>
      </c>
      <c r="S1289">
        <v>0</v>
      </c>
      <c r="T1289">
        <v>0</v>
      </c>
      <c r="U1289">
        <v>0</v>
      </c>
      <c r="V1289">
        <v>0</v>
      </c>
      <c r="W1289">
        <v>0</v>
      </c>
      <c r="X1289">
        <v>0</v>
      </c>
      <c r="Y1289">
        <v>0</v>
      </c>
      <c r="Z1289">
        <v>0</v>
      </c>
      <c r="AA1289">
        <v>0</v>
      </c>
      <c r="AB1289">
        <v>0</v>
      </c>
      <c r="AC1289">
        <v>0</v>
      </c>
      <c r="AD1289">
        <v>0</v>
      </c>
      <c r="AE1289">
        <v>0</v>
      </c>
      <c r="AF1289">
        <v>0</v>
      </c>
      <c r="AG1289">
        <v>0</v>
      </c>
      <c r="AH1289">
        <v>0</v>
      </c>
      <c r="AI1289">
        <v>0</v>
      </c>
      <c r="AJ1289">
        <v>0</v>
      </c>
      <c r="AK1289">
        <v>0</v>
      </c>
      <c r="AL1289">
        <v>0</v>
      </c>
      <c r="AM1289">
        <v>7.51</v>
      </c>
      <c r="AN1289">
        <v>0</v>
      </c>
      <c r="AO1289">
        <v>0</v>
      </c>
      <c r="AP1289">
        <v>0</v>
      </c>
      <c r="AQ1289">
        <v>0</v>
      </c>
      <c r="AR1289">
        <v>0</v>
      </c>
      <c r="AS1289">
        <v>0</v>
      </c>
      <c r="AT1289">
        <v>0</v>
      </c>
      <c r="AU1289">
        <v>0</v>
      </c>
      <c r="AV1289">
        <v>0</v>
      </c>
      <c r="AW1289">
        <v>0</v>
      </c>
      <c r="AX1289">
        <v>0</v>
      </c>
      <c r="AY1289">
        <v>0</v>
      </c>
      <c r="AZ1289">
        <v>0</v>
      </c>
      <c r="BA1289">
        <v>0</v>
      </c>
      <c r="BB1289">
        <v>0</v>
      </c>
      <c r="BC1289">
        <v>0</v>
      </c>
      <c r="BD1289">
        <v>0</v>
      </c>
      <c r="BE1289">
        <v>0</v>
      </c>
      <c r="BF1289">
        <v>0</v>
      </c>
      <c r="BG1289">
        <v>0</v>
      </c>
      <c r="BH1289">
        <v>1</v>
      </c>
      <c r="BI1289">
        <v>1.6</v>
      </c>
      <c r="BJ1289">
        <v>2.1</v>
      </c>
      <c r="BK1289">
        <v>2.5</v>
      </c>
      <c r="BL1289" s="4">
        <v>44.14</v>
      </c>
      <c r="BM1289" s="4">
        <v>6.62</v>
      </c>
      <c r="BN1289" s="4">
        <v>50.76</v>
      </c>
      <c r="BO1289" s="4">
        <v>50.76</v>
      </c>
      <c r="BQ1289" t="s">
        <v>147</v>
      </c>
      <c r="BR1289" t="s">
        <v>84</v>
      </c>
      <c r="BS1289" s="3">
        <v>43812</v>
      </c>
      <c r="BT1289" s="5">
        <v>0.2638888888888889</v>
      </c>
      <c r="BU1289" t="s">
        <v>1755</v>
      </c>
      <c r="BV1289" t="s">
        <v>86</v>
      </c>
      <c r="BY1289">
        <v>10521.5</v>
      </c>
      <c r="CC1289" t="s">
        <v>170</v>
      </c>
      <c r="CD1289">
        <v>1459</v>
      </c>
      <c r="CE1289" t="s">
        <v>116</v>
      </c>
      <c r="CF1289" s="3">
        <v>43816</v>
      </c>
      <c r="CI1289">
        <v>1</v>
      </c>
      <c r="CJ1289">
        <v>1</v>
      </c>
      <c r="CK1289">
        <v>22</v>
      </c>
      <c r="CL1289" t="s">
        <v>89</v>
      </c>
    </row>
    <row r="1290" spans="1:90">
      <c r="A1290" t="s">
        <v>72</v>
      </c>
      <c r="B1290" t="s">
        <v>73</v>
      </c>
      <c r="C1290" t="s">
        <v>74</v>
      </c>
      <c r="E1290" t="str">
        <f>"FES1162728101"</f>
        <v>FES1162728101</v>
      </c>
      <c r="F1290" s="3">
        <v>43811</v>
      </c>
      <c r="G1290">
        <v>202006</v>
      </c>
      <c r="H1290" t="s">
        <v>75</v>
      </c>
      <c r="I1290" t="s">
        <v>76</v>
      </c>
      <c r="J1290" t="s">
        <v>77</v>
      </c>
      <c r="K1290" t="s">
        <v>78</v>
      </c>
      <c r="L1290" t="s">
        <v>138</v>
      </c>
      <c r="M1290" t="s">
        <v>139</v>
      </c>
      <c r="N1290" t="s">
        <v>1780</v>
      </c>
      <c r="O1290" t="s">
        <v>82</v>
      </c>
      <c r="P1290" t="str">
        <f>"2170718578                    "</f>
        <v xml:space="preserve">2170718578                    </v>
      </c>
      <c r="Q1290">
        <v>0</v>
      </c>
      <c r="R1290">
        <v>0</v>
      </c>
      <c r="S1290">
        <v>0</v>
      </c>
      <c r="T1290">
        <v>0</v>
      </c>
      <c r="U1290">
        <v>0</v>
      </c>
      <c r="V1290">
        <v>0</v>
      </c>
      <c r="W1290">
        <v>0</v>
      </c>
      <c r="X1290">
        <v>0</v>
      </c>
      <c r="Y1290">
        <v>0</v>
      </c>
      <c r="Z1290">
        <v>0</v>
      </c>
      <c r="AA1290">
        <v>0</v>
      </c>
      <c r="AB1290">
        <v>0</v>
      </c>
      <c r="AC1290">
        <v>0</v>
      </c>
      <c r="AD1290">
        <v>0</v>
      </c>
      <c r="AE1290">
        <v>0</v>
      </c>
      <c r="AF1290">
        <v>0</v>
      </c>
      <c r="AG1290">
        <v>0</v>
      </c>
      <c r="AH1290">
        <v>0</v>
      </c>
      <c r="AI1290">
        <v>0</v>
      </c>
      <c r="AJ1290">
        <v>0</v>
      </c>
      <c r="AK1290">
        <v>0</v>
      </c>
      <c r="AL1290">
        <v>0</v>
      </c>
      <c r="AM1290">
        <v>16.350000000000001</v>
      </c>
      <c r="AN1290">
        <v>0</v>
      </c>
      <c r="AO1290">
        <v>0</v>
      </c>
      <c r="AP1290">
        <v>0</v>
      </c>
      <c r="AQ1290">
        <v>0</v>
      </c>
      <c r="AR1290">
        <v>0</v>
      </c>
      <c r="AS1290">
        <v>0</v>
      </c>
      <c r="AT1290">
        <v>0</v>
      </c>
      <c r="AU1290">
        <v>0</v>
      </c>
      <c r="AV1290">
        <v>0</v>
      </c>
      <c r="AW1290">
        <v>0</v>
      </c>
      <c r="AX1290">
        <v>0</v>
      </c>
      <c r="AY1290">
        <v>0</v>
      </c>
      <c r="AZ1290">
        <v>0</v>
      </c>
      <c r="BA1290">
        <v>0</v>
      </c>
      <c r="BB1290">
        <v>0</v>
      </c>
      <c r="BC1290">
        <v>0</v>
      </c>
      <c r="BD1290">
        <v>0</v>
      </c>
      <c r="BE1290">
        <v>0</v>
      </c>
      <c r="BF1290">
        <v>0</v>
      </c>
      <c r="BG1290">
        <v>0</v>
      </c>
      <c r="BH1290">
        <v>1</v>
      </c>
      <c r="BI1290">
        <v>5.8</v>
      </c>
      <c r="BJ1290">
        <v>7.8</v>
      </c>
      <c r="BK1290">
        <v>8</v>
      </c>
      <c r="BL1290" s="4">
        <v>96.1</v>
      </c>
      <c r="BM1290" s="4">
        <v>14.42</v>
      </c>
      <c r="BN1290" s="4">
        <v>110.52</v>
      </c>
      <c r="BO1290" s="4">
        <v>110.52</v>
      </c>
      <c r="BQ1290" t="s">
        <v>1781</v>
      </c>
      <c r="BR1290" t="s">
        <v>84</v>
      </c>
      <c r="BS1290" s="3">
        <v>43812</v>
      </c>
      <c r="BT1290" s="5">
        <v>0.34236111111111112</v>
      </c>
      <c r="BU1290" t="s">
        <v>1295</v>
      </c>
      <c r="BV1290" t="s">
        <v>86</v>
      </c>
      <c r="BY1290">
        <v>38826.69</v>
      </c>
      <c r="CC1290" t="s">
        <v>139</v>
      </c>
      <c r="CD1290">
        <v>1401</v>
      </c>
      <c r="CE1290" t="s">
        <v>116</v>
      </c>
      <c r="CF1290" s="3">
        <v>43816</v>
      </c>
      <c r="CI1290">
        <v>1</v>
      </c>
      <c r="CJ1290">
        <v>1</v>
      </c>
      <c r="CK1290">
        <v>22</v>
      </c>
      <c r="CL1290" t="s">
        <v>89</v>
      </c>
    </row>
    <row r="1291" spans="1:90">
      <c r="A1291" t="s">
        <v>72</v>
      </c>
      <c r="B1291" t="s">
        <v>73</v>
      </c>
      <c r="C1291" t="s">
        <v>74</v>
      </c>
      <c r="E1291" t="str">
        <f>"FES1162728049"</f>
        <v>FES1162728049</v>
      </c>
      <c r="F1291" s="3">
        <v>43811</v>
      </c>
      <c r="G1291">
        <v>202006</v>
      </c>
      <c r="H1291" t="s">
        <v>75</v>
      </c>
      <c r="I1291" t="s">
        <v>76</v>
      </c>
      <c r="J1291" t="s">
        <v>77</v>
      </c>
      <c r="K1291" t="s">
        <v>78</v>
      </c>
      <c r="L1291" t="s">
        <v>350</v>
      </c>
      <c r="M1291" t="s">
        <v>351</v>
      </c>
      <c r="N1291" t="s">
        <v>1782</v>
      </c>
      <c r="O1291" t="s">
        <v>82</v>
      </c>
      <c r="P1291" t="str">
        <f>"2170713453                    "</f>
        <v xml:space="preserve">2170713453                    </v>
      </c>
      <c r="Q1291">
        <v>0</v>
      </c>
      <c r="R1291">
        <v>0</v>
      </c>
      <c r="S1291">
        <v>0</v>
      </c>
      <c r="T1291">
        <v>0</v>
      </c>
      <c r="U1291">
        <v>0</v>
      </c>
      <c r="V1291">
        <v>0</v>
      </c>
      <c r="W1291">
        <v>0</v>
      </c>
      <c r="X1291">
        <v>0</v>
      </c>
      <c r="Y1291">
        <v>0</v>
      </c>
      <c r="Z1291">
        <v>0</v>
      </c>
      <c r="AA1291">
        <v>0</v>
      </c>
      <c r="AB1291">
        <v>0</v>
      </c>
      <c r="AC1291">
        <v>0</v>
      </c>
      <c r="AD1291">
        <v>0</v>
      </c>
      <c r="AE1291">
        <v>0</v>
      </c>
      <c r="AF1291">
        <v>0</v>
      </c>
      <c r="AG1291">
        <v>0</v>
      </c>
      <c r="AH1291">
        <v>0</v>
      </c>
      <c r="AI1291">
        <v>0</v>
      </c>
      <c r="AJ1291">
        <v>0</v>
      </c>
      <c r="AK1291">
        <v>0</v>
      </c>
      <c r="AL1291">
        <v>0</v>
      </c>
      <c r="AM1291">
        <v>15.55</v>
      </c>
      <c r="AN1291">
        <v>0</v>
      </c>
      <c r="AO1291">
        <v>0</v>
      </c>
      <c r="AP1291">
        <v>0</v>
      </c>
      <c r="AQ1291">
        <v>0</v>
      </c>
      <c r="AR1291">
        <v>0</v>
      </c>
      <c r="AS1291">
        <v>0</v>
      </c>
      <c r="AT1291">
        <v>0</v>
      </c>
      <c r="AU1291">
        <v>0</v>
      </c>
      <c r="AV1291">
        <v>0</v>
      </c>
      <c r="AW1291">
        <v>0</v>
      </c>
      <c r="AX1291">
        <v>0</v>
      </c>
      <c r="AY1291">
        <v>0</v>
      </c>
      <c r="AZ1291">
        <v>0</v>
      </c>
      <c r="BA1291">
        <v>0</v>
      </c>
      <c r="BB1291">
        <v>0</v>
      </c>
      <c r="BC1291">
        <v>0</v>
      </c>
      <c r="BD1291">
        <v>0</v>
      </c>
      <c r="BE1291">
        <v>0</v>
      </c>
      <c r="BF1291">
        <v>0</v>
      </c>
      <c r="BG1291">
        <v>0</v>
      </c>
      <c r="BH1291">
        <v>1</v>
      </c>
      <c r="BI1291">
        <v>7.2</v>
      </c>
      <c r="BJ1291">
        <v>2.2999999999999998</v>
      </c>
      <c r="BK1291">
        <v>7.5</v>
      </c>
      <c r="BL1291" s="4">
        <v>91.38</v>
      </c>
      <c r="BM1291" s="4">
        <v>13.71</v>
      </c>
      <c r="BN1291" s="4">
        <v>105.09</v>
      </c>
      <c r="BO1291" s="4">
        <v>105.09</v>
      </c>
      <c r="BR1291" t="s">
        <v>84</v>
      </c>
      <c r="BS1291" s="3">
        <v>43812</v>
      </c>
      <c r="BT1291" s="5">
        <v>0.4375</v>
      </c>
      <c r="BU1291" t="s">
        <v>1783</v>
      </c>
      <c r="BV1291" t="s">
        <v>86</v>
      </c>
      <c r="BY1291">
        <v>11266.32</v>
      </c>
      <c r="CC1291" t="s">
        <v>351</v>
      </c>
      <c r="CD1291">
        <v>1500</v>
      </c>
      <c r="CE1291" t="s">
        <v>116</v>
      </c>
      <c r="CF1291" s="3">
        <v>43816</v>
      </c>
      <c r="CI1291">
        <v>1</v>
      </c>
      <c r="CJ1291">
        <v>1</v>
      </c>
      <c r="CK1291">
        <v>22</v>
      </c>
      <c r="CL1291" t="s">
        <v>89</v>
      </c>
    </row>
    <row r="1292" spans="1:90">
      <c r="A1292" t="s">
        <v>72</v>
      </c>
      <c r="B1292" t="s">
        <v>73</v>
      </c>
      <c r="C1292" t="s">
        <v>74</v>
      </c>
      <c r="E1292" t="str">
        <f>"FES1162727965"</f>
        <v>FES1162727965</v>
      </c>
      <c r="F1292" s="3">
        <v>43811</v>
      </c>
      <c r="G1292">
        <v>202006</v>
      </c>
      <c r="H1292" t="s">
        <v>75</v>
      </c>
      <c r="I1292" t="s">
        <v>76</v>
      </c>
      <c r="J1292" t="s">
        <v>77</v>
      </c>
      <c r="K1292" t="s">
        <v>78</v>
      </c>
      <c r="L1292" t="s">
        <v>332</v>
      </c>
      <c r="M1292" t="s">
        <v>333</v>
      </c>
      <c r="N1292" t="s">
        <v>1751</v>
      </c>
      <c r="O1292" t="s">
        <v>82</v>
      </c>
      <c r="P1292" t="str">
        <f>"2170718627                    "</f>
        <v xml:space="preserve">2170718627                    </v>
      </c>
      <c r="Q1292">
        <v>0</v>
      </c>
      <c r="R1292">
        <v>0</v>
      </c>
      <c r="S1292">
        <v>0</v>
      </c>
      <c r="T1292">
        <v>0</v>
      </c>
      <c r="U1292">
        <v>0</v>
      </c>
      <c r="V1292">
        <v>0</v>
      </c>
      <c r="W1292">
        <v>0</v>
      </c>
      <c r="X1292">
        <v>0</v>
      </c>
      <c r="Y1292">
        <v>0</v>
      </c>
      <c r="Z1292">
        <v>0</v>
      </c>
      <c r="AA1292">
        <v>0</v>
      </c>
      <c r="AB1292">
        <v>0</v>
      </c>
      <c r="AC1292">
        <v>0</v>
      </c>
      <c r="AD1292">
        <v>0</v>
      </c>
      <c r="AE1292">
        <v>0</v>
      </c>
      <c r="AF1292">
        <v>0</v>
      </c>
      <c r="AG1292">
        <v>0</v>
      </c>
      <c r="AH1292">
        <v>0</v>
      </c>
      <c r="AI1292">
        <v>0</v>
      </c>
      <c r="AJ1292">
        <v>0</v>
      </c>
      <c r="AK1292">
        <v>0</v>
      </c>
      <c r="AL1292">
        <v>0</v>
      </c>
      <c r="AM1292">
        <v>6.71</v>
      </c>
      <c r="AN1292">
        <v>0</v>
      </c>
      <c r="AO1292">
        <v>0</v>
      </c>
      <c r="AP1292">
        <v>0</v>
      </c>
      <c r="AQ1292">
        <v>0</v>
      </c>
      <c r="AR1292">
        <v>0</v>
      </c>
      <c r="AS1292">
        <v>0</v>
      </c>
      <c r="AT1292">
        <v>0</v>
      </c>
      <c r="AU1292">
        <v>0</v>
      </c>
      <c r="AV1292">
        <v>0</v>
      </c>
      <c r="AW1292">
        <v>0</v>
      </c>
      <c r="AX1292">
        <v>0</v>
      </c>
      <c r="AY1292">
        <v>0</v>
      </c>
      <c r="AZ1292">
        <v>0</v>
      </c>
      <c r="BA1292">
        <v>0</v>
      </c>
      <c r="BB1292">
        <v>0</v>
      </c>
      <c r="BC1292">
        <v>0</v>
      </c>
      <c r="BD1292">
        <v>0</v>
      </c>
      <c r="BE1292">
        <v>0</v>
      </c>
      <c r="BF1292">
        <v>0</v>
      </c>
      <c r="BG1292">
        <v>0</v>
      </c>
      <c r="BH1292">
        <v>1</v>
      </c>
      <c r="BI1292">
        <v>1.8</v>
      </c>
      <c r="BJ1292">
        <v>1</v>
      </c>
      <c r="BK1292">
        <v>2</v>
      </c>
      <c r="BL1292" s="4">
        <v>39.42</v>
      </c>
      <c r="BM1292" s="4">
        <v>5.91</v>
      </c>
      <c r="BN1292" s="4">
        <v>45.33</v>
      </c>
      <c r="BO1292" s="4">
        <v>45.33</v>
      </c>
      <c r="BQ1292" t="s">
        <v>1752</v>
      </c>
      <c r="BR1292" t="s">
        <v>84</v>
      </c>
      <c r="BS1292" s="3">
        <v>43812</v>
      </c>
      <c r="BT1292" s="5">
        <v>0.36319444444444443</v>
      </c>
      <c r="BU1292" t="s">
        <v>1753</v>
      </c>
      <c r="BV1292" t="s">
        <v>86</v>
      </c>
      <c r="BY1292">
        <v>4760.22</v>
      </c>
      <c r="CA1292" t="s">
        <v>700</v>
      </c>
      <c r="CC1292" t="s">
        <v>333</v>
      </c>
      <c r="CD1292">
        <v>2049</v>
      </c>
      <c r="CE1292" t="s">
        <v>96</v>
      </c>
      <c r="CF1292" s="3">
        <v>43816</v>
      </c>
      <c r="CI1292">
        <v>1</v>
      </c>
      <c r="CJ1292">
        <v>1</v>
      </c>
      <c r="CK1292">
        <v>22</v>
      </c>
      <c r="CL1292" t="s">
        <v>89</v>
      </c>
    </row>
    <row r="1293" spans="1:90">
      <c r="A1293" t="s">
        <v>72</v>
      </c>
      <c r="B1293" t="s">
        <v>73</v>
      </c>
      <c r="C1293" t="s">
        <v>74</v>
      </c>
      <c r="E1293" t="str">
        <f>"FES1162727936"</f>
        <v>FES1162727936</v>
      </c>
      <c r="F1293" s="3">
        <v>43811</v>
      </c>
      <c r="G1293">
        <v>202006</v>
      </c>
      <c r="H1293" t="s">
        <v>75</v>
      </c>
      <c r="I1293" t="s">
        <v>76</v>
      </c>
      <c r="J1293" t="s">
        <v>77</v>
      </c>
      <c r="K1293" t="s">
        <v>78</v>
      </c>
      <c r="L1293" t="s">
        <v>75</v>
      </c>
      <c r="M1293" t="s">
        <v>76</v>
      </c>
      <c r="N1293" t="s">
        <v>312</v>
      </c>
      <c r="O1293" t="s">
        <v>82</v>
      </c>
      <c r="P1293" t="str">
        <f>"2170721417                    "</f>
        <v xml:space="preserve">2170721417                    </v>
      </c>
      <c r="Q1293">
        <v>0</v>
      </c>
      <c r="R1293">
        <v>0</v>
      </c>
      <c r="S1293">
        <v>0</v>
      </c>
      <c r="T1293">
        <v>0</v>
      </c>
      <c r="U1293">
        <v>0</v>
      </c>
      <c r="V1293">
        <v>0</v>
      </c>
      <c r="W1293">
        <v>0</v>
      </c>
      <c r="X1293">
        <v>0</v>
      </c>
      <c r="Y1293">
        <v>0</v>
      </c>
      <c r="Z1293">
        <v>0</v>
      </c>
      <c r="AA1293">
        <v>0</v>
      </c>
      <c r="AB1293">
        <v>0</v>
      </c>
      <c r="AC1293">
        <v>0</v>
      </c>
      <c r="AD1293">
        <v>0</v>
      </c>
      <c r="AE1293">
        <v>0</v>
      </c>
      <c r="AF1293">
        <v>0</v>
      </c>
      <c r="AG1293">
        <v>0</v>
      </c>
      <c r="AH1293">
        <v>0</v>
      </c>
      <c r="AI1293">
        <v>0</v>
      </c>
      <c r="AJ1293">
        <v>0</v>
      </c>
      <c r="AK1293">
        <v>0</v>
      </c>
      <c r="AL1293">
        <v>0</v>
      </c>
      <c r="AM1293">
        <v>16.350000000000001</v>
      </c>
      <c r="AN1293">
        <v>0</v>
      </c>
      <c r="AO1293">
        <v>0</v>
      </c>
      <c r="AP1293">
        <v>0</v>
      </c>
      <c r="AQ1293">
        <v>0</v>
      </c>
      <c r="AR1293">
        <v>0</v>
      </c>
      <c r="AS1293">
        <v>0</v>
      </c>
      <c r="AT1293">
        <v>0</v>
      </c>
      <c r="AU1293">
        <v>0</v>
      </c>
      <c r="AV1293">
        <v>0</v>
      </c>
      <c r="AW1293">
        <v>0</v>
      </c>
      <c r="AX1293">
        <v>0</v>
      </c>
      <c r="AY1293">
        <v>0</v>
      </c>
      <c r="AZ1293">
        <v>0</v>
      </c>
      <c r="BA1293">
        <v>0</v>
      </c>
      <c r="BB1293">
        <v>0</v>
      </c>
      <c r="BC1293">
        <v>0</v>
      </c>
      <c r="BD1293">
        <v>0</v>
      </c>
      <c r="BE1293">
        <v>0</v>
      </c>
      <c r="BF1293">
        <v>0</v>
      </c>
      <c r="BG1293">
        <v>0</v>
      </c>
      <c r="BH1293">
        <v>1</v>
      </c>
      <c r="BI1293">
        <v>5.7</v>
      </c>
      <c r="BJ1293">
        <v>8</v>
      </c>
      <c r="BK1293">
        <v>8</v>
      </c>
      <c r="BL1293" s="4">
        <v>96.1</v>
      </c>
      <c r="BM1293" s="4">
        <v>14.42</v>
      </c>
      <c r="BN1293" s="4">
        <v>110.52</v>
      </c>
      <c r="BO1293" s="4">
        <v>110.52</v>
      </c>
      <c r="BQ1293" t="s">
        <v>147</v>
      </c>
      <c r="BR1293" t="s">
        <v>84</v>
      </c>
      <c r="BS1293" s="3">
        <v>43816</v>
      </c>
      <c r="BT1293" s="5">
        <v>0.39583333333333331</v>
      </c>
      <c r="BU1293" t="s">
        <v>1784</v>
      </c>
      <c r="BV1293" t="s">
        <v>89</v>
      </c>
      <c r="BW1293" t="s">
        <v>149</v>
      </c>
      <c r="BX1293" t="s">
        <v>1785</v>
      </c>
      <c r="BY1293">
        <v>40108</v>
      </c>
      <c r="CA1293" t="s">
        <v>314</v>
      </c>
      <c r="CC1293" t="s">
        <v>76</v>
      </c>
      <c r="CD1293">
        <v>1609</v>
      </c>
      <c r="CE1293" t="s">
        <v>96</v>
      </c>
      <c r="CF1293" s="3">
        <v>43817</v>
      </c>
      <c r="CI1293">
        <v>1</v>
      </c>
      <c r="CJ1293">
        <v>3</v>
      </c>
      <c r="CK1293">
        <v>22</v>
      </c>
      <c r="CL1293" t="s">
        <v>89</v>
      </c>
    </row>
    <row r="1294" spans="1:90">
      <c r="A1294" t="s">
        <v>72</v>
      </c>
      <c r="B1294" t="s">
        <v>73</v>
      </c>
      <c r="C1294" t="s">
        <v>74</v>
      </c>
      <c r="E1294" t="str">
        <f>"FES1162727971"</f>
        <v>FES1162727971</v>
      </c>
      <c r="F1294" s="3">
        <v>43811</v>
      </c>
      <c r="G1294">
        <v>202006</v>
      </c>
      <c r="H1294" t="s">
        <v>75</v>
      </c>
      <c r="I1294" t="s">
        <v>76</v>
      </c>
      <c r="J1294" t="s">
        <v>77</v>
      </c>
      <c r="K1294" t="s">
        <v>78</v>
      </c>
      <c r="L1294" t="s">
        <v>75</v>
      </c>
      <c r="M1294" t="s">
        <v>76</v>
      </c>
      <c r="N1294" t="s">
        <v>377</v>
      </c>
      <c r="O1294" t="s">
        <v>82</v>
      </c>
      <c r="P1294" t="str">
        <f>"2170718932                    "</f>
        <v xml:space="preserve">2170718932                    </v>
      </c>
      <c r="Q1294">
        <v>0</v>
      </c>
      <c r="R1294">
        <v>0</v>
      </c>
      <c r="S1294">
        <v>0</v>
      </c>
      <c r="T1294">
        <v>0</v>
      </c>
      <c r="U1294">
        <v>0</v>
      </c>
      <c r="V1294">
        <v>0</v>
      </c>
      <c r="W1294">
        <v>0</v>
      </c>
      <c r="X1294">
        <v>0</v>
      </c>
      <c r="Y1294">
        <v>0</v>
      </c>
      <c r="Z1294">
        <v>0</v>
      </c>
      <c r="AA1294">
        <v>0</v>
      </c>
      <c r="AB1294">
        <v>0</v>
      </c>
      <c r="AC1294">
        <v>0</v>
      </c>
      <c r="AD1294">
        <v>0</v>
      </c>
      <c r="AE1294">
        <v>0</v>
      </c>
      <c r="AF1294">
        <v>0</v>
      </c>
      <c r="AG1294">
        <v>0</v>
      </c>
      <c r="AH1294">
        <v>0</v>
      </c>
      <c r="AI1294">
        <v>0</v>
      </c>
      <c r="AJ1294">
        <v>0</v>
      </c>
      <c r="AK1294">
        <v>0</v>
      </c>
      <c r="AL1294">
        <v>0</v>
      </c>
      <c r="AM1294">
        <v>8.31</v>
      </c>
      <c r="AN1294">
        <v>0</v>
      </c>
      <c r="AO1294">
        <v>0</v>
      </c>
      <c r="AP1294">
        <v>0</v>
      </c>
      <c r="AQ1294">
        <v>0</v>
      </c>
      <c r="AR1294">
        <v>0</v>
      </c>
      <c r="AS1294">
        <v>0</v>
      </c>
      <c r="AT1294">
        <v>0</v>
      </c>
      <c r="AU1294">
        <v>0</v>
      </c>
      <c r="AV1294">
        <v>0</v>
      </c>
      <c r="AW1294">
        <v>0</v>
      </c>
      <c r="AX1294">
        <v>0</v>
      </c>
      <c r="AY1294">
        <v>0</v>
      </c>
      <c r="AZ1294">
        <v>0</v>
      </c>
      <c r="BA1294">
        <v>0</v>
      </c>
      <c r="BB1294">
        <v>0</v>
      </c>
      <c r="BC1294">
        <v>0</v>
      </c>
      <c r="BD1294">
        <v>0</v>
      </c>
      <c r="BE1294">
        <v>0</v>
      </c>
      <c r="BF1294">
        <v>0</v>
      </c>
      <c r="BG1294">
        <v>0</v>
      </c>
      <c r="BH1294">
        <v>1</v>
      </c>
      <c r="BI1294">
        <v>2.7</v>
      </c>
      <c r="BJ1294">
        <v>1.2</v>
      </c>
      <c r="BK1294">
        <v>3</v>
      </c>
      <c r="BL1294" s="4">
        <v>48.86</v>
      </c>
      <c r="BM1294" s="4">
        <v>7.33</v>
      </c>
      <c r="BN1294" s="4">
        <v>56.19</v>
      </c>
      <c r="BO1294" s="4">
        <v>56.19</v>
      </c>
      <c r="BQ1294" t="s">
        <v>147</v>
      </c>
      <c r="BR1294" t="s">
        <v>84</v>
      </c>
      <c r="BS1294" s="3">
        <v>43812</v>
      </c>
      <c r="BT1294" s="5">
        <v>0.33333333333333331</v>
      </c>
      <c r="BU1294" t="s">
        <v>761</v>
      </c>
      <c r="BV1294" t="s">
        <v>86</v>
      </c>
      <c r="BY1294">
        <v>6209.42</v>
      </c>
      <c r="CA1294" t="s">
        <v>320</v>
      </c>
      <c r="CC1294" t="s">
        <v>76</v>
      </c>
      <c r="CD1294">
        <v>1665</v>
      </c>
      <c r="CE1294" t="s">
        <v>96</v>
      </c>
      <c r="CF1294" s="3">
        <v>43816</v>
      </c>
      <c r="CI1294">
        <v>1</v>
      </c>
      <c r="CJ1294">
        <v>1</v>
      </c>
      <c r="CK1294">
        <v>22</v>
      </c>
      <c r="CL1294" t="s">
        <v>89</v>
      </c>
    </row>
    <row r="1295" spans="1:90">
      <c r="A1295" t="s">
        <v>72</v>
      </c>
      <c r="B1295" t="s">
        <v>73</v>
      </c>
      <c r="C1295" t="s">
        <v>74</v>
      </c>
      <c r="E1295" t="str">
        <f>"FES1162728147"</f>
        <v>FES1162728147</v>
      </c>
      <c r="F1295" s="3">
        <v>43811</v>
      </c>
      <c r="G1295">
        <v>202006</v>
      </c>
      <c r="H1295" t="s">
        <v>75</v>
      </c>
      <c r="I1295" t="s">
        <v>76</v>
      </c>
      <c r="J1295" t="s">
        <v>77</v>
      </c>
      <c r="K1295" t="s">
        <v>78</v>
      </c>
      <c r="L1295" t="s">
        <v>332</v>
      </c>
      <c r="M1295" t="s">
        <v>333</v>
      </c>
      <c r="N1295" t="s">
        <v>701</v>
      </c>
      <c r="O1295" t="s">
        <v>82</v>
      </c>
      <c r="P1295" t="str">
        <f>"217071948                     "</f>
        <v xml:space="preserve">217071948                     </v>
      </c>
      <c r="Q1295">
        <v>0</v>
      </c>
      <c r="R1295">
        <v>0</v>
      </c>
      <c r="S1295">
        <v>0</v>
      </c>
      <c r="T1295">
        <v>0</v>
      </c>
      <c r="U1295">
        <v>0</v>
      </c>
      <c r="V1295">
        <v>0</v>
      </c>
      <c r="W1295">
        <v>0</v>
      </c>
      <c r="X1295">
        <v>0</v>
      </c>
      <c r="Y1295">
        <v>0</v>
      </c>
      <c r="Z1295">
        <v>0</v>
      </c>
      <c r="AA1295">
        <v>0</v>
      </c>
      <c r="AB1295">
        <v>0</v>
      </c>
      <c r="AC1295">
        <v>0</v>
      </c>
      <c r="AD1295">
        <v>0</v>
      </c>
      <c r="AE1295">
        <v>0</v>
      </c>
      <c r="AF1295">
        <v>0</v>
      </c>
      <c r="AG1295">
        <v>0</v>
      </c>
      <c r="AH1295">
        <v>0</v>
      </c>
      <c r="AI1295">
        <v>0</v>
      </c>
      <c r="AJ1295">
        <v>0</v>
      </c>
      <c r="AK1295">
        <v>0</v>
      </c>
      <c r="AL1295">
        <v>0</v>
      </c>
      <c r="AM1295">
        <v>6.71</v>
      </c>
      <c r="AN1295">
        <v>0</v>
      </c>
      <c r="AO1295">
        <v>0</v>
      </c>
      <c r="AP1295">
        <v>0</v>
      </c>
      <c r="AQ1295">
        <v>0</v>
      </c>
      <c r="AR1295">
        <v>0</v>
      </c>
      <c r="AS1295">
        <v>0</v>
      </c>
      <c r="AT1295">
        <v>0</v>
      </c>
      <c r="AU1295">
        <v>0</v>
      </c>
      <c r="AV1295">
        <v>0</v>
      </c>
      <c r="AW1295">
        <v>0</v>
      </c>
      <c r="AX1295">
        <v>0</v>
      </c>
      <c r="AY1295">
        <v>0</v>
      </c>
      <c r="AZ1295">
        <v>0</v>
      </c>
      <c r="BA1295">
        <v>0</v>
      </c>
      <c r="BB1295">
        <v>0</v>
      </c>
      <c r="BC1295">
        <v>0</v>
      </c>
      <c r="BD1295">
        <v>0</v>
      </c>
      <c r="BE1295">
        <v>0</v>
      </c>
      <c r="BF1295">
        <v>0</v>
      </c>
      <c r="BG1295">
        <v>0</v>
      </c>
      <c r="BH1295">
        <v>1</v>
      </c>
      <c r="BI1295">
        <v>1.4</v>
      </c>
      <c r="BJ1295">
        <v>1</v>
      </c>
      <c r="BK1295">
        <v>1.5</v>
      </c>
      <c r="BL1295" s="4">
        <v>39.42</v>
      </c>
      <c r="BM1295" s="4">
        <v>5.91</v>
      </c>
      <c r="BN1295" s="4">
        <v>45.33</v>
      </c>
      <c r="BO1295" s="4">
        <v>45.33</v>
      </c>
      <c r="BQ1295" t="s">
        <v>93</v>
      </c>
      <c r="BR1295" t="s">
        <v>84</v>
      </c>
      <c r="BS1295" s="3">
        <v>43812</v>
      </c>
      <c r="BT1295" s="5">
        <v>0.35069444444444442</v>
      </c>
      <c r="BU1295" t="s">
        <v>708</v>
      </c>
      <c r="BV1295" t="s">
        <v>86</v>
      </c>
      <c r="BY1295">
        <v>5150.51</v>
      </c>
      <c r="CA1295" t="s">
        <v>700</v>
      </c>
      <c r="CC1295" t="s">
        <v>333</v>
      </c>
      <c r="CD1295">
        <v>2094</v>
      </c>
      <c r="CE1295" t="s">
        <v>96</v>
      </c>
      <c r="CF1295" s="3">
        <v>43816</v>
      </c>
      <c r="CI1295">
        <v>1</v>
      </c>
      <c r="CJ1295">
        <v>1</v>
      </c>
      <c r="CK1295">
        <v>22</v>
      </c>
      <c r="CL1295" t="s">
        <v>89</v>
      </c>
    </row>
    <row r="1296" spans="1:90">
      <c r="A1296" t="s">
        <v>72</v>
      </c>
      <c r="B1296" t="s">
        <v>73</v>
      </c>
      <c r="C1296" t="s">
        <v>74</v>
      </c>
      <c r="E1296" t="str">
        <f>"FES1162728044"</f>
        <v>FES1162728044</v>
      </c>
      <c r="F1296" s="3">
        <v>43811</v>
      </c>
      <c r="G1296">
        <v>202006</v>
      </c>
      <c r="H1296" t="s">
        <v>75</v>
      </c>
      <c r="I1296" t="s">
        <v>76</v>
      </c>
      <c r="J1296" t="s">
        <v>77</v>
      </c>
      <c r="K1296" t="s">
        <v>78</v>
      </c>
      <c r="L1296" t="s">
        <v>340</v>
      </c>
      <c r="M1296" t="s">
        <v>341</v>
      </c>
      <c r="N1296" t="s">
        <v>342</v>
      </c>
      <c r="O1296" t="s">
        <v>82</v>
      </c>
      <c r="P1296" t="str">
        <f>"217071479                     "</f>
        <v xml:space="preserve">217071479                     </v>
      </c>
      <c r="Q1296">
        <v>0</v>
      </c>
      <c r="R1296">
        <v>0</v>
      </c>
      <c r="S1296">
        <v>0</v>
      </c>
      <c r="T1296">
        <v>0</v>
      </c>
      <c r="U1296">
        <v>0</v>
      </c>
      <c r="V1296">
        <v>0</v>
      </c>
      <c r="W1296">
        <v>0</v>
      </c>
      <c r="X1296">
        <v>0</v>
      </c>
      <c r="Y1296">
        <v>0</v>
      </c>
      <c r="Z1296">
        <v>0</v>
      </c>
      <c r="AA1296">
        <v>0</v>
      </c>
      <c r="AB1296">
        <v>0</v>
      </c>
      <c r="AC1296">
        <v>0</v>
      </c>
      <c r="AD1296">
        <v>0</v>
      </c>
      <c r="AE1296">
        <v>0</v>
      </c>
      <c r="AF1296">
        <v>0</v>
      </c>
      <c r="AG1296">
        <v>0</v>
      </c>
      <c r="AH1296">
        <v>0</v>
      </c>
      <c r="AI1296">
        <v>0</v>
      </c>
      <c r="AJ1296">
        <v>0</v>
      </c>
      <c r="AK1296">
        <v>0</v>
      </c>
      <c r="AL1296">
        <v>0</v>
      </c>
      <c r="AM1296">
        <v>24.14</v>
      </c>
      <c r="AN1296">
        <v>0</v>
      </c>
      <c r="AO1296">
        <v>0</v>
      </c>
      <c r="AP1296">
        <v>0</v>
      </c>
      <c r="AQ1296">
        <v>0</v>
      </c>
      <c r="AR1296">
        <v>0</v>
      </c>
      <c r="AS1296">
        <v>0</v>
      </c>
      <c r="AT1296">
        <v>0</v>
      </c>
      <c r="AU1296">
        <v>0</v>
      </c>
      <c r="AV1296">
        <v>0</v>
      </c>
      <c r="AW1296">
        <v>0</v>
      </c>
      <c r="AX1296">
        <v>0</v>
      </c>
      <c r="AY1296">
        <v>0</v>
      </c>
      <c r="AZ1296">
        <v>0</v>
      </c>
      <c r="BA1296">
        <v>0</v>
      </c>
      <c r="BB1296">
        <v>0</v>
      </c>
      <c r="BC1296">
        <v>0</v>
      </c>
      <c r="BD1296">
        <v>0</v>
      </c>
      <c r="BE1296">
        <v>0</v>
      </c>
      <c r="BF1296">
        <v>0</v>
      </c>
      <c r="BG1296">
        <v>0</v>
      </c>
      <c r="BH1296">
        <v>1</v>
      </c>
      <c r="BI1296">
        <v>3</v>
      </c>
      <c r="BJ1296">
        <v>1.7</v>
      </c>
      <c r="BK1296">
        <v>3</v>
      </c>
      <c r="BL1296" s="4">
        <v>141.9</v>
      </c>
      <c r="BM1296" s="4">
        <v>21.29</v>
      </c>
      <c r="BN1296" s="4">
        <v>163.19</v>
      </c>
      <c r="BO1296" s="4">
        <v>163.19</v>
      </c>
      <c r="BQ1296" t="s">
        <v>93</v>
      </c>
      <c r="BR1296" t="s">
        <v>84</v>
      </c>
      <c r="BS1296" s="3">
        <v>43812</v>
      </c>
      <c r="BT1296" s="5">
        <v>0.33333333333333331</v>
      </c>
      <c r="BU1296" t="s">
        <v>1786</v>
      </c>
      <c r="BV1296" t="s">
        <v>86</v>
      </c>
      <c r="BY1296">
        <v>8265.0300000000007</v>
      </c>
      <c r="CC1296" t="s">
        <v>341</v>
      </c>
      <c r="CD1296">
        <v>1947</v>
      </c>
      <c r="CE1296" t="s">
        <v>96</v>
      </c>
      <c r="CF1296" s="3">
        <v>43816</v>
      </c>
      <c r="CI1296">
        <v>1</v>
      </c>
      <c r="CJ1296">
        <v>1</v>
      </c>
      <c r="CK1296">
        <v>23</v>
      </c>
      <c r="CL1296" t="s">
        <v>89</v>
      </c>
    </row>
    <row r="1297" spans="1:90">
      <c r="A1297" t="s">
        <v>72</v>
      </c>
      <c r="B1297" t="s">
        <v>73</v>
      </c>
      <c r="C1297" t="s">
        <v>74</v>
      </c>
      <c r="E1297" t="str">
        <f>"FES1162728179"</f>
        <v>FES1162728179</v>
      </c>
      <c r="F1297" s="3">
        <v>43811</v>
      </c>
      <c r="G1297">
        <v>202006</v>
      </c>
      <c r="H1297" t="s">
        <v>75</v>
      </c>
      <c r="I1297" t="s">
        <v>76</v>
      </c>
      <c r="J1297" t="s">
        <v>77</v>
      </c>
      <c r="K1297" t="s">
        <v>78</v>
      </c>
      <c r="L1297" t="s">
        <v>75</v>
      </c>
      <c r="M1297" t="s">
        <v>76</v>
      </c>
      <c r="N1297" t="s">
        <v>289</v>
      </c>
      <c r="O1297" t="s">
        <v>82</v>
      </c>
      <c r="P1297" t="str">
        <f>"217071506                     "</f>
        <v xml:space="preserve">217071506                     </v>
      </c>
      <c r="Q1297">
        <v>0</v>
      </c>
      <c r="R1297">
        <v>0</v>
      </c>
      <c r="S1297">
        <v>0</v>
      </c>
      <c r="T1297">
        <v>0</v>
      </c>
      <c r="U1297">
        <v>0</v>
      </c>
      <c r="V1297">
        <v>0</v>
      </c>
      <c r="W1297">
        <v>0</v>
      </c>
      <c r="X1297">
        <v>0</v>
      </c>
      <c r="Y1297">
        <v>0</v>
      </c>
      <c r="Z1297">
        <v>0</v>
      </c>
      <c r="AA1297">
        <v>0</v>
      </c>
      <c r="AB1297">
        <v>0</v>
      </c>
      <c r="AC1297">
        <v>0</v>
      </c>
      <c r="AD1297">
        <v>0</v>
      </c>
      <c r="AE1297">
        <v>0</v>
      </c>
      <c r="AF1297">
        <v>0</v>
      </c>
      <c r="AG1297">
        <v>0</v>
      </c>
      <c r="AH1297">
        <v>0</v>
      </c>
      <c r="AI1297">
        <v>0</v>
      </c>
      <c r="AJ1297">
        <v>0</v>
      </c>
      <c r="AK1297">
        <v>0</v>
      </c>
      <c r="AL1297">
        <v>0</v>
      </c>
      <c r="AM1297">
        <v>11.53</v>
      </c>
      <c r="AN1297">
        <v>0</v>
      </c>
      <c r="AO1297">
        <v>0</v>
      </c>
      <c r="AP1297">
        <v>0</v>
      </c>
      <c r="AQ1297">
        <v>0</v>
      </c>
      <c r="AR1297">
        <v>0</v>
      </c>
      <c r="AS1297">
        <v>0</v>
      </c>
      <c r="AT1297">
        <v>0</v>
      </c>
      <c r="AU1297">
        <v>0</v>
      </c>
      <c r="AV1297">
        <v>0</v>
      </c>
      <c r="AW1297">
        <v>0</v>
      </c>
      <c r="AX1297">
        <v>0</v>
      </c>
      <c r="AY1297">
        <v>0</v>
      </c>
      <c r="AZ1297">
        <v>0</v>
      </c>
      <c r="BA1297">
        <v>0</v>
      </c>
      <c r="BB1297">
        <v>0</v>
      </c>
      <c r="BC1297">
        <v>0</v>
      </c>
      <c r="BD1297">
        <v>0</v>
      </c>
      <c r="BE1297">
        <v>0</v>
      </c>
      <c r="BF1297">
        <v>0</v>
      </c>
      <c r="BG1297">
        <v>0</v>
      </c>
      <c r="BH1297">
        <v>1</v>
      </c>
      <c r="BI1297">
        <v>5</v>
      </c>
      <c r="BJ1297">
        <v>3.1</v>
      </c>
      <c r="BK1297">
        <v>5</v>
      </c>
      <c r="BL1297" s="4">
        <v>67.760000000000005</v>
      </c>
      <c r="BM1297" s="4">
        <v>10.16</v>
      </c>
      <c r="BN1297" s="4">
        <v>77.92</v>
      </c>
      <c r="BO1297" s="4">
        <v>77.92</v>
      </c>
      <c r="BQ1297" t="s">
        <v>290</v>
      </c>
      <c r="BR1297" t="s">
        <v>84</v>
      </c>
      <c r="BS1297" s="3">
        <v>43812</v>
      </c>
      <c r="BT1297" s="5">
        <v>0.29166666666666669</v>
      </c>
      <c r="BU1297" t="s">
        <v>921</v>
      </c>
      <c r="BV1297" t="s">
        <v>86</v>
      </c>
      <c r="BY1297">
        <v>15600</v>
      </c>
      <c r="CA1297" t="s">
        <v>746</v>
      </c>
      <c r="CC1297" t="s">
        <v>76</v>
      </c>
      <c r="CD1297">
        <v>1601</v>
      </c>
      <c r="CE1297" t="s">
        <v>116</v>
      </c>
      <c r="CF1297" s="3">
        <v>43816</v>
      </c>
      <c r="CI1297">
        <v>1</v>
      </c>
      <c r="CJ1297">
        <v>1</v>
      </c>
      <c r="CK1297">
        <v>22</v>
      </c>
      <c r="CL1297" t="s">
        <v>89</v>
      </c>
    </row>
    <row r="1298" spans="1:90">
      <c r="A1298" t="s">
        <v>72</v>
      </c>
      <c r="B1298" t="s">
        <v>73</v>
      </c>
      <c r="C1298" t="s">
        <v>74</v>
      </c>
      <c r="E1298" t="str">
        <f>"FES1162727923"</f>
        <v>FES1162727923</v>
      </c>
      <c r="F1298" s="3">
        <v>43811</v>
      </c>
      <c r="G1298">
        <v>202006</v>
      </c>
      <c r="H1298" t="s">
        <v>75</v>
      </c>
      <c r="I1298" t="s">
        <v>76</v>
      </c>
      <c r="J1298" t="s">
        <v>77</v>
      </c>
      <c r="K1298" t="s">
        <v>78</v>
      </c>
      <c r="L1298" t="s">
        <v>361</v>
      </c>
      <c r="M1298" t="s">
        <v>362</v>
      </c>
      <c r="N1298" t="s">
        <v>363</v>
      </c>
      <c r="O1298" t="s">
        <v>82</v>
      </c>
      <c r="P1298" t="str">
        <f>"2170721126                    "</f>
        <v xml:space="preserve">2170721126                    </v>
      </c>
      <c r="Q1298">
        <v>0</v>
      </c>
      <c r="R1298">
        <v>0</v>
      </c>
      <c r="S1298">
        <v>0</v>
      </c>
      <c r="T1298">
        <v>0</v>
      </c>
      <c r="U1298">
        <v>0</v>
      </c>
      <c r="V1298">
        <v>0</v>
      </c>
      <c r="W1298">
        <v>0</v>
      </c>
      <c r="X1298">
        <v>0</v>
      </c>
      <c r="Y1298">
        <v>0</v>
      </c>
      <c r="Z1298">
        <v>0</v>
      </c>
      <c r="AA1298">
        <v>0</v>
      </c>
      <c r="AB1298">
        <v>0</v>
      </c>
      <c r="AC1298">
        <v>0</v>
      </c>
      <c r="AD1298">
        <v>0</v>
      </c>
      <c r="AE1298">
        <v>0</v>
      </c>
      <c r="AF1298">
        <v>0</v>
      </c>
      <c r="AG1298">
        <v>0</v>
      </c>
      <c r="AH1298">
        <v>0</v>
      </c>
      <c r="AI1298">
        <v>0</v>
      </c>
      <c r="AJ1298">
        <v>0</v>
      </c>
      <c r="AK1298">
        <v>0</v>
      </c>
      <c r="AL1298">
        <v>0</v>
      </c>
      <c r="AM1298">
        <v>19.3</v>
      </c>
      <c r="AN1298">
        <v>0</v>
      </c>
      <c r="AO1298">
        <v>0</v>
      </c>
      <c r="AP1298">
        <v>0</v>
      </c>
      <c r="AQ1298">
        <v>0</v>
      </c>
      <c r="AR1298">
        <v>0</v>
      </c>
      <c r="AS1298">
        <v>0</v>
      </c>
      <c r="AT1298">
        <v>0</v>
      </c>
      <c r="AU1298">
        <v>0</v>
      </c>
      <c r="AV1298">
        <v>0</v>
      </c>
      <c r="AW1298">
        <v>0</v>
      </c>
      <c r="AX1298">
        <v>0</v>
      </c>
      <c r="AY1298">
        <v>0</v>
      </c>
      <c r="AZ1298">
        <v>0</v>
      </c>
      <c r="BA1298">
        <v>0</v>
      </c>
      <c r="BB1298">
        <v>0</v>
      </c>
      <c r="BC1298">
        <v>0</v>
      </c>
      <c r="BD1298">
        <v>0</v>
      </c>
      <c r="BE1298">
        <v>0</v>
      </c>
      <c r="BF1298">
        <v>0</v>
      </c>
      <c r="BG1298">
        <v>0</v>
      </c>
      <c r="BH1298">
        <v>3</v>
      </c>
      <c r="BI1298">
        <v>4.4000000000000004</v>
      </c>
      <c r="BJ1298">
        <v>4.4000000000000004</v>
      </c>
      <c r="BK1298">
        <v>4.5</v>
      </c>
      <c r="BL1298" s="4">
        <v>113.47</v>
      </c>
      <c r="BM1298" s="4">
        <v>17.02</v>
      </c>
      <c r="BN1298" s="4">
        <v>130.49</v>
      </c>
      <c r="BO1298" s="4">
        <v>130.49</v>
      </c>
      <c r="BQ1298" t="s">
        <v>93</v>
      </c>
      <c r="BR1298" t="s">
        <v>84</v>
      </c>
      <c r="BS1298" s="3">
        <v>43812</v>
      </c>
      <c r="BT1298" s="5">
        <v>0.37708333333333338</v>
      </c>
      <c r="BU1298" t="s">
        <v>364</v>
      </c>
      <c r="BV1298" t="s">
        <v>86</v>
      </c>
      <c r="BY1298">
        <v>22216.09</v>
      </c>
      <c r="CA1298" t="s">
        <v>185</v>
      </c>
      <c r="CC1298" t="s">
        <v>362</v>
      </c>
      <c r="CD1298">
        <v>6220</v>
      </c>
      <c r="CE1298" t="s">
        <v>1787</v>
      </c>
      <c r="CF1298" s="3">
        <v>43816</v>
      </c>
      <c r="CI1298">
        <v>1</v>
      </c>
      <c r="CJ1298">
        <v>1</v>
      </c>
      <c r="CK1298">
        <v>21</v>
      </c>
      <c r="CL1298" t="s">
        <v>89</v>
      </c>
    </row>
    <row r="1299" spans="1:90">
      <c r="A1299" t="s">
        <v>72</v>
      </c>
      <c r="B1299" t="s">
        <v>73</v>
      </c>
      <c r="C1299" t="s">
        <v>74</v>
      </c>
      <c r="E1299" t="str">
        <f>"FES1162728069"</f>
        <v>FES1162728069</v>
      </c>
      <c r="F1299" s="3">
        <v>43811</v>
      </c>
      <c r="G1299">
        <v>202006</v>
      </c>
      <c r="H1299" t="s">
        <v>75</v>
      </c>
      <c r="I1299" t="s">
        <v>76</v>
      </c>
      <c r="J1299" t="s">
        <v>77</v>
      </c>
      <c r="K1299" t="s">
        <v>78</v>
      </c>
      <c r="L1299" t="s">
        <v>138</v>
      </c>
      <c r="M1299" t="s">
        <v>139</v>
      </c>
      <c r="N1299" t="s">
        <v>1700</v>
      </c>
      <c r="O1299" t="s">
        <v>82</v>
      </c>
      <c r="P1299" t="str">
        <f>"2170718224                    "</f>
        <v xml:space="preserve">2170718224                    </v>
      </c>
      <c r="Q1299">
        <v>0</v>
      </c>
      <c r="R1299">
        <v>0</v>
      </c>
      <c r="S1299">
        <v>0</v>
      </c>
      <c r="T1299">
        <v>0</v>
      </c>
      <c r="U1299">
        <v>0</v>
      </c>
      <c r="V1299">
        <v>0</v>
      </c>
      <c r="W1299">
        <v>0</v>
      </c>
      <c r="X1299">
        <v>0</v>
      </c>
      <c r="Y1299">
        <v>0</v>
      </c>
      <c r="Z1299">
        <v>0</v>
      </c>
      <c r="AA1299">
        <v>0</v>
      </c>
      <c r="AB1299">
        <v>0</v>
      </c>
      <c r="AC1299">
        <v>0</v>
      </c>
      <c r="AD1299">
        <v>0</v>
      </c>
      <c r="AE1299">
        <v>0</v>
      </c>
      <c r="AF1299">
        <v>0</v>
      </c>
      <c r="AG1299">
        <v>0</v>
      </c>
      <c r="AH1299">
        <v>0</v>
      </c>
      <c r="AI1299">
        <v>0</v>
      </c>
      <c r="AJ1299">
        <v>0</v>
      </c>
      <c r="AK1299">
        <v>0</v>
      </c>
      <c r="AL1299">
        <v>0</v>
      </c>
      <c r="AM1299">
        <v>6.71</v>
      </c>
      <c r="AN1299">
        <v>0</v>
      </c>
      <c r="AO1299">
        <v>0</v>
      </c>
      <c r="AP1299">
        <v>0</v>
      </c>
      <c r="AQ1299">
        <v>0</v>
      </c>
      <c r="AR1299">
        <v>0</v>
      </c>
      <c r="AS1299">
        <v>0</v>
      </c>
      <c r="AT1299">
        <v>0</v>
      </c>
      <c r="AU1299">
        <v>0</v>
      </c>
      <c r="AV1299">
        <v>0</v>
      </c>
      <c r="AW1299">
        <v>0</v>
      </c>
      <c r="AX1299">
        <v>0</v>
      </c>
      <c r="AY1299">
        <v>0</v>
      </c>
      <c r="AZ1299">
        <v>0</v>
      </c>
      <c r="BA1299">
        <v>0</v>
      </c>
      <c r="BB1299">
        <v>0</v>
      </c>
      <c r="BC1299">
        <v>0</v>
      </c>
      <c r="BD1299">
        <v>0</v>
      </c>
      <c r="BE1299">
        <v>0</v>
      </c>
      <c r="BF1299">
        <v>0</v>
      </c>
      <c r="BG1299">
        <v>0</v>
      </c>
      <c r="BH1299">
        <v>1</v>
      </c>
      <c r="BI1299">
        <v>1</v>
      </c>
      <c r="BJ1299">
        <v>0.2</v>
      </c>
      <c r="BK1299">
        <v>1</v>
      </c>
      <c r="BL1299" s="4">
        <v>39.42</v>
      </c>
      <c r="BM1299" s="4">
        <v>5.91</v>
      </c>
      <c r="BN1299" s="4">
        <v>45.33</v>
      </c>
      <c r="BO1299" s="4">
        <v>45.33</v>
      </c>
      <c r="BR1299" t="s">
        <v>84</v>
      </c>
      <c r="BS1299" s="3">
        <v>43812</v>
      </c>
      <c r="BT1299" s="5">
        <v>0.375</v>
      </c>
      <c r="BU1299" t="s">
        <v>1788</v>
      </c>
      <c r="BV1299" t="s">
        <v>86</v>
      </c>
      <c r="BY1299">
        <v>1200</v>
      </c>
      <c r="CC1299" t="s">
        <v>139</v>
      </c>
      <c r="CD1299">
        <v>1428</v>
      </c>
      <c r="CE1299" t="s">
        <v>88</v>
      </c>
      <c r="CF1299" s="3">
        <v>43816</v>
      </c>
      <c r="CI1299">
        <v>1</v>
      </c>
      <c r="CJ1299">
        <v>1</v>
      </c>
      <c r="CK1299">
        <v>22</v>
      </c>
      <c r="CL1299" t="s">
        <v>89</v>
      </c>
    </row>
    <row r="1300" spans="1:90">
      <c r="A1300" t="s">
        <v>72</v>
      </c>
      <c r="B1300" t="s">
        <v>73</v>
      </c>
      <c r="C1300" t="s">
        <v>74</v>
      </c>
      <c r="E1300" t="str">
        <f>"FES1162728275"</f>
        <v>FES1162728275</v>
      </c>
      <c r="F1300" s="3">
        <v>43811</v>
      </c>
      <c r="G1300">
        <v>202006</v>
      </c>
      <c r="H1300" t="s">
        <v>75</v>
      </c>
      <c r="I1300" t="s">
        <v>76</v>
      </c>
      <c r="J1300" t="s">
        <v>77</v>
      </c>
      <c r="K1300" t="s">
        <v>78</v>
      </c>
      <c r="L1300" t="s">
        <v>79</v>
      </c>
      <c r="M1300" t="s">
        <v>80</v>
      </c>
      <c r="N1300" t="s">
        <v>1696</v>
      </c>
      <c r="O1300" t="s">
        <v>82</v>
      </c>
      <c r="P1300" t="str">
        <f>"2170719430                    "</f>
        <v xml:space="preserve">2170719430                    </v>
      </c>
      <c r="Q1300">
        <v>0</v>
      </c>
      <c r="R1300">
        <v>0</v>
      </c>
      <c r="S1300">
        <v>0</v>
      </c>
      <c r="T1300">
        <v>0</v>
      </c>
      <c r="U1300">
        <v>0</v>
      </c>
      <c r="V1300">
        <v>0</v>
      </c>
      <c r="W1300">
        <v>0</v>
      </c>
      <c r="X1300">
        <v>0</v>
      </c>
      <c r="Y1300">
        <v>0</v>
      </c>
      <c r="Z1300">
        <v>0</v>
      </c>
      <c r="AA1300">
        <v>0</v>
      </c>
      <c r="AB1300">
        <v>0</v>
      </c>
      <c r="AC1300">
        <v>0</v>
      </c>
      <c r="AD1300">
        <v>0</v>
      </c>
      <c r="AE1300">
        <v>0</v>
      </c>
      <c r="AF1300">
        <v>0</v>
      </c>
      <c r="AG1300">
        <v>0</v>
      </c>
      <c r="AH1300">
        <v>0</v>
      </c>
      <c r="AI1300">
        <v>0</v>
      </c>
      <c r="AJ1300">
        <v>0</v>
      </c>
      <c r="AK1300">
        <v>0</v>
      </c>
      <c r="AL1300">
        <v>0</v>
      </c>
      <c r="AM1300">
        <v>8.58</v>
      </c>
      <c r="AN1300">
        <v>0</v>
      </c>
      <c r="AO1300">
        <v>0</v>
      </c>
      <c r="AP1300">
        <v>0</v>
      </c>
      <c r="AQ1300">
        <v>0</v>
      </c>
      <c r="AR1300">
        <v>0</v>
      </c>
      <c r="AS1300">
        <v>0</v>
      </c>
      <c r="AT1300">
        <v>0</v>
      </c>
      <c r="AU1300">
        <v>0</v>
      </c>
      <c r="AV1300">
        <v>0</v>
      </c>
      <c r="AW1300">
        <v>0</v>
      </c>
      <c r="AX1300">
        <v>0</v>
      </c>
      <c r="AY1300">
        <v>0</v>
      </c>
      <c r="AZ1300">
        <v>0</v>
      </c>
      <c r="BA1300">
        <v>0</v>
      </c>
      <c r="BB1300">
        <v>0</v>
      </c>
      <c r="BC1300">
        <v>0</v>
      </c>
      <c r="BD1300">
        <v>0</v>
      </c>
      <c r="BE1300">
        <v>0</v>
      </c>
      <c r="BF1300">
        <v>0</v>
      </c>
      <c r="BG1300">
        <v>0</v>
      </c>
      <c r="BH1300">
        <v>1</v>
      </c>
      <c r="BI1300">
        <v>1</v>
      </c>
      <c r="BJ1300">
        <v>0.2</v>
      </c>
      <c r="BK1300">
        <v>1</v>
      </c>
      <c r="BL1300" s="4">
        <v>50.45</v>
      </c>
      <c r="BM1300" s="4">
        <v>7.57</v>
      </c>
      <c r="BN1300" s="4">
        <v>58.02</v>
      </c>
      <c r="BO1300" s="4">
        <v>58.02</v>
      </c>
      <c r="BQ1300" t="s">
        <v>147</v>
      </c>
      <c r="BR1300" t="s">
        <v>84</v>
      </c>
      <c r="BS1300" s="3">
        <v>43812</v>
      </c>
      <c r="BT1300" s="5">
        <v>0.42291666666666666</v>
      </c>
      <c r="BU1300" t="s">
        <v>1697</v>
      </c>
      <c r="BV1300" t="s">
        <v>86</v>
      </c>
      <c r="BY1300">
        <v>1200</v>
      </c>
      <c r="CA1300" t="s">
        <v>131</v>
      </c>
      <c r="CC1300" t="s">
        <v>80</v>
      </c>
      <c r="CD1300">
        <v>6000</v>
      </c>
      <c r="CE1300" t="s">
        <v>88</v>
      </c>
      <c r="CF1300" s="3">
        <v>43816</v>
      </c>
      <c r="CI1300">
        <v>1</v>
      </c>
      <c r="CJ1300">
        <v>1</v>
      </c>
      <c r="CK1300">
        <v>21</v>
      </c>
      <c r="CL1300" t="s">
        <v>89</v>
      </c>
    </row>
    <row r="1301" spans="1:90">
      <c r="A1301" t="s">
        <v>72</v>
      </c>
      <c r="B1301" t="s">
        <v>73</v>
      </c>
      <c r="C1301" t="s">
        <v>74</v>
      </c>
      <c r="E1301" t="str">
        <f>"009939512497"</f>
        <v>009939512497</v>
      </c>
      <c r="F1301" s="3">
        <v>43811</v>
      </c>
      <c r="G1301">
        <v>202006</v>
      </c>
      <c r="H1301" t="s">
        <v>90</v>
      </c>
      <c r="I1301" t="s">
        <v>91</v>
      </c>
      <c r="J1301" t="s">
        <v>100</v>
      </c>
      <c r="K1301" t="s">
        <v>78</v>
      </c>
      <c r="L1301" t="s">
        <v>79</v>
      </c>
      <c r="M1301" t="s">
        <v>80</v>
      </c>
      <c r="N1301" t="s">
        <v>100</v>
      </c>
      <c r="O1301" t="s">
        <v>82</v>
      </c>
      <c r="P1301" t="str">
        <f>"1703                          "</f>
        <v xml:space="preserve">1703                          </v>
      </c>
      <c r="Q1301">
        <v>0</v>
      </c>
      <c r="R1301">
        <v>0</v>
      </c>
      <c r="S1301">
        <v>0</v>
      </c>
      <c r="T1301">
        <v>0</v>
      </c>
      <c r="U1301">
        <v>0</v>
      </c>
      <c r="V1301">
        <v>0</v>
      </c>
      <c r="W1301">
        <v>0</v>
      </c>
      <c r="X1301">
        <v>0</v>
      </c>
      <c r="Y1301">
        <v>0</v>
      </c>
      <c r="Z1301">
        <v>0</v>
      </c>
      <c r="AA1301">
        <v>0</v>
      </c>
      <c r="AB1301">
        <v>0</v>
      </c>
      <c r="AC1301">
        <v>0</v>
      </c>
      <c r="AD1301">
        <v>0</v>
      </c>
      <c r="AE1301">
        <v>0</v>
      </c>
      <c r="AF1301">
        <v>0</v>
      </c>
      <c r="AG1301">
        <v>0</v>
      </c>
      <c r="AH1301">
        <v>0</v>
      </c>
      <c r="AI1301">
        <v>0</v>
      </c>
      <c r="AJ1301">
        <v>0</v>
      </c>
      <c r="AK1301">
        <v>0</v>
      </c>
      <c r="AL1301">
        <v>0</v>
      </c>
      <c r="AM1301">
        <v>42.89</v>
      </c>
      <c r="AN1301">
        <v>0</v>
      </c>
      <c r="AO1301">
        <v>0</v>
      </c>
      <c r="AP1301">
        <v>0</v>
      </c>
      <c r="AQ1301">
        <v>0</v>
      </c>
      <c r="AR1301">
        <v>0</v>
      </c>
      <c r="AS1301">
        <v>0</v>
      </c>
      <c r="AT1301">
        <v>0</v>
      </c>
      <c r="AU1301">
        <v>0</v>
      </c>
      <c r="AV1301">
        <v>0</v>
      </c>
      <c r="AW1301">
        <v>0</v>
      </c>
      <c r="AX1301">
        <v>0</v>
      </c>
      <c r="AY1301">
        <v>0</v>
      </c>
      <c r="AZ1301">
        <v>0</v>
      </c>
      <c r="BA1301">
        <v>0</v>
      </c>
      <c r="BB1301">
        <v>0</v>
      </c>
      <c r="BC1301">
        <v>0</v>
      </c>
      <c r="BD1301">
        <v>0</v>
      </c>
      <c r="BE1301">
        <v>0</v>
      </c>
      <c r="BF1301">
        <v>0</v>
      </c>
      <c r="BG1301">
        <v>0</v>
      </c>
      <c r="BH1301">
        <v>1</v>
      </c>
      <c r="BI1301">
        <v>3.9</v>
      </c>
      <c r="BJ1301">
        <v>9.8000000000000007</v>
      </c>
      <c r="BK1301">
        <v>10</v>
      </c>
      <c r="BL1301" s="4">
        <v>252.12</v>
      </c>
      <c r="BM1301" s="4">
        <v>37.82</v>
      </c>
      <c r="BN1301" s="4">
        <v>289.94</v>
      </c>
      <c r="BO1301" s="4">
        <v>289.94</v>
      </c>
      <c r="BQ1301" t="s">
        <v>1789</v>
      </c>
      <c r="BR1301" t="s">
        <v>127</v>
      </c>
      <c r="BS1301" s="3">
        <v>43812</v>
      </c>
      <c r="BT1301" s="5">
        <v>0.34791666666666665</v>
      </c>
      <c r="BU1301" t="s">
        <v>1790</v>
      </c>
      <c r="BV1301" t="s">
        <v>86</v>
      </c>
      <c r="BY1301">
        <v>49185.5</v>
      </c>
      <c r="BZ1301" t="s">
        <v>27</v>
      </c>
      <c r="CA1301" t="s">
        <v>419</v>
      </c>
      <c r="CC1301" t="s">
        <v>80</v>
      </c>
      <c r="CD1301">
        <v>6055</v>
      </c>
      <c r="CE1301" t="s">
        <v>116</v>
      </c>
      <c r="CF1301" s="3">
        <v>43816</v>
      </c>
      <c r="CI1301">
        <v>1</v>
      </c>
      <c r="CJ1301">
        <v>1</v>
      </c>
      <c r="CK1301">
        <v>21</v>
      </c>
      <c r="CL1301" t="s">
        <v>89</v>
      </c>
    </row>
    <row r="1302" spans="1:90">
      <c r="A1302" t="s">
        <v>72</v>
      </c>
      <c r="B1302" t="s">
        <v>73</v>
      </c>
      <c r="C1302" t="s">
        <v>74</v>
      </c>
      <c r="E1302" t="str">
        <f>"FES1162728007"</f>
        <v>FES1162728007</v>
      </c>
      <c r="F1302" s="3">
        <v>43811</v>
      </c>
      <c r="G1302">
        <v>202006</v>
      </c>
      <c r="H1302" t="s">
        <v>75</v>
      </c>
      <c r="I1302" t="s">
        <v>76</v>
      </c>
      <c r="J1302" t="s">
        <v>77</v>
      </c>
      <c r="K1302" t="s">
        <v>78</v>
      </c>
      <c r="L1302" t="s">
        <v>151</v>
      </c>
      <c r="M1302" t="s">
        <v>102</v>
      </c>
      <c r="N1302" t="s">
        <v>681</v>
      </c>
      <c r="O1302" t="s">
        <v>82</v>
      </c>
      <c r="P1302" t="str">
        <f>"2170719420                    "</f>
        <v xml:space="preserve">2170719420                    </v>
      </c>
      <c r="Q1302">
        <v>0</v>
      </c>
      <c r="R1302">
        <v>0</v>
      </c>
      <c r="S1302">
        <v>0</v>
      </c>
      <c r="T1302">
        <v>0</v>
      </c>
      <c r="U1302">
        <v>0</v>
      </c>
      <c r="V1302">
        <v>0</v>
      </c>
      <c r="W1302">
        <v>0</v>
      </c>
      <c r="X1302">
        <v>0</v>
      </c>
      <c r="Y1302">
        <v>0</v>
      </c>
      <c r="Z1302">
        <v>0</v>
      </c>
      <c r="AA1302">
        <v>0</v>
      </c>
      <c r="AB1302">
        <v>0</v>
      </c>
      <c r="AC1302">
        <v>0</v>
      </c>
      <c r="AD1302">
        <v>0</v>
      </c>
      <c r="AE1302">
        <v>0</v>
      </c>
      <c r="AF1302">
        <v>0</v>
      </c>
      <c r="AG1302">
        <v>0</v>
      </c>
      <c r="AH1302">
        <v>0</v>
      </c>
      <c r="AI1302">
        <v>0</v>
      </c>
      <c r="AJ1302">
        <v>0</v>
      </c>
      <c r="AK1302">
        <v>0</v>
      </c>
      <c r="AL1302">
        <v>0</v>
      </c>
      <c r="AM1302">
        <v>8.58</v>
      </c>
      <c r="AN1302">
        <v>0</v>
      </c>
      <c r="AO1302">
        <v>0</v>
      </c>
      <c r="AP1302">
        <v>0</v>
      </c>
      <c r="AQ1302">
        <v>0</v>
      </c>
      <c r="AR1302">
        <v>0</v>
      </c>
      <c r="AS1302">
        <v>0</v>
      </c>
      <c r="AT1302">
        <v>0</v>
      </c>
      <c r="AU1302">
        <v>0</v>
      </c>
      <c r="AV1302">
        <v>0</v>
      </c>
      <c r="AW1302">
        <v>0</v>
      </c>
      <c r="AX1302">
        <v>0</v>
      </c>
      <c r="AY1302">
        <v>0</v>
      </c>
      <c r="AZ1302">
        <v>0</v>
      </c>
      <c r="BA1302">
        <v>0</v>
      </c>
      <c r="BB1302">
        <v>0</v>
      </c>
      <c r="BC1302">
        <v>0</v>
      </c>
      <c r="BD1302">
        <v>0</v>
      </c>
      <c r="BE1302">
        <v>0</v>
      </c>
      <c r="BF1302">
        <v>0</v>
      </c>
      <c r="BG1302">
        <v>0</v>
      </c>
      <c r="BH1302">
        <v>1</v>
      </c>
      <c r="BI1302">
        <v>0.6</v>
      </c>
      <c r="BJ1302">
        <v>0.9</v>
      </c>
      <c r="BK1302">
        <v>1</v>
      </c>
      <c r="BL1302" s="4">
        <v>50.45</v>
      </c>
      <c r="BM1302" s="4">
        <v>7.57</v>
      </c>
      <c r="BN1302" s="4">
        <v>58.02</v>
      </c>
      <c r="BO1302" s="4">
        <v>58.02</v>
      </c>
      <c r="BR1302" t="s">
        <v>84</v>
      </c>
      <c r="BS1302" s="3">
        <v>43812</v>
      </c>
      <c r="BT1302" s="5">
        <v>0.3576388888888889</v>
      </c>
      <c r="BU1302" t="s">
        <v>1730</v>
      </c>
      <c r="BV1302" t="s">
        <v>86</v>
      </c>
      <c r="BY1302">
        <v>4421.7</v>
      </c>
      <c r="CA1302" t="s">
        <v>137</v>
      </c>
      <c r="CC1302" t="s">
        <v>102</v>
      </c>
      <c r="CD1302">
        <v>1</v>
      </c>
      <c r="CE1302" t="s">
        <v>96</v>
      </c>
      <c r="CF1302" s="3">
        <v>43816</v>
      </c>
      <c r="CI1302">
        <v>1</v>
      </c>
      <c r="CJ1302">
        <v>1</v>
      </c>
      <c r="CK1302">
        <v>21</v>
      </c>
      <c r="CL1302" t="s">
        <v>89</v>
      </c>
    </row>
    <row r="1303" spans="1:90">
      <c r="A1303" t="s">
        <v>72</v>
      </c>
      <c r="B1303" t="s">
        <v>73</v>
      </c>
      <c r="C1303" t="s">
        <v>74</v>
      </c>
      <c r="E1303" t="str">
        <f>"FES1162728004"</f>
        <v>FES1162728004</v>
      </c>
      <c r="F1303" s="3">
        <v>43811</v>
      </c>
      <c r="G1303">
        <v>202006</v>
      </c>
      <c r="H1303" t="s">
        <v>75</v>
      </c>
      <c r="I1303" t="s">
        <v>76</v>
      </c>
      <c r="J1303" t="s">
        <v>77</v>
      </c>
      <c r="K1303" t="s">
        <v>78</v>
      </c>
      <c r="L1303" t="s">
        <v>151</v>
      </c>
      <c r="M1303" t="s">
        <v>102</v>
      </c>
      <c r="N1303" t="s">
        <v>681</v>
      </c>
      <c r="O1303" t="s">
        <v>82</v>
      </c>
      <c r="P1303" t="str">
        <f>"2170719327                    "</f>
        <v xml:space="preserve">2170719327                    </v>
      </c>
      <c r="Q1303">
        <v>0</v>
      </c>
      <c r="R1303">
        <v>0</v>
      </c>
      <c r="S1303">
        <v>0</v>
      </c>
      <c r="T1303">
        <v>0</v>
      </c>
      <c r="U1303">
        <v>0</v>
      </c>
      <c r="V1303">
        <v>0</v>
      </c>
      <c r="W1303">
        <v>0</v>
      </c>
      <c r="X1303">
        <v>0</v>
      </c>
      <c r="Y1303">
        <v>0</v>
      </c>
      <c r="Z1303">
        <v>0</v>
      </c>
      <c r="AA1303">
        <v>0</v>
      </c>
      <c r="AB1303">
        <v>0</v>
      </c>
      <c r="AC1303">
        <v>0</v>
      </c>
      <c r="AD1303">
        <v>0</v>
      </c>
      <c r="AE1303">
        <v>0</v>
      </c>
      <c r="AF1303">
        <v>0</v>
      </c>
      <c r="AG1303">
        <v>0</v>
      </c>
      <c r="AH1303">
        <v>0</v>
      </c>
      <c r="AI1303">
        <v>0</v>
      </c>
      <c r="AJ1303">
        <v>0</v>
      </c>
      <c r="AK1303">
        <v>0</v>
      </c>
      <c r="AL1303">
        <v>0</v>
      </c>
      <c r="AM1303">
        <v>8.58</v>
      </c>
      <c r="AN1303">
        <v>0</v>
      </c>
      <c r="AO1303">
        <v>0</v>
      </c>
      <c r="AP1303">
        <v>0</v>
      </c>
      <c r="AQ1303">
        <v>0</v>
      </c>
      <c r="AR1303">
        <v>0</v>
      </c>
      <c r="AS1303">
        <v>0</v>
      </c>
      <c r="AT1303">
        <v>0</v>
      </c>
      <c r="AU1303">
        <v>0</v>
      </c>
      <c r="AV1303">
        <v>0</v>
      </c>
      <c r="AW1303">
        <v>0</v>
      </c>
      <c r="AX1303">
        <v>0</v>
      </c>
      <c r="AY1303">
        <v>0</v>
      </c>
      <c r="AZ1303">
        <v>0</v>
      </c>
      <c r="BA1303">
        <v>0</v>
      </c>
      <c r="BB1303">
        <v>0</v>
      </c>
      <c r="BC1303">
        <v>0</v>
      </c>
      <c r="BD1303">
        <v>0</v>
      </c>
      <c r="BE1303">
        <v>0</v>
      </c>
      <c r="BF1303">
        <v>0</v>
      </c>
      <c r="BG1303">
        <v>0</v>
      </c>
      <c r="BH1303">
        <v>1</v>
      </c>
      <c r="BI1303">
        <v>0.9</v>
      </c>
      <c r="BJ1303">
        <v>1</v>
      </c>
      <c r="BK1303">
        <v>1</v>
      </c>
      <c r="BL1303" s="4">
        <v>50.45</v>
      </c>
      <c r="BM1303" s="4">
        <v>7.57</v>
      </c>
      <c r="BN1303" s="4">
        <v>58.02</v>
      </c>
      <c r="BO1303" s="4">
        <v>58.02</v>
      </c>
      <c r="BR1303" t="s">
        <v>84</v>
      </c>
      <c r="BS1303" s="3">
        <v>43812</v>
      </c>
      <c r="BT1303" s="5">
        <v>0.3576388888888889</v>
      </c>
      <c r="BU1303" t="s">
        <v>1730</v>
      </c>
      <c r="BV1303" t="s">
        <v>86</v>
      </c>
      <c r="BY1303">
        <v>4754.6499999999996</v>
      </c>
      <c r="CA1303" t="s">
        <v>137</v>
      </c>
      <c r="CC1303" t="s">
        <v>102</v>
      </c>
      <c r="CD1303">
        <v>1</v>
      </c>
      <c r="CE1303" t="s">
        <v>96</v>
      </c>
      <c r="CF1303" s="3">
        <v>43816</v>
      </c>
      <c r="CI1303">
        <v>1</v>
      </c>
      <c r="CJ1303">
        <v>1</v>
      </c>
      <c r="CK1303">
        <v>21</v>
      </c>
      <c r="CL1303" t="s">
        <v>89</v>
      </c>
    </row>
    <row r="1304" spans="1:90">
      <c r="A1304" t="s">
        <v>72</v>
      </c>
      <c r="B1304" t="s">
        <v>73</v>
      </c>
      <c r="C1304" t="s">
        <v>74</v>
      </c>
      <c r="E1304" t="str">
        <f>"FES1162728116"</f>
        <v>FES1162728116</v>
      </c>
      <c r="F1304" s="3">
        <v>43811</v>
      </c>
      <c r="G1304">
        <v>202006</v>
      </c>
      <c r="H1304" t="s">
        <v>75</v>
      </c>
      <c r="I1304" t="s">
        <v>76</v>
      </c>
      <c r="J1304" t="s">
        <v>77</v>
      </c>
      <c r="K1304" t="s">
        <v>78</v>
      </c>
      <c r="L1304" t="s">
        <v>177</v>
      </c>
      <c r="M1304" t="s">
        <v>178</v>
      </c>
      <c r="N1304" t="s">
        <v>1791</v>
      </c>
      <c r="O1304" t="s">
        <v>82</v>
      </c>
      <c r="P1304" t="str">
        <f>"2170718769                    "</f>
        <v xml:space="preserve">2170718769                    </v>
      </c>
      <c r="Q1304">
        <v>0</v>
      </c>
      <c r="R1304">
        <v>0</v>
      </c>
      <c r="S1304">
        <v>0</v>
      </c>
      <c r="T1304">
        <v>0</v>
      </c>
      <c r="U1304">
        <v>0</v>
      </c>
      <c r="V1304">
        <v>0</v>
      </c>
      <c r="W1304">
        <v>0</v>
      </c>
      <c r="X1304">
        <v>0</v>
      </c>
      <c r="Y1304">
        <v>0</v>
      </c>
      <c r="Z1304">
        <v>0</v>
      </c>
      <c r="AA1304">
        <v>0</v>
      </c>
      <c r="AB1304">
        <v>0</v>
      </c>
      <c r="AC1304">
        <v>0</v>
      </c>
      <c r="AD1304">
        <v>0</v>
      </c>
      <c r="AE1304">
        <v>0</v>
      </c>
      <c r="AF1304">
        <v>0</v>
      </c>
      <c r="AG1304">
        <v>0</v>
      </c>
      <c r="AH1304">
        <v>0</v>
      </c>
      <c r="AI1304">
        <v>0</v>
      </c>
      <c r="AJ1304">
        <v>0</v>
      </c>
      <c r="AK1304">
        <v>0</v>
      </c>
      <c r="AL1304">
        <v>0</v>
      </c>
      <c r="AM1304">
        <v>12.07</v>
      </c>
      <c r="AN1304">
        <v>0</v>
      </c>
      <c r="AO1304">
        <v>0</v>
      </c>
      <c r="AP1304">
        <v>0</v>
      </c>
      <c r="AQ1304">
        <v>0</v>
      </c>
      <c r="AR1304">
        <v>0</v>
      </c>
      <c r="AS1304">
        <v>0</v>
      </c>
      <c r="AT1304">
        <v>0</v>
      </c>
      <c r="AU1304">
        <v>0</v>
      </c>
      <c r="AV1304">
        <v>0</v>
      </c>
      <c r="AW1304">
        <v>0</v>
      </c>
      <c r="AX1304">
        <v>0</v>
      </c>
      <c r="AY1304">
        <v>0</v>
      </c>
      <c r="AZ1304">
        <v>0</v>
      </c>
      <c r="BA1304">
        <v>0</v>
      </c>
      <c r="BB1304">
        <v>0</v>
      </c>
      <c r="BC1304">
        <v>0</v>
      </c>
      <c r="BD1304">
        <v>0</v>
      </c>
      <c r="BE1304">
        <v>0</v>
      </c>
      <c r="BF1304">
        <v>0</v>
      </c>
      <c r="BG1304">
        <v>0</v>
      </c>
      <c r="BH1304">
        <v>1</v>
      </c>
      <c r="BI1304">
        <v>0.9</v>
      </c>
      <c r="BJ1304">
        <v>1.2</v>
      </c>
      <c r="BK1304">
        <v>1.5</v>
      </c>
      <c r="BL1304" s="4">
        <v>70.95</v>
      </c>
      <c r="BM1304" s="4">
        <v>10.64</v>
      </c>
      <c r="BN1304" s="4">
        <v>81.59</v>
      </c>
      <c r="BO1304" s="4">
        <v>81.59</v>
      </c>
      <c r="BQ1304" t="s">
        <v>1792</v>
      </c>
      <c r="BR1304" t="s">
        <v>84</v>
      </c>
      <c r="BS1304" s="3">
        <v>43812</v>
      </c>
      <c r="BT1304" s="5">
        <v>0.67499999999999993</v>
      </c>
      <c r="BU1304" t="s">
        <v>142</v>
      </c>
      <c r="BV1304" t="s">
        <v>86</v>
      </c>
      <c r="BY1304">
        <v>5882.41</v>
      </c>
      <c r="CC1304" t="s">
        <v>178</v>
      </c>
      <c r="CD1304">
        <v>1020</v>
      </c>
      <c r="CE1304" t="s">
        <v>116</v>
      </c>
      <c r="CI1304">
        <v>1</v>
      </c>
      <c r="CJ1304">
        <v>1</v>
      </c>
      <c r="CK1304">
        <v>24</v>
      </c>
      <c r="CL1304" t="s">
        <v>89</v>
      </c>
    </row>
    <row r="1305" spans="1:90">
      <c r="A1305" t="s">
        <v>72</v>
      </c>
      <c r="B1305" t="s">
        <v>73</v>
      </c>
      <c r="C1305" t="s">
        <v>74</v>
      </c>
      <c r="E1305" t="str">
        <f>"FES1162728270"</f>
        <v>FES1162728270</v>
      </c>
      <c r="F1305" s="3">
        <v>43811</v>
      </c>
      <c r="G1305">
        <v>202006</v>
      </c>
      <c r="H1305" t="s">
        <v>75</v>
      </c>
      <c r="I1305" t="s">
        <v>76</v>
      </c>
      <c r="J1305" t="s">
        <v>77</v>
      </c>
      <c r="K1305" t="s">
        <v>78</v>
      </c>
      <c r="L1305" t="s">
        <v>201</v>
      </c>
      <c r="M1305" t="s">
        <v>202</v>
      </c>
      <c r="N1305" t="s">
        <v>286</v>
      </c>
      <c r="O1305" t="s">
        <v>82</v>
      </c>
      <c r="P1305" t="str">
        <f>"21707190606                   "</f>
        <v xml:space="preserve">21707190606                   </v>
      </c>
      <c r="Q1305">
        <v>0</v>
      </c>
      <c r="R1305">
        <v>0</v>
      </c>
      <c r="S1305">
        <v>0</v>
      </c>
      <c r="T1305">
        <v>0</v>
      </c>
      <c r="U1305">
        <v>0</v>
      </c>
      <c r="V1305">
        <v>0</v>
      </c>
      <c r="W1305">
        <v>0</v>
      </c>
      <c r="X1305">
        <v>0</v>
      </c>
      <c r="Y1305">
        <v>0</v>
      </c>
      <c r="Z1305">
        <v>0</v>
      </c>
      <c r="AA1305">
        <v>0</v>
      </c>
      <c r="AB1305">
        <v>0</v>
      </c>
      <c r="AC1305">
        <v>0</v>
      </c>
      <c r="AD1305">
        <v>0</v>
      </c>
      <c r="AE1305">
        <v>0</v>
      </c>
      <c r="AF1305">
        <v>0</v>
      </c>
      <c r="AG1305">
        <v>0</v>
      </c>
      <c r="AH1305">
        <v>0</v>
      </c>
      <c r="AI1305">
        <v>0</v>
      </c>
      <c r="AJ1305">
        <v>0</v>
      </c>
      <c r="AK1305">
        <v>0</v>
      </c>
      <c r="AL1305">
        <v>0</v>
      </c>
      <c r="AM1305">
        <v>8.58</v>
      </c>
      <c r="AN1305">
        <v>0</v>
      </c>
      <c r="AO1305">
        <v>0</v>
      </c>
      <c r="AP1305">
        <v>0</v>
      </c>
      <c r="AQ1305">
        <v>0</v>
      </c>
      <c r="AR1305">
        <v>0</v>
      </c>
      <c r="AS1305">
        <v>0</v>
      </c>
      <c r="AT1305">
        <v>0</v>
      </c>
      <c r="AU1305">
        <v>0</v>
      </c>
      <c r="AV1305">
        <v>0</v>
      </c>
      <c r="AW1305">
        <v>0</v>
      </c>
      <c r="AX1305">
        <v>0</v>
      </c>
      <c r="AY1305">
        <v>0</v>
      </c>
      <c r="AZ1305">
        <v>0</v>
      </c>
      <c r="BA1305">
        <v>0</v>
      </c>
      <c r="BB1305">
        <v>0</v>
      </c>
      <c r="BC1305">
        <v>0</v>
      </c>
      <c r="BD1305">
        <v>0</v>
      </c>
      <c r="BE1305">
        <v>0</v>
      </c>
      <c r="BF1305">
        <v>0</v>
      </c>
      <c r="BG1305">
        <v>0</v>
      </c>
      <c r="BH1305">
        <v>1</v>
      </c>
      <c r="BI1305">
        <v>1</v>
      </c>
      <c r="BJ1305">
        <v>0.2</v>
      </c>
      <c r="BK1305">
        <v>1</v>
      </c>
      <c r="BL1305" s="4">
        <v>50.45</v>
      </c>
      <c r="BM1305" s="4">
        <v>7.57</v>
      </c>
      <c r="BN1305" s="4">
        <v>58.02</v>
      </c>
      <c r="BO1305" s="4">
        <v>58.02</v>
      </c>
      <c r="BQ1305" t="s">
        <v>93</v>
      </c>
      <c r="BR1305" t="s">
        <v>84</v>
      </c>
      <c r="BS1305" s="3">
        <v>43812</v>
      </c>
      <c r="BT1305" s="5">
        <v>0.41736111111111113</v>
      </c>
      <c r="BU1305" t="s">
        <v>1793</v>
      </c>
      <c r="BV1305" t="s">
        <v>86</v>
      </c>
      <c r="BY1305">
        <v>1200</v>
      </c>
      <c r="CA1305" t="s">
        <v>288</v>
      </c>
      <c r="CC1305" t="s">
        <v>202</v>
      </c>
      <c r="CD1305">
        <v>3610</v>
      </c>
      <c r="CE1305" t="s">
        <v>88</v>
      </c>
      <c r="CF1305" s="3">
        <v>43816</v>
      </c>
      <c r="CI1305">
        <v>1</v>
      </c>
      <c r="CJ1305">
        <v>1</v>
      </c>
      <c r="CK1305">
        <v>21</v>
      </c>
      <c r="CL1305" t="s">
        <v>89</v>
      </c>
    </row>
    <row r="1306" spans="1:90">
      <c r="A1306" t="s">
        <v>72</v>
      </c>
      <c r="B1306" t="s">
        <v>73</v>
      </c>
      <c r="C1306" t="s">
        <v>74</v>
      </c>
      <c r="E1306" t="str">
        <f>"FES1162728110"</f>
        <v>FES1162728110</v>
      </c>
      <c r="F1306" s="3">
        <v>43811</v>
      </c>
      <c r="G1306">
        <v>202006</v>
      </c>
      <c r="H1306" t="s">
        <v>75</v>
      </c>
      <c r="I1306" t="s">
        <v>76</v>
      </c>
      <c r="J1306" t="s">
        <v>77</v>
      </c>
      <c r="K1306" t="s">
        <v>78</v>
      </c>
      <c r="L1306" t="s">
        <v>430</v>
      </c>
      <c r="M1306" t="s">
        <v>431</v>
      </c>
      <c r="N1306" t="s">
        <v>1467</v>
      </c>
      <c r="O1306" t="s">
        <v>82</v>
      </c>
      <c r="P1306" t="str">
        <f>"2170718643                    "</f>
        <v xml:space="preserve">2170718643                    </v>
      </c>
      <c r="Q1306">
        <v>0</v>
      </c>
      <c r="R1306">
        <v>0</v>
      </c>
      <c r="S1306">
        <v>0</v>
      </c>
      <c r="T1306">
        <v>0</v>
      </c>
      <c r="U1306">
        <v>0</v>
      </c>
      <c r="V1306">
        <v>0</v>
      </c>
      <c r="W1306">
        <v>0</v>
      </c>
      <c r="X1306">
        <v>0</v>
      </c>
      <c r="Y1306">
        <v>0</v>
      </c>
      <c r="Z1306">
        <v>0</v>
      </c>
      <c r="AA1306">
        <v>0</v>
      </c>
      <c r="AB1306">
        <v>0</v>
      </c>
      <c r="AC1306">
        <v>0</v>
      </c>
      <c r="AD1306">
        <v>0</v>
      </c>
      <c r="AE1306">
        <v>0</v>
      </c>
      <c r="AF1306">
        <v>0</v>
      </c>
      <c r="AG1306">
        <v>0</v>
      </c>
      <c r="AH1306">
        <v>0</v>
      </c>
      <c r="AI1306">
        <v>0</v>
      </c>
      <c r="AJ1306">
        <v>0</v>
      </c>
      <c r="AK1306">
        <v>0</v>
      </c>
      <c r="AL1306">
        <v>0</v>
      </c>
      <c r="AM1306">
        <v>12.07</v>
      </c>
      <c r="AN1306">
        <v>0</v>
      </c>
      <c r="AO1306">
        <v>0</v>
      </c>
      <c r="AP1306">
        <v>0</v>
      </c>
      <c r="AQ1306">
        <v>0</v>
      </c>
      <c r="AR1306">
        <v>0</v>
      </c>
      <c r="AS1306">
        <v>0</v>
      </c>
      <c r="AT1306">
        <v>0</v>
      </c>
      <c r="AU1306">
        <v>0</v>
      </c>
      <c r="AV1306">
        <v>0</v>
      </c>
      <c r="AW1306">
        <v>0</v>
      </c>
      <c r="AX1306">
        <v>0</v>
      </c>
      <c r="AY1306">
        <v>0</v>
      </c>
      <c r="AZ1306">
        <v>0</v>
      </c>
      <c r="BA1306">
        <v>0</v>
      </c>
      <c r="BB1306">
        <v>0</v>
      </c>
      <c r="BC1306">
        <v>0</v>
      </c>
      <c r="BD1306">
        <v>0</v>
      </c>
      <c r="BE1306">
        <v>0</v>
      </c>
      <c r="BF1306">
        <v>0</v>
      </c>
      <c r="BG1306">
        <v>0</v>
      </c>
      <c r="BH1306">
        <v>1</v>
      </c>
      <c r="BI1306">
        <v>1</v>
      </c>
      <c r="BJ1306">
        <v>0.2</v>
      </c>
      <c r="BK1306">
        <v>1</v>
      </c>
      <c r="BL1306" s="4">
        <v>70.95</v>
      </c>
      <c r="BM1306" s="4">
        <v>10.64</v>
      </c>
      <c r="BN1306" s="4">
        <v>81.59</v>
      </c>
      <c r="BO1306" s="4">
        <v>81.59</v>
      </c>
      <c r="BQ1306" t="s">
        <v>93</v>
      </c>
      <c r="BR1306" t="s">
        <v>84</v>
      </c>
      <c r="BS1306" s="3">
        <v>43812</v>
      </c>
      <c r="BT1306" s="5">
        <v>0.41319444444444442</v>
      </c>
      <c r="BU1306" t="s">
        <v>442</v>
      </c>
      <c r="BV1306" t="s">
        <v>86</v>
      </c>
      <c r="BY1306">
        <v>1200</v>
      </c>
      <c r="CA1306" t="s">
        <v>707</v>
      </c>
      <c r="CC1306" t="s">
        <v>431</v>
      </c>
      <c r="CD1306">
        <v>250</v>
      </c>
      <c r="CE1306" t="s">
        <v>88</v>
      </c>
      <c r="CF1306" s="3">
        <v>43818</v>
      </c>
      <c r="CI1306">
        <v>1</v>
      </c>
      <c r="CJ1306">
        <v>1</v>
      </c>
      <c r="CK1306">
        <v>24</v>
      </c>
      <c r="CL1306" t="s">
        <v>89</v>
      </c>
    </row>
    <row r="1307" spans="1:90">
      <c r="A1307" t="s">
        <v>72</v>
      </c>
      <c r="B1307" t="s">
        <v>73</v>
      </c>
      <c r="C1307" t="s">
        <v>74</v>
      </c>
      <c r="E1307" t="str">
        <f>"FES1162728263"</f>
        <v>FES1162728263</v>
      </c>
      <c r="F1307" s="3">
        <v>43811</v>
      </c>
      <c r="G1307">
        <v>202006</v>
      </c>
      <c r="H1307" t="s">
        <v>75</v>
      </c>
      <c r="I1307" t="s">
        <v>76</v>
      </c>
      <c r="J1307" t="s">
        <v>77</v>
      </c>
      <c r="K1307" t="s">
        <v>78</v>
      </c>
      <c r="L1307" t="s">
        <v>1183</v>
      </c>
      <c r="M1307" t="s">
        <v>1184</v>
      </c>
      <c r="N1307" t="s">
        <v>1185</v>
      </c>
      <c r="O1307" t="s">
        <v>82</v>
      </c>
      <c r="P1307" t="str">
        <f>"2170719967                    "</f>
        <v xml:space="preserve">2170719967                    </v>
      </c>
      <c r="Q1307">
        <v>0</v>
      </c>
      <c r="R1307">
        <v>0</v>
      </c>
      <c r="S1307">
        <v>0</v>
      </c>
      <c r="T1307">
        <v>0</v>
      </c>
      <c r="U1307">
        <v>0</v>
      </c>
      <c r="V1307">
        <v>0</v>
      </c>
      <c r="W1307">
        <v>0</v>
      </c>
      <c r="X1307">
        <v>0</v>
      </c>
      <c r="Y1307">
        <v>0</v>
      </c>
      <c r="Z1307">
        <v>0</v>
      </c>
      <c r="AA1307">
        <v>0</v>
      </c>
      <c r="AB1307">
        <v>0</v>
      </c>
      <c r="AC1307">
        <v>0</v>
      </c>
      <c r="AD1307">
        <v>0</v>
      </c>
      <c r="AE1307">
        <v>0</v>
      </c>
      <c r="AF1307">
        <v>0</v>
      </c>
      <c r="AG1307">
        <v>0</v>
      </c>
      <c r="AH1307">
        <v>0</v>
      </c>
      <c r="AI1307">
        <v>0</v>
      </c>
      <c r="AJ1307">
        <v>0</v>
      </c>
      <c r="AK1307">
        <v>0</v>
      </c>
      <c r="AL1307">
        <v>0</v>
      </c>
      <c r="AM1307">
        <v>24.14</v>
      </c>
      <c r="AN1307">
        <v>0</v>
      </c>
      <c r="AO1307">
        <v>0</v>
      </c>
      <c r="AP1307">
        <v>0</v>
      </c>
      <c r="AQ1307">
        <v>0</v>
      </c>
      <c r="AR1307">
        <v>0</v>
      </c>
      <c r="AS1307">
        <v>0</v>
      </c>
      <c r="AT1307">
        <v>0</v>
      </c>
      <c r="AU1307">
        <v>0</v>
      </c>
      <c r="AV1307">
        <v>0</v>
      </c>
      <c r="AW1307">
        <v>0</v>
      </c>
      <c r="AX1307">
        <v>0</v>
      </c>
      <c r="AY1307">
        <v>0</v>
      </c>
      <c r="AZ1307">
        <v>0</v>
      </c>
      <c r="BA1307">
        <v>0</v>
      </c>
      <c r="BB1307">
        <v>0</v>
      </c>
      <c r="BC1307">
        <v>0</v>
      </c>
      <c r="BD1307">
        <v>0</v>
      </c>
      <c r="BE1307">
        <v>0</v>
      </c>
      <c r="BF1307">
        <v>0</v>
      </c>
      <c r="BG1307">
        <v>0</v>
      </c>
      <c r="BH1307">
        <v>1</v>
      </c>
      <c r="BI1307">
        <v>2.7</v>
      </c>
      <c r="BJ1307">
        <v>1.8</v>
      </c>
      <c r="BK1307">
        <v>3</v>
      </c>
      <c r="BL1307" s="4">
        <v>141.9</v>
      </c>
      <c r="BM1307" s="4">
        <v>21.29</v>
      </c>
      <c r="BN1307" s="4">
        <v>163.19</v>
      </c>
      <c r="BO1307" s="4">
        <v>163.19</v>
      </c>
      <c r="BQ1307" t="s">
        <v>93</v>
      </c>
      <c r="BR1307" t="s">
        <v>84</v>
      </c>
      <c r="BS1307" s="3">
        <v>43812</v>
      </c>
      <c r="BT1307" s="5">
        <v>0.41666666666666669</v>
      </c>
      <c r="BU1307" t="s">
        <v>1186</v>
      </c>
      <c r="BV1307" t="s">
        <v>86</v>
      </c>
      <c r="BY1307">
        <v>8889.34</v>
      </c>
      <c r="CA1307" t="s">
        <v>1187</v>
      </c>
      <c r="CC1307" t="s">
        <v>1184</v>
      </c>
      <c r="CD1307">
        <v>3370</v>
      </c>
      <c r="CE1307" t="s">
        <v>96</v>
      </c>
      <c r="CF1307" s="3">
        <v>43817</v>
      </c>
      <c r="CI1307">
        <v>3</v>
      </c>
      <c r="CJ1307">
        <v>1</v>
      </c>
      <c r="CK1307">
        <v>23</v>
      </c>
      <c r="CL1307" t="s">
        <v>89</v>
      </c>
    </row>
    <row r="1308" spans="1:90">
      <c r="A1308" t="s">
        <v>72</v>
      </c>
      <c r="B1308" t="s">
        <v>73</v>
      </c>
      <c r="C1308" t="s">
        <v>74</v>
      </c>
      <c r="E1308" t="str">
        <f>"FES1162728250"</f>
        <v>FES1162728250</v>
      </c>
      <c r="F1308" s="3">
        <v>43811</v>
      </c>
      <c r="G1308">
        <v>202006</v>
      </c>
      <c r="H1308" t="s">
        <v>75</v>
      </c>
      <c r="I1308" t="s">
        <v>76</v>
      </c>
      <c r="J1308" t="s">
        <v>77</v>
      </c>
      <c r="K1308" t="s">
        <v>78</v>
      </c>
      <c r="L1308" t="s">
        <v>451</v>
      </c>
      <c r="M1308" t="s">
        <v>452</v>
      </c>
      <c r="N1308" t="s">
        <v>453</v>
      </c>
      <c r="O1308" t="s">
        <v>82</v>
      </c>
      <c r="P1308" t="str">
        <f>"217071592                     "</f>
        <v xml:space="preserve">217071592                     </v>
      </c>
      <c r="Q1308">
        <v>0</v>
      </c>
      <c r="R1308">
        <v>0</v>
      </c>
      <c r="S1308">
        <v>0</v>
      </c>
      <c r="T1308">
        <v>0</v>
      </c>
      <c r="U1308">
        <v>0</v>
      </c>
      <c r="V1308">
        <v>0</v>
      </c>
      <c r="W1308">
        <v>0</v>
      </c>
      <c r="X1308">
        <v>0</v>
      </c>
      <c r="Y1308">
        <v>0</v>
      </c>
      <c r="Z1308">
        <v>0</v>
      </c>
      <c r="AA1308">
        <v>0</v>
      </c>
      <c r="AB1308">
        <v>0</v>
      </c>
      <c r="AC1308">
        <v>0</v>
      </c>
      <c r="AD1308">
        <v>0</v>
      </c>
      <c r="AE1308">
        <v>0</v>
      </c>
      <c r="AF1308">
        <v>0</v>
      </c>
      <c r="AG1308">
        <v>0</v>
      </c>
      <c r="AH1308">
        <v>0</v>
      </c>
      <c r="AI1308">
        <v>0</v>
      </c>
      <c r="AJ1308">
        <v>0</v>
      </c>
      <c r="AK1308">
        <v>0</v>
      </c>
      <c r="AL1308">
        <v>0</v>
      </c>
      <c r="AM1308">
        <v>32.17</v>
      </c>
      <c r="AN1308">
        <v>0</v>
      </c>
      <c r="AO1308">
        <v>0</v>
      </c>
      <c r="AP1308">
        <v>0</v>
      </c>
      <c r="AQ1308">
        <v>0</v>
      </c>
      <c r="AR1308">
        <v>0</v>
      </c>
      <c r="AS1308">
        <v>0</v>
      </c>
      <c r="AT1308">
        <v>0</v>
      </c>
      <c r="AU1308">
        <v>0</v>
      </c>
      <c r="AV1308">
        <v>0</v>
      </c>
      <c r="AW1308">
        <v>0</v>
      </c>
      <c r="AX1308">
        <v>0</v>
      </c>
      <c r="AY1308">
        <v>0</v>
      </c>
      <c r="AZ1308">
        <v>0</v>
      </c>
      <c r="BA1308">
        <v>0</v>
      </c>
      <c r="BB1308">
        <v>0</v>
      </c>
      <c r="BC1308">
        <v>0</v>
      </c>
      <c r="BD1308">
        <v>0</v>
      </c>
      <c r="BE1308">
        <v>0</v>
      </c>
      <c r="BF1308">
        <v>0</v>
      </c>
      <c r="BG1308">
        <v>0</v>
      </c>
      <c r="BH1308">
        <v>1</v>
      </c>
      <c r="BI1308">
        <v>7.3</v>
      </c>
      <c r="BJ1308">
        <v>3.2</v>
      </c>
      <c r="BK1308">
        <v>7.5</v>
      </c>
      <c r="BL1308" s="4">
        <v>189.1</v>
      </c>
      <c r="BM1308" s="4">
        <v>28.37</v>
      </c>
      <c r="BN1308" s="4">
        <v>217.47</v>
      </c>
      <c r="BO1308" s="4">
        <v>217.47</v>
      </c>
      <c r="BQ1308" t="s">
        <v>147</v>
      </c>
      <c r="BR1308" t="s">
        <v>84</v>
      </c>
      <c r="BS1308" s="3">
        <v>43812</v>
      </c>
      <c r="BT1308" s="5">
        <v>0.59791666666666665</v>
      </c>
      <c r="BU1308" t="s">
        <v>1794</v>
      </c>
      <c r="BV1308" t="s">
        <v>86</v>
      </c>
      <c r="BY1308">
        <v>16043.99</v>
      </c>
      <c r="CA1308" t="s">
        <v>225</v>
      </c>
      <c r="CC1308" t="s">
        <v>452</v>
      </c>
      <c r="CD1308">
        <v>3760</v>
      </c>
      <c r="CE1308" t="s">
        <v>116</v>
      </c>
      <c r="CF1308" s="3">
        <v>43816</v>
      </c>
      <c r="CI1308">
        <v>4</v>
      </c>
      <c r="CJ1308">
        <v>1</v>
      </c>
      <c r="CK1308">
        <v>21</v>
      </c>
      <c r="CL1308" t="s">
        <v>89</v>
      </c>
    </row>
    <row r="1309" spans="1:90">
      <c r="A1309" t="s">
        <v>72</v>
      </c>
      <c r="B1309" t="s">
        <v>73</v>
      </c>
      <c r="C1309" t="s">
        <v>74</v>
      </c>
      <c r="E1309" t="str">
        <f>"FES1162728260"</f>
        <v>FES1162728260</v>
      </c>
      <c r="F1309" s="3">
        <v>43811</v>
      </c>
      <c r="G1309">
        <v>202006</v>
      </c>
      <c r="H1309" t="s">
        <v>75</v>
      </c>
      <c r="I1309" t="s">
        <v>76</v>
      </c>
      <c r="J1309" t="s">
        <v>77</v>
      </c>
      <c r="K1309" t="s">
        <v>78</v>
      </c>
      <c r="L1309" t="s">
        <v>90</v>
      </c>
      <c r="M1309" t="s">
        <v>91</v>
      </c>
      <c r="N1309" t="s">
        <v>998</v>
      </c>
      <c r="O1309" t="s">
        <v>82</v>
      </c>
      <c r="P1309" t="str">
        <f>"2170718539                    "</f>
        <v xml:space="preserve">2170718539                    </v>
      </c>
      <c r="Q1309">
        <v>0</v>
      </c>
      <c r="R1309">
        <v>0</v>
      </c>
      <c r="S1309">
        <v>0</v>
      </c>
      <c r="T1309">
        <v>0</v>
      </c>
      <c r="U1309">
        <v>0</v>
      </c>
      <c r="V1309">
        <v>0</v>
      </c>
      <c r="W1309">
        <v>0</v>
      </c>
      <c r="X1309">
        <v>0</v>
      </c>
      <c r="Y1309">
        <v>0</v>
      </c>
      <c r="Z1309">
        <v>0</v>
      </c>
      <c r="AA1309">
        <v>0</v>
      </c>
      <c r="AB1309">
        <v>0</v>
      </c>
      <c r="AC1309">
        <v>0</v>
      </c>
      <c r="AD1309">
        <v>0</v>
      </c>
      <c r="AE1309">
        <v>0</v>
      </c>
      <c r="AF1309">
        <v>0</v>
      </c>
      <c r="AG1309">
        <v>0</v>
      </c>
      <c r="AH1309">
        <v>0</v>
      </c>
      <c r="AI1309">
        <v>0</v>
      </c>
      <c r="AJ1309">
        <v>0</v>
      </c>
      <c r="AK1309">
        <v>0</v>
      </c>
      <c r="AL1309">
        <v>0</v>
      </c>
      <c r="AM1309">
        <v>8.58</v>
      </c>
      <c r="AN1309">
        <v>0</v>
      </c>
      <c r="AO1309">
        <v>0</v>
      </c>
      <c r="AP1309">
        <v>0</v>
      </c>
      <c r="AQ1309">
        <v>0</v>
      </c>
      <c r="AR1309">
        <v>0</v>
      </c>
      <c r="AS1309">
        <v>0</v>
      </c>
      <c r="AT1309">
        <v>0</v>
      </c>
      <c r="AU1309">
        <v>0</v>
      </c>
      <c r="AV1309">
        <v>0</v>
      </c>
      <c r="AW1309">
        <v>0</v>
      </c>
      <c r="AX1309">
        <v>0</v>
      </c>
      <c r="AY1309">
        <v>0</v>
      </c>
      <c r="AZ1309">
        <v>0</v>
      </c>
      <c r="BA1309">
        <v>0</v>
      </c>
      <c r="BB1309">
        <v>0</v>
      </c>
      <c r="BC1309">
        <v>0</v>
      </c>
      <c r="BD1309">
        <v>0</v>
      </c>
      <c r="BE1309">
        <v>0</v>
      </c>
      <c r="BF1309">
        <v>0</v>
      </c>
      <c r="BG1309">
        <v>0</v>
      </c>
      <c r="BH1309">
        <v>1</v>
      </c>
      <c r="BI1309">
        <v>1</v>
      </c>
      <c r="BJ1309">
        <v>1.1000000000000001</v>
      </c>
      <c r="BK1309">
        <v>1.5</v>
      </c>
      <c r="BL1309" s="4">
        <v>50.45</v>
      </c>
      <c r="BM1309" s="4">
        <v>7.57</v>
      </c>
      <c r="BN1309" s="4">
        <v>58.02</v>
      </c>
      <c r="BO1309" s="4">
        <v>58.02</v>
      </c>
      <c r="BQ1309" t="s">
        <v>93</v>
      </c>
      <c r="BR1309" t="s">
        <v>84</v>
      </c>
      <c r="BS1309" s="3">
        <v>43812</v>
      </c>
      <c r="BT1309" s="5">
        <v>0.41041666666666665</v>
      </c>
      <c r="BU1309" t="s">
        <v>999</v>
      </c>
      <c r="BV1309" t="s">
        <v>86</v>
      </c>
      <c r="BY1309">
        <v>5320</v>
      </c>
      <c r="CA1309" t="s">
        <v>563</v>
      </c>
      <c r="CC1309" t="s">
        <v>91</v>
      </c>
      <c r="CD1309">
        <v>7460</v>
      </c>
      <c r="CE1309" t="s">
        <v>96</v>
      </c>
      <c r="CF1309" s="3">
        <v>43812</v>
      </c>
      <c r="CI1309">
        <v>1</v>
      </c>
      <c r="CJ1309">
        <v>1</v>
      </c>
      <c r="CK1309">
        <v>21</v>
      </c>
      <c r="CL1309" t="s">
        <v>89</v>
      </c>
    </row>
    <row r="1310" spans="1:90">
      <c r="A1310" t="s">
        <v>72</v>
      </c>
      <c r="B1310" t="s">
        <v>73</v>
      </c>
      <c r="C1310" t="s">
        <v>74</v>
      </c>
      <c r="E1310" t="str">
        <f>"FES1162728265"</f>
        <v>FES1162728265</v>
      </c>
      <c r="F1310" s="3">
        <v>43811</v>
      </c>
      <c r="G1310">
        <v>202006</v>
      </c>
      <c r="H1310" t="s">
        <v>75</v>
      </c>
      <c r="I1310" t="s">
        <v>76</v>
      </c>
      <c r="J1310" t="s">
        <v>77</v>
      </c>
      <c r="K1310" t="s">
        <v>78</v>
      </c>
      <c r="L1310" t="s">
        <v>396</v>
      </c>
      <c r="M1310" t="s">
        <v>397</v>
      </c>
      <c r="N1310" t="s">
        <v>913</v>
      </c>
      <c r="O1310" t="s">
        <v>82</v>
      </c>
      <c r="P1310" t="str">
        <f>"2170721416                    "</f>
        <v xml:space="preserve">2170721416                    </v>
      </c>
      <c r="Q1310">
        <v>0</v>
      </c>
      <c r="R1310">
        <v>0</v>
      </c>
      <c r="S1310">
        <v>0</v>
      </c>
      <c r="T1310">
        <v>0</v>
      </c>
      <c r="U1310">
        <v>0</v>
      </c>
      <c r="V1310">
        <v>0</v>
      </c>
      <c r="W1310">
        <v>0</v>
      </c>
      <c r="X1310">
        <v>0</v>
      </c>
      <c r="Y1310">
        <v>0</v>
      </c>
      <c r="Z1310">
        <v>0</v>
      </c>
      <c r="AA1310">
        <v>0</v>
      </c>
      <c r="AB1310">
        <v>0</v>
      </c>
      <c r="AC1310">
        <v>0</v>
      </c>
      <c r="AD1310">
        <v>0</v>
      </c>
      <c r="AE1310">
        <v>0</v>
      </c>
      <c r="AF1310">
        <v>0</v>
      </c>
      <c r="AG1310">
        <v>0</v>
      </c>
      <c r="AH1310">
        <v>0</v>
      </c>
      <c r="AI1310">
        <v>0</v>
      </c>
      <c r="AJ1310">
        <v>0</v>
      </c>
      <c r="AK1310">
        <v>0</v>
      </c>
      <c r="AL1310">
        <v>0</v>
      </c>
      <c r="AM1310">
        <v>46.67</v>
      </c>
      <c r="AN1310">
        <v>0</v>
      </c>
      <c r="AO1310">
        <v>0</v>
      </c>
      <c r="AP1310">
        <v>0</v>
      </c>
      <c r="AQ1310">
        <v>0</v>
      </c>
      <c r="AR1310">
        <v>0</v>
      </c>
      <c r="AS1310">
        <v>0</v>
      </c>
      <c r="AT1310">
        <v>0</v>
      </c>
      <c r="AU1310">
        <v>0</v>
      </c>
      <c r="AV1310">
        <v>0</v>
      </c>
      <c r="AW1310">
        <v>0</v>
      </c>
      <c r="AX1310">
        <v>0</v>
      </c>
      <c r="AY1310">
        <v>0</v>
      </c>
      <c r="AZ1310">
        <v>0</v>
      </c>
      <c r="BA1310">
        <v>0</v>
      </c>
      <c r="BB1310">
        <v>0</v>
      </c>
      <c r="BC1310">
        <v>0</v>
      </c>
      <c r="BD1310">
        <v>0</v>
      </c>
      <c r="BE1310">
        <v>0</v>
      </c>
      <c r="BF1310">
        <v>0</v>
      </c>
      <c r="BG1310">
        <v>0</v>
      </c>
      <c r="BH1310">
        <v>1</v>
      </c>
      <c r="BI1310">
        <v>6</v>
      </c>
      <c r="BJ1310">
        <v>2.4</v>
      </c>
      <c r="BK1310">
        <v>6</v>
      </c>
      <c r="BL1310" s="4">
        <v>274.35000000000002</v>
      </c>
      <c r="BM1310" s="4">
        <v>41.15</v>
      </c>
      <c r="BN1310" s="4">
        <v>315.5</v>
      </c>
      <c r="BO1310" s="4">
        <v>315.5</v>
      </c>
      <c r="BQ1310" t="s">
        <v>147</v>
      </c>
      <c r="BR1310" t="s">
        <v>84</v>
      </c>
      <c r="BS1310" s="3">
        <v>43812</v>
      </c>
      <c r="BT1310" s="5">
        <v>0.52013888888888882</v>
      </c>
      <c r="BU1310" t="s">
        <v>1795</v>
      </c>
      <c r="BV1310" t="s">
        <v>86</v>
      </c>
      <c r="BY1310">
        <v>12155</v>
      </c>
      <c r="CA1310" t="s">
        <v>400</v>
      </c>
      <c r="CC1310" t="s">
        <v>397</v>
      </c>
      <c r="CD1310">
        <v>7130</v>
      </c>
      <c r="CE1310" t="s">
        <v>116</v>
      </c>
      <c r="CF1310" s="3">
        <v>43816</v>
      </c>
      <c r="CI1310">
        <v>1</v>
      </c>
      <c r="CJ1310">
        <v>1</v>
      </c>
      <c r="CK1310">
        <v>23</v>
      </c>
      <c r="CL1310" t="s">
        <v>89</v>
      </c>
    </row>
    <row r="1311" spans="1:90">
      <c r="A1311" t="s">
        <v>72</v>
      </c>
      <c r="B1311" t="s">
        <v>73</v>
      </c>
      <c r="C1311" t="s">
        <v>74</v>
      </c>
      <c r="E1311" t="str">
        <f>"FES1162728272"</f>
        <v>FES1162728272</v>
      </c>
      <c r="F1311" s="3">
        <v>43811</v>
      </c>
      <c r="G1311">
        <v>202006</v>
      </c>
      <c r="H1311" t="s">
        <v>75</v>
      </c>
      <c r="I1311" t="s">
        <v>76</v>
      </c>
      <c r="J1311" t="s">
        <v>77</v>
      </c>
      <c r="K1311" t="s">
        <v>78</v>
      </c>
      <c r="L1311" t="s">
        <v>90</v>
      </c>
      <c r="M1311" t="s">
        <v>91</v>
      </c>
      <c r="N1311" t="s">
        <v>219</v>
      </c>
      <c r="O1311" t="s">
        <v>82</v>
      </c>
      <c r="P1311" t="str">
        <f>"217071425                     "</f>
        <v xml:space="preserve">217071425                     </v>
      </c>
      <c r="Q1311">
        <v>0</v>
      </c>
      <c r="R1311">
        <v>0</v>
      </c>
      <c r="S1311">
        <v>0</v>
      </c>
      <c r="T1311">
        <v>0</v>
      </c>
      <c r="U1311">
        <v>0</v>
      </c>
      <c r="V1311">
        <v>0</v>
      </c>
      <c r="W1311">
        <v>0</v>
      </c>
      <c r="X1311">
        <v>0</v>
      </c>
      <c r="Y1311">
        <v>0</v>
      </c>
      <c r="Z1311">
        <v>0</v>
      </c>
      <c r="AA1311">
        <v>0</v>
      </c>
      <c r="AB1311">
        <v>0</v>
      </c>
      <c r="AC1311">
        <v>0</v>
      </c>
      <c r="AD1311">
        <v>0</v>
      </c>
      <c r="AE1311">
        <v>0</v>
      </c>
      <c r="AF1311">
        <v>0</v>
      </c>
      <c r="AG1311">
        <v>0</v>
      </c>
      <c r="AH1311">
        <v>0</v>
      </c>
      <c r="AI1311">
        <v>0</v>
      </c>
      <c r="AJ1311">
        <v>0</v>
      </c>
      <c r="AK1311">
        <v>0</v>
      </c>
      <c r="AL1311">
        <v>0</v>
      </c>
      <c r="AM1311">
        <v>8.58</v>
      </c>
      <c r="AN1311">
        <v>0</v>
      </c>
      <c r="AO1311">
        <v>0</v>
      </c>
      <c r="AP1311">
        <v>0</v>
      </c>
      <c r="AQ1311">
        <v>0</v>
      </c>
      <c r="AR1311">
        <v>0</v>
      </c>
      <c r="AS1311">
        <v>0</v>
      </c>
      <c r="AT1311">
        <v>0</v>
      </c>
      <c r="AU1311">
        <v>0</v>
      </c>
      <c r="AV1311">
        <v>0</v>
      </c>
      <c r="AW1311">
        <v>0</v>
      </c>
      <c r="AX1311">
        <v>0</v>
      </c>
      <c r="AY1311">
        <v>0</v>
      </c>
      <c r="AZ1311">
        <v>0</v>
      </c>
      <c r="BA1311">
        <v>0</v>
      </c>
      <c r="BB1311">
        <v>0</v>
      </c>
      <c r="BC1311">
        <v>0</v>
      </c>
      <c r="BD1311">
        <v>0</v>
      </c>
      <c r="BE1311">
        <v>0</v>
      </c>
      <c r="BF1311">
        <v>0</v>
      </c>
      <c r="BG1311">
        <v>0</v>
      </c>
      <c r="BH1311">
        <v>1</v>
      </c>
      <c r="BI1311">
        <v>1</v>
      </c>
      <c r="BJ1311">
        <v>0.2</v>
      </c>
      <c r="BK1311">
        <v>1</v>
      </c>
      <c r="BL1311" s="4">
        <v>50.45</v>
      </c>
      <c r="BM1311" s="4">
        <v>7.57</v>
      </c>
      <c r="BN1311" s="4">
        <v>58.02</v>
      </c>
      <c r="BO1311" s="4">
        <v>58.02</v>
      </c>
      <c r="BQ1311" t="s">
        <v>147</v>
      </c>
      <c r="BR1311" t="s">
        <v>84</v>
      </c>
      <c r="BS1311" s="3">
        <v>43812</v>
      </c>
      <c r="BT1311" s="5">
        <v>0.36319444444444443</v>
      </c>
      <c r="BU1311" t="s">
        <v>220</v>
      </c>
      <c r="BV1311" t="s">
        <v>86</v>
      </c>
      <c r="BY1311">
        <v>1200</v>
      </c>
      <c r="CA1311" t="s">
        <v>112</v>
      </c>
      <c r="CC1311" t="s">
        <v>91</v>
      </c>
      <c r="CD1311">
        <v>7441</v>
      </c>
      <c r="CE1311" t="s">
        <v>88</v>
      </c>
      <c r="CF1311" s="3">
        <v>43816</v>
      </c>
      <c r="CI1311">
        <v>1</v>
      </c>
      <c r="CJ1311">
        <v>1</v>
      </c>
      <c r="CK1311">
        <v>21</v>
      </c>
      <c r="CL1311" t="s">
        <v>89</v>
      </c>
    </row>
    <row r="1312" spans="1:90">
      <c r="A1312" t="s">
        <v>72</v>
      </c>
      <c r="B1312" t="s">
        <v>73</v>
      </c>
      <c r="C1312" t="s">
        <v>74</v>
      </c>
      <c r="E1312" t="str">
        <f>"FES1162728229"</f>
        <v>FES1162728229</v>
      </c>
      <c r="F1312" s="3">
        <v>43811</v>
      </c>
      <c r="G1312">
        <v>202006</v>
      </c>
      <c r="H1312" t="s">
        <v>75</v>
      </c>
      <c r="I1312" t="s">
        <v>76</v>
      </c>
      <c r="J1312" t="s">
        <v>77</v>
      </c>
      <c r="K1312" t="s">
        <v>78</v>
      </c>
      <c r="L1312" t="s">
        <v>79</v>
      </c>
      <c r="M1312" t="s">
        <v>80</v>
      </c>
      <c r="N1312" t="s">
        <v>183</v>
      </c>
      <c r="O1312" t="s">
        <v>82</v>
      </c>
      <c r="P1312" t="str">
        <f>"217071726                     "</f>
        <v xml:space="preserve">217071726                     </v>
      </c>
      <c r="Q1312">
        <v>0</v>
      </c>
      <c r="R1312">
        <v>0</v>
      </c>
      <c r="S1312">
        <v>0</v>
      </c>
      <c r="T1312">
        <v>0</v>
      </c>
      <c r="U1312">
        <v>0</v>
      </c>
      <c r="V1312">
        <v>0</v>
      </c>
      <c r="W1312">
        <v>0</v>
      </c>
      <c r="X1312">
        <v>0</v>
      </c>
      <c r="Y1312">
        <v>0</v>
      </c>
      <c r="Z1312">
        <v>0</v>
      </c>
      <c r="AA1312">
        <v>0</v>
      </c>
      <c r="AB1312">
        <v>0</v>
      </c>
      <c r="AC1312">
        <v>0</v>
      </c>
      <c r="AD1312">
        <v>0</v>
      </c>
      <c r="AE1312">
        <v>0</v>
      </c>
      <c r="AF1312">
        <v>0</v>
      </c>
      <c r="AG1312">
        <v>0</v>
      </c>
      <c r="AH1312">
        <v>0</v>
      </c>
      <c r="AI1312">
        <v>0</v>
      </c>
      <c r="AJ1312">
        <v>0</v>
      </c>
      <c r="AK1312">
        <v>0</v>
      </c>
      <c r="AL1312">
        <v>0</v>
      </c>
      <c r="AM1312">
        <v>66.48</v>
      </c>
      <c r="AN1312">
        <v>0</v>
      </c>
      <c r="AO1312">
        <v>0</v>
      </c>
      <c r="AP1312">
        <v>0</v>
      </c>
      <c r="AQ1312">
        <v>0</v>
      </c>
      <c r="AR1312">
        <v>0</v>
      </c>
      <c r="AS1312">
        <v>0</v>
      </c>
      <c r="AT1312">
        <v>0</v>
      </c>
      <c r="AU1312">
        <v>0</v>
      </c>
      <c r="AV1312">
        <v>0</v>
      </c>
      <c r="AW1312">
        <v>0</v>
      </c>
      <c r="AX1312">
        <v>0</v>
      </c>
      <c r="AY1312">
        <v>0</v>
      </c>
      <c r="AZ1312">
        <v>0</v>
      </c>
      <c r="BA1312">
        <v>0</v>
      </c>
      <c r="BB1312">
        <v>0</v>
      </c>
      <c r="BC1312">
        <v>0</v>
      </c>
      <c r="BD1312">
        <v>0</v>
      </c>
      <c r="BE1312">
        <v>0</v>
      </c>
      <c r="BF1312">
        <v>0</v>
      </c>
      <c r="BG1312">
        <v>0</v>
      </c>
      <c r="BH1312">
        <v>1</v>
      </c>
      <c r="BI1312">
        <v>15.4</v>
      </c>
      <c r="BJ1312">
        <v>9.1999999999999993</v>
      </c>
      <c r="BK1312">
        <v>15.5</v>
      </c>
      <c r="BL1312" s="4">
        <v>390.77</v>
      </c>
      <c r="BM1312" s="4">
        <v>58.62</v>
      </c>
      <c r="BN1312" s="4">
        <v>449.39</v>
      </c>
      <c r="BO1312" s="4">
        <v>449.39</v>
      </c>
      <c r="BQ1312" t="s">
        <v>147</v>
      </c>
      <c r="BR1312" t="s">
        <v>84</v>
      </c>
      <c r="BS1312" s="3">
        <v>43812</v>
      </c>
      <c r="BT1312" s="5">
        <v>0.36458333333333331</v>
      </c>
      <c r="BU1312" t="s">
        <v>450</v>
      </c>
      <c r="BV1312" t="s">
        <v>86</v>
      </c>
      <c r="BY1312">
        <v>45886.52</v>
      </c>
      <c r="CA1312" t="s">
        <v>185</v>
      </c>
      <c r="CC1312" t="s">
        <v>80</v>
      </c>
      <c r="CD1312">
        <v>6001</v>
      </c>
      <c r="CE1312" t="s">
        <v>116</v>
      </c>
      <c r="CF1312" s="3">
        <v>43816</v>
      </c>
      <c r="CI1312">
        <v>1</v>
      </c>
      <c r="CJ1312">
        <v>1</v>
      </c>
      <c r="CK1312">
        <v>21</v>
      </c>
      <c r="CL1312" t="s">
        <v>89</v>
      </c>
    </row>
    <row r="1313" spans="1:90">
      <c r="A1313" t="s">
        <v>72</v>
      </c>
      <c r="B1313" t="s">
        <v>73</v>
      </c>
      <c r="C1313" t="s">
        <v>74</v>
      </c>
      <c r="E1313" t="str">
        <f>"FES1162728257"</f>
        <v>FES1162728257</v>
      </c>
      <c r="F1313" s="3">
        <v>43811</v>
      </c>
      <c r="G1313">
        <v>202006</v>
      </c>
      <c r="H1313" t="s">
        <v>75</v>
      </c>
      <c r="I1313" t="s">
        <v>76</v>
      </c>
      <c r="J1313" t="s">
        <v>77</v>
      </c>
      <c r="K1313" t="s">
        <v>78</v>
      </c>
      <c r="L1313" t="s">
        <v>361</v>
      </c>
      <c r="M1313" t="s">
        <v>362</v>
      </c>
      <c r="N1313" t="s">
        <v>363</v>
      </c>
      <c r="O1313" t="s">
        <v>82</v>
      </c>
      <c r="P1313" t="str">
        <f>"217071126                     "</f>
        <v xml:space="preserve">217071126                     </v>
      </c>
      <c r="Q1313">
        <v>0</v>
      </c>
      <c r="R1313">
        <v>0</v>
      </c>
      <c r="S1313">
        <v>0</v>
      </c>
      <c r="T1313">
        <v>0</v>
      </c>
      <c r="U1313">
        <v>0</v>
      </c>
      <c r="V1313">
        <v>0</v>
      </c>
      <c r="W1313">
        <v>0</v>
      </c>
      <c r="X1313">
        <v>0</v>
      </c>
      <c r="Y1313">
        <v>0</v>
      </c>
      <c r="Z1313">
        <v>0</v>
      </c>
      <c r="AA1313">
        <v>0</v>
      </c>
      <c r="AB1313">
        <v>0</v>
      </c>
      <c r="AC1313">
        <v>0</v>
      </c>
      <c r="AD1313">
        <v>0</v>
      </c>
      <c r="AE1313">
        <v>0</v>
      </c>
      <c r="AF1313">
        <v>0</v>
      </c>
      <c r="AG1313">
        <v>0</v>
      </c>
      <c r="AH1313">
        <v>0</v>
      </c>
      <c r="AI1313">
        <v>0</v>
      </c>
      <c r="AJ1313">
        <v>0</v>
      </c>
      <c r="AK1313">
        <v>0</v>
      </c>
      <c r="AL1313">
        <v>0</v>
      </c>
      <c r="AM1313">
        <v>10.73</v>
      </c>
      <c r="AN1313">
        <v>0</v>
      </c>
      <c r="AO1313">
        <v>0</v>
      </c>
      <c r="AP1313">
        <v>0</v>
      </c>
      <c r="AQ1313">
        <v>0</v>
      </c>
      <c r="AR1313">
        <v>0</v>
      </c>
      <c r="AS1313">
        <v>0</v>
      </c>
      <c r="AT1313">
        <v>0</v>
      </c>
      <c r="AU1313">
        <v>0</v>
      </c>
      <c r="AV1313">
        <v>0</v>
      </c>
      <c r="AW1313">
        <v>0</v>
      </c>
      <c r="AX1313">
        <v>0</v>
      </c>
      <c r="AY1313">
        <v>0</v>
      </c>
      <c r="AZ1313">
        <v>0</v>
      </c>
      <c r="BA1313">
        <v>0</v>
      </c>
      <c r="BB1313">
        <v>0</v>
      </c>
      <c r="BC1313">
        <v>0</v>
      </c>
      <c r="BD1313">
        <v>0</v>
      </c>
      <c r="BE1313">
        <v>0</v>
      </c>
      <c r="BF1313">
        <v>0</v>
      </c>
      <c r="BG1313">
        <v>0</v>
      </c>
      <c r="BH1313">
        <v>1</v>
      </c>
      <c r="BI1313">
        <v>2.1</v>
      </c>
      <c r="BJ1313">
        <v>1.1000000000000001</v>
      </c>
      <c r="BK1313">
        <v>2.5</v>
      </c>
      <c r="BL1313" s="4">
        <v>63.06</v>
      </c>
      <c r="BM1313" s="4">
        <v>9.4600000000000009</v>
      </c>
      <c r="BN1313" s="4">
        <v>72.52</v>
      </c>
      <c r="BO1313" s="4">
        <v>72.52</v>
      </c>
      <c r="BQ1313" t="s">
        <v>93</v>
      </c>
      <c r="BR1313" t="s">
        <v>84</v>
      </c>
      <c r="BS1313" s="3">
        <v>43812</v>
      </c>
      <c r="BT1313" s="5">
        <v>0.37638888888888888</v>
      </c>
      <c r="BU1313" t="s">
        <v>364</v>
      </c>
      <c r="BV1313" t="s">
        <v>86</v>
      </c>
      <c r="BY1313">
        <v>5473.05</v>
      </c>
      <c r="CA1313" t="s">
        <v>185</v>
      </c>
      <c r="CC1313" t="s">
        <v>362</v>
      </c>
      <c r="CD1313">
        <v>6220</v>
      </c>
      <c r="CE1313" t="s">
        <v>116</v>
      </c>
      <c r="CF1313" s="3">
        <v>43816</v>
      </c>
      <c r="CI1313">
        <v>1</v>
      </c>
      <c r="CJ1313">
        <v>1</v>
      </c>
      <c r="CK1313">
        <v>21</v>
      </c>
      <c r="CL1313" t="s">
        <v>89</v>
      </c>
    </row>
    <row r="1314" spans="1:90">
      <c r="A1314" t="s">
        <v>72</v>
      </c>
      <c r="B1314" t="s">
        <v>73</v>
      </c>
      <c r="C1314" t="s">
        <v>74</v>
      </c>
      <c r="E1314" t="str">
        <f>"FES1162728236"</f>
        <v>FES1162728236</v>
      </c>
      <c r="F1314" s="3">
        <v>43811</v>
      </c>
      <c r="G1314">
        <v>202006</v>
      </c>
      <c r="H1314" t="s">
        <v>75</v>
      </c>
      <c r="I1314" t="s">
        <v>76</v>
      </c>
      <c r="J1314" t="s">
        <v>77</v>
      </c>
      <c r="K1314" t="s">
        <v>78</v>
      </c>
      <c r="L1314" t="s">
        <v>79</v>
      </c>
      <c r="M1314" t="s">
        <v>80</v>
      </c>
      <c r="N1314" t="s">
        <v>129</v>
      </c>
      <c r="O1314" t="s">
        <v>82</v>
      </c>
      <c r="P1314" t="str">
        <f>"2170719533                    "</f>
        <v xml:space="preserve">2170719533                    </v>
      </c>
      <c r="Q1314">
        <v>0</v>
      </c>
      <c r="R1314">
        <v>0</v>
      </c>
      <c r="S1314">
        <v>0</v>
      </c>
      <c r="T1314">
        <v>0</v>
      </c>
      <c r="U1314">
        <v>0</v>
      </c>
      <c r="V1314">
        <v>0</v>
      </c>
      <c r="W1314">
        <v>0</v>
      </c>
      <c r="X1314">
        <v>0</v>
      </c>
      <c r="Y1314">
        <v>0</v>
      </c>
      <c r="Z1314">
        <v>0</v>
      </c>
      <c r="AA1314">
        <v>0</v>
      </c>
      <c r="AB1314">
        <v>0</v>
      </c>
      <c r="AC1314">
        <v>0</v>
      </c>
      <c r="AD1314">
        <v>0</v>
      </c>
      <c r="AE1314">
        <v>0</v>
      </c>
      <c r="AF1314">
        <v>0</v>
      </c>
      <c r="AG1314">
        <v>0</v>
      </c>
      <c r="AH1314">
        <v>0</v>
      </c>
      <c r="AI1314">
        <v>0</v>
      </c>
      <c r="AJ1314">
        <v>0</v>
      </c>
      <c r="AK1314">
        <v>0</v>
      </c>
      <c r="AL1314">
        <v>0</v>
      </c>
      <c r="AM1314">
        <v>34.31</v>
      </c>
      <c r="AN1314">
        <v>0</v>
      </c>
      <c r="AO1314">
        <v>0</v>
      </c>
      <c r="AP1314">
        <v>0</v>
      </c>
      <c r="AQ1314">
        <v>0</v>
      </c>
      <c r="AR1314">
        <v>0</v>
      </c>
      <c r="AS1314">
        <v>0</v>
      </c>
      <c r="AT1314">
        <v>0</v>
      </c>
      <c r="AU1314">
        <v>0</v>
      </c>
      <c r="AV1314">
        <v>0</v>
      </c>
      <c r="AW1314">
        <v>0</v>
      </c>
      <c r="AX1314">
        <v>0</v>
      </c>
      <c r="AY1314">
        <v>0</v>
      </c>
      <c r="AZ1314">
        <v>0</v>
      </c>
      <c r="BA1314">
        <v>0</v>
      </c>
      <c r="BB1314">
        <v>0</v>
      </c>
      <c r="BC1314">
        <v>0</v>
      </c>
      <c r="BD1314">
        <v>0</v>
      </c>
      <c r="BE1314">
        <v>0</v>
      </c>
      <c r="BF1314">
        <v>0</v>
      </c>
      <c r="BG1314">
        <v>0</v>
      </c>
      <c r="BH1314">
        <v>1</v>
      </c>
      <c r="BI1314">
        <v>2</v>
      </c>
      <c r="BJ1314">
        <v>7.7</v>
      </c>
      <c r="BK1314">
        <v>8</v>
      </c>
      <c r="BL1314" s="4">
        <v>201.7</v>
      </c>
      <c r="BM1314" s="4">
        <v>30.26</v>
      </c>
      <c r="BN1314" s="4">
        <v>231.96</v>
      </c>
      <c r="BO1314" s="4">
        <v>231.96</v>
      </c>
      <c r="BQ1314" t="s">
        <v>147</v>
      </c>
      <c r="BR1314" t="s">
        <v>84</v>
      </c>
      <c r="BS1314" s="3">
        <v>43812</v>
      </c>
      <c r="BT1314" s="5">
        <v>0.38125000000000003</v>
      </c>
      <c r="BU1314" t="s">
        <v>1648</v>
      </c>
      <c r="BV1314" t="s">
        <v>86</v>
      </c>
      <c r="BY1314">
        <v>38570</v>
      </c>
      <c r="CA1314" t="s">
        <v>131</v>
      </c>
      <c r="CC1314" t="s">
        <v>80</v>
      </c>
      <c r="CD1314">
        <v>6001</v>
      </c>
      <c r="CE1314" t="s">
        <v>116</v>
      </c>
      <c r="CF1314" s="3">
        <v>43816</v>
      </c>
      <c r="CI1314">
        <v>1</v>
      </c>
      <c r="CJ1314">
        <v>1</v>
      </c>
      <c r="CK1314">
        <v>21</v>
      </c>
      <c r="CL1314" t="s">
        <v>89</v>
      </c>
    </row>
    <row r="1315" spans="1:90">
      <c r="A1315" t="s">
        <v>72</v>
      </c>
      <c r="B1315" t="s">
        <v>73</v>
      </c>
      <c r="C1315" t="s">
        <v>74</v>
      </c>
      <c r="E1315" t="str">
        <f>"FES1162728232"</f>
        <v>FES1162728232</v>
      </c>
      <c r="F1315" s="3">
        <v>43811</v>
      </c>
      <c r="G1315">
        <v>202006</v>
      </c>
      <c r="H1315" t="s">
        <v>75</v>
      </c>
      <c r="I1315" t="s">
        <v>76</v>
      </c>
      <c r="J1315" t="s">
        <v>77</v>
      </c>
      <c r="K1315" t="s">
        <v>78</v>
      </c>
      <c r="L1315" t="s">
        <v>213</v>
      </c>
      <c r="M1315" t="s">
        <v>214</v>
      </c>
      <c r="N1315" t="s">
        <v>303</v>
      </c>
      <c r="O1315" t="s">
        <v>82</v>
      </c>
      <c r="P1315" t="str">
        <f>"2170718921                    "</f>
        <v xml:space="preserve">2170718921                    </v>
      </c>
      <c r="Q1315">
        <v>0</v>
      </c>
      <c r="R1315">
        <v>0</v>
      </c>
      <c r="S1315">
        <v>0</v>
      </c>
      <c r="T1315">
        <v>0</v>
      </c>
      <c r="U1315">
        <v>0</v>
      </c>
      <c r="V1315">
        <v>0</v>
      </c>
      <c r="W1315">
        <v>0</v>
      </c>
      <c r="X1315">
        <v>0</v>
      </c>
      <c r="Y1315">
        <v>0</v>
      </c>
      <c r="Z1315">
        <v>0</v>
      </c>
      <c r="AA1315">
        <v>0</v>
      </c>
      <c r="AB1315">
        <v>0</v>
      </c>
      <c r="AC1315">
        <v>0</v>
      </c>
      <c r="AD1315">
        <v>0</v>
      </c>
      <c r="AE1315">
        <v>0</v>
      </c>
      <c r="AF1315">
        <v>0</v>
      </c>
      <c r="AG1315">
        <v>0</v>
      </c>
      <c r="AH1315">
        <v>0</v>
      </c>
      <c r="AI1315">
        <v>0</v>
      </c>
      <c r="AJ1315">
        <v>0</v>
      </c>
      <c r="AK1315">
        <v>0</v>
      </c>
      <c r="AL1315">
        <v>0</v>
      </c>
      <c r="AM1315">
        <v>23.59</v>
      </c>
      <c r="AN1315">
        <v>0</v>
      </c>
      <c r="AO1315">
        <v>0</v>
      </c>
      <c r="AP1315">
        <v>0</v>
      </c>
      <c r="AQ1315">
        <v>0</v>
      </c>
      <c r="AR1315">
        <v>0</v>
      </c>
      <c r="AS1315">
        <v>0</v>
      </c>
      <c r="AT1315">
        <v>0</v>
      </c>
      <c r="AU1315">
        <v>0</v>
      </c>
      <c r="AV1315">
        <v>0</v>
      </c>
      <c r="AW1315">
        <v>0</v>
      </c>
      <c r="AX1315">
        <v>0</v>
      </c>
      <c r="AY1315">
        <v>0</v>
      </c>
      <c r="AZ1315">
        <v>0</v>
      </c>
      <c r="BA1315">
        <v>0</v>
      </c>
      <c r="BB1315">
        <v>0</v>
      </c>
      <c r="BC1315">
        <v>0</v>
      </c>
      <c r="BD1315">
        <v>0</v>
      </c>
      <c r="BE1315">
        <v>0</v>
      </c>
      <c r="BF1315">
        <v>0</v>
      </c>
      <c r="BG1315">
        <v>0</v>
      </c>
      <c r="BH1315">
        <v>1</v>
      </c>
      <c r="BI1315">
        <v>3.1</v>
      </c>
      <c r="BJ1315">
        <v>5.2</v>
      </c>
      <c r="BK1315">
        <v>5.5</v>
      </c>
      <c r="BL1315" s="4">
        <v>138.68</v>
      </c>
      <c r="BM1315" s="4">
        <v>20.8</v>
      </c>
      <c r="BN1315" s="4">
        <v>159.47999999999999</v>
      </c>
      <c r="BO1315" s="4">
        <v>159.47999999999999</v>
      </c>
      <c r="BQ1315" t="s">
        <v>147</v>
      </c>
      <c r="BR1315" t="s">
        <v>84</v>
      </c>
      <c r="BS1315" s="3">
        <v>43816</v>
      </c>
      <c r="BT1315" s="5">
        <v>0.33958333333333335</v>
      </c>
      <c r="BU1315" t="s">
        <v>1796</v>
      </c>
      <c r="BV1315" t="s">
        <v>89</v>
      </c>
      <c r="BW1315" t="s">
        <v>506</v>
      </c>
      <c r="BX1315" t="s">
        <v>1797</v>
      </c>
      <c r="BY1315">
        <v>25925.42</v>
      </c>
      <c r="CA1315" t="s">
        <v>99</v>
      </c>
      <c r="CC1315" t="s">
        <v>214</v>
      </c>
      <c r="CD1315">
        <v>6230</v>
      </c>
      <c r="CE1315" t="s">
        <v>116</v>
      </c>
      <c r="CF1315" s="3">
        <v>43817</v>
      </c>
      <c r="CI1315">
        <v>1</v>
      </c>
      <c r="CJ1315">
        <v>3</v>
      </c>
      <c r="CK1315">
        <v>21</v>
      </c>
      <c r="CL1315" t="s">
        <v>89</v>
      </c>
    </row>
    <row r="1316" spans="1:90">
      <c r="A1316" t="s">
        <v>72</v>
      </c>
      <c r="B1316" t="s">
        <v>73</v>
      </c>
      <c r="C1316" t="s">
        <v>74</v>
      </c>
      <c r="E1316" t="str">
        <f>"FES1162728231"</f>
        <v>FES1162728231</v>
      </c>
      <c r="F1316" s="3">
        <v>43811</v>
      </c>
      <c r="G1316">
        <v>202006</v>
      </c>
      <c r="H1316" t="s">
        <v>75</v>
      </c>
      <c r="I1316" t="s">
        <v>76</v>
      </c>
      <c r="J1316" t="s">
        <v>77</v>
      </c>
      <c r="K1316" t="s">
        <v>78</v>
      </c>
      <c r="L1316" t="s">
        <v>79</v>
      </c>
      <c r="M1316" t="s">
        <v>80</v>
      </c>
      <c r="N1316" t="s">
        <v>934</v>
      </c>
      <c r="O1316" t="s">
        <v>82</v>
      </c>
      <c r="P1316" t="str">
        <f>"2170783686                    "</f>
        <v xml:space="preserve">2170783686                    </v>
      </c>
      <c r="Q1316">
        <v>0</v>
      </c>
      <c r="R1316">
        <v>0</v>
      </c>
      <c r="S1316">
        <v>0</v>
      </c>
      <c r="T1316">
        <v>0</v>
      </c>
      <c r="U1316">
        <v>0</v>
      </c>
      <c r="V1316">
        <v>0</v>
      </c>
      <c r="W1316">
        <v>0</v>
      </c>
      <c r="X1316">
        <v>0</v>
      </c>
      <c r="Y1316">
        <v>0</v>
      </c>
      <c r="Z1316">
        <v>0</v>
      </c>
      <c r="AA1316">
        <v>0</v>
      </c>
      <c r="AB1316">
        <v>0</v>
      </c>
      <c r="AC1316">
        <v>0</v>
      </c>
      <c r="AD1316">
        <v>0</v>
      </c>
      <c r="AE1316">
        <v>0</v>
      </c>
      <c r="AF1316">
        <v>0</v>
      </c>
      <c r="AG1316">
        <v>0</v>
      </c>
      <c r="AH1316">
        <v>0</v>
      </c>
      <c r="AI1316">
        <v>0</v>
      </c>
      <c r="AJ1316">
        <v>0</v>
      </c>
      <c r="AK1316">
        <v>0</v>
      </c>
      <c r="AL1316">
        <v>0</v>
      </c>
      <c r="AM1316">
        <v>15.02</v>
      </c>
      <c r="AN1316">
        <v>0</v>
      </c>
      <c r="AO1316">
        <v>0</v>
      </c>
      <c r="AP1316">
        <v>0</v>
      </c>
      <c r="AQ1316">
        <v>0</v>
      </c>
      <c r="AR1316">
        <v>0</v>
      </c>
      <c r="AS1316">
        <v>0</v>
      </c>
      <c r="AT1316">
        <v>0</v>
      </c>
      <c r="AU1316">
        <v>0</v>
      </c>
      <c r="AV1316">
        <v>0</v>
      </c>
      <c r="AW1316">
        <v>0</v>
      </c>
      <c r="AX1316">
        <v>0</v>
      </c>
      <c r="AY1316">
        <v>0</v>
      </c>
      <c r="AZ1316">
        <v>0</v>
      </c>
      <c r="BA1316">
        <v>0</v>
      </c>
      <c r="BB1316">
        <v>0</v>
      </c>
      <c r="BC1316">
        <v>0</v>
      </c>
      <c r="BD1316">
        <v>0</v>
      </c>
      <c r="BE1316">
        <v>0</v>
      </c>
      <c r="BF1316">
        <v>0</v>
      </c>
      <c r="BG1316">
        <v>0</v>
      </c>
      <c r="BH1316">
        <v>1</v>
      </c>
      <c r="BI1316">
        <v>3.3</v>
      </c>
      <c r="BJ1316">
        <v>2</v>
      </c>
      <c r="BK1316">
        <v>3.5</v>
      </c>
      <c r="BL1316" s="4">
        <v>88.27</v>
      </c>
      <c r="BM1316" s="4">
        <v>13.24</v>
      </c>
      <c r="BN1316" s="4">
        <v>101.51</v>
      </c>
      <c r="BO1316" s="4">
        <v>101.51</v>
      </c>
      <c r="BQ1316" t="s">
        <v>93</v>
      </c>
      <c r="BR1316" t="s">
        <v>84</v>
      </c>
      <c r="BS1316" s="3">
        <v>43812</v>
      </c>
      <c r="BT1316" s="5">
        <v>0.4152777777777778</v>
      </c>
      <c r="BU1316" t="s">
        <v>1778</v>
      </c>
      <c r="BV1316" t="s">
        <v>86</v>
      </c>
      <c r="BY1316">
        <v>9856</v>
      </c>
      <c r="CA1316" t="s">
        <v>131</v>
      </c>
      <c r="CC1316" t="s">
        <v>80</v>
      </c>
      <c r="CD1316">
        <v>6001</v>
      </c>
      <c r="CE1316" t="s">
        <v>96</v>
      </c>
      <c r="CF1316" s="3">
        <v>43816</v>
      </c>
      <c r="CI1316">
        <v>1</v>
      </c>
      <c r="CJ1316">
        <v>1</v>
      </c>
      <c r="CK1316">
        <v>21</v>
      </c>
      <c r="CL1316" t="s">
        <v>89</v>
      </c>
    </row>
    <row r="1317" spans="1:90">
      <c r="A1317" t="s">
        <v>72</v>
      </c>
      <c r="B1317" t="s">
        <v>73</v>
      </c>
      <c r="C1317" t="s">
        <v>74</v>
      </c>
      <c r="E1317" t="str">
        <f>"FES1162728278"</f>
        <v>FES1162728278</v>
      </c>
      <c r="F1317" s="3">
        <v>43811</v>
      </c>
      <c r="G1317">
        <v>202006</v>
      </c>
      <c r="H1317" t="s">
        <v>75</v>
      </c>
      <c r="I1317" t="s">
        <v>76</v>
      </c>
      <c r="J1317" t="s">
        <v>77</v>
      </c>
      <c r="K1317" t="s">
        <v>78</v>
      </c>
      <c r="L1317" t="s">
        <v>446</v>
      </c>
      <c r="M1317" t="s">
        <v>447</v>
      </c>
      <c r="N1317" t="s">
        <v>634</v>
      </c>
      <c r="O1317" t="s">
        <v>82</v>
      </c>
      <c r="P1317" t="str">
        <f>"217071180                     "</f>
        <v xml:space="preserve">217071180                     </v>
      </c>
      <c r="Q1317">
        <v>0</v>
      </c>
      <c r="R1317">
        <v>0</v>
      </c>
      <c r="S1317">
        <v>0</v>
      </c>
      <c r="T1317">
        <v>0</v>
      </c>
      <c r="U1317">
        <v>0</v>
      </c>
      <c r="V1317">
        <v>0</v>
      </c>
      <c r="W1317">
        <v>0</v>
      </c>
      <c r="X1317">
        <v>0</v>
      </c>
      <c r="Y1317">
        <v>0</v>
      </c>
      <c r="Z1317">
        <v>0</v>
      </c>
      <c r="AA1317">
        <v>0</v>
      </c>
      <c r="AB1317">
        <v>0</v>
      </c>
      <c r="AC1317">
        <v>0</v>
      </c>
      <c r="AD1317">
        <v>0</v>
      </c>
      <c r="AE1317">
        <v>0</v>
      </c>
      <c r="AF1317">
        <v>0</v>
      </c>
      <c r="AG1317">
        <v>0</v>
      </c>
      <c r="AH1317">
        <v>0</v>
      </c>
      <c r="AI1317">
        <v>0</v>
      </c>
      <c r="AJ1317">
        <v>0</v>
      </c>
      <c r="AK1317">
        <v>0</v>
      </c>
      <c r="AL1317">
        <v>0</v>
      </c>
      <c r="AM1317">
        <v>8.58</v>
      </c>
      <c r="AN1317">
        <v>0</v>
      </c>
      <c r="AO1317">
        <v>0</v>
      </c>
      <c r="AP1317">
        <v>0</v>
      </c>
      <c r="AQ1317">
        <v>0</v>
      </c>
      <c r="AR1317">
        <v>0</v>
      </c>
      <c r="AS1317">
        <v>0</v>
      </c>
      <c r="AT1317">
        <v>0</v>
      </c>
      <c r="AU1317">
        <v>0</v>
      </c>
      <c r="AV1317">
        <v>0</v>
      </c>
      <c r="AW1317">
        <v>0</v>
      </c>
      <c r="AX1317">
        <v>0</v>
      </c>
      <c r="AY1317">
        <v>0</v>
      </c>
      <c r="AZ1317">
        <v>0</v>
      </c>
      <c r="BA1317">
        <v>0</v>
      </c>
      <c r="BB1317">
        <v>0</v>
      </c>
      <c r="BC1317">
        <v>0</v>
      </c>
      <c r="BD1317">
        <v>0</v>
      </c>
      <c r="BE1317">
        <v>0</v>
      </c>
      <c r="BF1317">
        <v>0</v>
      </c>
      <c r="BG1317">
        <v>0</v>
      </c>
      <c r="BH1317">
        <v>1</v>
      </c>
      <c r="BI1317">
        <v>1</v>
      </c>
      <c r="BJ1317">
        <v>0.2</v>
      </c>
      <c r="BK1317">
        <v>1</v>
      </c>
      <c r="BL1317" s="4">
        <v>50.45</v>
      </c>
      <c r="BM1317" s="4">
        <v>7.57</v>
      </c>
      <c r="BN1317" s="4">
        <v>58.02</v>
      </c>
      <c r="BO1317" s="4">
        <v>58.02</v>
      </c>
      <c r="BQ1317" t="s">
        <v>147</v>
      </c>
      <c r="BR1317" t="s">
        <v>84</v>
      </c>
      <c r="BS1317" s="3">
        <v>43816</v>
      </c>
      <c r="BT1317" s="5">
        <v>0.42986111111111108</v>
      </c>
      <c r="BU1317" t="s">
        <v>1798</v>
      </c>
      <c r="BV1317" t="s">
        <v>89</v>
      </c>
      <c r="BW1317" t="s">
        <v>506</v>
      </c>
      <c r="BX1317" t="s">
        <v>1163</v>
      </c>
      <c r="BY1317">
        <v>1200</v>
      </c>
      <c r="CA1317" t="s">
        <v>212</v>
      </c>
      <c r="CC1317" t="s">
        <v>447</v>
      </c>
      <c r="CD1317">
        <v>4133</v>
      </c>
      <c r="CE1317" t="s">
        <v>88</v>
      </c>
      <c r="CF1317" s="3">
        <v>43817</v>
      </c>
      <c r="CI1317">
        <v>1</v>
      </c>
      <c r="CJ1317">
        <v>3</v>
      </c>
      <c r="CK1317">
        <v>21</v>
      </c>
      <c r="CL1317" t="s">
        <v>89</v>
      </c>
    </row>
    <row r="1318" spans="1:90">
      <c r="A1318" t="s">
        <v>72</v>
      </c>
      <c r="B1318" t="s">
        <v>73</v>
      </c>
      <c r="C1318" t="s">
        <v>74</v>
      </c>
      <c r="E1318" t="str">
        <f>"FES1162728269"</f>
        <v>FES1162728269</v>
      </c>
      <c r="F1318" s="3">
        <v>43811</v>
      </c>
      <c r="G1318">
        <v>202006</v>
      </c>
      <c r="H1318" t="s">
        <v>75</v>
      </c>
      <c r="I1318" t="s">
        <v>76</v>
      </c>
      <c r="J1318" t="s">
        <v>77</v>
      </c>
      <c r="K1318" t="s">
        <v>78</v>
      </c>
      <c r="L1318" t="s">
        <v>213</v>
      </c>
      <c r="M1318" t="s">
        <v>214</v>
      </c>
      <c r="N1318" t="s">
        <v>303</v>
      </c>
      <c r="O1318" t="s">
        <v>82</v>
      </c>
      <c r="P1318" t="str">
        <f>"217071603                     "</f>
        <v xml:space="preserve">217071603                     </v>
      </c>
      <c r="Q1318">
        <v>0</v>
      </c>
      <c r="R1318">
        <v>0</v>
      </c>
      <c r="S1318">
        <v>0</v>
      </c>
      <c r="T1318">
        <v>0</v>
      </c>
      <c r="U1318">
        <v>0</v>
      </c>
      <c r="V1318">
        <v>0</v>
      </c>
      <c r="W1318">
        <v>0</v>
      </c>
      <c r="X1318">
        <v>0</v>
      </c>
      <c r="Y1318">
        <v>0</v>
      </c>
      <c r="Z1318">
        <v>0</v>
      </c>
      <c r="AA1318">
        <v>0</v>
      </c>
      <c r="AB1318">
        <v>0</v>
      </c>
      <c r="AC1318">
        <v>0</v>
      </c>
      <c r="AD1318">
        <v>0</v>
      </c>
      <c r="AE1318">
        <v>0</v>
      </c>
      <c r="AF1318">
        <v>0</v>
      </c>
      <c r="AG1318">
        <v>0</v>
      </c>
      <c r="AH1318">
        <v>0</v>
      </c>
      <c r="AI1318">
        <v>0</v>
      </c>
      <c r="AJ1318">
        <v>0</v>
      </c>
      <c r="AK1318">
        <v>0</v>
      </c>
      <c r="AL1318">
        <v>0</v>
      </c>
      <c r="AM1318">
        <v>8.58</v>
      </c>
      <c r="AN1318">
        <v>0</v>
      </c>
      <c r="AO1318">
        <v>0</v>
      </c>
      <c r="AP1318">
        <v>0</v>
      </c>
      <c r="AQ1318">
        <v>0</v>
      </c>
      <c r="AR1318">
        <v>0</v>
      </c>
      <c r="AS1318">
        <v>0</v>
      </c>
      <c r="AT1318">
        <v>0</v>
      </c>
      <c r="AU1318">
        <v>0</v>
      </c>
      <c r="AV1318">
        <v>0</v>
      </c>
      <c r="AW1318">
        <v>0</v>
      </c>
      <c r="AX1318">
        <v>0</v>
      </c>
      <c r="AY1318">
        <v>0</v>
      </c>
      <c r="AZ1318">
        <v>0</v>
      </c>
      <c r="BA1318">
        <v>0</v>
      </c>
      <c r="BB1318">
        <v>0</v>
      </c>
      <c r="BC1318">
        <v>0</v>
      </c>
      <c r="BD1318">
        <v>0</v>
      </c>
      <c r="BE1318">
        <v>0</v>
      </c>
      <c r="BF1318">
        <v>0</v>
      </c>
      <c r="BG1318">
        <v>0</v>
      </c>
      <c r="BH1318">
        <v>1</v>
      </c>
      <c r="BI1318">
        <v>1</v>
      </c>
      <c r="BJ1318">
        <v>0.2</v>
      </c>
      <c r="BK1318">
        <v>1</v>
      </c>
      <c r="BL1318" s="4">
        <v>50.45</v>
      </c>
      <c r="BM1318" s="4">
        <v>7.57</v>
      </c>
      <c r="BN1318" s="4">
        <v>58.02</v>
      </c>
      <c r="BO1318" s="4">
        <v>58.02</v>
      </c>
      <c r="BQ1318" t="s">
        <v>147</v>
      </c>
      <c r="BR1318" t="s">
        <v>84</v>
      </c>
      <c r="BS1318" s="3">
        <v>43816</v>
      </c>
      <c r="BT1318" s="5">
        <v>0.33958333333333335</v>
      </c>
      <c r="BU1318" t="s">
        <v>1796</v>
      </c>
      <c r="BV1318" t="s">
        <v>89</v>
      </c>
      <c r="BW1318" t="s">
        <v>506</v>
      </c>
      <c r="BX1318" t="s">
        <v>1797</v>
      </c>
      <c r="BY1318">
        <v>1200</v>
      </c>
      <c r="CA1318" t="s">
        <v>99</v>
      </c>
      <c r="CC1318" t="s">
        <v>214</v>
      </c>
      <c r="CD1318">
        <v>6230</v>
      </c>
      <c r="CE1318" t="s">
        <v>88</v>
      </c>
      <c r="CF1318" s="3">
        <v>43817</v>
      </c>
      <c r="CI1318">
        <v>1</v>
      </c>
      <c r="CJ1318">
        <v>3</v>
      </c>
      <c r="CK1318">
        <v>21</v>
      </c>
      <c r="CL1318" t="s">
        <v>89</v>
      </c>
    </row>
    <row r="1319" spans="1:90">
      <c r="A1319" t="s">
        <v>72</v>
      </c>
      <c r="B1319" t="s">
        <v>73</v>
      </c>
      <c r="C1319" t="s">
        <v>74</v>
      </c>
      <c r="E1319" t="str">
        <f>"FES1162728273"</f>
        <v>FES1162728273</v>
      </c>
      <c r="F1319" s="3">
        <v>43811</v>
      </c>
      <c r="G1319">
        <v>202006</v>
      </c>
      <c r="H1319" t="s">
        <v>75</v>
      </c>
      <c r="I1319" t="s">
        <v>76</v>
      </c>
      <c r="J1319" t="s">
        <v>77</v>
      </c>
      <c r="K1319" t="s">
        <v>78</v>
      </c>
      <c r="L1319" t="s">
        <v>1331</v>
      </c>
      <c r="M1319" t="s">
        <v>1332</v>
      </c>
      <c r="N1319" t="s">
        <v>1333</v>
      </c>
      <c r="O1319" t="s">
        <v>82</v>
      </c>
      <c r="P1319" t="str">
        <f>"217071609                     "</f>
        <v xml:space="preserve">217071609                     </v>
      </c>
      <c r="Q1319">
        <v>0</v>
      </c>
      <c r="R1319">
        <v>0</v>
      </c>
      <c r="S1319">
        <v>0</v>
      </c>
      <c r="T1319">
        <v>0</v>
      </c>
      <c r="U1319">
        <v>0</v>
      </c>
      <c r="V1319">
        <v>0</v>
      </c>
      <c r="W1319">
        <v>0</v>
      </c>
      <c r="X1319">
        <v>0</v>
      </c>
      <c r="Y1319">
        <v>0</v>
      </c>
      <c r="Z1319">
        <v>0</v>
      </c>
      <c r="AA1319">
        <v>0</v>
      </c>
      <c r="AB1319">
        <v>0</v>
      </c>
      <c r="AC1319">
        <v>0</v>
      </c>
      <c r="AD1319">
        <v>0</v>
      </c>
      <c r="AE1319">
        <v>0</v>
      </c>
      <c r="AF1319">
        <v>0</v>
      </c>
      <c r="AG1319">
        <v>0</v>
      </c>
      <c r="AH1319">
        <v>0</v>
      </c>
      <c r="AI1319">
        <v>0</v>
      </c>
      <c r="AJ1319">
        <v>0</v>
      </c>
      <c r="AK1319">
        <v>0</v>
      </c>
      <c r="AL1319">
        <v>0</v>
      </c>
      <c r="AM1319">
        <v>16.63</v>
      </c>
      <c r="AN1319">
        <v>0</v>
      </c>
      <c r="AO1319">
        <v>0</v>
      </c>
      <c r="AP1319">
        <v>0</v>
      </c>
      <c r="AQ1319">
        <v>0</v>
      </c>
      <c r="AR1319">
        <v>0</v>
      </c>
      <c r="AS1319">
        <v>0</v>
      </c>
      <c r="AT1319">
        <v>0</v>
      </c>
      <c r="AU1319">
        <v>0</v>
      </c>
      <c r="AV1319">
        <v>0</v>
      </c>
      <c r="AW1319">
        <v>0</v>
      </c>
      <c r="AX1319">
        <v>0</v>
      </c>
      <c r="AY1319">
        <v>0</v>
      </c>
      <c r="AZ1319">
        <v>0</v>
      </c>
      <c r="BA1319">
        <v>0</v>
      </c>
      <c r="BB1319">
        <v>0</v>
      </c>
      <c r="BC1319">
        <v>0</v>
      </c>
      <c r="BD1319">
        <v>0</v>
      </c>
      <c r="BE1319">
        <v>0</v>
      </c>
      <c r="BF1319">
        <v>0</v>
      </c>
      <c r="BG1319">
        <v>0</v>
      </c>
      <c r="BH1319">
        <v>1</v>
      </c>
      <c r="BI1319">
        <v>1</v>
      </c>
      <c r="BJ1319">
        <v>0.9</v>
      </c>
      <c r="BK1319">
        <v>1</v>
      </c>
      <c r="BL1319" s="4">
        <v>97.75</v>
      </c>
      <c r="BM1319" s="4">
        <v>14.66</v>
      </c>
      <c r="BN1319" s="4">
        <v>112.41</v>
      </c>
      <c r="BO1319" s="4">
        <v>112.41</v>
      </c>
      <c r="BR1319" t="s">
        <v>84</v>
      </c>
      <c r="BS1319" s="3">
        <v>43816</v>
      </c>
      <c r="BT1319" s="5">
        <v>0.56597222222222221</v>
      </c>
      <c r="BU1319" t="s">
        <v>1706</v>
      </c>
      <c r="BV1319" t="s">
        <v>89</v>
      </c>
      <c r="BW1319" t="s">
        <v>1707</v>
      </c>
      <c r="BX1319" t="s">
        <v>1708</v>
      </c>
      <c r="BY1319">
        <v>4267.03</v>
      </c>
      <c r="CC1319" t="s">
        <v>1332</v>
      </c>
      <c r="CD1319">
        <v>4490</v>
      </c>
      <c r="CE1319" t="s">
        <v>96</v>
      </c>
      <c r="CF1319" s="3">
        <v>43818</v>
      </c>
      <c r="CI1319">
        <v>1</v>
      </c>
      <c r="CJ1319">
        <v>3</v>
      </c>
      <c r="CK1319">
        <v>23</v>
      </c>
      <c r="CL1319" t="s">
        <v>89</v>
      </c>
    </row>
    <row r="1320" spans="1:90">
      <c r="A1320" t="s">
        <v>72</v>
      </c>
      <c r="B1320" t="s">
        <v>73</v>
      </c>
      <c r="C1320" t="s">
        <v>74</v>
      </c>
      <c r="E1320" t="str">
        <f>"FES1162728274"</f>
        <v>FES1162728274</v>
      </c>
      <c r="F1320" s="3">
        <v>43811</v>
      </c>
      <c r="G1320">
        <v>202006</v>
      </c>
      <c r="H1320" t="s">
        <v>75</v>
      </c>
      <c r="I1320" t="s">
        <v>76</v>
      </c>
      <c r="J1320" t="s">
        <v>77</v>
      </c>
      <c r="K1320" t="s">
        <v>78</v>
      </c>
      <c r="L1320" t="s">
        <v>1331</v>
      </c>
      <c r="M1320" t="s">
        <v>1332</v>
      </c>
      <c r="N1320" t="s">
        <v>1333</v>
      </c>
      <c r="O1320" t="s">
        <v>82</v>
      </c>
      <c r="P1320" t="str">
        <f>"217071+6100                   "</f>
        <v xml:space="preserve">217071+6100                   </v>
      </c>
      <c r="Q1320">
        <v>0</v>
      </c>
      <c r="R1320">
        <v>0</v>
      </c>
      <c r="S1320">
        <v>0</v>
      </c>
      <c r="T1320">
        <v>0</v>
      </c>
      <c r="U1320">
        <v>0</v>
      </c>
      <c r="V1320">
        <v>0</v>
      </c>
      <c r="W1320">
        <v>0</v>
      </c>
      <c r="X1320">
        <v>0</v>
      </c>
      <c r="Y1320">
        <v>0</v>
      </c>
      <c r="Z1320">
        <v>0</v>
      </c>
      <c r="AA1320">
        <v>0</v>
      </c>
      <c r="AB1320">
        <v>0</v>
      </c>
      <c r="AC1320">
        <v>0</v>
      </c>
      <c r="AD1320">
        <v>0</v>
      </c>
      <c r="AE1320">
        <v>0</v>
      </c>
      <c r="AF1320">
        <v>0</v>
      </c>
      <c r="AG1320">
        <v>0</v>
      </c>
      <c r="AH1320">
        <v>0</v>
      </c>
      <c r="AI1320">
        <v>0</v>
      </c>
      <c r="AJ1320">
        <v>0</v>
      </c>
      <c r="AK1320">
        <v>0</v>
      </c>
      <c r="AL1320">
        <v>0</v>
      </c>
      <c r="AM1320">
        <v>35.409999999999997</v>
      </c>
      <c r="AN1320">
        <v>0</v>
      </c>
      <c r="AO1320">
        <v>0</v>
      </c>
      <c r="AP1320">
        <v>0</v>
      </c>
      <c r="AQ1320">
        <v>0</v>
      </c>
      <c r="AR1320">
        <v>0</v>
      </c>
      <c r="AS1320">
        <v>0</v>
      </c>
      <c r="AT1320">
        <v>0</v>
      </c>
      <c r="AU1320">
        <v>0</v>
      </c>
      <c r="AV1320">
        <v>0</v>
      </c>
      <c r="AW1320">
        <v>0</v>
      </c>
      <c r="AX1320">
        <v>0</v>
      </c>
      <c r="AY1320">
        <v>0</v>
      </c>
      <c r="AZ1320">
        <v>0</v>
      </c>
      <c r="BA1320">
        <v>0</v>
      </c>
      <c r="BB1320">
        <v>0</v>
      </c>
      <c r="BC1320">
        <v>0</v>
      </c>
      <c r="BD1320">
        <v>0</v>
      </c>
      <c r="BE1320">
        <v>0</v>
      </c>
      <c r="BF1320">
        <v>0</v>
      </c>
      <c r="BG1320">
        <v>0</v>
      </c>
      <c r="BH1320">
        <v>1</v>
      </c>
      <c r="BI1320">
        <v>4.5</v>
      </c>
      <c r="BJ1320">
        <v>1.6</v>
      </c>
      <c r="BK1320">
        <v>4.5</v>
      </c>
      <c r="BL1320" s="4">
        <v>208.13</v>
      </c>
      <c r="BM1320" s="4">
        <v>31.22</v>
      </c>
      <c r="BN1320" s="4">
        <v>239.35</v>
      </c>
      <c r="BO1320" s="4">
        <v>239.35</v>
      </c>
      <c r="BR1320" t="s">
        <v>84</v>
      </c>
      <c r="BS1320" s="3">
        <v>43816</v>
      </c>
      <c r="BT1320" s="5">
        <v>0.53055555555555556</v>
      </c>
      <c r="BU1320" t="s">
        <v>1706</v>
      </c>
      <c r="BV1320" t="s">
        <v>89</v>
      </c>
      <c r="BW1320" t="s">
        <v>1707</v>
      </c>
      <c r="BX1320" t="s">
        <v>1708</v>
      </c>
      <c r="BY1320">
        <v>8029.29</v>
      </c>
      <c r="CC1320" t="s">
        <v>1332</v>
      </c>
      <c r="CD1320">
        <v>4490</v>
      </c>
      <c r="CE1320" t="s">
        <v>96</v>
      </c>
      <c r="CF1320" s="3">
        <v>43818</v>
      </c>
      <c r="CI1320">
        <v>1</v>
      </c>
      <c r="CJ1320">
        <v>3</v>
      </c>
      <c r="CK1320">
        <v>23</v>
      </c>
      <c r="CL1320" t="s">
        <v>89</v>
      </c>
    </row>
    <row r="1321" spans="1:90">
      <c r="A1321" t="s">
        <v>72</v>
      </c>
      <c r="B1321" t="s">
        <v>73</v>
      </c>
      <c r="C1321" t="s">
        <v>74</v>
      </c>
      <c r="E1321" t="str">
        <f>"FES1162728219"</f>
        <v>FES1162728219</v>
      </c>
      <c r="F1321" s="3">
        <v>43811</v>
      </c>
      <c r="G1321">
        <v>202006</v>
      </c>
      <c r="H1321" t="s">
        <v>75</v>
      </c>
      <c r="I1321" t="s">
        <v>76</v>
      </c>
      <c r="J1321" t="s">
        <v>77</v>
      </c>
      <c r="K1321" t="s">
        <v>78</v>
      </c>
      <c r="L1321" t="s">
        <v>332</v>
      </c>
      <c r="M1321" t="s">
        <v>333</v>
      </c>
      <c r="N1321" t="s">
        <v>701</v>
      </c>
      <c r="O1321" t="s">
        <v>82</v>
      </c>
      <c r="P1321" t="str">
        <f>"217071568                     "</f>
        <v xml:space="preserve">217071568                     </v>
      </c>
      <c r="Q1321">
        <v>0</v>
      </c>
      <c r="R1321">
        <v>0</v>
      </c>
      <c r="S1321">
        <v>0</v>
      </c>
      <c r="T1321">
        <v>0</v>
      </c>
      <c r="U1321">
        <v>0</v>
      </c>
      <c r="V1321">
        <v>0</v>
      </c>
      <c r="W1321">
        <v>0</v>
      </c>
      <c r="X1321">
        <v>0</v>
      </c>
      <c r="Y1321">
        <v>0</v>
      </c>
      <c r="Z1321">
        <v>0</v>
      </c>
      <c r="AA1321">
        <v>0</v>
      </c>
      <c r="AB1321">
        <v>0</v>
      </c>
      <c r="AC1321">
        <v>0</v>
      </c>
      <c r="AD1321">
        <v>0</v>
      </c>
      <c r="AE1321">
        <v>0</v>
      </c>
      <c r="AF1321">
        <v>0</v>
      </c>
      <c r="AG1321">
        <v>0</v>
      </c>
      <c r="AH1321">
        <v>0</v>
      </c>
      <c r="AI1321">
        <v>0</v>
      </c>
      <c r="AJ1321">
        <v>0</v>
      </c>
      <c r="AK1321">
        <v>0</v>
      </c>
      <c r="AL1321">
        <v>0</v>
      </c>
      <c r="AM1321">
        <v>9.1199999999999992</v>
      </c>
      <c r="AN1321">
        <v>0</v>
      </c>
      <c r="AO1321">
        <v>0</v>
      </c>
      <c r="AP1321">
        <v>0</v>
      </c>
      <c r="AQ1321">
        <v>0</v>
      </c>
      <c r="AR1321">
        <v>0</v>
      </c>
      <c r="AS1321">
        <v>0</v>
      </c>
      <c r="AT1321">
        <v>0</v>
      </c>
      <c r="AU1321">
        <v>0</v>
      </c>
      <c r="AV1321">
        <v>0</v>
      </c>
      <c r="AW1321">
        <v>0</v>
      </c>
      <c r="AX1321">
        <v>0</v>
      </c>
      <c r="AY1321">
        <v>0</v>
      </c>
      <c r="AZ1321">
        <v>0</v>
      </c>
      <c r="BA1321">
        <v>0</v>
      </c>
      <c r="BB1321">
        <v>0</v>
      </c>
      <c r="BC1321">
        <v>0</v>
      </c>
      <c r="BD1321">
        <v>0</v>
      </c>
      <c r="BE1321">
        <v>0</v>
      </c>
      <c r="BF1321">
        <v>0</v>
      </c>
      <c r="BG1321">
        <v>0</v>
      </c>
      <c r="BH1321">
        <v>1</v>
      </c>
      <c r="BI1321">
        <v>2.5</v>
      </c>
      <c r="BJ1321">
        <v>3.2</v>
      </c>
      <c r="BK1321">
        <v>3.5</v>
      </c>
      <c r="BL1321" s="4">
        <v>53.59</v>
      </c>
      <c r="BM1321" s="4">
        <v>8.0399999999999991</v>
      </c>
      <c r="BN1321" s="4">
        <v>61.63</v>
      </c>
      <c r="BO1321" s="4">
        <v>61.63</v>
      </c>
      <c r="BQ1321" t="s">
        <v>93</v>
      </c>
      <c r="BR1321" t="s">
        <v>84</v>
      </c>
      <c r="BS1321" s="3">
        <v>43812</v>
      </c>
      <c r="BT1321" s="5">
        <v>0.35000000000000003</v>
      </c>
      <c r="BU1321" t="s">
        <v>708</v>
      </c>
      <c r="BV1321" t="s">
        <v>86</v>
      </c>
      <c r="BY1321">
        <v>15934.64</v>
      </c>
      <c r="CA1321" t="s">
        <v>700</v>
      </c>
      <c r="CC1321" t="s">
        <v>333</v>
      </c>
      <c r="CD1321">
        <v>2094</v>
      </c>
      <c r="CE1321" t="s">
        <v>96</v>
      </c>
      <c r="CF1321" s="3">
        <v>43816</v>
      </c>
      <c r="CI1321">
        <v>1</v>
      </c>
      <c r="CJ1321">
        <v>1</v>
      </c>
      <c r="CK1321">
        <v>22</v>
      </c>
      <c r="CL1321" t="s">
        <v>89</v>
      </c>
    </row>
    <row r="1322" spans="1:90">
      <c r="A1322" t="s">
        <v>72</v>
      </c>
      <c r="B1322" t="s">
        <v>73</v>
      </c>
      <c r="C1322" t="s">
        <v>74</v>
      </c>
      <c r="E1322" t="str">
        <f>"FES1162728215"</f>
        <v>FES1162728215</v>
      </c>
      <c r="F1322" s="3">
        <v>43811</v>
      </c>
      <c r="G1322">
        <v>202006</v>
      </c>
      <c r="H1322" t="s">
        <v>75</v>
      </c>
      <c r="I1322" t="s">
        <v>76</v>
      </c>
      <c r="J1322" t="s">
        <v>77</v>
      </c>
      <c r="K1322" t="s">
        <v>78</v>
      </c>
      <c r="L1322" t="s">
        <v>75</v>
      </c>
      <c r="M1322" t="s">
        <v>76</v>
      </c>
      <c r="N1322" t="s">
        <v>1250</v>
      </c>
      <c r="O1322" t="s">
        <v>82</v>
      </c>
      <c r="P1322" t="str">
        <f>"217071563                     "</f>
        <v xml:space="preserve">217071563                     </v>
      </c>
      <c r="Q1322">
        <v>0</v>
      </c>
      <c r="R1322">
        <v>0</v>
      </c>
      <c r="S1322">
        <v>0</v>
      </c>
      <c r="T1322">
        <v>0</v>
      </c>
      <c r="U1322">
        <v>0</v>
      </c>
      <c r="V1322">
        <v>0</v>
      </c>
      <c r="W1322">
        <v>0</v>
      </c>
      <c r="X1322">
        <v>0</v>
      </c>
      <c r="Y1322">
        <v>0</v>
      </c>
      <c r="Z1322">
        <v>0</v>
      </c>
      <c r="AA1322">
        <v>0</v>
      </c>
      <c r="AB1322">
        <v>0</v>
      </c>
      <c r="AC1322">
        <v>0</v>
      </c>
      <c r="AD1322">
        <v>0</v>
      </c>
      <c r="AE1322">
        <v>0</v>
      </c>
      <c r="AF1322">
        <v>0</v>
      </c>
      <c r="AG1322">
        <v>0</v>
      </c>
      <c r="AH1322">
        <v>0</v>
      </c>
      <c r="AI1322">
        <v>0</v>
      </c>
      <c r="AJ1322">
        <v>0</v>
      </c>
      <c r="AK1322">
        <v>0</v>
      </c>
      <c r="AL1322">
        <v>0</v>
      </c>
      <c r="AM1322">
        <v>12.33</v>
      </c>
      <c r="AN1322">
        <v>0</v>
      </c>
      <c r="AO1322">
        <v>0</v>
      </c>
      <c r="AP1322">
        <v>0</v>
      </c>
      <c r="AQ1322">
        <v>0</v>
      </c>
      <c r="AR1322">
        <v>0</v>
      </c>
      <c r="AS1322">
        <v>0</v>
      </c>
      <c r="AT1322">
        <v>0</v>
      </c>
      <c r="AU1322">
        <v>0</v>
      </c>
      <c r="AV1322">
        <v>0</v>
      </c>
      <c r="AW1322">
        <v>0</v>
      </c>
      <c r="AX1322">
        <v>0</v>
      </c>
      <c r="AY1322">
        <v>0</v>
      </c>
      <c r="AZ1322">
        <v>0</v>
      </c>
      <c r="BA1322">
        <v>0</v>
      </c>
      <c r="BB1322">
        <v>0</v>
      </c>
      <c r="BC1322">
        <v>0</v>
      </c>
      <c r="BD1322">
        <v>0</v>
      </c>
      <c r="BE1322">
        <v>0</v>
      </c>
      <c r="BF1322">
        <v>0</v>
      </c>
      <c r="BG1322">
        <v>0</v>
      </c>
      <c r="BH1322">
        <v>1</v>
      </c>
      <c r="BI1322">
        <v>4.4000000000000004</v>
      </c>
      <c r="BJ1322">
        <v>5.5</v>
      </c>
      <c r="BK1322">
        <v>5.5</v>
      </c>
      <c r="BL1322" s="4">
        <v>72.48</v>
      </c>
      <c r="BM1322" s="4">
        <v>10.87</v>
      </c>
      <c r="BN1322" s="4">
        <v>83.35</v>
      </c>
      <c r="BO1322" s="4">
        <v>83.35</v>
      </c>
      <c r="BQ1322" t="s">
        <v>1251</v>
      </c>
      <c r="BR1322" t="s">
        <v>84</v>
      </c>
      <c r="BS1322" s="3">
        <v>43816</v>
      </c>
      <c r="BT1322" s="5">
        <v>0.35416666666666669</v>
      </c>
      <c r="BU1322" t="s">
        <v>1799</v>
      </c>
      <c r="BV1322" t="s">
        <v>89</v>
      </c>
      <c r="BW1322" t="s">
        <v>149</v>
      </c>
      <c r="BX1322" t="s">
        <v>1066</v>
      </c>
      <c r="BY1322">
        <v>27424.32</v>
      </c>
      <c r="CC1322" t="s">
        <v>76</v>
      </c>
      <c r="CD1322">
        <v>1682</v>
      </c>
      <c r="CE1322" t="s">
        <v>116</v>
      </c>
      <c r="CF1322" s="3">
        <v>43817</v>
      </c>
      <c r="CI1322">
        <v>1</v>
      </c>
      <c r="CJ1322">
        <v>3</v>
      </c>
      <c r="CK1322">
        <v>22</v>
      </c>
      <c r="CL1322" t="s">
        <v>89</v>
      </c>
    </row>
    <row r="1323" spans="1:90">
      <c r="A1323" t="s">
        <v>72</v>
      </c>
      <c r="B1323" t="s">
        <v>73</v>
      </c>
      <c r="C1323" t="s">
        <v>74</v>
      </c>
      <c r="E1323" t="str">
        <f>"FES1162728111"</f>
        <v>FES1162728111</v>
      </c>
      <c r="F1323" s="3">
        <v>43811</v>
      </c>
      <c r="G1323">
        <v>202006</v>
      </c>
      <c r="H1323" t="s">
        <v>75</v>
      </c>
      <c r="I1323" t="s">
        <v>76</v>
      </c>
      <c r="J1323" t="s">
        <v>77</v>
      </c>
      <c r="K1323" t="s">
        <v>78</v>
      </c>
      <c r="L1323" t="s">
        <v>75</v>
      </c>
      <c r="M1323" t="s">
        <v>76</v>
      </c>
      <c r="N1323" t="s">
        <v>305</v>
      </c>
      <c r="O1323" t="s">
        <v>82</v>
      </c>
      <c r="P1323" t="str">
        <f>"2170718646                    "</f>
        <v xml:space="preserve">2170718646                    </v>
      </c>
      <c r="Q1323">
        <v>0</v>
      </c>
      <c r="R1323">
        <v>0</v>
      </c>
      <c r="S1323">
        <v>0</v>
      </c>
      <c r="T1323">
        <v>0</v>
      </c>
      <c r="U1323">
        <v>0</v>
      </c>
      <c r="V1323">
        <v>0</v>
      </c>
      <c r="W1323">
        <v>0</v>
      </c>
      <c r="X1323">
        <v>0</v>
      </c>
      <c r="Y1323">
        <v>0</v>
      </c>
      <c r="Z1323">
        <v>0</v>
      </c>
      <c r="AA1323">
        <v>0</v>
      </c>
      <c r="AB1323">
        <v>0</v>
      </c>
      <c r="AC1323">
        <v>0</v>
      </c>
      <c r="AD1323">
        <v>0</v>
      </c>
      <c r="AE1323">
        <v>0</v>
      </c>
      <c r="AF1323">
        <v>0</v>
      </c>
      <c r="AG1323">
        <v>0</v>
      </c>
      <c r="AH1323">
        <v>0</v>
      </c>
      <c r="AI1323">
        <v>0</v>
      </c>
      <c r="AJ1323">
        <v>0</v>
      </c>
      <c r="AK1323">
        <v>0</v>
      </c>
      <c r="AL1323">
        <v>0</v>
      </c>
      <c r="AM1323">
        <v>9.92</v>
      </c>
      <c r="AN1323">
        <v>0</v>
      </c>
      <c r="AO1323">
        <v>0</v>
      </c>
      <c r="AP1323">
        <v>0</v>
      </c>
      <c r="AQ1323">
        <v>0</v>
      </c>
      <c r="AR1323">
        <v>0</v>
      </c>
      <c r="AS1323">
        <v>0</v>
      </c>
      <c r="AT1323">
        <v>0</v>
      </c>
      <c r="AU1323">
        <v>0</v>
      </c>
      <c r="AV1323">
        <v>0</v>
      </c>
      <c r="AW1323">
        <v>0</v>
      </c>
      <c r="AX1323">
        <v>0</v>
      </c>
      <c r="AY1323">
        <v>0</v>
      </c>
      <c r="AZ1323">
        <v>0</v>
      </c>
      <c r="BA1323">
        <v>0</v>
      </c>
      <c r="BB1323">
        <v>0</v>
      </c>
      <c r="BC1323">
        <v>0</v>
      </c>
      <c r="BD1323">
        <v>0</v>
      </c>
      <c r="BE1323">
        <v>0</v>
      </c>
      <c r="BF1323">
        <v>0</v>
      </c>
      <c r="BG1323">
        <v>0</v>
      </c>
      <c r="BH1323">
        <v>1</v>
      </c>
      <c r="BI1323">
        <v>3.8</v>
      </c>
      <c r="BJ1323">
        <v>0.7</v>
      </c>
      <c r="BK1323">
        <v>4</v>
      </c>
      <c r="BL1323" s="4">
        <v>58.31</v>
      </c>
      <c r="BM1323" s="4">
        <v>8.75</v>
      </c>
      <c r="BN1323" s="4">
        <v>67.06</v>
      </c>
      <c r="BO1323" s="4">
        <v>67.06</v>
      </c>
      <c r="BQ1323" t="s">
        <v>147</v>
      </c>
      <c r="BR1323" t="s">
        <v>84</v>
      </c>
      <c r="BS1323" s="3">
        <v>43812</v>
      </c>
      <c r="BT1323" s="5">
        <v>0.3125</v>
      </c>
      <c r="BU1323" t="s">
        <v>306</v>
      </c>
      <c r="BV1323" t="s">
        <v>86</v>
      </c>
      <c r="BY1323">
        <v>3293.01</v>
      </c>
      <c r="CA1323" t="s">
        <v>307</v>
      </c>
      <c r="CC1323" t="s">
        <v>76</v>
      </c>
      <c r="CD1323">
        <v>1645</v>
      </c>
      <c r="CE1323" t="s">
        <v>116</v>
      </c>
      <c r="CF1323" s="3">
        <v>43816</v>
      </c>
      <c r="CI1323">
        <v>1</v>
      </c>
      <c r="CJ1323">
        <v>1</v>
      </c>
      <c r="CK1323">
        <v>22</v>
      </c>
      <c r="CL1323" t="s">
        <v>89</v>
      </c>
    </row>
    <row r="1324" spans="1:90">
      <c r="A1324" t="s">
        <v>72</v>
      </c>
      <c r="B1324" t="s">
        <v>73</v>
      </c>
      <c r="C1324" t="s">
        <v>74</v>
      </c>
      <c r="E1324" t="str">
        <f>"FES1162728208"</f>
        <v>FES1162728208</v>
      </c>
      <c r="F1324" s="3">
        <v>43811</v>
      </c>
      <c r="G1324">
        <v>202006</v>
      </c>
      <c r="H1324" t="s">
        <v>75</v>
      </c>
      <c r="I1324" t="s">
        <v>76</v>
      </c>
      <c r="J1324" t="s">
        <v>77</v>
      </c>
      <c r="K1324" t="s">
        <v>78</v>
      </c>
      <c r="L1324" t="s">
        <v>169</v>
      </c>
      <c r="M1324" t="s">
        <v>170</v>
      </c>
      <c r="N1324" t="s">
        <v>1800</v>
      </c>
      <c r="O1324" t="s">
        <v>82</v>
      </c>
      <c r="P1324" t="str">
        <f>"2170716445                    "</f>
        <v xml:space="preserve">2170716445                    </v>
      </c>
      <c r="Q1324">
        <v>0</v>
      </c>
      <c r="R1324">
        <v>0</v>
      </c>
      <c r="S1324">
        <v>0</v>
      </c>
      <c r="T1324">
        <v>0</v>
      </c>
      <c r="U1324">
        <v>0</v>
      </c>
      <c r="V1324">
        <v>0</v>
      </c>
      <c r="W1324">
        <v>0</v>
      </c>
      <c r="X1324">
        <v>0</v>
      </c>
      <c r="Y1324">
        <v>0</v>
      </c>
      <c r="Z1324">
        <v>0</v>
      </c>
      <c r="AA1324">
        <v>0</v>
      </c>
      <c r="AB1324">
        <v>0</v>
      </c>
      <c r="AC1324">
        <v>0</v>
      </c>
      <c r="AD1324">
        <v>0</v>
      </c>
      <c r="AE1324">
        <v>0</v>
      </c>
      <c r="AF1324">
        <v>0</v>
      </c>
      <c r="AG1324">
        <v>0</v>
      </c>
      <c r="AH1324">
        <v>0</v>
      </c>
      <c r="AI1324">
        <v>0</v>
      </c>
      <c r="AJ1324">
        <v>0</v>
      </c>
      <c r="AK1324">
        <v>0</v>
      </c>
      <c r="AL1324">
        <v>0</v>
      </c>
      <c r="AM1324">
        <v>20.37</v>
      </c>
      <c r="AN1324">
        <v>0</v>
      </c>
      <c r="AO1324">
        <v>0</v>
      </c>
      <c r="AP1324">
        <v>0</v>
      </c>
      <c r="AQ1324">
        <v>0</v>
      </c>
      <c r="AR1324">
        <v>0</v>
      </c>
      <c r="AS1324">
        <v>0</v>
      </c>
      <c r="AT1324">
        <v>0</v>
      </c>
      <c r="AU1324">
        <v>0</v>
      </c>
      <c r="AV1324">
        <v>0</v>
      </c>
      <c r="AW1324">
        <v>0</v>
      </c>
      <c r="AX1324">
        <v>0</v>
      </c>
      <c r="AY1324">
        <v>0</v>
      </c>
      <c r="AZ1324">
        <v>0</v>
      </c>
      <c r="BA1324">
        <v>0</v>
      </c>
      <c r="BB1324">
        <v>0</v>
      </c>
      <c r="BC1324">
        <v>0</v>
      </c>
      <c r="BD1324">
        <v>0</v>
      </c>
      <c r="BE1324">
        <v>0</v>
      </c>
      <c r="BF1324">
        <v>0</v>
      </c>
      <c r="BG1324">
        <v>0</v>
      </c>
      <c r="BH1324">
        <v>1</v>
      </c>
      <c r="BI1324">
        <v>10.4</v>
      </c>
      <c r="BJ1324">
        <v>6.6</v>
      </c>
      <c r="BK1324">
        <v>10.5</v>
      </c>
      <c r="BL1324" s="4">
        <v>119.72</v>
      </c>
      <c r="BM1324" s="4">
        <v>17.96</v>
      </c>
      <c r="BN1324" s="4">
        <v>137.68</v>
      </c>
      <c r="BO1324" s="4">
        <v>137.68</v>
      </c>
      <c r="BQ1324" t="s">
        <v>147</v>
      </c>
      <c r="BR1324" t="s">
        <v>84</v>
      </c>
      <c r="BS1324" s="3">
        <v>43812</v>
      </c>
      <c r="BT1324" s="5">
        <v>0.33333333333333331</v>
      </c>
      <c r="BU1324" t="s">
        <v>1801</v>
      </c>
      <c r="BV1324" t="s">
        <v>86</v>
      </c>
      <c r="BY1324">
        <v>32972.980000000003</v>
      </c>
      <c r="CC1324" t="s">
        <v>170</v>
      </c>
      <c r="CD1324">
        <v>1459</v>
      </c>
      <c r="CE1324" t="s">
        <v>88</v>
      </c>
      <c r="CF1324" s="3">
        <v>43816</v>
      </c>
      <c r="CI1324">
        <v>1</v>
      </c>
      <c r="CJ1324">
        <v>1</v>
      </c>
      <c r="CK1324">
        <v>22</v>
      </c>
      <c r="CL1324" t="s">
        <v>89</v>
      </c>
    </row>
    <row r="1325" spans="1:90">
      <c r="A1325" t="s">
        <v>72</v>
      </c>
      <c r="B1325" t="s">
        <v>73</v>
      </c>
      <c r="C1325" t="s">
        <v>74</v>
      </c>
      <c r="E1325" t="str">
        <f>"009935712074"</f>
        <v>009935712074</v>
      </c>
      <c r="F1325" s="3">
        <v>43811</v>
      </c>
      <c r="G1325">
        <v>202006</v>
      </c>
      <c r="H1325" t="s">
        <v>75</v>
      </c>
      <c r="I1325" t="s">
        <v>76</v>
      </c>
      <c r="J1325" t="s">
        <v>77</v>
      </c>
      <c r="K1325" t="s">
        <v>78</v>
      </c>
      <c r="L1325" t="s">
        <v>671</v>
      </c>
      <c r="M1325" t="s">
        <v>672</v>
      </c>
      <c r="N1325" t="s">
        <v>673</v>
      </c>
      <c r="O1325" t="s">
        <v>82</v>
      </c>
      <c r="P1325" t="str">
        <f>"1162726475                    "</f>
        <v xml:space="preserve">1162726475                    </v>
      </c>
      <c r="Q1325">
        <v>0</v>
      </c>
      <c r="R1325">
        <v>0</v>
      </c>
      <c r="S1325">
        <v>0</v>
      </c>
      <c r="T1325">
        <v>0</v>
      </c>
      <c r="U1325">
        <v>0</v>
      </c>
      <c r="V1325">
        <v>0</v>
      </c>
      <c r="W1325">
        <v>0</v>
      </c>
      <c r="X1325">
        <v>0</v>
      </c>
      <c r="Y1325">
        <v>0</v>
      </c>
      <c r="Z1325">
        <v>0</v>
      </c>
      <c r="AA1325">
        <v>0</v>
      </c>
      <c r="AB1325">
        <v>0</v>
      </c>
      <c r="AC1325">
        <v>0</v>
      </c>
      <c r="AD1325">
        <v>0</v>
      </c>
      <c r="AE1325">
        <v>0</v>
      </c>
      <c r="AF1325">
        <v>0</v>
      </c>
      <c r="AG1325">
        <v>0</v>
      </c>
      <c r="AH1325">
        <v>0</v>
      </c>
      <c r="AI1325">
        <v>0</v>
      </c>
      <c r="AJ1325">
        <v>0</v>
      </c>
      <c r="AK1325">
        <v>0</v>
      </c>
      <c r="AL1325">
        <v>0</v>
      </c>
      <c r="AM1325">
        <v>16.63</v>
      </c>
      <c r="AN1325">
        <v>0</v>
      </c>
      <c r="AO1325">
        <v>0</v>
      </c>
      <c r="AP1325">
        <v>0</v>
      </c>
      <c r="AQ1325">
        <v>0</v>
      </c>
      <c r="AR1325">
        <v>0</v>
      </c>
      <c r="AS1325">
        <v>0</v>
      </c>
      <c r="AT1325">
        <v>0</v>
      </c>
      <c r="AU1325">
        <v>0</v>
      </c>
      <c r="AV1325">
        <v>0</v>
      </c>
      <c r="AW1325">
        <v>0</v>
      </c>
      <c r="AX1325">
        <v>0</v>
      </c>
      <c r="AY1325">
        <v>0</v>
      </c>
      <c r="AZ1325">
        <v>0</v>
      </c>
      <c r="BA1325">
        <v>0</v>
      </c>
      <c r="BB1325">
        <v>0</v>
      </c>
      <c r="BC1325">
        <v>0</v>
      </c>
      <c r="BD1325">
        <v>0</v>
      </c>
      <c r="BE1325">
        <v>0</v>
      </c>
      <c r="BF1325">
        <v>0</v>
      </c>
      <c r="BG1325">
        <v>0</v>
      </c>
      <c r="BH1325">
        <v>1</v>
      </c>
      <c r="BI1325">
        <v>0.9</v>
      </c>
      <c r="BJ1325">
        <v>1.3</v>
      </c>
      <c r="BK1325">
        <v>1.5</v>
      </c>
      <c r="BL1325" s="4">
        <v>97.75</v>
      </c>
      <c r="BM1325" s="4">
        <v>14.66</v>
      </c>
      <c r="BN1325" s="4">
        <v>112.41</v>
      </c>
      <c r="BO1325" s="4">
        <v>112.41</v>
      </c>
      <c r="BP1325" t="s">
        <v>1242</v>
      </c>
      <c r="BQ1325" t="s">
        <v>674</v>
      </c>
      <c r="BR1325" t="s">
        <v>84</v>
      </c>
      <c r="BS1325" s="3">
        <v>43812</v>
      </c>
      <c r="BT1325" s="5">
        <v>0.33333333333333331</v>
      </c>
      <c r="BU1325" t="s">
        <v>1802</v>
      </c>
      <c r="BV1325" t="s">
        <v>86</v>
      </c>
      <c r="BY1325">
        <v>6485.16</v>
      </c>
      <c r="CC1325" t="s">
        <v>672</v>
      </c>
      <c r="CD1325">
        <v>1911</v>
      </c>
      <c r="CE1325" t="s">
        <v>96</v>
      </c>
      <c r="CI1325">
        <v>1</v>
      </c>
      <c r="CJ1325">
        <v>1</v>
      </c>
      <c r="CK1325">
        <v>23</v>
      </c>
      <c r="CL1325" t="s">
        <v>89</v>
      </c>
    </row>
    <row r="1326" spans="1:90">
      <c r="A1326" t="s">
        <v>72</v>
      </c>
      <c r="B1326" t="s">
        <v>73</v>
      </c>
      <c r="C1326" t="s">
        <v>74</v>
      </c>
      <c r="E1326" t="str">
        <f>"FES1162728204"</f>
        <v>FES1162728204</v>
      </c>
      <c r="F1326" s="3">
        <v>43811</v>
      </c>
      <c r="G1326">
        <v>202006</v>
      </c>
      <c r="H1326" t="s">
        <v>75</v>
      </c>
      <c r="I1326" t="s">
        <v>76</v>
      </c>
      <c r="J1326" t="s">
        <v>77</v>
      </c>
      <c r="K1326" t="s">
        <v>78</v>
      </c>
      <c r="L1326" t="s">
        <v>709</v>
      </c>
      <c r="M1326" t="s">
        <v>710</v>
      </c>
      <c r="N1326" t="s">
        <v>1803</v>
      </c>
      <c r="O1326" t="s">
        <v>82</v>
      </c>
      <c r="P1326" t="str">
        <f>"21707151541                   "</f>
        <v xml:space="preserve">21707151541                   </v>
      </c>
      <c r="Q1326">
        <v>0</v>
      </c>
      <c r="R1326">
        <v>0</v>
      </c>
      <c r="S1326">
        <v>0</v>
      </c>
      <c r="T1326">
        <v>0</v>
      </c>
      <c r="U1326">
        <v>0</v>
      </c>
      <c r="V1326">
        <v>0</v>
      </c>
      <c r="W1326">
        <v>0</v>
      </c>
      <c r="X1326">
        <v>0</v>
      </c>
      <c r="Y1326">
        <v>0</v>
      </c>
      <c r="Z1326">
        <v>0</v>
      </c>
      <c r="AA1326">
        <v>0</v>
      </c>
      <c r="AB1326">
        <v>0</v>
      </c>
      <c r="AC1326">
        <v>0</v>
      </c>
      <c r="AD1326">
        <v>0</v>
      </c>
      <c r="AE1326">
        <v>0</v>
      </c>
      <c r="AF1326">
        <v>0</v>
      </c>
      <c r="AG1326">
        <v>0</v>
      </c>
      <c r="AH1326">
        <v>0</v>
      </c>
      <c r="AI1326">
        <v>0</v>
      </c>
      <c r="AJ1326">
        <v>0</v>
      </c>
      <c r="AK1326">
        <v>0</v>
      </c>
      <c r="AL1326">
        <v>0</v>
      </c>
      <c r="AM1326">
        <v>12.07</v>
      </c>
      <c r="AN1326">
        <v>0</v>
      </c>
      <c r="AO1326">
        <v>0</v>
      </c>
      <c r="AP1326">
        <v>0</v>
      </c>
      <c r="AQ1326">
        <v>0</v>
      </c>
      <c r="AR1326">
        <v>0</v>
      </c>
      <c r="AS1326">
        <v>0</v>
      </c>
      <c r="AT1326">
        <v>0</v>
      </c>
      <c r="AU1326">
        <v>0</v>
      </c>
      <c r="AV1326">
        <v>0</v>
      </c>
      <c r="AW1326">
        <v>0</v>
      </c>
      <c r="AX1326">
        <v>0</v>
      </c>
      <c r="AY1326">
        <v>0</v>
      </c>
      <c r="AZ1326">
        <v>0</v>
      </c>
      <c r="BA1326">
        <v>0</v>
      </c>
      <c r="BB1326">
        <v>0</v>
      </c>
      <c r="BC1326">
        <v>0</v>
      </c>
      <c r="BD1326">
        <v>0</v>
      </c>
      <c r="BE1326">
        <v>0</v>
      </c>
      <c r="BF1326">
        <v>0</v>
      </c>
      <c r="BG1326">
        <v>0</v>
      </c>
      <c r="BH1326">
        <v>1</v>
      </c>
      <c r="BI1326">
        <v>1</v>
      </c>
      <c r="BJ1326">
        <v>0.2</v>
      </c>
      <c r="BK1326">
        <v>1</v>
      </c>
      <c r="BL1326" s="4">
        <v>70.95</v>
      </c>
      <c r="BM1326" s="4">
        <v>10.64</v>
      </c>
      <c r="BN1326" s="4">
        <v>81.59</v>
      </c>
      <c r="BO1326" s="4">
        <v>81.59</v>
      </c>
      <c r="BQ1326" t="s">
        <v>93</v>
      </c>
      <c r="BR1326" t="s">
        <v>84</v>
      </c>
      <c r="BS1326" s="3">
        <v>43812</v>
      </c>
      <c r="BT1326" s="5">
        <v>0.36041666666666666</v>
      </c>
      <c r="BU1326" t="s">
        <v>1804</v>
      </c>
      <c r="BV1326" t="s">
        <v>86</v>
      </c>
      <c r="BY1326">
        <v>1200</v>
      </c>
      <c r="CA1326" t="s">
        <v>1805</v>
      </c>
      <c r="CC1326" t="s">
        <v>710</v>
      </c>
      <c r="CD1326">
        <v>1939</v>
      </c>
      <c r="CE1326" t="s">
        <v>88</v>
      </c>
      <c r="CF1326" s="3">
        <v>43816</v>
      </c>
      <c r="CI1326">
        <v>1</v>
      </c>
      <c r="CJ1326">
        <v>1</v>
      </c>
      <c r="CK1326">
        <v>24</v>
      </c>
      <c r="CL1326" t="s">
        <v>89</v>
      </c>
    </row>
    <row r="1327" spans="1:90">
      <c r="A1327" t="s">
        <v>72</v>
      </c>
      <c r="B1327" t="s">
        <v>73</v>
      </c>
      <c r="C1327" t="s">
        <v>74</v>
      </c>
      <c r="E1327" t="str">
        <f>"FES1162728243"</f>
        <v>FES1162728243</v>
      </c>
      <c r="F1327" s="3">
        <v>43811</v>
      </c>
      <c r="G1327">
        <v>202006</v>
      </c>
      <c r="H1327" t="s">
        <v>75</v>
      </c>
      <c r="I1327" t="s">
        <v>76</v>
      </c>
      <c r="J1327" t="s">
        <v>77</v>
      </c>
      <c r="K1327" t="s">
        <v>78</v>
      </c>
      <c r="L1327" t="s">
        <v>671</v>
      </c>
      <c r="M1327" t="s">
        <v>672</v>
      </c>
      <c r="N1327" t="s">
        <v>639</v>
      </c>
      <c r="O1327" t="s">
        <v>82</v>
      </c>
      <c r="P1327" t="str">
        <f>"21707121578                   "</f>
        <v xml:space="preserve">21707121578                   </v>
      </c>
      <c r="Q1327">
        <v>0</v>
      </c>
      <c r="R1327">
        <v>0</v>
      </c>
      <c r="S1327">
        <v>0</v>
      </c>
      <c r="T1327">
        <v>0</v>
      </c>
      <c r="U1327">
        <v>0</v>
      </c>
      <c r="V1327">
        <v>0</v>
      </c>
      <c r="W1327">
        <v>0</v>
      </c>
      <c r="X1327">
        <v>0</v>
      </c>
      <c r="Y1327">
        <v>0</v>
      </c>
      <c r="Z1327">
        <v>0</v>
      </c>
      <c r="AA1327">
        <v>0</v>
      </c>
      <c r="AB1327">
        <v>0</v>
      </c>
      <c r="AC1327">
        <v>0</v>
      </c>
      <c r="AD1327">
        <v>0</v>
      </c>
      <c r="AE1327">
        <v>0</v>
      </c>
      <c r="AF1327">
        <v>0</v>
      </c>
      <c r="AG1327">
        <v>0</v>
      </c>
      <c r="AH1327">
        <v>0</v>
      </c>
      <c r="AI1327">
        <v>0</v>
      </c>
      <c r="AJ1327">
        <v>0</v>
      </c>
      <c r="AK1327">
        <v>0</v>
      </c>
      <c r="AL1327">
        <v>0</v>
      </c>
      <c r="AM1327">
        <v>16.63</v>
      </c>
      <c r="AN1327">
        <v>0</v>
      </c>
      <c r="AO1327">
        <v>0</v>
      </c>
      <c r="AP1327">
        <v>0</v>
      </c>
      <c r="AQ1327">
        <v>0</v>
      </c>
      <c r="AR1327">
        <v>0</v>
      </c>
      <c r="AS1327">
        <v>0</v>
      </c>
      <c r="AT1327">
        <v>0</v>
      </c>
      <c r="AU1327">
        <v>0</v>
      </c>
      <c r="AV1327">
        <v>0</v>
      </c>
      <c r="AW1327">
        <v>0</v>
      </c>
      <c r="AX1327">
        <v>0</v>
      </c>
      <c r="AY1327">
        <v>0</v>
      </c>
      <c r="AZ1327">
        <v>0</v>
      </c>
      <c r="BA1327">
        <v>0</v>
      </c>
      <c r="BB1327">
        <v>0</v>
      </c>
      <c r="BC1327">
        <v>0</v>
      </c>
      <c r="BD1327">
        <v>0</v>
      </c>
      <c r="BE1327">
        <v>0</v>
      </c>
      <c r="BF1327">
        <v>0</v>
      </c>
      <c r="BG1327">
        <v>0</v>
      </c>
      <c r="BH1327">
        <v>1</v>
      </c>
      <c r="BI1327">
        <v>1</v>
      </c>
      <c r="BJ1327">
        <v>0.2</v>
      </c>
      <c r="BK1327">
        <v>1</v>
      </c>
      <c r="BL1327" s="4">
        <v>97.75</v>
      </c>
      <c r="BM1327" s="4">
        <v>14.66</v>
      </c>
      <c r="BN1327" s="4">
        <v>112.41</v>
      </c>
      <c r="BO1327" s="4">
        <v>112.41</v>
      </c>
      <c r="BQ1327" t="s">
        <v>93</v>
      </c>
      <c r="BR1327" t="s">
        <v>84</v>
      </c>
      <c r="BS1327" s="3">
        <v>43812</v>
      </c>
      <c r="BT1327" s="5">
        <v>0.33333333333333331</v>
      </c>
      <c r="BU1327" t="s">
        <v>1806</v>
      </c>
      <c r="BV1327" t="s">
        <v>86</v>
      </c>
      <c r="BY1327">
        <v>1200</v>
      </c>
      <c r="CA1327" t="s">
        <v>344</v>
      </c>
      <c r="CC1327" t="s">
        <v>672</v>
      </c>
      <c r="CD1327">
        <v>1911</v>
      </c>
      <c r="CE1327" t="s">
        <v>88</v>
      </c>
      <c r="CF1327" s="3">
        <v>43816</v>
      </c>
      <c r="CI1327">
        <v>1</v>
      </c>
      <c r="CJ1327">
        <v>1</v>
      </c>
      <c r="CK1327">
        <v>23</v>
      </c>
      <c r="CL1327" t="s">
        <v>89</v>
      </c>
    </row>
    <row r="1328" spans="1:90">
      <c r="A1328" t="s">
        <v>72</v>
      </c>
      <c r="B1328" t="s">
        <v>73</v>
      </c>
      <c r="C1328" t="s">
        <v>74</v>
      </c>
      <c r="E1328" t="str">
        <f>"FES1162727996"</f>
        <v>FES1162727996</v>
      </c>
      <c r="F1328" s="3">
        <v>43811</v>
      </c>
      <c r="G1328">
        <v>202006</v>
      </c>
      <c r="H1328" t="s">
        <v>75</v>
      </c>
      <c r="I1328" t="s">
        <v>76</v>
      </c>
      <c r="J1328" t="s">
        <v>77</v>
      </c>
      <c r="K1328" t="s">
        <v>78</v>
      </c>
      <c r="L1328" t="s">
        <v>169</v>
      </c>
      <c r="M1328" t="s">
        <v>170</v>
      </c>
      <c r="N1328" t="s">
        <v>1676</v>
      </c>
      <c r="O1328" t="s">
        <v>82</v>
      </c>
      <c r="P1328" t="str">
        <f>"2170719261                    "</f>
        <v xml:space="preserve">2170719261                    </v>
      </c>
      <c r="Q1328">
        <v>0</v>
      </c>
      <c r="R1328">
        <v>0</v>
      </c>
      <c r="S1328">
        <v>0</v>
      </c>
      <c r="T1328">
        <v>0</v>
      </c>
      <c r="U1328">
        <v>0</v>
      </c>
      <c r="V1328">
        <v>0</v>
      </c>
      <c r="W1328">
        <v>0</v>
      </c>
      <c r="X1328">
        <v>0</v>
      </c>
      <c r="Y1328">
        <v>0</v>
      </c>
      <c r="Z1328">
        <v>0</v>
      </c>
      <c r="AA1328">
        <v>0</v>
      </c>
      <c r="AB1328">
        <v>0</v>
      </c>
      <c r="AC1328">
        <v>0</v>
      </c>
      <c r="AD1328">
        <v>0</v>
      </c>
      <c r="AE1328">
        <v>0</v>
      </c>
      <c r="AF1328">
        <v>0</v>
      </c>
      <c r="AG1328">
        <v>0</v>
      </c>
      <c r="AH1328">
        <v>0</v>
      </c>
      <c r="AI1328">
        <v>0</v>
      </c>
      <c r="AJ1328">
        <v>0</v>
      </c>
      <c r="AK1328">
        <v>0</v>
      </c>
      <c r="AL1328">
        <v>0</v>
      </c>
      <c r="AM1328">
        <v>6.71</v>
      </c>
      <c r="AN1328">
        <v>0</v>
      </c>
      <c r="AO1328">
        <v>0</v>
      </c>
      <c r="AP1328">
        <v>0</v>
      </c>
      <c r="AQ1328">
        <v>0</v>
      </c>
      <c r="AR1328">
        <v>0</v>
      </c>
      <c r="AS1328">
        <v>0</v>
      </c>
      <c r="AT1328">
        <v>0</v>
      </c>
      <c r="AU1328">
        <v>0</v>
      </c>
      <c r="AV1328">
        <v>0</v>
      </c>
      <c r="AW1328">
        <v>0</v>
      </c>
      <c r="AX1328">
        <v>0</v>
      </c>
      <c r="AY1328">
        <v>0</v>
      </c>
      <c r="AZ1328">
        <v>0</v>
      </c>
      <c r="BA1328">
        <v>0</v>
      </c>
      <c r="BB1328">
        <v>0</v>
      </c>
      <c r="BC1328">
        <v>0</v>
      </c>
      <c r="BD1328">
        <v>0</v>
      </c>
      <c r="BE1328">
        <v>0</v>
      </c>
      <c r="BF1328">
        <v>0</v>
      </c>
      <c r="BG1328">
        <v>0</v>
      </c>
      <c r="BH1328">
        <v>1</v>
      </c>
      <c r="BI1328">
        <v>1</v>
      </c>
      <c r="BJ1328">
        <v>0.2</v>
      </c>
      <c r="BK1328">
        <v>1</v>
      </c>
      <c r="BL1328" s="4">
        <v>39.42</v>
      </c>
      <c r="BM1328" s="4">
        <v>5.91</v>
      </c>
      <c r="BN1328" s="4">
        <v>45.33</v>
      </c>
      <c r="BO1328" s="4">
        <v>45.33</v>
      </c>
      <c r="BQ1328" t="s">
        <v>147</v>
      </c>
      <c r="BR1328" t="s">
        <v>84</v>
      </c>
      <c r="BS1328" s="3">
        <v>43816</v>
      </c>
      <c r="BT1328" s="5">
        <v>0.3520833333333333</v>
      </c>
      <c r="BU1328" t="s">
        <v>1677</v>
      </c>
      <c r="BV1328" t="s">
        <v>89</v>
      </c>
      <c r="BW1328" t="s">
        <v>149</v>
      </c>
      <c r="BX1328" t="s">
        <v>1678</v>
      </c>
      <c r="BY1328">
        <v>1200</v>
      </c>
      <c r="CA1328" t="s">
        <v>174</v>
      </c>
      <c r="CC1328" t="s">
        <v>170</v>
      </c>
      <c r="CD1328">
        <v>1460</v>
      </c>
      <c r="CE1328" t="s">
        <v>88</v>
      </c>
      <c r="CF1328" s="3">
        <v>43817</v>
      </c>
      <c r="CI1328">
        <v>1</v>
      </c>
      <c r="CJ1328">
        <v>3</v>
      </c>
      <c r="CK1328">
        <v>22</v>
      </c>
      <c r="CL1328" t="s">
        <v>89</v>
      </c>
    </row>
    <row r="1329" spans="1:90">
      <c r="A1329" t="s">
        <v>72</v>
      </c>
      <c r="B1329" t="s">
        <v>73</v>
      </c>
      <c r="C1329" t="s">
        <v>74</v>
      </c>
      <c r="E1329" t="str">
        <f>"FES1162728220"</f>
        <v>FES1162728220</v>
      </c>
      <c r="F1329" s="3">
        <v>43811</v>
      </c>
      <c r="G1329">
        <v>202006</v>
      </c>
      <c r="H1329" t="s">
        <v>75</v>
      </c>
      <c r="I1329" t="s">
        <v>76</v>
      </c>
      <c r="J1329" t="s">
        <v>77</v>
      </c>
      <c r="K1329" t="s">
        <v>78</v>
      </c>
      <c r="L1329" t="s">
        <v>138</v>
      </c>
      <c r="M1329" t="s">
        <v>139</v>
      </c>
      <c r="N1329" t="s">
        <v>1492</v>
      </c>
      <c r="O1329" t="s">
        <v>82</v>
      </c>
      <c r="P1329" t="str">
        <f>"2170717512                    "</f>
        <v xml:space="preserve">2170717512                    </v>
      </c>
      <c r="Q1329">
        <v>0</v>
      </c>
      <c r="R1329">
        <v>0</v>
      </c>
      <c r="S1329">
        <v>0</v>
      </c>
      <c r="T1329">
        <v>0</v>
      </c>
      <c r="U1329">
        <v>0</v>
      </c>
      <c r="V1329">
        <v>0</v>
      </c>
      <c r="W1329">
        <v>0</v>
      </c>
      <c r="X1329">
        <v>0</v>
      </c>
      <c r="Y1329">
        <v>0</v>
      </c>
      <c r="Z1329">
        <v>0</v>
      </c>
      <c r="AA1329">
        <v>0</v>
      </c>
      <c r="AB1329">
        <v>0</v>
      </c>
      <c r="AC1329">
        <v>0</v>
      </c>
      <c r="AD1329">
        <v>0</v>
      </c>
      <c r="AE1329">
        <v>0</v>
      </c>
      <c r="AF1329">
        <v>0</v>
      </c>
      <c r="AG1329">
        <v>0</v>
      </c>
      <c r="AH1329">
        <v>0</v>
      </c>
      <c r="AI1329">
        <v>0</v>
      </c>
      <c r="AJ1329">
        <v>0</v>
      </c>
      <c r="AK1329">
        <v>0</v>
      </c>
      <c r="AL1329">
        <v>0</v>
      </c>
      <c r="AM1329">
        <v>6.71</v>
      </c>
      <c r="AN1329">
        <v>0</v>
      </c>
      <c r="AO1329">
        <v>0</v>
      </c>
      <c r="AP1329">
        <v>0</v>
      </c>
      <c r="AQ1329">
        <v>0</v>
      </c>
      <c r="AR1329">
        <v>0</v>
      </c>
      <c r="AS1329">
        <v>0</v>
      </c>
      <c r="AT1329">
        <v>0</v>
      </c>
      <c r="AU1329">
        <v>0</v>
      </c>
      <c r="AV1329">
        <v>0</v>
      </c>
      <c r="AW1329">
        <v>0</v>
      </c>
      <c r="AX1329">
        <v>0</v>
      </c>
      <c r="AY1329">
        <v>0</v>
      </c>
      <c r="AZ1329">
        <v>0</v>
      </c>
      <c r="BA1329">
        <v>0</v>
      </c>
      <c r="BB1329">
        <v>0</v>
      </c>
      <c r="BC1329">
        <v>0</v>
      </c>
      <c r="BD1329">
        <v>0</v>
      </c>
      <c r="BE1329">
        <v>0</v>
      </c>
      <c r="BF1329">
        <v>0</v>
      </c>
      <c r="BG1329">
        <v>0</v>
      </c>
      <c r="BH1329">
        <v>1</v>
      </c>
      <c r="BI1329">
        <v>1</v>
      </c>
      <c r="BJ1329">
        <v>0.2</v>
      </c>
      <c r="BK1329">
        <v>1</v>
      </c>
      <c r="BL1329" s="4">
        <v>39.42</v>
      </c>
      <c r="BM1329" s="4">
        <v>5.91</v>
      </c>
      <c r="BN1329" s="4">
        <v>45.33</v>
      </c>
      <c r="BO1329" s="4">
        <v>45.33</v>
      </c>
      <c r="BQ1329" t="s">
        <v>147</v>
      </c>
      <c r="BR1329" t="s">
        <v>84</v>
      </c>
      <c r="BS1329" s="3">
        <v>43812</v>
      </c>
      <c r="BT1329" s="5">
        <v>0.3263888888888889</v>
      </c>
      <c r="BU1329" t="s">
        <v>1807</v>
      </c>
      <c r="BV1329" t="s">
        <v>86</v>
      </c>
      <c r="BY1329">
        <v>1200</v>
      </c>
      <c r="CA1329" t="s">
        <v>314</v>
      </c>
      <c r="CC1329" t="s">
        <v>139</v>
      </c>
      <c r="CD1329">
        <v>1406</v>
      </c>
      <c r="CE1329" t="s">
        <v>88</v>
      </c>
      <c r="CI1329">
        <v>1</v>
      </c>
      <c r="CJ1329">
        <v>1</v>
      </c>
      <c r="CK1329">
        <v>22</v>
      </c>
      <c r="CL1329" t="s">
        <v>89</v>
      </c>
    </row>
    <row r="1330" spans="1:90">
      <c r="A1330" t="s">
        <v>72</v>
      </c>
      <c r="B1330" t="s">
        <v>73</v>
      </c>
      <c r="C1330" t="s">
        <v>74</v>
      </c>
      <c r="E1330" t="str">
        <f>"FES1162728214"</f>
        <v>FES1162728214</v>
      </c>
      <c r="F1330" s="3">
        <v>43811</v>
      </c>
      <c r="G1330">
        <v>202006</v>
      </c>
      <c r="H1330" t="s">
        <v>75</v>
      </c>
      <c r="I1330" t="s">
        <v>76</v>
      </c>
      <c r="J1330" t="s">
        <v>77</v>
      </c>
      <c r="K1330" t="s">
        <v>78</v>
      </c>
      <c r="L1330" t="s">
        <v>332</v>
      </c>
      <c r="M1330" t="s">
        <v>333</v>
      </c>
      <c r="N1330" t="s">
        <v>1808</v>
      </c>
      <c r="O1330" t="s">
        <v>82</v>
      </c>
      <c r="P1330" t="str">
        <f>"217071558                     "</f>
        <v xml:space="preserve">217071558                     </v>
      </c>
      <c r="Q1330">
        <v>0</v>
      </c>
      <c r="R1330">
        <v>0</v>
      </c>
      <c r="S1330">
        <v>0</v>
      </c>
      <c r="T1330">
        <v>0</v>
      </c>
      <c r="U1330">
        <v>0</v>
      </c>
      <c r="V1330">
        <v>0</v>
      </c>
      <c r="W1330">
        <v>0</v>
      </c>
      <c r="X1330">
        <v>0</v>
      </c>
      <c r="Y1330">
        <v>0</v>
      </c>
      <c r="Z1330">
        <v>0</v>
      </c>
      <c r="AA1330">
        <v>0</v>
      </c>
      <c r="AB1330">
        <v>0</v>
      </c>
      <c r="AC1330">
        <v>0</v>
      </c>
      <c r="AD1330">
        <v>0</v>
      </c>
      <c r="AE1330">
        <v>0</v>
      </c>
      <c r="AF1330">
        <v>0</v>
      </c>
      <c r="AG1330">
        <v>0</v>
      </c>
      <c r="AH1330">
        <v>0</v>
      </c>
      <c r="AI1330">
        <v>0</v>
      </c>
      <c r="AJ1330">
        <v>0</v>
      </c>
      <c r="AK1330">
        <v>0</v>
      </c>
      <c r="AL1330">
        <v>0</v>
      </c>
      <c r="AM1330">
        <v>6.71</v>
      </c>
      <c r="AN1330">
        <v>0</v>
      </c>
      <c r="AO1330">
        <v>0</v>
      </c>
      <c r="AP1330">
        <v>0</v>
      </c>
      <c r="AQ1330">
        <v>0</v>
      </c>
      <c r="AR1330">
        <v>0</v>
      </c>
      <c r="AS1330">
        <v>0</v>
      </c>
      <c r="AT1330">
        <v>0</v>
      </c>
      <c r="AU1330">
        <v>0</v>
      </c>
      <c r="AV1330">
        <v>0</v>
      </c>
      <c r="AW1330">
        <v>0</v>
      </c>
      <c r="AX1330">
        <v>0</v>
      </c>
      <c r="AY1330">
        <v>0</v>
      </c>
      <c r="AZ1330">
        <v>0</v>
      </c>
      <c r="BA1330">
        <v>0</v>
      </c>
      <c r="BB1330">
        <v>0</v>
      </c>
      <c r="BC1330">
        <v>0</v>
      </c>
      <c r="BD1330">
        <v>0</v>
      </c>
      <c r="BE1330">
        <v>0</v>
      </c>
      <c r="BF1330">
        <v>0</v>
      </c>
      <c r="BG1330">
        <v>0</v>
      </c>
      <c r="BH1330">
        <v>1</v>
      </c>
      <c r="BI1330">
        <v>1</v>
      </c>
      <c r="BJ1330">
        <v>0.2</v>
      </c>
      <c r="BK1330">
        <v>1</v>
      </c>
      <c r="BL1330" s="4">
        <v>39.42</v>
      </c>
      <c r="BM1330" s="4">
        <v>5.91</v>
      </c>
      <c r="BN1330" s="4">
        <v>45.33</v>
      </c>
      <c r="BO1330" s="4">
        <v>45.33</v>
      </c>
      <c r="BR1330" t="s">
        <v>84</v>
      </c>
      <c r="BS1330" s="3">
        <v>43812</v>
      </c>
      <c r="BT1330" s="5">
        <v>0.35486111111111113</v>
      </c>
      <c r="BU1330" t="s">
        <v>1809</v>
      </c>
      <c r="BV1330" t="s">
        <v>86</v>
      </c>
      <c r="BY1330">
        <v>1200</v>
      </c>
      <c r="CA1330" t="s">
        <v>344</v>
      </c>
      <c r="CC1330" t="s">
        <v>333</v>
      </c>
      <c r="CD1330">
        <v>2001</v>
      </c>
      <c r="CE1330" t="s">
        <v>88</v>
      </c>
      <c r="CF1330" s="3">
        <v>43816</v>
      </c>
      <c r="CI1330">
        <v>1</v>
      </c>
      <c r="CJ1330">
        <v>1</v>
      </c>
      <c r="CK1330">
        <v>22</v>
      </c>
      <c r="CL1330" t="s">
        <v>89</v>
      </c>
    </row>
    <row r="1331" spans="1:90">
      <c r="A1331" t="s">
        <v>72</v>
      </c>
      <c r="B1331" t="s">
        <v>73</v>
      </c>
      <c r="C1331" t="s">
        <v>74</v>
      </c>
      <c r="E1331" t="str">
        <f>"FES1162728200"</f>
        <v>FES1162728200</v>
      </c>
      <c r="F1331" s="3">
        <v>43811</v>
      </c>
      <c r="G1331">
        <v>202006</v>
      </c>
      <c r="H1331" t="s">
        <v>75</v>
      </c>
      <c r="I1331" t="s">
        <v>76</v>
      </c>
      <c r="J1331" t="s">
        <v>77</v>
      </c>
      <c r="K1331" t="s">
        <v>78</v>
      </c>
      <c r="L1331" t="s">
        <v>671</v>
      </c>
      <c r="M1331" t="s">
        <v>672</v>
      </c>
      <c r="N1331" t="s">
        <v>673</v>
      </c>
      <c r="O1331" t="s">
        <v>82</v>
      </c>
      <c r="P1331" t="str">
        <f>"2170712534                    "</f>
        <v xml:space="preserve">2170712534                    </v>
      </c>
      <c r="Q1331">
        <v>0</v>
      </c>
      <c r="R1331">
        <v>0</v>
      </c>
      <c r="S1331">
        <v>0</v>
      </c>
      <c r="T1331">
        <v>0</v>
      </c>
      <c r="U1331">
        <v>0</v>
      </c>
      <c r="V1331">
        <v>0</v>
      </c>
      <c r="W1331">
        <v>0</v>
      </c>
      <c r="X1331">
        <v>0</v>
      </c>
      <c r="Y1331">
        <v>0</v>
      </c>
      <c r="Z1331">
        <v>0</v>
      </c>
      <c r="AA1331">
        <v>0</v>
      </c>
      <c r="AB1331">
        <v>0</v>
      </c>
      <c r="AC1331">
        <v>0</v>
      </c>
      <c r="AD1331">
        <v>0</v>
      </c>
      <c r="AE1331">
        <v>0</v>
      </c>
      <c r="AF1331">
        <v>0</v>
      </c>
      <c r="AG1331">
        <v>0</v>
      </c>
      <c r="AH1331">
        <v>0</v>
      </c>
      <c r="AI1331">
        <v>0</v>
      </c>
      <c r="AJ1331">
        <v>0</v>
      </c>
      <c r="AK1331">
        <v>0</v>
      </c>
      <c r="AL1331">
        <v>0</v>
      </c>
      <c r="AM1331">
        <v>16.63</v>
      </c>
      <c r="AN1331">
        <v>0</v>
      </c>
      <c r="AO1331">
        <v>0</v>
      </c>
      <c r="AP1331">
        <v>0</v>
      </c>
      <c r="AQ1331">
        <v>0</v>
      </c>
      <c r="AR1331">
        <v>0</v>
      </c>
      <c r="AS1331">
        <v>0</v>
      </c>
      <c r="AT1331">
        <v>0</v>
      </c>
      <c r="AU1331">
        <v>0</v>
      </c>
      <c r="AV1331">
        <v>0</v>
      </c>
      <c r="AW1331">
        <v>0</v>
      </c>
      <c r="AX1331">
        <v>0</v>
      </c>
      <c r="AY1331">
        <v>0</v>
      </c>
      <c r="AZ1331">
        <v>0</v>
      </c>
      <c r="BA1331">
        <v>0</v>
      </c>
      <c r="BB1331">
        <v>0</v>
      </c>
      <c r="BC1331">
        <v>0</v>
      </c>
      <c r="BD1331">
        <v>0</v>
      </c>
      <c r="BE1331">
        <v>0</v>
      </c>
      <c r="BF1331">
        <v>0</v>
      </c>
      <c r="BG1331">
        <v>0</v>
      </c>
      <c r="BH1331">
        <v>1</v>
      </c>
      <c r="BI1331">
        <v>1</v>
      </c>
      <c r="BJ1331">
        <v>0.2</v>
      </c>
      <c r="BK1331">
        <v>1</v>
      </c>
      <c r="BL1331" s="4">
        <v>97.75</v>
      </c>
      <c r="BM1331" s="4">
        <v>14.66</v>
      </c>
      <c r="BN1331" s="4">
        <v>112.41</v>
      </c>
      <c r="BO1331" s="4">
        <v>112.41</v>
      </c>
      <c r="BQ1331" t="s">
        <v>674</v>
      </c>
      <c r="BR1331" t="s">
        <v>84</v>
      </c>
      <c r="BS1331" s="3">
        <v>43812</v>
      </c>
      <c r="BT1331" s="5">
        <v>0.33333333333333331</v>
      </c>
      <c r="BU1331" t="s">
        <v>1810</v>
      </c>
      <c r="BV1331" t="s">
        <v>86</v>
      </c>
      <c r="BY1331">
        <v>1200</v>
      </c>
      <c r="CA1331" t="s">
        <v>344</v>
      </c>
      <c r="CC1331" t="s">
        <v>672</v>
      </c>
      <c r="CD1331">
        <v>1911</v>
      </c>
      <c r="CE1331" t="s">
        <v>88</v>
      </c>
      <c r="CF1331" s="3">
        <v>43816</v>
      </c>
      <c r="CI1331">
        <v>1</v>
      </c>
      <c r="CJ1331">
        <v>1</v>
      </c>
      <c r="CK1331">
        <v>23</v>
      </c>
      <c r="CL1331" t="s">
        <v>89</v>
      </c>
    </row>
    <row r="1332" spans="1:90">
      <c r="A1332" t="s">
        <v>72</v>
      </c>
      <c r="B1332" t="s">
        <v>73</v>
      </c>
      <c r="C1332" t="s">
        <v>74</v>
      </c>
      <c r="E1332" t="str">
        <f>"FES1162728268"</f>
        <v>FES1162728268</v>
      </c>
      <c r="F1332" s="3">
        <v>43811</v>
      </c>
      <c r="G1332">
        <v>202006</v>
      </c>
      <c r="H1332" t="s">
        <v>75</v>
      </c>
      <c r="I1332" t="s">
        <v>76</v>
      </c>
      <c r="J1332" t="s">
        <v>77</v>
      </c>
      <c r="K1332" t="s">
        <v>78</v>
      </c>
      <c r="L1332" t="s">
        <v>164</v>
      </c>
      <c r="M1332" t="s">
        <v>165</v>
      </c>
      <c r="N1332" t="s">
        <v>369</v>
      </c>
      <c r="O1332" t="s">
        <v>82</v>
      </c>
      <c r="P1332" t="str">
        <f>"2170721602                    "</f>
        <v xml:space="preserve">2170721602                    </v>
      </c>
      <c r="Q1332">
        <v>0</v>
      </c>
      <c r="R1332">
        <v>0</v>
      </c>
      <c r="S1332">
        <v>0</v>
      </c>
      <c r="T1332">
        <v>0</v>
      </c>
      <c r="U1332">
        <v>0</v>
      </c>
      <c r="V1332">
        <v>0</v>
      </c>
      <c r="W1332">
        <v>0</v>
      </c>
      <c r="X1332">
        <v>0</v>
      </c>
      <c r="Y1332">
        <v>0</v>
      </c>
      <c r="Z1332">
        <v>0</v>
      </c>
      <c r="AA1332">
        <v>0</v>
      </c>
      <c r="AB1332">
        <v>0</v>
      </c>
      <c r="AC1332">
        <v>0</v>
      </c>
      <c r="AD1332">
        <v>0</v>
      </c>
      <c r="AE1332">
        <v>0</v>
      </c>
      <c r="AF1332">
        <v>0</v>
      </c>
      <c r="AG1332">
        <v>0</v>
      </c>
      <c r="AH1332">
        <v>0</v>
      </c>
      <c r="AI1332">
        <v>0</v>
      </c>
      <c r="AJ1332">
        <v>0</v>
      </c>
      <c r="AK1332">
        <v>0</v>
      </c>
      <c r="AL1332">
        <v>0</v>
      </c>
      <c r="AM1332">
        <v>17.16</v>
      </c>
      <c r="AN1332">
        <v>0</v>
      </c>
      <c r="AO1332">
        <v>0</v>
      </c>
      <c r="AP1332">
        <v>0</v>
      </c>
      <c r="AQ1332">
        <v>0</v>
      </c>
      <c r="AR1332">
        <v>0</v>
      </c>
      <c r="AS1332">
        <v>0</v>
      </c>
      <c r="AT1332">
        <v>0</v>
      </c>
      <c r="AU1332">
        <v>0</v>
      </c>
      <c r="AV1332">
        <v>0</v>
      </c>
      <c r="AW1332">
        <v>0</v>
      </c>
      <c r="AX1332">
        <v>0</v>
      </c>
      <c r="AY1332">
        <v>0</v>
      </c>
      <c r="AZ1332">
        <v>0</v>
      </c>
      <c r="BA1332">
        <v>0</v>
      </c>
      <c r="BB1332">
        <v>0</v>
      </c>
      <c r="BC1332">
        <v>0</v>
      </c>
      <c r="BD1332">
        <v>0</v>
      </c>
      <c r="BE1332">
        <v>0</v>
      </c>
      <c r="BF1332">
        <v>0</v>
      </c>
      <c r="BG1332">
        <v>0</v>
      </c>
      <c r="BH1332">
        <v>1</v>
      </c>
      <c r="BI1332">
        <v>3.9</v>
      </c>
      <c r="BJ1332">
        <v>3.1</v>
      </c>
      <c r="BK1332">
        <v>4</v>
      </c>
      <c r="BL1332" s="4">
        <v>100.87</v>
      </c>
      <c r="BM1332" s="4">
        <v>15.13</v>
      </c>
      <c r="BN1332" s="4">
        <v>116</v>
      </c>
      <c r="BO1332" s="4">
        <v>116</v>
      </c>
      <c r="BQ1332" t="s">
        <v>93</v>
      </c>
      <c r="BR1332" t="s">
        <v>84</v>
      </c>
      <c r="BS1332" s="3">
        <v>43812</v>
      </c>
      <c r="BT1332" s="5">
        <v>0.43263888888888885</v>
      </c>
      <c r="BU1332" t="s">
        <v>1013</v>
      </c>
      <c r="BV1332" t="s">
        <v>86</v>
      </c>
      <c r="BY1332">
        <v>15632.18</v>
      </c>
      <c r="CA1332" t="s">
        <v>1647</v>
      </c>
      <c r="CC1332" t="s">
        <v>165</v>
      </c>
      <c r="CD1332">
        <v>5201</v>
      </c>
      <c r="CE1332" t="s">
        <v>96</v>
      </c>
      <c r="CF1332" s="3">
        <v>43816</v>
      </c>
      <c r="CI1332">
        <v>1</v>
      </c>
      <c r="CJ1332">
        <v>1</v>
      </c>
      <c r="CK1332">
        <v>21</v>
      </c>
      <c r="CL1332" t="s">
        <v>89</v>
      </c>
    </row>
    <row r="1333" spans="1:90">
      <c r="A1333" t="s">
        <v>72</v>
      </c>
      <c r="B1333" t="s">
        <v>73</v>
      </c>
      <c r="C1333" t="s">
        <v>74</v>
      </c>
      <c r="E1333" t="str">
        <f>"FES1162728240"</f>
        <v>FES1162728240</v>
      </c>
      <c r="F1333" s="3">
        <v>43811</v>
      </c>
      <c r="G1333">
        <v>202006</v>
      </c>
      <c r="H1333" t="s">
        <v>75</v>
      </c>
      <c r="I1333" t="s">
        <v>76</v>
      </c>
      <c r="J1333" t="s">
        <v>77</v>
      </c>
      <c r="K1333" t="s">
        <v>78</v>
      </c>
      <c r="L1333" t="s">
        <v>164</v>
      </c>
      <c r="M1333" t="s">
        <v>165</v>
      </c>
      <c r="N1333" t="s">
        <v>369</v>
      </c>
      <c r="O1333" t="s">
        <v>82</v>
      </c>
      <c r="P1333" t="str">
        <f>"2170721527                    "</f>
        <v xml:space="preserve">2170721527                    </v>
      </c>
      <c r="Q1333">
        <v>0</v>
      </c>
      <c r="R1333">
        <v>0</v>
      </c>
      <c r="S1333">
        <v>0</v>
      </c>
      <c r="T1333">
        <v>0</v>
      </c>
      <c r="U1333">
        <v>0</v>
      </c>
      <c r="V1333">
        <v>0</v>
      </c>
      <c r="W1333">
        <v>0</v>
      </c>
      <c r="X1333">
        <v>0</v>
      </c>
      <c r="Y1333">
        <v>0</v>
      </c>
      <c r="Z1333">
        <v>0</v>
      </c>
      <c r="AA1333">
        <v>0</v>
      </c>
      <c r="AB1333">
        <v>0</v>
      </c>
      <c r="AC1333">
        <v>0</v>
      </c>
      <c r="AD1333">
        <v>0</v>
      </c>
      <c r="AE1333">
        <v>0</v>
      </c>
      <c r="AF1333">
        <v>0</v>
      </c>
      <c r="AG1333">
        <v>0</v>
      </c>
      <c r="AH1333">
        <v>0</v>
      </c>
      <c r="AI1333">
        <v>0</v>
      </c>
      <c r="AJ1333">
        <v>0</v>
      </c>
      <c r="AK1333">
        <v>0</v>
      </c>
      <c r="AL1333">
        <v>0</v>
      </c>
      <c r="AM1333">
        <v>81.489999999999995</v>
      </c>
      <c r="AN1333">
        <v>0</v>
      </c>
      <c r="AO1333">
        <v>0</v>
      </c>
      <c r="AP1333">
        <v>0</v>
      </c>
      <c r="AQ1333">
        <v>0</v>
      </c>
      <c r="AR1333">
        <v>0</v>
      </c>
      <c r="AS1333">
        <v>0</v>
      </c>
      <c r="AT1333">
        <v>0</v>
      </c>
      <c r="AU1333">
        <v>0</v>
      </c>
      <c r="AV1333">
        <v>0</v>
      </c>
      <c r="AW1333">
        <v>0</v>
      </c>
      <c r="AX1333">
        <v>0</v>
      </c>
      <c r="AY1333">
        <v>0</v>
      </c>
      <c r="AZ1333">
        <v>0</v>
      </c>
      <c r="BA1333">
        <v>0</v>
      </c>
      <c r="BB1333">
        <v>0</v>
      </c>
      <c r="BC1333">
        <v>0</v>
      </c>
      <c r="BD1333">
        <v>0</v>
      </c>
      <c r="BE1333">
        <v>0</v>
      </c>
      <c r="BF1333">
        <v>0</v>
      </c>
      <c r="BG1333">
        <v>0</v>
      </c>
      <c r="BH1333">
        <v>1</v>
      </c>
      <c r="BI1333">
        <v>4</v>
      </c>
      <c r="BJ1333">
        <v>18.8</v>
      </c>
      <c r="BK1333">
        <v>19</v>
      </c>
      <c r="BL1333" s="4">
        <v>479</v>
      </c>
      <c r="BM1333" s="4">
        <v>71.849999999999994</v>
      </c>
      <c r="BN1333" s="4">
        <v>550.85</v>
      </c>
      <c r="BO1333" s="4">
        <v>550.85</v>
      </c>
      <c r="BQ1333" t="s">
        <v>93</v>
      </c>
      <c r="BR1333" t="s">
        <v>84</v>
      </c>
      <c r="BS1333" s="3">
        <v>43812</v>
      </c>
      <c r="BT1333" s="5">
        <v>0.43263888888888885</v>
      </c>
      <c r="BU1333" t="s">
        <v>1013</v>
      </c>
      <c r="BV1333" t="s">
        <v>86</v>
      </c>
      <c r="BY1333">
        <v>93801.62</v>
      </c>
      <c r="CA1333" t="s">
        <v>1647</v>
      </c>
      <c r="CC1333" t="s">
        <v>165</v>
      </c>
      <c r="CD1333">
        <v>5201</v>
      </c>
      <c r="CE1333" t="s">
        <v>96</v>
      </c>
      <c r="CF1333" s="3">
        <v>43816</v>
      </c>
      <c r="CI1333">
        <v>1</v>
      </c>
      <c r="CJ1333">
        <v>1</v>
      </c>
      <c r="CK1333">
        <v>21</v>
      </c>
      <c r="CL1333" t="s">
        <v>89</v>
      </c>
    </row>
    <row r="1334" spans="1:90">
      <c r="A1334" t="s">
        <v>72</v>
      </c>
      <c r="B1334" t="s">
        <v>73</v>
      </c>
      <c r="C1334" t="s">
        <v>74</v>
      </c>
      <c r="E1334" t="str">
        <f>"FES1162728059"</f>
        <v>FES1162728059</v>
      </c>
      <c r="F1334" s="3">
        <v>43811</v>
      </c>
      <c r="G1334">
        <v>202006</v>
      </c>
      <c r="H1334" t="s">
        <v>75</v>
      </c>
      <c r="I1334" t="s">
        <v>76</v>
      </c>
      <c r="J1334" t="s">
        <v>77</v>
      </c>
      <c r="K1334" t="s">
        <v>78</v>
      </c>
      <c r="L1334" t="s">
        <v>671</v>
      </c>
      <c r="M1334" t="s">
        <v>672</v>
      </c>
      <c r="N1334" t="s">
        <v>673</v>
      </c>
      <c r="O1334" t="s">
        <v>82</v>
      </c>
      <c r="P1334" t="str">
        <f>"2170718147                    "</f>
        <v xml:space="preserve">2170718147                    </v>
      </c>
      <c r="Q1334">
        <v>0</v>
      </c>
      <c r="R1334">
        <v>0</v>
      </c>
      <c r="S1334">
        <v>0</v>
      </c>
      <c r="T1334">
        <v>0</v>
      </c>
      <c r="U1334">
        <v>0</v>
      </c>
      <c r="V1334">
        <v>0</v>
      </c>
      <c r="W1334">
        <v>0</v>
      </c>
      <c r="X1334">
        <v>0</v>
      </c>
      <c r="Y1334">
        <v>0</v>
      </c>
      <c r="Z1334">
        <v>0</v>
      </c>
      <c r="AA1334">
        <v>0</v>
      </c>
      <c r="AB1334">
        <v>0</v>
      </c>
      <c r="AC1334">
        <v>0</v>
      </c>
      <c r="AD1334">
        <v>0</v>
      </c>
      <c r="AE1334">
        <v>0</v>
      </c>
      <c r="AF1334">
        <v>0</v>
      </c>
      <c r="AG1334">
        <v>0</v>
      </c>
      <c r="AH1334">
        <v>0</v>
      </c>
      <c r="AI1334">
        <v>0</v>
      </c>
      <c r="AJ1334">
        <v>0</v>
      </c>
      <c r="AK1334">
        <v>0</v>
      </c>
      <c r="AL1334">
        <v>0</v>
      </c>
      <c r="AM1334">
        <v>20.39</v>
      </c>
      <c r="AN1334">
        <v>0</v>
      </c>
      <c r="AO1334">
        <v>0</v>
      </c>
      <c r="AP1334">
        <v>0</v>
      </c>
      <c r="AQ1334">
        <v>0</v>
      </c>
      <c r="AR1334">
        <v>0</v>
      </c>
      <c r="AS1334">
        <v>0</v>
      </c>
      <c r="AT1334">
        <v>0</v>
      </c>
      <c r="AU1334">
        <v>0</v>
      </c>
      <c r="AV1334">
        <v>0</v>
      </c>
      <c r="AW1334">
        <v>0</v>
      </c>
      <c r="AX1334">
        <v>0</v>
      </c>
      <c r="AY1334">
        <v>0</v>
      </c>
      <c r="AZ1334">
        <v>0</v>
      </c>
      <c r="BA1334">
        <v>0</v>
      </c>
      <c r="BB1334">
        <v>0</v>
      </c>
      <c r="BC1334">
        <v>0</v>
      </c>
      <c r="BD1334">
        <v>0</v>
      </c>
      <c r="BE1334">
        <v>0</v>
      </c>
      <c r="BF1334">
        <v>0</v>
      </c>
      <c r="BG1334">
        <v>0</v>
      </c>
      <c r="BH1334">
        <v>1</v>
      </c>
      <c r="BI1334">
        <v>2.1</v>
      </c>
      <c r="BJ1334">
        <v>0.9</v>
      </c>
      <c r="BK1334">
        <v>2.5</v>
      </c>
      <c r="BL1334" s="4">
        <v>119.83</v>
      </c>
      <c r="BM1334" s="4">
        <v>17.97</v>
      </c>
      <c r="BN1334" s="4">
        <v>137.80000000000001</v>
      </c>
      <c r="BO1334" s="4">
        <v>137.80000000000001</v>
      </c>
      <c r="BQ1334" t="s">
        <v>674</v>
      </c>
      <c r="BR1334" t="s">
        <v>84</v>
      </c>
      <c r="BS1334" s="3">
        <v>43812</v>
      </c>
      <c r="BT1334" s="5">
        <v>0.33333333333333331</v>
      </c>
      <c r="BU1334" t="s">
        <v>1810</v>
      </c>
      <c r="BV1334" t="s">
        <v>86</v>
      </c>
      <c r="BY1334">
        <v>4315.05</v>
      </c>
      <c r="CA1334" t="s">
        <v>344</v>
      </c>
      <c r="CC1334" t="s">
        <v>672</v>
      </c>
      <c r="CD1334">
        <v>1911</v>
      </c>
      <c r="CE1334" t="s">
        <v>96</v>
      </c>
      <c r="CF1334" s="3">
        <v>43816</v>
      </c>
      <c r="CI1334">
        <v>1</v>
      </c>
      <c r="CJ1334">
        <v>1</v>
      </c>
      <c r="CK1334">
        <v>23</v>
      </c>
      <c r="CL1334" t="s">
        <v>89</v>
      </c>
    </row>
    <row r="1335" spans="1:90">
      <c r="A1335" t="s">
        <v>72</v>
      </c>
      <c r="B1335" t="s">
        <v>73</v>
      </c>
      <c r="C1335" t="s">
        <v>74</v>
      </c>
      <c r="E1335" t="str">
        <f>"FES1162728246"</f>
        <v>FES1162728246</v>
      </c>
      <c r="F1335" s="3">
        <v>43811</v>
      </c>
      <c r="G1335">
        <v>202006</v>
      </c>
      <c r="H1335" t="s">
        <v>75</v>
      </c>
      <c r="I1335" t="s">
        <v>76</v>
      </c>
      <c r="J1335" t="s">
        <v>77</v>
      </c>
      <c r="K1335" t="s">
        <v>78</v>
      </c>
      <c r="L1335" t="s">
        <v>79</v>
      </c>
      <c r="M1335" t="s">
        <v>80</v>
      </c>
      <c r="N1335" t="s">
        <v>1101</v>
      </c>
      <c r="O1335" t="s">
        <v>82</v>
      </c>
      <c r="P1335" t="str">
        <f>"2170712587                    "</f>
        <v xml:space="preserve">2170712587                    </v>
      </c>
      <c r="Q1335">
        <v>0</v>
      </c>
      <c r="R1335">
        <v>0</v>
      </c>
      <c r="S1335">
        <v>0</v>
      </c>
      <c r="T1335">
        <v>0</v>
      </c>
      <c r="U1335">
        <v>0</v>
      </c>
      <c r="V1335">
        <v>0</v>
      </c>
      <c r="W1335">
        <v>0</v>
      </c>
      <c r="X1335">
        <v>0</v>
      </c>
      <c r="Y1335">
        <v>0</v>
      </c>
      <c r="Z1335">
        <v>0</v>
      </c>
      <c r="AA1335">
        <v>0</v>
      </c>
      <c r="AB1335">
        <v>0</v>
      </c>
      <c r="AC1335">
        <v>0</v>
      </c>
      <c r="AD1335">
        <v>0</v>
      </c>
      <c r="AE1335">
        <v>0</v>
      </c>
      <c r="AF1335">
        <v>0</v>
      </c>
      <c r="AG1335">
        <v>0</v>
      </c>
      <c r="AH1335">
        <v>0</v>
      </c>
      <c r="AI1335">
        <v>0</v>
      </c>
      <c r="AJ1335">
        <v>0</v>
      </c>
      <c r="AK1335">
        <v>0</v>
      </c>
      <c r="AL1335">
        <v>0</v>
      </c>
      <c r="AM1335">
        <v>8.58</v>
      </c>
      <c r="AN1335">
        <v>0</v>
      </c>
      <c r="AO1335">
        <v>0</v>
      </c>
      <c r="AP1335">
        <v>0</v>
      </c>
      <c r="AQ1335">
        <v>0</v>
      </c>
      <c r="AR1335">
        <v>0</v>
      </c>
      <c r="AS1335">
        <v>0</v>
      </c>
      <c r="AT1335">
        <v>0</v>
      </c>
      <c r="AU1335">
        <v>0</v>
      </c>
      <c r="AV1335">
        <v>0</v>
      </c>
      <c r="AW1335">
        <v>0</v>
      </c>
      <c r="AX1335">
        <v>0</v>
      </c>
      <c r="AY1335">
        <v>0</v>
      </c>
      <c r="AZ1335">
        <v>0</v>
      </c>
      <c r="BA1335">
        <v>0</v>
      </c>
      <c r="BB1335">
        <v>0</v>
      </c>
      <c r="BC1335">
        <v>0</v>
      </c>
      <c r="BD1335">
        <v>0</v>
      </c>
      <c r="BE1335">
        <v>0</v>
      </c>
      <c r="BF1335">
        <v>0</v>
      </c>
      <c r="BG1335">
        <v>0</v>
      </c>
      <c r="BH1335">
        <v>1</v>
      </c>
      <c r="BI1335">
        <v>1</v>
      </c>
      <c r="BJ1335">
        <v>0.2</v>
      </c>
      <c r="BK1335">
        <v>1</v>
      </c>
      <c r="BL1335" s="4">
        <v>50.45</v>
      </c>
      <c r="BM1335" s="4">
        <v>7.57</v>
      </c>
      <c r="BN1335" s="4">
        <v>58.02</v>
      </c>
      <c r="BO1335" s="4">
        <v>58.02</v>
      </c>
      <c r="BQ1335" t="s">
        <v>147</v>
      </c>
      <c r="BR1335" t="s">
        <v>84</v>
      </c>
      <c r="BS1335" s="3">
        <v>43812</v>
      </c>
      <c r="BT1335" s="5">
        <v>0.38541666666666669</v>
      </c>
      <c r="BU1335" t="s">
        <v>1120</v>
      </c>
      <c r="BV1335" t="s">
        <v>86</v>
      </c>
      <c r="BY1335">
        <v>1200</v>
      </c>
      <c r="CA1335" t="s">
        <v>419</v>
      </c>
      <c r="CC1335" t="s">
        <v>80</v>
      </c>
      <c r="CD1335">
        <v>6001</v>
      </c>
      <c r="CE1335" t="s">
        <v>88</v>
      </c>
      <c r="CF1335" s="3">
        <v>43816</v>
      </c>
      <c r="CI1335">
        <v>1</v>
      </c>
      <c r="CJ1335">
        <v>1</v>
      </c>
      <c r="CK1335">
        <v>21</v>
      </c>
      <c r="CL1335" t="s">
        <v>89</v>
      </c>
    </row>
    <row r="1336" spans="1:90">
      <c r="A1336" t="s">
        <v>72</v>
      </c>
      <c r="B1336" t="s">
        <v>73</v>
      </c>
      <c r="C1336" t="s">
        <v>74</v>
      </c>
      <c r="E1336" t="str">
        <f>"FES1162728255"</f>
        <v>FES1162728255</v>
      </c>
      <c r="F1336" s="3">
        <v>43811</v>
      </c>
      <c r="G1336">
        <v>202006</v>
      </c>
      <c r="H1336" t="s">
        <v>75</v>
      </c>
      <c r="I1336" t="s">
        <v>76</v>
      </c>
      <c r="J1336" t="s">
        <v>77</v>
      </c>
      <c r="K1336" t="s">
        <v>78</v>
      </c>
      <c r="L1336" t="s">
        <v>332</v>
      </c>
      <c r="M1336" t="s">
        <v>333</v>
      </c>
      <c r="N1336" t="s">
        <v>701</v>
      </c>
      <c r="O1336" t="s">
        <v>82</v>
      </c>
      <c r="P1336" t="str">
        <f>"2170710675                    "</f>
        <v xml:space="preserve">2170710675                    </v>
      </c>
      <c r="Q1336">
        <v>0</v>
      </c>
      <c r="R1336">
        <v>0</v>
      </c>
      <c r="S1336">
        <v>0</v>
      </c>
      <c r="T1336">
        <v>0</v>
      </c>
      <c r="U1336">
        <v>0</v>
      </c>
      <c r="V1336">
        <v>0</v>
      </c>
      <c r="W1336">
        <v>0</v>
      </c>
      <c r="X1336">
        <v>0</v>
      </c>
      <c r="Y1336">
        <v>0</v>
      </c>
      <c r="Z1336">
        <v>0</v>
      </c>
      <c r="AA1336">
        <v>0</v>
      </c>
      <c r="AB1336">
        <v>0</v>
      </c>
      <c r="AC1336">
        <v>0</v>
      </c>
      <c r="AD1336">
        <v>0</v>
      </c>
      <c r="AE1336">
        <v>0</v>
      </c>
      <c r="AF1336">
        <v>0</v>
      </c>
      <c r="AG1336">
        <v>0</v>
      </c>
      <c r="AH1336">
        <v>0</v>
      </c>
      <c r="AI1336">
        <v>0</v>
      </c>
      <c r="AJ1336">
        <v>0</v>
      </c>
      <c r="AK1336">
        <v>0</v>
      </c>
      <c r="AL1336">
        <v>0</v>
      </c>
      <c r="AM1336">
        <v>6.71</v>
      </c>
      <c r="AN1336">
        <v>0</v>
      </c>
      <c r="AO1336">
        <v>0</v>
      </c>
      <c r="AP1336">
        <v>0</v>
      </c>
      <c r="AQ1336">
        <v>0</v>
      </c>
      <c r="AR1336">
        <v>0</v>
      </c>
      <c r="AS1336">
        <v>0</v>
      </c>
      <c r="AT1336">
        <v>0</v>
      </c>
      <c r="AU1336">
        <v>0</v>
      </c>
      <c r="AV1336">
        <v>0</v>
      </c>
      <c r="AW1336">
        <v>0</v>
      </c>
      <c r="AX1336">
        <v>0</v>
      </c>
      <c r="AY1336">
        <v>0</v>
      </c>
      <c r="AZ1336">
        <v>0</v>
      </c>
      <c r="BA1336">
        <v>0</v>
      </c>
      <c r="BB1336">
        <v>0</v>
      </c>
      <c r="BC1336">
        <v>0</v>
      </c>
      <c r="BD1336">
        <v>0</v>
      </c>
      <c r="BE1336">
        <v>0</v>
      </c>
      <c r="BF1336">
        <v>0</v>
      </c>
      <c r="BG1336">
        <v>0</v>
      </c>
      <c r="BH1336">
        <v>1</v>
      </c>
      <c r="BI1336">
        <v>1</v>
      </c>
      <c r="BJ1336">
        <v>0.2</v>
      </c>
      <c r="BK1336">
        <v>1</v>
      </c>
      <c r="BL1336" s="4">
        <v>39.42</v>
      </c>
      <c r="BM1336" s="4">
        <v>5.91</v>
      </c>
      <c r="BN1336" s="4">
        <v>45.33</v>
      </c>
      <c r="BO1336" s="4">
        <v>45.33</v>
      </c>
      <c r="BQ1336" t="s">
        <v>93</v>
      </c>
      <c r="BR1336" t="s">
        <v>84</v>
      </c>
      <c r="BS1336" s="3">
        <v>43812</v>
      </c>
      <c r="BT1336" s="5">
        <v>0.34930555555555554</v>
      </c>
      <c r="BU1336" t="s">
        <v>702</v>
      </c>
      <c r="BV1336" t="s">
        <v>86</v>
      </c>
      <c r="BY1336">
        <v>1200</v>
      </c>
      <c r="CA1336" t="s">
        <v>700</v>
      </c>
      <c r="CC1336" t="s">
        <v>333</v>
      </c>
      <c r="CD1336">
        <v>2094</v>
      </c>
      <c r="CE1336" t="s">
        <v>88</v>
      </c>
      <c r="CF1336" s="3">
        <v>43816</v>
      </c>
      <c r="CI1336">
        <v>1</v>
      </c>
      <c r="CJ1336">
        <v>1</v>
      </c>
      <c r="CK1336">
        <v>22</v>
      </c>
      <c r="CL1336" t="s">
        <v>89</v>
      </c>
    </row>
    <row r="1337" spans="1:90">
      <c r="A1337" t="s">
        <v>72</v>
      </c>
      <c r="B1337" t="s">
        <v>73</v>
      </c>
      <c r="C1337" t="s">
        <v>74</v>
      </c>
      <c r="E1337" t="str">
        <f>"FES1162728221"</f>
        <v>FES1162728221</v>
      </c>
      <c r="F1337" s="3">
        <v>43811</v>
      </c>
      <c r="G1337">
        <v>202006</v>
      </c>
      <c r="H1337" t="s">
        <v>75</v>
      </c>
      <c r="I1337" t="s">
        <v>76</v>
      </c>
      <c r="J1337" t="s">
        <v>77</v>
      </c>
      <c r="K1337" t="s">
        <v>78</v>
      </c>
      <c r="L1337" t="s">
        <v>169</v>
      </c>
      <c r="M1337" t="s">
        <v>170</v>
      </c>
      <c r="N1337" t="s">
        <v>969</v>
      </c>
      <c r="O1337" t="s">
        <v>82</v>
      </c>
      <c r="P1337" t="str">
        <f>"2170712572                    "</f>
        <v xml:space="preserve">2170712572                    </v>
      </c>
      <c r="Q1337">
        <v>0</v>
      </c>
      <c r="R1337">
        <v>0</v>
      </c>
      <c r="S1337">
        <v>0</v>
      </c>
      <c r="T1337">
        <v>0</v>
      </c>
      <c r="U1337">
        <v>0</v>
      </c>
      <c r="V1337">
        <v>0</v>
      </c>
      <c r="W1337">
        <v>0</v>
      </c>
      <c r="X1337">
        <v>0</v>
      </c>
      <c r="Y1337">
        <v>0</v>
      </c>
      <c r="Z1337">
        <v>0</v>
      </c>
      <c r="AA1337">
        <v>0</v>
      </c>
      <c r="AB1337">
        <v>0</v>
      </c>
      <c r="AC1337">
        <v>0</v>
      </c>
      <c r="AD1337">
        <v>0</v>
      </c>
      <c r="AE1337">
        <v>0</v>
      </c>
      <c r="AF1337">
        <v>0</v>
      </c>
      <c r="AG1337">
        <v>0</v>
      </c>
      <c r="AH1337">
        <v>0</v>
      </c>
      <c r="AI1337">
        <v>0</v>
      </c>
      <c r="AJ1337">
        <v>0</v>
      </c>
      <c r="AK1337">
        <v>0</v>
      </c>
      <c r="AL1337">
        <v>0</v>
      </c>
      <c r="AM1337">
        <v>6.71</v>
      </c>
      <c r="AN1337">
        <v>0</v>
      </c>
      <c r="AO1337">
        <v>0</v>
      </c>
      <c r="AP1337">
        <v>0</v>
      </c>
      <c r="AQ1337">
        <v>0</v>
      </c>
      <c r="AR1337">
        <v>0</v>
      </c>
      <c r="AS1337">
        <v>0</v>
      </c>
      <c r="AT1337">
        <v>0</v>
      </c>
      <c r="AU1337">
        <v>0</v>
      </c>
      <c r="AV1337">
        <v>0</v>
      </c>
      <c r="AW1337">
        <v>0</v>
      </c>
      <c r="AX1337">
        <v>0</v>
      </c>
      <c r="AY1337">
        <v>0</v>
      </c>
      <c r="AZ1337">
        <v>0</v>
      </c>
      <c r="BA1337">
        <v>0</v>
      </c>
      <c r="BB1337">
        <v>0</v>
      </c>
      <c r="BC1337">
        <v>0</v>
      </c>
      <c r="BD1337">
        <v>0</v>
      </c>
      <c r="BE1337">
        <v>0</v>
      </c>
      <c r="BF1337">
        <v>0</v>
      </c>
      <c r="BG1337">
        <v>0</v>
      </c>
      <c r="BH1337">
        <v>1</v>
      </c>
      <c r="BI1337">
        <v>1</v>
      </c>
      <c r="BJ1337">
        <v>0.2</v>
      </c>
      <c r="BK1337">
        <v>1</v>
      </c>
      <c r="BL1337" s="4">
        <v>39.42</v>
      </c>
      <c r="BM1337" s="4">
        <v>5.91</v>
      </c>
      <c r="BN1337" s="4">
        <v>45.33</v>
      </c>
      <c r="BO1337" s="4">
        <v>45.33</v>
      </c>
      <c r="BQ1337" t="s">
        <v>93</v>
      </c>
      <c r="BR1337" t="s">
        <v>84</v>
      </c>
      <c r="BS1337" s="3">
        <v>43812</v>
      </c>
      <c r="BT1337" s="5">
        <v>0.32569444444444445</v>
      </c>
      <c r="BU1337" t="s">
        <v>970</v>
      </c>
      <c r="BV1337" t="s">
        <v>86</v>
      </c>
      <c r="BY1337">
        <v>1200</v>
      </c>
      <c r="CA1337" t="s">
        <v>250</v>
      </c>
      <c r="CC1337" t="s">
        <v>170</v>
      </c>
      <c r="CD1337">
        <v>1459</v>
      </c>
      <c r="CE1337" t="s">
        <v>88</v>
      </c>
      <c r="CF1337" s="3">
        <v>43816</v>
      </c>
      <c r="CI1337">
        <v>1</v>
      </c>
      <c r="CJ1337">
        <v>1</v>
      </c>
      <c r="CK1337">
        <v>22</v>
      </c>
      <c r="CL1337" t="s">
        <v>89</v>
      </c>
    </row>
    <row r="1338" spans="1:90">
      <c r="A1338" t="s">
        <v>72</v>
      </c>
      <c r="B1338" t="s">
        <v>73</v>
      </c>
      <c r="C1338" t="s">
        <v>74</v>
      </c>
      <c r="E1338" t="str">
        <f>"FES1162728211"</f>
        <v>FES1162728211</v>
      </c>
      <c r="F1338" s="3">
        <v>43811</v>
      </c>
      <c r="G1338">
        <v>202006</v>
      </c>
      <c r="H1338" t="s">
        <v>75</v>
      </c>
      <c r="I1338" t="s">
        <v>76</v>
      </c>
      <c r="J1338" t="s">
        <v>77</v>
      </c>
      <c r="K1338" t="s">
        <v>78</v>
      </c>
      <c r="L1338" t="s">
        <v>169</v>
      </c>
      <c r="M1338" t="s">
        <v>170</v>
      </c>
      <c r="N1338" t="s">
        <v>1811</v>
      </c>
      <c r="O1338" t="s">
        <v>82</v>
      </c>
      <c r="P1338" t="str">
        <f>"217071553                     "</f>
        <v xml:space="preserve">217071553                     </v>
      </c>
      <c r="Q1338">
        <v>0</v>
      </c>
      <c r="R1338">
        <v>0</v>
      </c>
      <c r="S1338">
        <v>0</v>
      </c>
      <c r="T1338">
        <v>0</v>
      </c>
      <c r="U1338">
        <v>0</v>
      </c>
      <c r="V1338">
        <v>0</v>
      </c>
      <c r="W1338">
        <v>0</v>
      </c>
      <c r="X1338">
        <v>0</v>
      </c>
      <c r="Y1338">
        <v>0</v>
      </c>
      <c r="Z1338">
        <v>0</v>
      </c>
      <c r="AA1338">
        <v>0</v>
      </c>
      <c r="AB1338">
        <v>0</v>
      </c>
      <c r="AC1338">
        <v>0</v>
      </c>
      <c r="AD1338">
        <v>0</v>
      </c>
      <c r="AE1338">
        <v>0</v>
      </c>
      <c r="AF1338">
        <v>0</v>
      </c>
      <c r="AG1338">
        <v>0</v>
      </c>
      <c r="AH1338">
        <v>0</v>
      </c>
      <c r="AI1338">
        <v>0</v>
      </c>
      <c r="AJ1338">
        <v>0</v>
      </c>
      <c r="AK1338">
        <v>0</v>
      </c>
      <c r="AL1338">
        <v>0</v>
      </c>
      <c r="AM1338">
        <v>6.71</v>
      </c>
      <c r="AN1338">
        <v>0</v>
      </c>
      <c r="AO1338">
        <v>0</v>
      </c>
      <c r="AP1338">
        <v>0</v>
      </c>
      <c r="AQ1338">
        <v>0</v>
      </c>
      <c r="AR1338">
        <v>0</v>
      </c>
      <c r="AS1338">
        <v>0</v>
      </c>
      <c r="AT1338">
        <v>0</v>
      </c>
      <c r="AU1338">
        <v>0</v>
      </c>
      <c r="AV1338">
        <v>0</v>
      </c>
      <c r="AW1338">
        <v>0</v>
      </c>
      <c r="AX1338">
        <v>0</v>
      </c>
      <c r="AY1338">
        <v>0</v>
      </c>
      <c r="AZ1338">
        <v>0</v>
      </c>
      <c r="BA1338">
        <v>0</v>
      </c>
      <c r="BB1338">
        <v>0</v>
      </c>
      <c r="BC1338">
        <v>0</v>
      </c>
      <c r="BD1338">
        <v>0</v>
      </c>
      <c r="BE1338">
        <v>0</v>
      </c>
      <c r="BF1338">
        <v>0</v>
      </c>
      <c r="BG1338">
        <v>0</v>
      </c>
      <c r="BH1338">
        <v>1</v>
      </c>
      <c r="BI1338">
        <v>1</v>
      </c>
      <c r="BJ1338">
        <v>0.2</v>
      </c>
      <c r="BK1338">
        <v>1</v>
      </c>
      <c r="BL1338" s="4">
        <v>39.42</v>
      </c>
      <c r="BM1338" s="4">
        <v>5.91</v>
      </c>
      <c r="BN1338" s="4">
        <v>45.33</v>
      </c>
      <c r="BO1338" s="4">
        <v>45.33</v>
      </c>
      <c r="BQ1338" t="s">
        <v>147</v>
      </c>
      <c r="BR1338" t="s">
        <v>84</v>
      </c>
      <c r="BS1338" s="3">
        <v>43812</v>
      </c>
      <c r="BT1338" s="5">
        <v>0.33333333333333331</v>
      </c>
      <c r="BU1338" t="s">
        <v>1812</v>
      </c>
      <c r="BV1338" t="s">
        <v>86</v>
      </c>
      <c r="BY1338">
        <v>1200</v>
      </c>
      <c r="CC1338" t="s">
        <v>170</v>
      </c>
      <c r="CD1338">
        <v>1459</v>
      </c>
      <c r="CE1338" t="s">
        <v>88</v>
      </c>
      <c r="CF1338" s="3">
        <v>43816</v>
      </c>
      <c r="CI1338">
        <v>1</v>
      </c>
      <c r="CJ1338">
        <v>1</v>
      </c>
      <c r="CK1338">
        <v>22</v>
      </c>
      <c r="CL1338" t="s">
        <v>89</v>
      </c>
    </row>
    <row r="1339" spans="1:90">
      <c r="A1339" t="s">
        <v>72</v>
      </c>
      <c r="B1339" t="s">
        <v>73</v>
      </c>
      <c r="C1339" t="s">
        <v>74</v>
      </c>
      <c r="E1339" t="str">
        <f>"FES1162727995"</f>
        <v>FES1162727995</v>
      </c>
      <c r="F1339" s="3">
        <v>43811</v>
      </c>
      <c r="G1339">
        <v>202006</v>
      </c>
      <c r="H1339" t="s">
        <v>75</v>
      </c>
      <c r="I1339" t="s">
        <v>76</v>
      </c>
      <c r="J1339" t="s">
        <v>77</v>
      </c>
      <c r="K1339" t="s">
        <v>78</v>
      </c>
      <c r="L1339" t="s">
        <v>138</v>
      </c>
      <c r="M1339" t="s">
        <v>139</v>
      </c>
      <c r="N1339" t="s">
        <v>1580</v>
      </c>
      <c r="O1339" t="s">
        <v>82</v>
      </c>
      <c r="P1339" t="str">
        <f>"21707192398                   "</f>
        <v xml:space="preserve">21707192398                   </v>
      </c>
      <c r="Q1339">
        <v>0</v>
      </c>
      <c r="R1339">
        <v>0</v>
      </c>
      <c r="S1339">
        <v>0</v>
      </c>
      <c r="T1339">
        <v>0</v>
      </c>
      <c r="U1339">
        <v>0</v>
      </c>
      <c r="V1339">
        <v>0</v>
      </c>
      <c r="W1339">
        <v>0</v>
      </c>
      <c r="X1339">
        <v>0</v>
      </c>
      <c r="Y1339">
        <v>0</v>
      </c>
      <c r="Z1339">
        <v>0</v>
      </c>
      <c r="AA1339">
        <v>0</v>
      </c>
      <c r="AB1339">
        <v>0</v>
      </c>
      <c r="AC1339">
        <v>0</v>
      </c>
      <c r="AD1339">
        <v>0</v>
      </c>
      <c r="AE1339">
        <v>0</v>
      </c>
      <c r="AF1339">
        <v>0</v>
      </c>
      <c r="AG1339">
        <v>0</v>
      </c>
      <c r="AH1339">
        <v>0</v>
      </c>
      <c r="AI1339">
        <v>0</v>
      </c>
      <c r="AJ1339">
        <v>0</v>
      </c>
      <c r="AK1339">
        <v>0</v>
      </c>
      <c r="AL1339">
        <v>0</v>
      </c>
      <c r="AM1339">
        <v>6.71</v>
      </c>
      <c r="AN1339">
        <v>0</v>
      </c>
      <c r="AO1339">
        <v>0</v>
      </c>
      <c r="AP1339">
        <v>0</v>
      </c>
      <c r="AQ1339">
        <v>0</v>
      </c>
      <c r="AR1339">
        <v>0</v>
      </c>
      <c r="AS1339">
        <v>0</v>
      </c>
      <c r="AT1339">
        <v>0</v>
      </c>
      <c r="AU1339">
        <v>0</v>
      </c>
      <c r="AV1339">
        <v>0</v>
      </c>
      <c r="AW1339">
        <v>0</v>
      </c>
      <c r="AX1339">
        <v>0</v>
      </c>
      <c r="AY1339">
        <v>0</v>
      </c>
      <c r="AZ1339">
        <v>0</v>
      </c>
      <c r="BA1339">
        <v>0</v>
      </c>
      <c r="BB1339">
        <v>0</v>
      </c>
      <c r="BC1339">
        <v>0</v>
      </c>
      <c r="BD1339">
        <v>0</v>
      </c>
      <c r="BE1339">
        <v>0</v>
      </c>
      <c r="BF1339">
        <v>0</v>
      </c>
      <c r="BG1339">
        <v>0</v>
      </c>
      <c r="BH1339">
        <v>1</v>
      </c>
      <c r="BI1339">
        <v>1</v>
      </c>
      <c r="BJ1339">
        <v>0.2</v>
      </c>
      <c r="BK1339">
        <v>1</v>
      </c>
      <c r="BL1339" s="4">
        <v>39.42</v>
      </c>
      <c r="BM1339" s="4">
        <v>5.91</v>
      </c>
      <c r="BN1339" s="4">
        <v>45.33</v>
      </c>
      <c r="BO1339" s="4">
        <v>45.33</v>
      </c>
      <c r="BQ1339" t="s">
        <v>256</v>
      </c>
      <c r="BR1339" t="s">
        <v>84</v>
      </c>
      <c r="BS1339" s="3">
        <v>43812</v>
      </c>
      <c r="BT1339" s="5">
        <v>0.32083333333333336</v>
      </c>
      <c r="BU1339" t="s">
        <v>1813</v>
      </c>
      <c r="BV1339" t="s">
        <v>86</v>
      </c>
      <c r="BY1339">
        <v>1200</v>
      </c>
      <c r="CA1339" t="s">
        <v>314</v>
      </c>
      <c r="CC1339" t="s">
        <v>139</v>
      </c>
      <c r="CD1339">
        <v>1406</v>
      </c>
      <c r="CE1339" t="s">
        <v>88</v>
      </c>
      <c r="CI1339">
        <v>1</v>
      </c>
      <c r="CJ1339">
        <v>1</v>
      </c>
      <c r="CK1339">
        <v>22</v>
      </c>
      <c r="CL1339" t="s">
        <v>89</v>
      </c>
    </row>
    <row r="1340" spans="1:90">
      <c r="A1340" t="s">
        <v>72</v>
      </c>
      <c r="B1340" t="s">
        <v>73</v>
      </c>
      <c r="C1340" t="s">
        <v>74</v>
      </c>
      <c r="E1340" t="str">
        <f>"FES1162728254"</f>
        <v>FES1162728254</v>
      </c>
      <c r="F1340" s="3">
        <v>43811</v>
      </c>
      <c r="G1340">
        <v>202006</v>
      </c>
      <c r="H1340" t="s">
        <v>75</v>
      </c>
      <c r="I1340" t="s">
        <v>76</v>
      </c>
      <c r="J1340" t="s">
        <v>77</v>
      </c>
      <c r="K1340" t="s">
        <v>78</v>
      </c>
      <c r="L1340" t="s">
        <v>1051</v>
      </c>
      <c r="M1340" t="s">
        <v>1052</v>
      </c>
      <c r="N1340" t="s">
        <v>1055</v>
      </c>
      <c r="O1340" t="s">
        <v>82</v>
      </c>
      <c r="P1340" t="str">
        <f>"2170716670                    "</f>
        <v xml:space="preserve">2170716670                    </v>
      </c>
      <c r="Q1340">
        <v>0</v>
      </c>
      <c r="R1340">
        <v>0</v>
      </c>
      <c r="S1340">
        <v>0</v>
      </c>
      <c r="T1340">
        <v>0</v>
      </c>
      <c r="U1340">
        <v>0</v>
      </c>
      <c r="V1340">
        <v>0</v>
      </c>
      <c r="W1340">
        <v>0</v>
      </c>
      <c r="X1340">
        <v>0</v>
      </c>
      <c r="Y1340">
        <v>0</v>
      </c>
      <c r="Z1340">
        <v>0</v>
      </c>
      <c r="AA1340">
        <v>0</v>
      </c>
      <c r="AB1340">
        <v>0</v>
      </c>
      <c r="AC1340">
        <v>0</v>
      </c>
      <c r="AD1340">
        <v>0</v>
      </c>
      <c r="AE1340">
        <v>0</v>
      </c>
      <c r="AF1340">
        <v>0</v>
      </c>
      <c r="AG1340">
        <v>0</v>
      </c>
      <c r="AH1340">
        <v>0</v>
      </c>
      <c r="AI1340">
        <v>0</v>
      </c>
      <c r="AJ1340">
        <v>0</v>
      </c>
      <c r="AK1340">
        <v>0</v>
      </c>
      <c r="AL1340">
        <v>0</v>
      </c>
      <c r="AM1340">
        <v>12.07</v>
      </c>
      <c r="AN1340">
        <v>0</v>
      </c>
      <c r="AO1340">
        <v>0</v>
      </c>
      <c r="AP1340">
        <v>0</v>
      </c>
      <c r="AQ1340">
        <v>0</v>
      </c>
      <c r="AR1340">
        <v>0</v>
      </c>
      <c r="AS1340">
        <v>0</v>
      </c>
      <c r="AT1340">
        <v>0</v>
      </c>
      <c r="AU1340">
        <v>0</v>
      </c>
      <c r="AV1340">
        <v>0</v>
      </c>
      <c r="AW1340">
        <v>0</v>
      </c>
      <c r="AX1340">
        <v>0</v>
      </c>
      <c r="AY1340">
        <v>0</v>
      </c>
      <c r="AZ1340">
        <v>0</v>
      </c>
      <c r="BA1340">
        <v>0</v>
      </c>
      <c r="BB1340">
        <v>0</v>
      </c>
      <c r="BC1340">
        <v>0</v>
      </c>
      <c r="BD1340">
        <v>0</v>
      </c>
      <c r="BE1340">
        <v>0</v>
      </c>
      <c r="BF1340">
        <v>0</v>
      </c>
      <c r="BG1340">
        <v>0</v>
      </c>
      <c r="BH1340">
        <v>1</v>
      </c>
      <c r="BI1340">
        <v>1</v>
      </c>
      <c r="BJ1340">
        <v>0.2</v>
      </c>
      <c r="BK1340">
        <v>1</v>
      </c>
      <c r="BL1340" s="4">
        <v>70.95</v>
      </c>
      <c r="BM1340" s="4">
        <v>10.64</v>
      </c>
      <c r="BN1340" s="4">
        <v>81.59</v>
      </c>
      <c r="BO1340" s="4">
        <v>81.59</v>
      </c>
      <c r="BQ1340" t="s">
        <v>147</v>
      </c>
      <c r="BR1340" t="s">
        <v>84</v>
      </c>
      <c r="BS1340" s="3">
        <v>43812</v>
      </c>
      <c r="BT1340" s="5">
        <v>0.45833333333333331</v>
      </c>
      <c r="BU1340" t="s">
        <v>1814</v>
      </c>
      <c r="BV1340" t="s">
        <v>86</v>
      </c>
      <c r="BY1340">
        <v>1200</v>
      </c>
      <c r="CC1340" t="s">
        <v>1052</v>
      </c>
      <c r="CD1340">
        <v>1739</v>
      </c>
      <c r="CE1340" t="s">
        <v>88</v>
      </c>
      <c r="CF1340" s="3">
        <v>43816</v>
      </c>
      <c r="CI1340">
        <v>1</v>
      </c>
      <c r="CJ1340">
        <v>1</v>
      </c>
      <c r="CK1340">
        <v>24</v>
      </c>
      <c r="CL1340" t="s">
        <v>89</v>
      </c>
    </row>
    <row r="1341" spans="1:90">
      <c r="A1341" t="s">
        <v>72</v>
      </c>
      <c r="B1341" t="s">
        <v>73</v>
      </c>
      <c r="C1341" t="s">
        <v>74</v>
      </c>
      <c r="E1341" t="str">
        <f>"FES1162728280"</f>
        <v>FES1162728280</v>
      </c>
      <c r="F1341" s="3">
        <v>43811</v>
      </c>
      <c r="G1341">
        <v>202006</v>
      </c>
      <c r="H1341" t="s">
        <v>75</v>
      </c>
      <c r="I1341" t="s">
        <v>76</v>
      </c>
      <c r="J1341" t="s">
        <v>77</v>
      </c>
      <c r="K1341" t="s">
        <v>78</v>
      </c>
      <c r="L1341" t="s">
        <v>332</v>
      </c>
      <c r="M1341" t="s">
        <v>333</v>
      </c>
      <c r="N1341" t="s">
        <v>1756</v>
      </c>
      <c r="O1341" t="s">
        <v>82</v>
      </c>
      <c r="P1341" t="str">
        <f>"2170716253                    "</f>
        <v xml:space="preserve">2170716253                    </v>
      </c>
      <c r="Q1341">
        <v>0</v>
      </c>
      <c r="R1341">
        <v>0</v>
      </c>
      <c r="S1341">
        <v>0</v>
      </c>
      <c r="T1341">
        <v>0</v>
      </c>
      <c r="U1341">
        <v>0</v>
      </c>
      <c r="V1341">
        <v>0</v>
      </c>
      <c r="W1341">
        <v>0</v>
      </c>
      <c r="X1341">
        <v>0</v>
      </c>
      <c r="Y1341">
        <v>0</v>
      </c>
      <c r="Z1341">
        <v>0</v>
      </c>
      <c r="AA1341">
        <v>0</v>
      </c>
      <c r="AB1341">
        <v>0</v>
      </c>
      <c r="AC1341">
        <v>0</v>
      </c>
      <c r="AD1341">
        <v>0</v>
      </c>
      <c r="AE1341">
        <v>0</v>
      </c>
      <c r="AF1341">
        <v>0</v>
      </c>
      <c r="AG1341">
        <v>0</v>
      </c>
      <c r="AH1341">
        <v>0</v>
      </c>
      <c r="AI1341">
        <v>0</v>
      </c>
      <c r="AJ1341">
        <v>0</v>
      </c>
      <c r="AK1341">
        <v>0</v>
      </c>
      <c r="AL1341">
        <v>0</v>
      </c>
      <c r="AM1341">
        <v>6.71</v>
      </c>
      <c r="AN1341">
        <v>0</v>
      </c>
      <c r="AO1341">
        <v>0</v>
      </c>
      <c r="AP1341">
        <v>0</v>
      </c>
      <c r="AQ1341">
        <v>0</v>
      </c>
      <c r="AR1341">
        <v>0</v>
      </c>
      <c r="AS1341">
        <v>0</v>
      </c>
      <c r="AT1341">
        <v>0</v>
      </c>
      <c r="AU1341">
        <v>0</v>
      </c>
      <c r="AV1341">
        <v>0</v>
      </c>
      <c r="AW1341">
        <v>0</v>
      </c>
      <c r="AX1341">
        <v>0</v>
      </c>
      <c r="AY1341">
        <v>0</v>
      </c>
      <c r="AZ1341">
        <v>0</v>
      </c>
      <c r="BA1341">
        <v>0</v>
      </c>
      <c r="BB1341">
        <v>0</v>
      </c>
      <c r="BC1341">
        <v>0</v>
      </c>
      <c r="BD1341">
        <v>0</v>
      </c>
      <c r="BE1341">
        <v>0</v>
      </c>
      <c r="BF1341">
        <v>0</v>
      </c>
      <c r="BG1341">
        <v>0</v>
      </c>
      <c r="BH1341">
        <v>1</v>
      </c>
      <c r="BI1341">
        <v>1.6</v>
      </c>
      <c r="BJ1341">
        <v>0.9</v>
      </c>
      <c r="BK1341">
        <v>2</v>
      </c>
      <c r="BL1341" s="4">
        <v>39.42</v>
      </c>
      <c r="BM1341" s="4">
        <v>5.91</v>
      </c>
      <c r="BN1341" s="4">
        <v>45.33</v>
      </c>
      <c r="BO1341" s="4">
        <v>45.33</v>
      </c>
      <c r="BQ1341" t="s">
        <v>135</v>
      </c>
      <c r="BR1341" t="s">
        <v>84</v>
      </c>
      <c r="BS1341" s="3">
        <v>43812</v>
      </c>
      <c r="BT1341" s="5">
        <v>0.33333333333333331</v>
      </c>
      <c r="BU1341" t="s">
        <v>1757</v>
      </c>
      <c r="BV1341" t="s">
        <v>86</v>
      </c>
      <c r="BY1341">
        <v>4582.1499999999996</v>
      </c>
      <c r="CC1341" t="s">
        <v>333</v>
      </c>
      <c r="CD1341">
        <v>2013</v>
      </c>
      <c r="CE1341" t="s">
        <v>96</v>
      </c>
      <c r="CF1341" s="3">
        <v>43816</v>
      </c>
      <c r="CI1341">
        <v>1</v>
      </c>
      <c r="CJ1341">
        <v>1</v>
      </c>
      <c r="CK1341">
        <v>22</v>
      </c>
      <c r="CL1341" t="s">
        <v>89</v>
      </c>
    </row>
    <row r="1342" spans="1:90">
      <c r="A1342" t="s">
        <v>72</v>
      </c>
      <c r="B1342" t="s">
        <v>73</v>
      </c>
      <c r="C1342" t="s">
        <v>74</v>
      </c>
      <c r="E1342" t="str">
        <f>"FES1162728285"</f>
        <v>FES1162728285</v>
      </c>
      <c r="F1342" s="3">
        <v>43811</v>
      </c>
      <c r="G1342">
        <v>202006</v>
      </c>
      <c r="H1342" t="s">
        <v>75</v>
      </c>
      <c r="I1342" t="s">
        <v>76</v>
      </c>
      <c r="J1342" t="s">
        <v>77</v>
      </c>
      <c r="K1342" t="s">
        <v>78</v>
      </c>
      <c r="L1342" t="s">
        <v>90</v>
      </c>
      <c r="M1342" t="s">
        <v>91</v>
      </c>
      <c r="N1342" t="s">
        <v>1815</v>
      </c>
      <c r="O1342" t="s">
        <v>82</v>
      </c>
      <c r="P1342" t="str">
        <f>"217071628                     "</f>
        <v xml:space="preserve">217071628                     </v>
      </c>
      <c r="Q1342">
        <v>0</v>
      </c>
      <c r="R1342">
        <v>0</v>
      </c>
      <c r="S1342">
        <v>0</v>
      </c>
      <c r="T1342">
        <v>0</v>
      </c>
      <c r="U1342">
        <v>0</v>
      </c>
      <c r="V1342">
        <v>0</v>
      </c>
      <c r="W1342">
        <v>0</v>
      </c>
      <c r="X1342">
        <v>0</v>
      </c>
      <c r="Y1342">
        <v>0</v>
      </c>
      <c r="Z1342">
        <v>0</v>
      </c>
      <c r="AA1342">
        <v>0</v>
      </c>
      <c r="AB1342">
        <v>0</v>
      </c>
      <c r="AC1342">
        <v>0</v>
      </c>
      <c r="AD1342">
        <v>0</v>
      </c>
      <c r="AE1342">
        <v>0</v>
      </c>
      <c r="AF1342">
        <v>0</v>
      </c>
      <c r="AG1342">
        <v>0</v>
      </c>
      <c r="AH1342">
        <v>0</v>
      </c>
      <c r="AI1342">
        <v>0</v>
      </c>
      <c r="AJ1342">
        <v>0</v>
      </c>
      <c r="AK1342">
        <v>0</v>
      </c>
      <c r="AL1342">
        <v>0</v>
      </c>
      <c r="AM1342">
        <v>23.59</v>
      </c>
      <c r="AN1342">
        <v>0</v>
      </c>
      <c r="AO1342">
        <v>0</v>
      </c>
      <c r="AP1342">
        <v>0</v>
      </c>
      <c r="AQ1342">
        <v>0</v>
      </c>
      <c r="AR1342">
        <v>0</v>
      </c>
      <c r="AS1342">
        <v>0</v>
      </c>
      <c r="AT1342">
        <v>0</v>
      </c>
      <c r="AU1342">
        <v>0</v>
      </c>
      <c r="AV1342">
        <v>0</v>
      </c>
      <c r="AW1342">
        <v>0</v>
      </c>
      <c r="AX1342">
        <v>0</v>
      </c>
      <c r="AY1342">
        <v>0</v>
      </c>
      <c r="AZ1342">
        <v>0</v>
      </c>
      <c r="BA1342">
        <v>0</v>
      </c>
      <c r="BB1342">
        <v>0</v>
      </c>
      <c r="BC1342">
        <v>0</v>
      </c>
      <c r="BD1342">
        <v>0</v>
      </c>
      <c r="BE1342">
        <v>0</v>
      </c>
      <c r="BF1342">
        <v>0</v>
      </c>
      <c r="BG1342">
        <v>0</v>
      </c>
      <c r="BH1342">
        <v>1</v>
      </c>
      <c r="BI1342">
        <v>5.0999999999999996</v>
      </c>
      <c r="BJ1342">
        <v>1.4</v>
      </c>
      <c r="BK1342">
        <v>5.5</v>
      </c>
      <c r="BL1342" s="4">
        <v>138.68</v>
      </c>
      <c r="BM1342" s="4">
        <v>20.8</v>
      </c>
      <c r="BN1342" s="4">
        <v>159.47999999999999</v>
      </c>
      <c r="BO1342" s="4">
        <v>159.47999999999999</v>
      </c>
      <c r="BQ1342" t="s">
        <v>135</v>
      </c>
      <c r="BR1342" t="s">
        <v>84</v>
      </c>
      <c r="BS1342" s="3">
        <v>43812</v>
      </c>
      <c r="BT1342" s="5">
        <v>0.35416666666666669</v>
      </c>
      <c r="BU1342" t="s">
        <v>1816</v>
      </c>
      <c r="BV1342" t="s">
        <v>86</v>
      </c>
      <c r="BY1342">
        <v>6947.12</v>
      </c>
      <c r="CA1342" t="s">
        <v>145</v>
      </c>
      <c r="CC1342" t="s">
        <v>91</v>
      </c>
      <c r="CD1342">
        <v>7441</v>
      </c>
      <c r="CE1342" t="s">
        <v>96</v>
      </c>
      <c r="CF1342" s="3">
        <v>43816</v>
      </c>
      <c r="CI1342">
        <v>1</v>
      </c>
      <c r="CJ1342">
        <v>1</v>
      </c>
      <c r="CK1342">
        <v>21</v>
      </c>
      <c r="CL1342" t="s">
        <v>89</v>
      </c>
    </row>
    <row r="1343" spans="1:90">
      <c r="A1343" t="s">
        <v>72</v>
      </c>
      <c r="B1343" t="s">
        <v>73</v>
      </c>
      <c r="C1343" t="s">
        <v>74</v>
      </c>
      <c r="E1343" t="str">
        <f>"FES1162728172"</f>
        <v>FES1162728172</v>
      </c>
      <c r="F1343" s="3">
        <v>43811</v>
      </c>
      <c r="G1343">
        <v>202006</v>
      </c>
      <c r="H1343" t="s">
        <v>75</v>
      </c>
      <c r="I1343" t="s">
        <v>76</v>
      </c>
      <c r="J1343" t="s">
        <v>77</v>
      </c>
      <c r="K1343" t="s">
        <v>78</v>
      </c>
      <c r="L1343" t="s">
        <v>75</v>
      </c>
      <c r="M1343" t="s">
        <v>76</v>
      </c>
      <c r="N1343" t="s">
        <v>1817</v>
      </c>
      <c r="O1343" t="s">
        <v>82</v>
      </c>
      <c r="P1343" t="str">
        <f>"21707143932                   "</f>
        <v xml:space="preserve">21707143932                   </v>
      </c>
      <c r="Q1343">
        <v>0</v>
      </c>
      <c r="R1343">
        <v>0</v>
      </c>
      <c r="S1343">
        <v>0</v>
      </c>
      <c r="T1343">
        <v>0</v>
      </c>
      <c r="U1343">
        <v>0</v>
      </c>
      <c r="V1343">
        <v>0</v>
      </c>
      <c r="W1343">
        <v>0</v>
      </c>
      <c r="X1343">
        <v>0</v>
      </c>
      <c r="Y1343">
        <v>0</v>
      </c>
      <c r="Z1343">
        <v>0</v>
      </c>
      <c r="AA1343">
        <v>0</v>
      </c>
      <c r="AB1343">
        <v>0</v>
      </c>
      <c r="AC1343">
        <v>0</v>
      </c>
      <c r="AD1343">
        <v>0</v>
      </c>
      <c r="AE1343">
        <v>0</v>
      </c>
      <c r="AF1343">
        <v>0</v>
      </c>
      <c r="AG1343">
        <v>0</v>
      </c>
      <c r="AH1343">
        <v>0</v>
      </c>
      <c r="AI1343">
        <v>0</v>
      </c>
      <c r="AJ1343">
        <v>0</v>
      </c>
      <c r="AK1343">
        <v>0</v>
      </c>
      <c r="AL1343">
        <v>0</v>
      </c>
      <c r="AM1343">
        <v>6.71</v>
      </c>
      <c r="AN1343">
        <v>0</v>
      </c>
      <c r="AO1343">
        <v>0</v>
      </c>
      <c r="AP1343">
        <v>0</v>
      </c>
      <c r="AQ1343">
        <v>0</v>
      </c>
      <c r="AR1343">
        <v>0</v>
      </c>
      <c r="AS1343">
        <v>0</v>
      </c>
      <c r="AT1343">
        <v>0</v>
      </c>
      <c r="AU1343">
        <v>0</v>
      </c>
      <c r="AV1343">
        <v>0</v>
      </c>
      <c r="AW1343">
        <v>0</v>
      </c>
      <c r="AX1343">
        <v>0</v>
      </c>
      <c r="AY1343">
        <v>0</v>
      </c>
      <c r="AZ1343">
        <v>0</v>
      </c>
      <c r="BA1343">
        <v>0</v>
      </c>
      <c r="BB1343">
        <v>0</v>
      </c>
      <c r="BC1343">
        <v>0</v>
      </c>
      <c r="BD1343">
        <v>0</v>
      </c>
      <c r="BE1343">
        <v>0</v>
      </c>
      <c r="BF1343">
        <v>0</v>
      </c>
      <c r="BG1343">
        <v>0</v>
      </c>
      <c r="BH1343">
        <v>1</v>
      </c>
      <c r="BI1343">
        <v>1</v>
      </c>
      <c r="BJ1343">
        <v>0.2</v>
      </c>
      <c r="BK1343">
        <v>1</v>
      </c>
      <c r="BL1343" s="4">
        <v>39.42</v>
      </c>
      <c r="BM1343" s="4">
        <v>5.91</v>
      </c>
      <c r="BN1343" s="4">
        <v>45.33</v>
      </c>
      <c r="BO1343" s="4">
        <v>45.33</v>
      </c>
      <c r="BR1343" t="s">
        <v>84</v>
      </c>
      <c r="BS1343" s="3">
        <v>43812</v>
      </c>
      <c r="BT1343" s="5">
        <v>0.30902777777777779</v>
      </c>
      <c r="BU1343" t="s">
        <v>1818</v>
      </c>
      <c r="BV1343" t="s">
        <v>86</v>
      </c>
      <c r="BY1343">
        <v>1200</v>
      </c>
      <c r="CA1343" t="s">
        <v>588</v>
      </c>
      <c r="CC1343" t="s">
        <v>76</v>
      </c>
      <c r="CD1343">
        <v>1600</v>
      </c>
      <c r="CE1343" t="s">
        <v>88</v>
      </c>
      <c r="CF1343" s="3">
        <v>43816</v>
      </c>
      <c r="CI1343">
        <v>1</v>
      </c>
      <c r="CJ1343">
        <v>1</v>
      </c>
      <c r="CK1343">
        <v>22</v>
      </c>
      <c r="CL1343" t="s">
        <v>89</v>
      </c>
    </row>
    <row r="1344" spans="1:90">
      <c r="A1344" t="s">
        <v>72</v>
      </c>
      <c r="B1344" t="s">
        <v>73</v>
      </c>
      <c r="C1344" t="s">
        <v>74</v>
      </c>
      <c r="E1344" t="str">
        <f>"FES1162728114"</f>
        <v>FES1162728114</v>
      </c>
      <c r="F1344" s="3">
        <v>43811</v>
      </c>
      <c r="G1344">
        <v>202006</v>
      </c>
      <c r="H1344" t="s">
        <v>75</v>
      </c>
      <c r="I1344" t="s">
        <v>76</v>
      </c>
      <c r="J1344" t="s">
        <v>77</v>
      </c>
      <c r="K1344" t="s">
        <v>78</v>
      </c>
      <c r="L1344" t="s">
        <v>75</v>
      </c>
      <c r="M1344" t="s">
        <v>76</v>
      </c>
      <c r="N1344" t="s">
        <v>1819</v>
      </c>
      <c r="O1344" t="s">
        <v>82</v>
      </c>
      <c r="P1344" t="str">
        <f>"2170718651                    "</f>
        <v xml:space="preserve">2170718651                    </v>
      </c>
      <c r="Q1344">
        <v>0</v>
      </c>
      <c r="R1344">
        <v>0</v>
      </c>
      <c r="S1344">
        <v>0</v>
      </c>
      <c r="T1344">
        <v>0</v>
      </c>
      <c r="U1344">
        <v>0</v>
      </c>
      <c r="V1344">
        <v>0</v>
      </c>
      <c r="W1344">
        <v>0</v>
      </c>
      <c r="X1344">
        <v>0</v>
      </c>
      <c r="Y1344">
        <v>0</v>
      </c>
      <c r="Z1344">
        <v>0</v>
      </c>
      <c r="AA1344">
        <v>0</v>
      </c>
      <c r="AB1344">
        <v>0</v>
      </c>
      <c r="AC1344">
        <v>0</v>
      </c>
      <c r="AD1344">
        <v>0</v>
      </c>
      <c r="AE1344">
        <v>0</v>
      </c>
      <c r="AF1344">
        <v>0</v>
      </c>
      <c r="AG1344">
        <v>0</v>
      </c>
      <c r="AH1344">
        <v>0</v>
      </c>
      <c r="AI1344">
        <v>0</v>
      </c>
      <c r="AJ1344">
        <v>0</v>
      </c>
      <c r="AK1344">
        <v>0</v>
      </c>
      <c r="AL1344">
        <v>0</v>
      </c>
      <c r="AM1344">
        <v>6.71</v>
      </c>
      <c r="AN1344">
        <v>0</v>
      </c>
      <c r="AO1344">
        <v>0</v>
      </c>
      <c r="AP1344">
        <v>0</v>
      </c>
      <c r="AQ1344">
        <v>0</v>
      </c>
      <c r="AR1344">
        <v>0</v>
      </c>
      <c r="AS1344">
        <v>0</v>
      </c>
      <c r="AT1344">
        <v>0</v>
      </c>
      <c r="AU1344">
        <v>0</v>
      </c>
      <c r="AV1344">
        <v>0</v>
      </c>
      <c r="AW1344">
        <v>0</v>
      </c>
      <c r="AX1344">
        <v>0</v>
      </c>
      <c r="AY1344">
        <v>0</v>
      </c>
      <c r="AZ1344">
        <v>0</v>
      </c>
      <c r="BA1344">
        <v>0</v>
      </c>
      <c r="BB1344">
        <v>0</v>
      </c>
      <c r="BC1344">
        <v>0</v>
      </c>
      <c r="BD1344">
        <v>0</v>
      </c>
      <c r="BE1344">
        <v>0</v>
      </c>
      <c r="BF1344">
        <v>0</v>
      </c>
      <c r="BG1344">
        <v>0</v>
      </c>
      <c r="BH1344">
        <v>1</v>
      </c>
      <c r="BI1344">
        <v>1</v>
      </c>
      <c r="BJ1344">
        <v>0.2</v>
      </c>
      <c r="BK1344">
        <v>1</v>
      </c>
      <c r="BL1344" s="4">
        <v>39.42</v>
      </c>
      <c r="BM1344" s="4">
        <v>5.91</v>
      </c>
      <c r="BN1344" s="4">
        <v>45.33</v>
      </c>
      <c r="BO1344" s="4">
        <v>45.33</v>
      </c>
      <c r="BR1344" t="s">
        <v>84</v>
      </c>
      <c r="BS1344" s="3">
        <v>43812</v>
      </c>
      <c r="BT1344" s="5">
        <v>0.39583333333333331</v>
      </c>
      <c r="BU1344" t="s">
        <v>1820</v>
      </c>
      <c r="BV1344" t="s">
        <v>86</v>
      </c>
      <c r="BY1344">
        <v>1200</v>
      </c>
      <c r="CA1344" t="s">
        <v>588</v>
      </c>
      <c r="CC1344" t="s">
        <v>76</v>
      </c>
      <c r="CD1344">
        <v>1624</v>
      </c>
      <c r="CE1344" t="s">
        <v>88</v>
      </c>
      <c r="CF1344" s="3">
        <v>43816</v>
      </c>
      <c r="CI1344">
        <v>1</v>
      </c>
      <c r="CJ1344">
        <v>1</v>
      </c>
      <c r="CK1344">
        <v>22</v>
      </c>
      <c r="CL1344" t="s">
        <v>89</v>
      </c>
    </row>
    <row r="1345" spans="1:90">
      <c r="A1345" t="s">
        <v>72</v>
      </c>
      <c r="B1345" t="s">
        <v>73</v>
      </c>
      <c r="C1345" t="s">
        <v>74</v>
      </c>
      <c r="E1345" t="str">
        <f>"FES1162728276"</f>
        <v>FES1162728276</v>
      </c>
      <c r="F1345" s="3">
        <v>43811</v>
      </c>
      <c r="G1345">
        <v>202006</v>
      </c>
      <c r="H1345" t="s">
        <v>75</v>
      </c>
      <c r="I1345" t="s">
        <v>76</v>
      </c>
      <c r="J1345" t="s">
        <v>77</v>
      </c>
      <c r="K1345" t="s">
        <v>78</v>
      </c>
      <c r="L1345" t="s">
        <v>860</v>
      </c>
      <c r="M1345" t="s">
        <v>861</v>
      </c>
      <c r="N1345" t="s">
        <v>862</v>
      </c>
      <c r="O1345" t="s">
        <v>82</v>
      </c>
      <c r="P1345" t="str">
        <f>"2170716161                    "</f>
        <v xml:space="preserve">2170716161                    </v>
      </c>
      <c r="Q1345">
        <v>0</v>
      </c>
      <c r="R1345">
        <v>0</v>
      </c>
      <c r="S1345">
        <v>0</v>
      </c>
      <c r="T1345">
        <v>0</v>
      </c>
      <c r="U1345">
        <v>0</v>
      </c>
      <c r="V1345">
        <v>0</v>
      </c>
      <c r="W1345">
        <v>0</v>
      </c>
      <c r="X1345">
        <v>0</v>
      </c>
      <c r="Y1345">
        <v>0</v>
      </c>
      <c r="Z1345">
        <v>0</v>
      </c>
      <c r="AA1345">
        <v>0</v>
      </c>
      <c r="AB1345">
        <v>0</v>
      </c>
      <c r="AC1345">
        <v>0</v>
      </c>
      <c r="AD1345">
        <v>0</v>
      </c>
      <c r="AE1345">
        <v>0</v>
      </c>
      <c r="AF1345">
        <v>0</v>
      </c>
      <c r="AG1345">
        <v>0</v>
      </c>
      <c r="AH1345">
        <v>0</v>
      </c>
      <c r="AI1345">
        <v>0</v>
      </c>
      <c r="AJ1345">
        <v>0</v>
      </c>
      <c r="AK1345">
        <v>0</v>
      </c>
      <c r="AL1345">
        <v>0</v>
      </c>
      <c r="AM1345">
        <v>6.71</v>
      </c>
      <c r="AN1345">
        <v>0</v>
      </c>
      <c r="AO1345">
        <v>0</v>
      </c>
      <c r="AP1345">
        <v>0</v>
      </c>
      <c r="AQ1345">
        <v>0</v>
      </c>
      <c r="AR1345">
        <v>0</v>
      </c>
      <c r="AS1345">
        <v>0</v>
      </c>
      <c r="AT1345">
        <v>0</v>
      </c>
      <c r="AU1345">
        <v>0</v>
      </c>
      <c r="AV1345">
        <v>0</v>
      </c>
      <c r="AW1345">
        <v>0</v>
      </c>
      <c r="AX1345">
        <v>0</v>
      </c>
      <c r="AY1345">
        <v>0</v>
      </c>
      <c r="AZ1345">
        <v>0</v>
      </c>
      <c r="BA1345">
        <v>0</v>
      </c>
      <c r="BB1345">
        <v>0</v>
      </c>
      <c r="BC1345">
        <v>0</v>
      </c>
      <c r="BD1345">
        <v>0</v>
      </c>
      <c r="BE1345">
        <v>0</v>
      </c>
      <c r="BF1345">
        <v>0</v>
      </c>
      <c r="BG1345">
        <v>0</v>
      </c>
      <c r="BH1345">
        <v>1</v>
      </c>
      <c r="BI1345">
        <v>1</v>
      </c>
      <c r="BJ1345">
        <v>0.2</v>
      </c>
      <c r="BK1345">
        <v>1</v>
      </c>
      <c r="BL1345" s="4">
        <v>39.42</v>
      </c>
      <c r="BM1345" s="4">
        <v>5.91</v>
      </c>
      <c r="BN1345" s="4">
        <v>45.33</v>
      </c>
      <c r="BO1345" s="4">
        <v>45.33</v>
      </c>
      <c r="BQ1345" t="s">
        <v>93</v>
      </c>
      <c r="BR1345" t="s">
        <v>84</v>
      </c>
      <c r="BS1345" s="3">
        <v>43812</v>
      </c>
      <c r="BT1345" s="5">
        <v>0.36805555555555558</v>
      </c>
      <c r="BU1345" t="s">
        <v>1821</v>
      </c>
      <c r="BV1345" t="s">
        <v>86</v>
      </c>
      <c r="BY1345">
        <v>1200</v>
      </c>
      <c r="CC1345" t="s">
        <v>861</v>
      </c>
      <c r="CD1345">
        <v>2162</v>
      </c>
      <c r="CE1345" t="s">
        <v>88</v>
      </c>
      <c r="CF1345" s="3">
        <v>43816</v>
      </c>
      <c r="CI1345">
        <v>1</v>
      </c>
      <c r="CJ1345">
        <v>1</v>
      </c>
      <c r="CK1345">
        <v>22</v>
      </c>
      <c r="CL1345" t="s">
        <v>89</v>
      </c>
    </row>
    <row r="1346" spans="1:90">
      <c r="A1346" t="s">
        <v>72</v>
      </c>
      <c r="B1346" t="s">
        <v>73</v>
      </c>
      <c r="C1346" t="s">
        <v>74</v>
      </c>
      <c r="E1346" t="str">
        <f>"FES1162728224"</f>
        <v>FES1162728224</v>
      </c>
      <c r="F1346" s="3">
        <v>43811</v>
      </c>
      <c r="G1346">
        <v>202006</v>
      </c>
      <c r="H1346" t="s">
        <v>75</v>
      </c>
      <c r="I1346" t="s">
        <v>76</v>
      </c>
      <c r="J1346" t="s">
        <v>77</v>
      </c>
      <c r="K1346" t="s">
        <v>78</v>
      </c>
      <c r="L1346" t="s">
        <v>75</v>
      </c>
      <c r="M1346" t="s">
        <v>76</v>
      </c>
      <c r="N1346" t="s">
        <v>1124</v>
      </c>
      <c r="O1346" t="s">
        <v>82</v>
      </c>
      <c r="P1346" t="str">
        <f>"217071577                     "</f>
        <v xml:space="preserve">217071577                     </v>
      </c>
      <c r="Q1346">
        <v>0</v>
      </c>
      <c r="R1346">
        <v>0</v>
      </c>
      <c r="S1346">
        <v>0</v>
      </c>
      <c r="T1346">
        <v>0</v>
      </c>
      <c r="U1346">
        <v>0</v>
      </c>
      <c r="V1346">
        <v>0</v>
      </c>
      <c r="W1346">
        <v>0</v>
      </c>
      <c r="X1346">
        <v>0</v>
      </c>
      <c r="Y1346">
        <v>0</v>
      </c>
      <c r="Z1346">
        <v>0</v>
      </c>
      <c r="AA1346">
        <v>0</v>
      </c>
      <c r="AB1346">
        <v>0</v>
      </c>
      <c r="AC1346">
        <v>0</v>
      </c>
      <c r="AD1346">
        <v>0</v>
      </c>
      <c r="AE1346">
        <v>0</v>
      </c>
      <c r="AF1346">
        <v>0</v>
      </c>
      <c r="AG1346">
        <v>0</v>
      </c>
      <c r="AH1346">
        <v>0</v>
      </c>
      <c r="AI1346">
        <v>0</v>
      </c>
      <c r="AJ1346">
        <v>0</v>
      </c>
      <c r="AK1346">
        <v>0</v>
      </c>
      <c r="AL1346">
        <v>0</v>
      </c>
      <c r="AM1346">
        <v>6.71</v>
      </c>
      <c r="AN1346">
        <v>0</v>
      </c>
      <c r="AO1346">
        <v>0</v>
      </c>
      <c r="AP1346">
        <v>0</v>
      </c>
      <c r="AQ1346">
        <v>0</v>
      </c>
      <c r="AR1346">
        <v>0</v>
      </c>
      <c r="AS1346">
        <v>0</v>
      </c>
      <c r="AT1346">
        <v>0</v>
      </c>
      <c r="AU1346">
        <v>0</v>
      </c>
      <c r="AV1346">
        <v>0</v>
      </c>
      <c r="AW1346">
        <v>0</v>
      </c>
      <c r="AX1346">
        <v>0</v>
      </c>
      <c r="AY1346">
        <v>0</v>
      </c>
      <c r="AZ1346">
        <v>0</v>
      </c>
      <c r="BA1346">
        <v>0</v>
      </c>
      <c r="BB1346">
        <v>0</v>
      </c>
      <c r="BC1346">
        <v>0</v>
      </c>
      <c r="BD1346">
        <v>0</v>
      </c>
      <c r="BE1346">
        <v>0</v>
      </c>
      <c r="BF1346">
        <v>0</v>
      </c>
      <c r="BG1346">
        <v>0</v>
      </c>
      <c r="BH1346">
        <v>1</v>
      </c>
      <c r="BI1346">
        <v>1</v>
      </c>
      <c r="BJ1346">
        <v>0.2</v>
      </c>
      <c r="BK1346">
        <v>1</v>
      </c>
      <c r="BL1346" s="4">
        <v>39.42</v>
      </c>
      <c r="BM1346" s="4">
        <v>5.91</v>
      </c>
      <c r="BN1346" s="4">
        <v>45.33</v>
      </c>
      <c r="BO1346" s="4">
        <v>45.33</v>
      </c>
      <c r="BR1346" t="s">
        <v>84</v>
      </c>
      <c r="BS1346" s="3">
        <v>43812</v>
      </c>
      <c r="BT1346" s="5">
        <v>0.29652777777777778</v>
      </c>
      <c r="BU1346" t="s">
        <v>1822</v>
      </c>
      <c r="BV1346" t="s">
        <v>86</v>
      </c>
      <c r="BY1346">
        <v>1200</v>
      </c>
      <c r="CA1346" t="s">
        <v>746</v>
      </c>
      <c r="CC1346" t="s">
        <v>76</v>
      </c>
      <c r="CD1346">
        <v>1600</v>
      </c>
      <c r="CE1346" t="s">
        <v>88</v>
      </c>
      <c r="CF1346" s="3">
        <v>43816</v>
      </c>
      <c r="CI1346">
        <v>1</v>
      </c>
      <c r="CJ1346">
        <v>1</v>
      </c>
      <c r="CK1346">
        <v>22</v>
      </c>
      <c r="CL1346" t="s">
        <v>89</v>
      </c>
    </row>
    <row r="1347" spans="1:90">
      <c r="A1347" t="s">
        <v>72</v>
      </c>
      <c r="B1347" t="s">
        <v>73</v>
      </c>
      <c r="C1347" t="s">
        <v>74</v>
      </c>
      <c r="E1347" t="str">
        <f>"FES1162728193"</f>
        <v>FES1162728193</v>
      </c>
      <c r="F1347" s="3">
        <v>43811</v>
      </c>
      <c r="G1347">
        <v>202006</v>
      </c>
      <c r="H1347" t="s">
        <v>75</v>
      </c>
      <c r="I1347" t="s">
        <v>76</v>
      </c>
      <c r="J1347" t="s">
        <v>77</v>
      </c>
      <c r="K1347" t="s">
        <v>78</v>
      </c>
      <c r="L1347" t="s">
        <v>90</v>
      </c>
      <c r="M1347" t="s">
        <v>91</v>
      </c>
      <c r="N1347" t="s">
        <v>389</v>
      </c>
      <c r="O1347" t="s">
        <v>82</v>
      </c>
      <c r="P1347" t="str">
        <f>"2170721528                    "</f>
        <v xml:space="preserve">2170721528                    </v>
      </c>
      <c r="Q1347">
        <v>0</v>
      </c>
      <c r="R1347">
        <v>0</v>
      </c>
      <c r="S1347">
        <v>0</v>
      </c>
      <c r="T1347">
        <v>0</v>
      </c>
      <c r="U1347">
        <v>0</v>
      </c>
      <c r="V1347">
        <v>0</v>
      </c>
      <c r="W1347">
        <v>0</v>
      </c>
      <c r="X1347">
        <v>0</v>
      </c>
      <c r="Y1347">
        <v>0</v>
      </c>
      <c r="Z1347">
        <v>0</v>
      </c>
      <c r="AA1347">
        <v>0</v>
      </c>
      <c r="AB1347">
        <v>0</v>
      </c>
      <c r="AC1347">
        <v>0</v>
      </c>
      <c r="AD1347">
        <v>0</v>
      </c>
      <c r="AE1347">
        <v>0</v>
      </c>
      <c r="AF1347">
        <v>0</v>
      </c>
      <c r="AG1347">
        <v>0</v>
      </c>
      <c r="AH1347">
        <v>0</v>
      </c>
      <c r="AI1347">
        <v>0</v>
      </c>
      <c r="AJ1347">
        <v>0</v>
      </c>
      <c r="AK1347">
        <v>0</v>
      </c>
      <c r="AL1347">
        <v>0</v>
      </c>
      <c r="AM1347">
        <v>36.46</v>
      </c>
      <c r="AN1347">
        <v>0</v>
      </c>
      <c r="AO1347">
        <v>0</v>
      </c>
      <c r="AP1347">
        <v>0</v>
      </c>
      <c r="AQ1347">
        <v>0</v>
      </c>
      <c r="AR1347">
        <v>0</v>
      </c>
      <c r="AS1347">
        <v>0</v>
      </c>
      <c r="AT1347">
        <v>0</v>
      </c>
      <c r="AU1347">
        <v>0</v>
      </c>
      <c r="AV1347">
        <v>0</v>
      </c>
      <c r="AW1347">
        <v>0</v>
      </c>
      <c r="AX1347">
        <v>0</v>
      </c>
      <c r="AY1347">
        <v>0</v>
      </c>
      <c r="AZ1347">
        <v>0</v>
      </c>
      <c r="BA1347">
        <v>0</v>
      </c>
      <c r="BB1347">
        <v>0</v>
      </c>
      <c r="BC1347">
        <v>0</v>
      </c>
      <c r="BD1347">
        <v>0</v>
      </c>
      <c r="BE1347">
        <v>0</v>
      </c>
      <c r="BF1347">
        <v>0</v>
      </c>
      <c r="BG1347">
        <v>0</v>
      </c>
      <c r="BH1347">
        <v>1</v>
      </c>
      <c r="BI1347">
        <v>4.4000000000000004</v>
      </c>
      <c r="BJ1347">
        <v>8.5</v>
      </c>
      <c r="BK1347">
        <v>8.5</v>
      </c>
      <c r="BL1347" s="4">
        <v>214.31</v>
      </c>
      <c r="BM1347" s="4">
        <v>32.15</v>
      </c>
      <c r="BN1347" s="4">
        <v>246.46</v>
      </c>
      <c r="BO1347" s="4">
        <v>246.46</v>
      </c>
      <c r="BQ1347" t="s">
        <v>390</v>
      </c>
      <c r="BR1347" t="s">
        <v>84</v>
      </c>
      <c r="BS1347" s="3">
        <v>43812</v>
      </c>
      <c r="BT1347" s="5">
        <v>0.33888888888888885</v>
      </c>
      <c r="BU1347" t="s">
        <v>391</v>
      </c>
      <c r="BV1347" t="s">
        <v>86</v>
      </c>
      <c r="BY1347">
        <v>42747.26</v>
      </c>
      <c r="CA1347" t="s">
        <v>112</v>
      </c>
      <c r="CC1347" t="s">
        <v>91</v>
      </c>
      <c r="CD1347">
        <v>7405</v>
      </c>
      <c r="CE1347" t="s">
        <v>116</v>
      </c>
      <c r="CF1347" s="3">
        <v>43816</v>
      </c>
      <c r="CI1347">
        <v>1</v>
      </c>
      <c r="CJ1347">
        <v>1</v>
      </c>
      <c r="CK1347">
        <v>21</v>
      </c>
      <c r="CL1347" t="s">
        <v>89</v>
      </c>
    </row>
    <row r="1348" spans="1:90">
      <c r="A1348" t="s">
        <v>72</v>
      </c>
      <c r="B1348" t="s">
        <v>73</v>
      </c>
      <c r="C1348" t="s">
        <v>74</v>
      </c>
      <c r="E1348" t="str">
        <f>"FES1162728227"</f>
        <v>FES1162728227</v>
      </c>
      <c r="F1348" s="3">
        <v>43811</v>
      </c>
      <c r="G1348">
        <v>202006</v>
      </c>
      <c r="H1348" t="s">
        <v>75</v>
      </c>
      <c r="I1348" t="s">
        <v>76</v>
      </c>
      <c r="J1348" t="s">
        <v>77</v>
      </c>
      <c r="K1348" t="s">
        <v>78</v>
      </c>
      <c r="L1348" t="s">
        <v>198</v>
      </c>
      <c r="M1348" t="s">
        <v>199</v>
      </c>
      <c r="N1348" t="s">
        <v>424</v>
      </c>
      <c r="O1348" t="s">
        <v>82</v>
      </c>
      <c r="P1348" t="str">
        <f>"217071582                     "</f>
        <v xml:space="preserve">217071582                     </v>
      </c>
      <c r="Q1348">
        <v>0</v>
      </c>
      <c r="R1348">
        <v>0</v>
      </c>
      <c r="S1348">
        <v>0</v>
      </c>
      <c r="T1348">
        <v>0</v>
      </c>
      <c r="U1348">
        <v>0</v>
      </c>
      <c r="V1348">
        <v>0</v>
      </c>
      <c r="W1348">
        <v>0</v>
      </c>
      <c r="X1348">
        <v>0</v>
      </c>
      <c r="Y1348">
        <v>0</v>
      </c>
      <c r="Z1348">
        <v>0</v>
      </c>
      <c r="AA1348">
        <v>0</v>
      </c>
      <c r="AB1348">
        <v>0</v>
      </c>
      <c r="AC1348">
        <v>0</v>
      </c>
      <c r="AD1348">
        <v>0</v>
      </c>
      <c r="AE1348">
        <v>0</v>
      </c>
      <c r="AF1348">
        <v>0</v>
      </c>
      <c r="AG1348">
        <v>0</v>
      </c>
      <c r="AH1348">
        <v>0</v>
      </c>
      <c r="AI1348">
        <v>0</v>
      </c>
      <c r="AJ1348">
        <v>0</v>
      </c>
      <c r="AK1348">
        <v>0</v>
      </c>
      <c r="AL1348">
        <v>0</v>
      </c>
      <c r="AM1348">
        <v>8.58</v>
      </c>
      <c r="AN1348">
        <v>0</v>
      </c>
      <c r="AO1348">
        <v>0</v>
      </c>
      <c r="AP1348">
        <v>0</v>
      </c>
      <c r="AQ1348">
        <v>0</v>
      </c>
      <c r="AR1348">
        <v>0</v>
      </c>
      <c r="AS1348">
        <v>0</v>
      </c>
      <c r="AT1348">
        <v>0</v>
      </c>
      <c r="AU1348">
        <v>0</v>
      </c>
      <c r="AV1348">
        <v>0</v>
      </c>
      <c r="AW1348">
        <v>0</v>
      </c>
      <c r="AX1348">
        <v>0</v>
      </c>
      <c r="AY1348">
        <v>0</v>
      </c>
      <c r="AZ1348">
        <v>0</v>
      </c>
      <c r="BA1348">
        <v>0</v>
      </c>
      <c r="BB1348">
        <v>0</v>
      </c>
      <c r="BC1348">
        <v>0</v>
      </c>
      <c r="BD1348">
        <v>0</v>
      </c>
      <c r="BE1348">
        <v>0</v>
      </c>
      <c r="BF1348">
        <v>0</v>
      </c>
      <c r="BG1348">
        <v>0</v>
      </c>
      <c r="BH1348">
        <v>1</v>
      </c>
      <c r="BI1348">
        <v>1</v>
      </c>
      <c r="BJ1348">
        <v>0.2</v>
      </c>
      <c r="BK1348">
        <v>1</v>
      </c>
      <c r="BL1348" s="4">
        <v>50.45</v>
      </c>
      <c r="BM1348" s="4">
        <v>7.57</v>
      </c>
      <c r="BN1348" s="4">
        <v>58.02</v>
      </c>
      <c r="BO1348" s="4">
        <v>58.02</v>
      </c>
      <c r="BQ1348" t="s">
        <v>147</v>
      </c>
      <c r="BR1348" t="s">
        <v>84</v>
      </c>
      <c r="BS1348" s="3">
        <v>43812</v>
      </c>
      <c r="BT1348" s="5">
        <v>0.41250000000000003</v>
      </c>
      <c r="BU1348" t="s">
        <v>1823</v>
      </c>
      <c r="BV1348" t="s">
        <v>86</v>
      </c>
      <c r="BY1348">
        <v>1200</v>
      </c>
      <c r="CA1348" t="s">
        <v>212</v>
      </c>
      <c r="CC1348" t="s">
        <v>199</v>
      </c>
      <c r="CD1348">
        <v>4001</v>
      </c>
      <c r="CE1348" t="s">
        <v>88</v>
      </c>
      <c r="CF1348" s="3">
        <v>43816</v>
      </c>
      <c r="CI1348">
        <v>1</v>
      </c>
      <c r="CJ1348">
        <v>1</v>
      </c>
      <c r="CK1348">
        <v>21</v>
      </c>
      <c r="CL1348" t="s">
        <v>89</v>
      </c>
    </row>
    <row r="1349" spans="1:90">
      <c r="A1349" t="s">
        <v>72</v>
      </c>
      <c r="B1349" t="s">
        <v>73</v>
      </c>
      <c r="C1349" t="s">
        <v>74</v>
      </c>
      <c r="E1349" t="str">
        <f>"FES1162728117"</f>
        <v>FES1162728117</v>
      </c>
      <c r="F1349" s="3">
        <v>43811</v>
      </c>
      <c r="G1349">
        <v>202006</v>
      </c>
      <c r="H1349" t="s">
        <v>75</v>
      </c>
      <c r="I1349" t="s">
        <v>76</v>
      </c>
      <c r="J1349" t="s">
        <v>77</v>
      </c>
      <c r="K1349" t="s">
        <v>78</v>
      </c>
      <c r="L1349" t="s">
        <v>198</v>
      </c>
      <c r="M1349" t="s">
        <v>199</v>
      </c>
      <c r="N1349" t="s">
        <v>297</v>
      </c>
      <c r="O1349" t="s">
        <v>82</v>
      </c>
      <c r="P1349" t="str">
        <f>"2170718681                    "</f>
        <v xml:space="preserve">2170718681                    </v>
      </c>
      <c r="Q1349">
        <v>0</v>
      </c>
      <c r="R1349">
        <v>0</v>
      </c>
      <c r="S1349">
        <v>0</v>
      </c>
      <c r="T1349">
        <v>0</v>
      </c>
      <c r="U1349">
        <v>0</v>
      </c>
      <c r="V1349">
        <v>0</v>
      </c>
      <c r="W1349">
        <v>0</v>
      </c>
      <c r="X1349">
        <v>0</v>
      </c>
      <c r="Y1349">
        <v>0</v>
      </c>
      <c r="Z1349">
        <v>0</v>
      </c>
      <c r="AA1349">
        <v>0</v>
      </c>
      <c r="AB1349">
        <v>0</v>
      </c>
      <c r="AC1349">
        <v>0</v>
      </c>
      <c r="AD1349">
        <v>0</v>
      </c>
      <c r="AE1349">
        <v>0</v>
      </c>
      <c r="AF1349">
        <v>0</v>
      </c>
      <c r="AG1349">
        <v>0</v>
      </c>
      <c r="AH1349">
        <v>0</v>
      </c>
      <c r="AI1349">
        <v>0</v>
      </c>
      <c r="AJ1349">
        <v>0</v>
      </c>
      <c r="AK1349">
        <v>0</v>
      </c>
      <c r="AL1349">
        <v>0</v>
      </c>
      <c r="AM1349">
        <v>12.87</v>
      </c>
      <c r="AN1349">
        <v>0</v>
      </c>
      <c r="AO1349">
        <v>0</v>
      </c>
      <c r="AP1349">
        <v>0</v>
      </c>
      <c r="AQ1349">
        <v>0</v>
      </c>
      <c r="AR1349">
        <v>0</v>
      </c>
      <c r="AS1349">
        <v>0</v>
      </c>
      <c r="AT1349">
        <v>0</v>
      </c>
      <c r="AU1349">
        <v>0</v>
      </c>
      <c r="AV1349">
        <v>0</v>
      </c>
      <c r="AW1349">
        <v>0</v>
      </c>
      <c r="AX1349">
        <v>0</v>
      </c>
      <c r="AY1349">
        <v>0</v>
      </c>
      <c r="AZ1349">
        <v>0</v>
      </c>
      <c r="BA1349">
        <v>0</v>
      </c>
      <c r="BB1349">
        <v>0</v>
      </c>
      <c r="BC1349">
        <v>0</v>
      </c>
      <c r="BD1349">
        <v>0</v>
      </c>
      <c r="BE1349">
        <v>0</v>
      </c>
      <c r="BF1349">
        <v>0</v>
      </c>
      <c r="BG1349">
        <v>0</v>
      </c>
      <c r="BH1349">
        <v>1</v>
      </c>
      <c r="BI1349">
        <v>2.7</v>
      </c>
      <c r="BJ1349">
        <v>1</v>
      </c>
      <c r="BK1349">
        <v>3</v>
      </c>
      <c r="BL1349" s="4">
        <v>75.66</v>
      </c>
      <c r="BM1349" s="4">
        <v>11.35</v>
      </c>
      <c r="BN1349" s="4">
        <v>87.01</v>
      </c>
      <c r="BO1349" s="4">
        <v>87.01</v>
      </c>
      <c r="BQ1349" t="s">
        <v>172</v>
      </c>
      <c r="BR1349" t="s">
        <v>84</v>
      </c>
      <c r="BS1349" s="3">
        <v>43812</v>
      </c>
      <c r="BT1349" s="5">
        <v>0.38680555555555557</v>
      </c>
      <c r="BU1349" t="s">
        <v>1666</v>
      </c>
      <c r="BV1349" t="s">
        <v>86</v>
      </c>
      <c r="BY1349">
        <v>4921.5</v>
      </c>
      <c r="CA1349" t="s">
        <v>1667</v>
      </c>
      <c r="CC1349" t="s">
        <v>199</v>
      </c>
      <c r="CD1349">
        <v>4000</v>
      </c>
      <c r="CE1349" t="s">
        <v>96</v>
      </c>
      <c r="CF1349" s="3">
        <v>43816</v>
      </c>
      <c r="CI1349">
        <v>1</v>
      </c>
      <c r="CJ1349">
        <v>1</v>
      </c>
      <c r="CK1349">
        <v>21</v>
      </c>
      <c r="CL1349" t="s">
        <v>89</v>
      </c>
    </row>
    <row r="1350" spans="1:90">
      <c r="A1350" t="s">
        <v>72</v>
      </c>
      <c r="B1350" t="s">
        <v>73</v>
      </c>
      <c r="C1350" t="s">
        <v>74</v>
      </c>
      <c r="E1350" t="str">
        <f>"019911311463"</f>
        <v>019911311463</v>
      </c>
      <c r="F1350" s="3">
        <v>43811</v>
      </c>
      <c r="G1350">
        <v>202006</v>
      </c>
      <c r="H1350" t="s">
        <v>90</v>
      </c>
      <c r="I1350" t="s">
        <v>91</v>
      </c>
      <c r="J1350" t="s">
        <v>100</v>
      </c>
      <c r="K1350" t="s">
        <v>78</v>
      </c>
      <c r="L1350" t="s">
        <v>75</v>
      </c>
      <c r="M1350" t="s">
        <v>76</v>
      </c>
      <c r="N1350" t="s">
        <v>125</v>
      </c>
      <c r="O1350" t="s">
        <v>82</v>
      </c>
      <c r="P1350" t="str">
        <f>"1703                          "</f>
        <v xml:space="preserve">1703                          </v>
      </c>
      <c r="Q1350">
        <v>0</v>
      </c>
      <c r="R1350">
        <v>0</v>
      </c>
      <c r="S1350">
        <v>0</v>
      </c>
      <c r="T1350">
        <v>0</v>
      </c>
      <c r="U1350">
        <v>0</v>
      </c>
      <c r="V1350">
        <v>0</v>
      </c>
      <c r="W1350">
        <v>0</v>
      </c>
      <c r="X1350">
        <v>0</v>
      </c>
      <c r="Y1350">
        <v>0</v>
      </c>
      <c r="Z1350">
        <v>0</v>
      </c>
      <c r="AA1350">
        <v>0</v>
      </c>
      <c r="AB1350">
        <v>0</v>
      </c>
      <c r="AC1350">
        <v>0</v>
      </c>
      <c r="AD1350">
        <v>0</v>
      </c>
      <c r="AE1350">
        <v>0</v>
      </c>
      <c r="AF1350">
        <v>0</v>
      </c>
      <c r="AG1350">
        <v>0</v>
      </c>
      <c r="AH1350">
        <v>0</v>
      </c>
      <c r="AI1350">
        <v>0</v>
      </c>
      <c r="AJ1350">
        <v>0</v>
      </c>
      <c r="AK1350">
        <v>0</v>
      </c>
      <c r="AL1350">
        <v>0</v>
      </c>
      <c r="AM1350">
        <v>40.75</v>
      </c>
      <c r="AN1350">
        <v>0</v>
      </c>
      <c r="AO1350">
        <v>0</v>
      </c>
      <c r="AP1350">
        <v>0</v>
      </c>
      <c r="AQ1350">
        <v>0</v>
      </c>
      <c r="AR1350">
        <v>0</v>
      </c>
      <c r="AS1350">
        <v>0</v>
      </c>
      <c r="AT1350">
        <v>0</v>
      </c>
      <c r="AU1350">
        <v>0</v>
      </c>
      <c r="AV1350">
        <v>0</v>
      </c>
      <c r="AW1350">
        <v>0</v>
      </c>
      <c r="AX1350">
        <v>0</v>
      </c>
      <c r="AY1350">
        <v>0</v>
      </c>
      <c r="AZ1350">
        <v>0</v>
      </c>
      <c r="BA1350">
        <v>0</v>
      </c>
      <c r="BB1350">
        <v>0</v>
      </c>
      <c r="BC1350">
        <v>0</v>
      </c>
      <c r="BD1350">
        <v>0</v>
      </c>
      <c r="BE1350">
        <v>0</v>
      </c>
      <c r="BF1350">
        <v>0</v>
      </c>
      <c r="BG1350">
        <v>0</v>
      </c>
      <c r="BH1350">
        <v>1</v>
      </c>
      <c r="BI1350">
        <v>3</v>
      </c>
      <c r="BJ1350">
        <v>9.3000000000000007</v>
      </c>
      <c r="BK1350">
        <v>9.5</v>
      </c>
      <c r="BL1350" s="4">
        <v>239.52</v>
      </c>
      <c r="BM1350" s="4">
        <v>35.93</v>
      </c>
      <c r="BN1350" s="4">
        <v>275.45</v>
      </c>
      <c r="BO1350" s="4">
        <v>275.45</v>
      </c>
      <c r="BQ1350" t="s">
        <v>126</v>
      </c>
      <c r="BR1350" t="s">
        <v>127</v>
      </c>
      <c r="BS1350" s="3">
        <v>43812</v>
      </c>
      <c r="BT1350" s="5">
        <v>0.33333333333333331</v>
      </c>
      <c r="BU1350" t="s">
        <v>1078</v>
      </c>
      <c r="BV1350" t="s">
        <v>86</v>
      </c>
      <c r="BY1350">
        <v>46551.78</v>
      </c>
      <c r="BZ1350" t="s">
        <v>27</v>
      </c>
      <c r="CA1350" t="s">
        <v>746</v>
      </c>
      <c r="CC1350" t="s">
        <v>76</v>
      </c>
      <c r="CD1350">
        <v>1600</v>
      </c>
      <c r="CE1350" t="s">
        <v>116</v>
      </c>
      <c r="CF1350" s="3">
        <v>43816</v>
      </c>
      <c r="CI1350">
        <v>1</v>
      </c>
      <c r="CJ1350">
        <v>1</v>
      </c>
      <c r="CK1350">
        <v>21</v>
      </c>
      <c r="CL1350" t="s">
        <v>89</v>
      </c>
    </row>
    <row r="1351" spans="1:90">
      <c r="A1351" t="s">
        <v>72</v>
      </c>
      <c r="B1351" t="s">
        <v>73</v>
      </c>
      <c r="C1351" t="s">
        <v>74</v>
      </c>
      <c r="E1351" t="str">
        <f>"FES1162728217"</f>
        <v>FES1162728217</v>
      </c>
      <c r="F1351" s="3">
        <v>43811</v>
      </c>
      <c r="G1351">
        <v>202006</v>
      </c>
      <c r="H1351" t="s">
        <v>75</v>
      </c>
      <c r="I1351" t="s">
        <v>76</v>
      </c>
      <c r="J1351" t="s">
        <v>77</v>
      </c>
      <c r="K1351" t="s">
        <v>78</v>
      </c>
      <c r="L1351" t="s">
        <v>198</v>
      </c>
      <c r="M1351" t="s">
        <v>199</v>
      </c>
      <c r="N1351" t="s">
        <v>297</v>
      </c>
      <c r="O1351" t="s">
        <v>82</v>
      </c>
      <c r="P1351" t="str">
        <f>"2170721566                    "</f>
        <v xml:space="preserve">2170721566                    </v>
      </c>
      <c r="Q1351">
        <v>0</v>
      </c>
      <c r="R1351">
        <v>0</v>
      </c>
      <c r="S1351">
        <v>0</v>
      </c>
      <c r="T1351">
        <v>0</v>
      </c>
      <c r="U1351">
        <v>0</v>
      </c>
      <c r="V1351">
        <v>0</v>
      </c>
      <c r="W1351">
        <v>0</v>
      </c>
      <c r="X1351">
        <v>0</v>
      </c>
      <c r="Y1351">
        <v>0</v>
      </c>
      <c r="Z1351">
        <v>0</v>
      </c>
      <c r="AA1351">
        <v>0</v>
      </c>
      <c r="AB1351">
        <v>0</v>
      </c>
      <c r="AC1351">
        <v>0</v>
      </c>
      <c r="AD1351">
        <v>0</v>
      </c>
      <c r="AE1351">
        <v>0</v>
      </c>
      <c r="AF1351">
        <v>0</v>
      </c>
      <c r="AG1351">
        <v>0</v>
      </c>
      <c r="AH1351">
        <v>0</v>
      </c>
      <c r="AI1351">
        <v>0</v>
      </c>
      <c r="AJ1351">
        <v>0</v>
      </c>
      <c r="AK1351">
        <v>0</v>
      </c>
      <c r="AL1351">
        <v>0</v>
      </c>
      <c r="AM1351">
        <v>10.73</v>
      </c>
      <c r="AN1351">
        <v>0</v>
      </c>
      <c r="AO1351">
        <v>0</v>
      </c>
      <c r="AP1351">
        <v>0</v>
      </c>
      <c r="AQ1351">
        <v>0</v>
      </c>
      <c r="AR1351">
        <v>0</v>
      </c>
      <c r="AS1351">
        <v>0</v>
      </c>
      <c r="AT1351">
        <v>0</v>
      </c>
      <c r="AU1351">
        <v>0</v>
      </c>
      <c r="AV1351">
        <v>0</v>
      </c>
      <c r="AW1351">
        <v>0</v>
      </c>
      <c r="AX1351">
        <v>0</v>
      </c>
      <c r="AY1351">
        <v>0</v>
      </c>
      <c r="AZ1351">
        <v>0</v>
      </c>
      <c r="BA1351">
        <v>0</v>
      </c>
      <c r="BB1351">
        <v>0</v>
      </c>
      <c r="BC1351">
        <v>0</v>
      </c>
      <c r="BD1351">
        <v>0</v>
      </c>
      <c r="BE1351">
        <v>0</v>
      </c>
      <c r="BF1351">
        <v>0</v>
      </c>
      <c r="BG1351">
        <v>0</v>
      </c>
      <c r="BH1351">
        <v>1</v>
      </c>
      <c r="BI1351">
        <v>2.2999999999999998</v>
      </c>
      <c r="BJ1351">
        <v>0.9</v>
      </c>
      <c r="BK1351">
        <v>2.5</v>
      </c>
      <c r="BL1351" s="4">
        <v>63.06</v>
      </c>
      <c r="BM1351" s="4">
        <v>9.4600000000000009</v>
      </c>
      <c r="BN1351" s="4">
        <v>72.52</v>
      </c>
      <c r="BO1351" s="4">
        <v>72.52</v>
      </c>
      <c r="BQ1351" t="s">
        <v>172</v>
      </c>
      <c r="BR1351" t="s">
        <v>84</v>
      </c>
      <c r="BS1351" s="3">
        <v>43812</v>
      </c>
      <c r="BT1351" s="5">
        <v>0.38680555555555557</v>
      </c>
      <c r="BU1351" t="s">
        <v>1666</v>
      </c>
      <c r="BV1351" t="s">
        <v>86</v>
      </c>
      <c r="BY1351">
        <v>4328.63</v>
      </c>
      <c r="CA1351" t="s">
        <v>1667</v>
      </c>
      <c r="CC1351" t="s">
        <v>199</v>
      </c>
      <c r="CD1351">
        <v>4000</v>
      </c>
      <c r="CE1351" t="s">
        <v>96</v>
      </c>
      <c r="CF1351" s="3">
        <v>43816</v>
      </c>
      <c r="CI1351">
        <v>1</v>
      </c>
      <c r="CJ1351">
        <v>1</v>
      </c>
      <c r="CK1351">
        <v>21</v>
      </c>
      <c r="CL1351" t="s">
        <v>89</v>
      </c>
    </row>
    <row r="1352" spans="1:90">
      <c r="A1352" t="s">
        <v>72</v>
      </c>
      <c r="B1352" t="s">
        <v>73</v>
      </c>
      <c r="C1352" t="s">
        <v>74</v>
      </c>
      <c r="E1352" t="str">
        <f>"009935723057"</f>
        <v>009935723057</v>
      </c>
      <c r="F1352" s="3">
        <v>43811</v>
      </c>
      <c r="G1352">
        <v>202006</v>
      </c>
      <c r="H1352" t="s">
        <v>75</v>
      </c>
      <c r="I1352" t="s">
        <v>76</v>
      </c>
      <c r="J1352" t="s">
        <v>77</v>
      </c>
      <c r="K1352" t="s">
        <v>78</v>
      </c>
      <c r="L1352" t="s">
        <v>396</v>
      </c>
      <c r="M1352" t="s">
        <v>397</v>
      </c>
      <c r="N1352" t="s">
        <v>1824</v>
      </c>
      <c r="O1352" t="s">
        <v>82</v>
      </c>
      <c r="P1352" t="str">
        <f>"JJUJJHHHN                     "</f>
        <v xml:space="preserve">JJUJJHHHN                     </v>
      </c>
      <c r="Q1352">
        <v>0</v>
      </c>
      <c r="R1352">
        <v>0</v>
      </c>
      <c r="S1352">
        <v>0</v>
      </c>
      <c r="T1352">
        <v>0</v>
      </c>
      <c r="U1352">
        <v>0</v>
      </c>
      <c r="V1352">
        <v>0</v>
      </c>
      <c r="W1352">
        <v>0</v>
      </c>
      <c r="X1352">
        <v>0</v>
      </c>
      <c r="Y1352">
        <v>0</v>
      </c>
      <c r="Z1352">
        <v>0</v>
      </c>
      <c r="AA1352">
        <v>0</v>
      </c>
      <c r="AB1352">
        <v>0</v>
      </c>
      <c r="AC1352">
        <v>0</v>
      </c>
      <c r="AD1352">
        <v>0</v>
      </c>
      <c r="AE1352">
        <v>0</v>
      </c>
      <c r="AF1352">
        <v>0</v>
      </c>
      <c r="AG1352">
        <v>0</v>
      </c>
      <c r="AH1352">
        <v>0</v>
      </c>
      <c r="AI1352">
        <v>0</v>
      </c>
      <c r="AJ1352">
        <v>0</v>
      </c>
      <c r="AK1352">
        <v>0</v>
      </c>
      <c r="AL1352">
        <v>0</v>
      </c>
      <c r="AM1352">
        <v>16.63</v>
      </c>
      <c r="AN1352">
        <v>0</v>
      </c>
      <c r="AO1352">
        <v>0</v>
      </c>
      <c r="AP1352">
        <v>0</v>
      </c>
      <c r="AQ1352">
        <v>0</v>
      </c>
      <c r="AR1352">
        <v>0</v>
      </c>
      <c r="AS1352">
        <v>0</v>
      </c>
      <c r="AT1352">
        <v>0</v>
      </c>
      <c r="AU1352">
        <v>0</v>
      </c>
      <c r="AV1352">
        <v>0</v>
      </c>
      <c r="AW1352">
        <v>0</v>
      </c>
      <c r="AX1352">
        <v>0</v>
      </c>
      <c r="AY1352">
        <v>0</v>
      </c>
      <c r="AZ1352">
        <v>0</v>
      </c>
      <c r="BA1352">
        <v>0</v>
      </c>
      <c r="BB1352">
        <v>0</v>
      </c>
      <c r="BC1352">
        <v>0</v>
      </c>
      <c r="BD1352">
        <v>0</v>
      </c>
      <c r="BE1352">
        <v>0</v>
      </c>
      <c r="BF1352">
        <v>0</v>
      </c>
      <c r="BG1352">
        <v>0</v>
      </c>
      <c r="BH1352">
        <v>1</v>
      </c>
      <c r="BI1352">
        <v>0.4</v>
      </c>
      <c r="BJ1352">
        <v>0.7</v>
      </c>
      <c r="BK1352">
        <v>1</v>
      </c>
      <c r="BL1352" s="4">
        <v>97.75</v>
      </c>
      <c r="BM1352" s="4">
        <v>14.66</v>
      </c>
      <c r="BN1352" s="4">
        <v>112.41</v>
      </c>
      <c r="BO1352" s="4">
        <v>112.41</v>
      </c>
      <c r="BR1352" t="s">
        <v>84</v>
      </c>
      <c r="BS1352" s="3">
        <v>43812</v>
      </c>
      <c r="BT1352" s="5">
        <v>0.52638888888888891</v>
      </c>
      <c r="BU1352" t="s">
        <v>1825</v>
      </c>
      <c r="BV1352" t="s">
        <v>86</v>
      </c>
      <c r="BY1352">
        <v>3453.44</v>
      </c>
      <c r="CA1352" t="s">
        <v>400</v>
      </c>
      <c r="CC1352" t="s">
        <v>397</v>
      </c>
      <c r="CD1352">
        <v>7130</v>
      </c>
      <c r="CE1352" t="s">
        <v>96</v>
      </c>
      <c r="CF1352" s="3">
        <v>43816</v>
      </c>
      <c r="CI1352">
        <v>1</v>
      </c>
      <c r="CJ1352">
        <v>1</v>
      </c>
      <c r="CK1352">
        <v>23</v>
      </c>
      <c r="CL1352" t="s">
        <v>89</v>
      </c>
    </row>
    <row r="1353" spans="1:90">
      <c r="A1353" t="s">
        <v>72</v>
      </c>
      <c r="B1353" t="s">
        <v>73</v>
      </c>
      <c r="C1353" t="s">
        <v>74</v>
      </c>
      <c r="E1353" t="str">
        <f>"FES1162727998"</f>
        <v>FES1162727998</v>
      </c>
      <c r="F1353" s="3">
        <v>43811</v>
      </c>
      <c r="G1353">
        <v>202006</v>
      </c>
      <c r="H1353" t="s">
        <v>75</v>
      </c>
      <c r="I1353" t="s">
        <v>76</v>
      </c>
      <c r="J1353" t="s">
        <v>77</v>
      </c>
      <c r="K1353" t="s">
        <v>78</v>
      </c>
      <c r="L1353" t="s">
        <v>1051</v>
      </c>
      <c r="M1353" t="s">
        <v>1052</v>
      </c>
      <c r="N1353" t="s">
        <v>1053</v>
      </c>
      <c r="O1353" t="s">
        <v>104</v>
      </c>
      <c r="P1353" t="str">
        <f>"2170719272                    "</f>
        <v xml:space="preserve">2170719272                    </v>
      </c>
      <c r="Q1353">
        <v>0</v>
      </c>
      <c r="R1353">
        <v>0</v>
      </c>
      <c r="S1353">
        <v>0</v>
      </c>
      <c r="T1353">
        <v>0</v>
      </c>
      <c r="U1353">
        <v>0</v>
      </c>
      <c r="V1353">
        <v>0</v>
      </c>
      <c r="W1353">
        <v>0</v>
      </c>
      <c r="X1353">
        <v>0</v>
      </c>
      <c r="Y1353">
        <v>0</v>
      </c>
      <c r="Z1353">
        <v>0</v>
      </c>
      <c r="AA1353">
        <v>0</v>
      </c>
      <c r="AB1353">
        <v>0</v>
      </c>
      <c r="AC1353">
        <v>0</v>
      </c>
      <c r="AD1353">
        <v>0</v>
      </c>
      <c r="AE1353">
        <v>0</v>
      </c>
      <c r="AF1353">
        <v>0</v>
      </c>
      <c r="AG1353">
        <v>0</v>
      </c>
      <c r="AH1353">
        <v>0</v>
      </c>
      <c r="AI1353">
        <v>0</v>
      </c>
      <c r="AJ1353">
        <v>0</v>
      </c>
      <c r="AK1353">
        <v>0</v>
      </c>
      <c r="AL1353">
        <v>0</v>
      </c>
      <c r="AM1353">
        <v>14.49</v>
      </c>
      <c r="AN1353">
        <v>0</v>
      </c>
      <c r="AO1353">
        <v>0</v>
      </c>
      <c r="AP1353">
        <v>0</v>
      </c>
      <c r="AQ1353">
        <v>0</v>
      </c>
      <c r="AR1353">
        <v>0</v>
      </c>
      <c r="AS1353">
        <v>0</v>
      </c>
      <c r="AT1353">
        <v>0</v>
      </c>
      <c r="AU1353">
        <v>0</v>
      </c>
      <c r="AV1353">
        <v>0</v>
      </c>
      <c r="AW1353">
        <v>0</v>
      </c>
      <c r="AX1353">
        <v>0</v>
      </c>
      <c r="AY1353">
        <v>0</v>
      </c>
      <c r="AZ1353">
        <v>0</v>
      </c>
      <c r="BA1353">
        <v>0</v>
      </c>
      <c r="BB1353">
        <v>0</v>
      </c>
      <c r="BC1353">
        <v>0</v>
      </c>
      <c r="BD1353">
        <v>0</v>
      </c>
      <c r="BE1353">
        <v>0</v>
      </c>
      <c r="BF1353">
        <v>0</v>
      </c>
      <c r="BG1353">
        <v>0</v>
      </c>
      <c r="BH1353">
        <v>1</v>
      </c>
      <c r="BI1353">
        <v>20</v>
      </c>
      <c r="BJ1353">
        <v>20.2</v>
      </c>
      <c r="BK1353">
        <v>21</v>
      </c>
      <c r="BL1353" s="4">
        <v>90.19</v>
      </c>
      <c r="BM1353" s="4">
        <v>13.53</v>
      </c>
      <c r="BN1353" s="4">
        <v>103.72</v>
      </c>
      <c r="BO1353" s="4">
        <v>103.72</v>
      </c>
      <c r="BQ1353" t="s">
        <v>1054</v>
      </c>
      <c r="BR1353" t="s">
        <v>84</v>
      </c>
      <c r="BS1353" s="3">
        <v>43812</v>
      </c>
      <c r="BT1353" s="5">
        <v>0.3666666666666667</v>
      </c>
      <c r="BU1353" t="s">
        <v>1826</v>
      </c>
      <c r="BV1353" t="s">
        <v>86</v>
      </c>
      <c r="BY1353">
        <v>100800</v>
      </c>
      <c r="CA1353" t="s">
        <v>344</v>
      </c>
      <c r="CC1353" t="s">
        <v>1052</v>
      </c>
      <c r="CD1353">
        <v>1754</v>
      </c>
      <c r="CE1353" t="s">
        <v>116</v>
      </c>
      <c r="CF1353" s="3">
        <v>43816</v>
      </c>
      <c r="CI1353">
        <v>1</v>
      </c>
      <c r="CJ1353">
        <v>1</v>
      </c>
      <c r="CK1353" t="s">
        <v>123</v>
      </c>
      <c r="CL1353" t="s">
        <v>89</v>
      </c>
    </row>
    <row r="1354" spans="1:90">
      <c r="A1354" t="s">
        <v>72</v>
      </c>
      <c r="B1354" t="s">
        <v>73</v>
      </c>
      <c r="C1354" t="s">
        <v>74</v>
      </c>
      <c r="E1354" t="str">
        <f>"FES1162728186"</f>
        <v>FES1162728186</v>
      </c>
      <c r="F1354" s="3">
        <v>43811</v>
      </c>
      <c r="G1354">
        <v>202006</v>
      </c>
      <c r="H1354" t="s">
        <v>75</v>
      </c>
      <c r="I1354" t="s">
        <v>76</v>
      </c>
      <c r="J1354" t="s">
        <v>77</v>
      </c>
      <c r="K1354" t="s">
        <v>78</v>
      </c>
      <c r="L1354" t="s">
        <v>79</v>
      </c>
      <c r="M1354" t="s">
        <v>80</v>
      </c>
      <c r="N1354" t="s">
        <v>129</v>
      </c>
      <c r="O1354" t="s">
        <v>104</v>
      </c>
      <c r="P1354" t="str">
        <f>"2170721517                    "</f>
        <v xml:space="preserve">2170721517                    </v>
      </c>
      <c r="Q1354">
        <v>0</v>
      </c>
      <c r="R1354">
        <v>0</v>
      </c>
      <c r="S1354">
        <v>0</v>
      </c>
      <c r="T1354">
        <v>0</v>
      </c>
      <c r="U1354">
        <v>0</v>
      </c>
      <c r="V1354">
        <v>0</v>
      </c>
      <c r="W1354">
        <v>0</v>
      </c>
      <c r="X1354">
        <v>0</v>
      </c>
      <c r="Y1354">
        <v>0</v>
      </c>
      <c r="Z1354">
        <v>0</v>
      </c>
      <c r="AA1354">
        <v>0</v>
      </c>
      <c r="AB1354">
        <v>0</v>
      </c>
      <c r="AC1354">
        <v>0</v>
      </c>
      <c r="AD1354">
        <v>0</v>
      </c>
      <c r="AE1354">
        <v>0</v>
      </c>
      <c r="AF1354">
        <v>0</v>
      </c>
      <c r="AG1354">
        <v>0</v>
      </c>
      <c r="AH1354">
        <v>0</v>
      </c>
      <c r="AI1354">
        <v>0</v>
      </c>
      <c r="AJ1354">
        <v>0</v>
      </c>
      <c r="AK1354">
        <v>0</v>
      </c>
      <c r="AL1354">
        <v>0</v>
      </c>
      <c r="AM1354">
        <v>24.34</v>
      </c>
      <c r="AN1354">
        <v>0</v>
      </c>
      <c r="AO1354">
        <v>0</v>
      </c>
      <c r="AP1354">
        <v>0</v>
      </c>
      <c r="AQ1354">
        <v>0</v>
      </c>
      <c r="AR1354">
        <v>0</v>
      </c>
      <c r="AS1354">
        <v>0</v>
      </c>
      <c r="AT1354">
        <v>0</v>
      </c>
      <c r="AU1354">
        <v>0</v>
      </c>
      <c r="AV1354">
        <v>0</v>
      </c>
      <c r="AW1354">
        <v>0</v>
      </c>
      <c r="AX1354">
        <v>0</v>
      </c>
      <c r="AY1354">
        <v>0</v>
      </c>
      <c r="AZ1354">
        <v>0</v>
      </c>
      <c r="BA1354">
        <v>0</v>
      </c>
      <c r="BB1354">
        <v>0</v>
      </c>
      <c r="BC1354">
        <v>0</v>
      </c>
      <c r="BD1354">
        <v>0</v>
      </c>
      <c r="BE1354">
        <v>0</v>
      </c>
      <c r="BF1354">
        <v>0</v>
      </c>
      <c r="BG1354">
        <v>0</v>
      </c>
      <c r="BH1354">
        <v>1</v>
      </c>
      <c r="BI1354">
        <v>23.3</v>
      </c>
      <c r="BJ1354">
        <v>8.4</v>
      </c>
      <c r="BK1354">
        <v>24</v>
      </c>
      <c r="BL1354" s="4">
        <v>148.08000000000001</v>
      </c>
      <c r="BM1354" s="4">
        <v>22.21</v>
      </c>
      <c r="BN1354" s="4">
        <v>170.29</v>
      </c>
      <c r="BO1354" s="4">
        <v>170.29</v>
      </c>
      <c r="BQ1354" t="s">
        <v>147</v>
      </c>
      <c r="BR1354" t="s">
        <v>84</v>
      </c>
      <c r="BS1354" s="3">
        <v>43817</v>
      </c>
      <c r="BT1354" s="5">
        <v>0.37916666666666665</v>
      </c>
      <c r="BU1354" t="s">
        <v>1648</v>
      </c>
      <c r="BV1354" t="s">
        <v>89</v>
      </c>
      <c r="BW1354" t="s">
        <v>593</v>
      </c>
      <c r="BX1354" t="s">
        <v>1100</v>
      </c>
      <c r="BY1354">
        <v>41784.19</v>
      </c>
      <c r="CA1354" t="s">
        <v>131</v>
      </c>
      <c r="CC1354" t="s">
        <v>80</v>
      </c>
      <c r="CD1354">
        <v>6001</v>
      </c>
      <c r="CE1354" t="s">
        <v>116</v>
      </c>
      <c r="CF1354" s="3">
        <v>43818</v>
      </c>
      <c r="CI1354">
        <v>2</v>
      </c>
      <c r="CJ1354">
        <v>4</v>
      </c>
      <c r="CK1354" t="s">
        <v>113</v>
      </c>
      <c r="CL1354" t="s">
        <v>89</v>
      </c>
    </row>
    <row r="1355" spans="1:90">
      <c r="A1355" t="s">
        <v>72</v>
      </c>
      <c r="B1355" t="s">
        <v>73</v>
      </c>
      <c r="C1355" t="s">
        <v>74</v>
      </c>
      <c r="E1355" t="str">
        <f>"FES1162729045"</f>
        <v>FES1162729045</v>
      </c>
      <c r="F1355" s="3">
        <v>43818</v>
      </c>
      <c r="G1355">
        <v>202006</v>
      </c>
      <c r="H1355" t="s">
        <v>75</v>
      </c>
      <c r="I1355" t="s">
        <v>76</v>
      </c>
      <c r="J1355" t="s">
        <v>77</v>
      </c>
      <c r="K1355" t="s">
        <v>78</v>
      </c>
      <c r="L1355" t="s">
        <v>164</v>
      </c>
      <c r="M1355" t="s">
        <v>165</v>
      </c>
      <c r="N1355" t="s">
        <v>263</v>
      </c>
      <c r="O1355" t="s">
        <v>82</v>
      </c>
      <c r="P1355" t="str">
        <f>"2170719849                    "</f>
        <v xml:space="preserve">2170719849                    </v>
      </c>
      <c r="Q1355">
        <v>0</v>
      </c>
      <c r="R1355">
        <v>0</v>
      </c>
      <c r="S1355">
        <v>0</v>
      </c>
      <c r="T1355">
        <v>0</v>
      </c>
      <c r="U1355">
        <v>0</v>
      </c>
      <c r="V1355">
        <v>0</v>
      </c>
      <c r="W1355">
        <v>0</v>
      </c>
      <c r="X1355">
        <v>0</v>
      </c>
      <c r="Y1355">
        <v>0</v>
      </c>
      <c r="Z1355">
        <v>0</v>
      </c>
      <c r="AA1355">
        <v>0</v>
      </c>
      <c r="AB1355">
        <v>0</v>
      </c>
      <c r="AC1355">
        <v>0</v>
      </c>
      <c r="AD1355">
        <v>0</v>
      </c>
      <c r="AE1355">
        <v>0</v>
      </c>
      <c r="AF1355">
        <v>0</v>
      </c>
      <c r="AG1355">
        <v>0</v>
      </c>
      <c r="AH1355">
        <v>0</v>
      </c>
      <c r="AI1355">
        <v>0</v>
      </c>
      <c r="AJ1355">
        <v>0</v>
      </c>
      <c r="AK1355">
        <v>0</v>
      </c>
      <c r="AL1355">
        <v>0</v>
      </c>
      <c r="AM1355">
        <v>8.58</v>
      </c>
      <c r="AN1355">
        <v>0</v>
      </c>
      <c r="AO1355">
        <v>0</v>
      </c>
      <c r="AP1355">
        <v>0</v>
      </c>
      <c r="AQ1355">
        <v>0</v>
      </c>
      <c r="AR1355">
        <v>0</v>
      </c>
      <c r="AS1355">
        <v>0</v>
      </c>
      <c r="AT1355">
        <v>0</v>
      </c>
      <c r="AU1355">
        <v>0</v>
      </c>
      <c r="AV1355">
        <v>0</v>
      </c>
      <c r="AW1355">
        <v>0</v>
      </c>
      <c r="AX1355">
        <v>0</v>
      </c>
      <c r="AY1355">
        <v>0</v>
      </c>
      <c r="AZ1355">
        <v>0</v>
      </c>
      <c r="BA1355">
        <v>0</v>
      </c>
      <c r="BB1355">
        <v>0</v>
      </c>
      <c r="BC1355">
        <v>0</v>
      </c>
      <c r="BD1355">
        <v>0</v>
      </c>
      <c r="BE1355">
        <v>0</v>
      </c>
      <c r="BF1355">
        <v>0</v>
      </c>
      <c r="BG1355">
        <v>0</v>
      </c>
      <c r="BH1355">
        <v>1</v>
      </c>
      <c r="BI1355">
        <v>1</v>
      </c>
      <c r="BJ1355">
        <v>0.2</v>
      </c>
      <c r="BK1355">
        <v>1</v>
      </c>
      <c r="BL1355" s="4">
        <v>50.45</v>
      </c>
      <c r="BM1355" s="4">
        <v>7.57</v>
      </c>
      <c r="BN1355" s="4">
        <v>58.02</v>
      </c>
      <c r="BO1355" s="4">
        <v>58.02</v>
      </c>
      <c r="BQ1355" t="s">
        <v>147</v>
      </c>
      <c r="BR1355" t="s">
        <v>84</v>
      </c>
      <c r="BS1355" s="3">
        <v>43819</v>
      </c>
      <c r="BT1355" s="5">
        <v>0.35486111111111113</v>
      </c>
      <c r="BU1355" t="s">
        <v>1827</v>
      </c>
      <c r="BV1355" t="s">
        <v>86</v>
      </c>
      <c r="BY1355">
        <v>1200</v>
      </c>
      <c r="CA1355" t="s">
        <v>371</v>
      </c>
      <c r="CC1355" t="s">
        <v>165</v>
      </c>
      <c r="CD1355">
        <v>5201</v>
      </c>
      <c r="CE1355" t="s">
        <v>88</v>
      </c>
      <c r="CF1355" s="3">
        <v>43822</v>
      </c>
      <c r="CI1355">
        <v>1</v>
      </c>
      <c r="CJ1355">
        <v>1</v>
      </c>
      <c r="CK1355">
        <v>21</v>
      </c>
      <c r="CL1355" t="s">
        <v>89</v>
      </c>
    </row>
    <row r="1356" spans="1:90">
      <c r="A1356" t="s">
        <v>72</v>
      </c>
      <c r="B1356" t="s">
        <v>73</v>
      </c>
      <c r="C1356" t="s">
        <v>74</v>
      </c>
      <c r="E1356" t="str">
        <f>"FES1162729272"</f>
        <v>FES1162729272</v>
      </c>
      <c r="F1356" s="3">
        <v>43819</v>
      </c>
      <c r="G1356">
        <v>202006</v>
      </c>
      <c r="H1356" t="s">
        <v>75</v>
      </c>
      <c r="I1356" t="s">
        <v>76</v>
      </c>
      <c r="J1356" t="s">
        <v>77</v>
      </c>
      <c r="K1356" t="s">
        <v>78</v>
      </c>
      <c r="L1356" t="s">
        <v>138</v>
      </c>
      <c r="M1356" t="s">
        <v>139</v>
      </c>
      <c r="N1356" t="s">
        <v>703</v>
      </c>
      <c r="O1356" t="s">
        <v>82</v>
      </c>
      <c r="P1356" t="str">
        <f>"2170722271                    "</f>
        <v xml:space="preserve">2170722271                    </v>
      </c>
      <c r="Q1356">
        <v>0</v>
      </c>
      <c r="R1356">
        <v>0</v>
      </c>
      <c r="S1356">
        <v>0</v>
      </c>
      <c r="T1356">
        <v>0</v>
      </c>
      <c r="U1356">
        <v>0</v>
      </c>
      <c r="V1356">
        <v>0</v>
      </c>
      <c r="W1356">
        <v>0</v>
      </c>
      <c r="X1356">
        <v>0</v>
      </c>
      <c r="Y1356">
        <v>0</v>
      </c>
      <c r="Z1356">
        <v>0</v>
      </c>
      <c r="AA1356">
        <v>0</v>
      </c>
      <c r="AB1356">
        <v>0</v>
      </c>
      <c r="AC1356">
        <v>0</v>
      </c>
      <c r="AD1356">
        <v>0</v>
      </c>
      <c r="AE1356">
        <v>0</v>
      </c>
      <c r="AF1356">
        <v>0</v>
      </c>
      <c r="AG1356">
        <v>0</v>
      </c>
      <c r="AH1356">
        <v>0</v>
      </c>
      <c r="AI1356">
        <v>0</v>
      </c>
      <c r="AJ1356">
        <v>0</v>
      </c>
      <c r="AK1356">
        <v>0</v>
      </c>
      <c r="AL1356">
        <v>0</v>
      </c>
      <c r="AM1356">
        <v>12.33</v>
      </c>
      <c r="AN1356">
        <v>0</v>
      </c>
      <c r="AO1356">
        <v>0</v>
      </c>
      <c r="AP1356">
        <v>0</v>
      </c>
      <c r="AQ1356">
        <v>0</v>
      </c>
      <c r="AR1356">
        <v>0</v>
      </c>
      <c r="AS1356">
        <v>0</v>
      </c>
      <c r="AT1356">
        <v>0</v>
      </c>
      <c r="AU1356">
        <v>0</v>
      </c>
      <c r="AV1356">
        <v>0</v>
      </c>
      <c r="AW1356">
        <v>0</v>
      </c>
      <c r="AX1356">
        <v>0</v>
      </c>
      <c r="AY1356">
        <v>0</v>
      </c>
      <c r="AZ1356">
        <v>0</v>
      </c>
      <c r="BA1356">
        <v>0</v>
      </c>
      <c r="BB1356">
        <v>0</v>
      </c>
      <c r="BC1356">
        <v>0</v>
      </c>
      <c r="BD1356">
        <v>0</v>
      </c>
      <c r="BE1356">
        <v>0</v>
      </c>
      <c r="BF1356">
        <v>0</v>
      </c>
      <c r="BG1356">
        <v>0</v>
      </c>
      <c r="BH1356">
        <v>1</v>
      </c>
      <c r="BI1356">
        <v>5.4</v>
      </c>
      <c r="BJ1356">
        <v>2</v>
      </c>
      <c r="BK1356">
        <v>5.5</v>
      </c>
      <c r="BL1356" s="4">
        <v>72.48</v>
      </c>
      <c r="BM1356" s="4">
        <v>10.87</v>
      </c>
      <c r="BN1356" s="4">
        <v>83.35</v>
      </c>
      <c r="BO1356" s="4">
        <v>83.35</v>
      </c>
      <c r="BQ1356" t="s">
        <v>704</v>
      </c>
      <c r="BR1356" t="s">
        <v>84</v>
      </c>
      <c r="BS1356" s="3">
        <v>43822</v>
      </c>
      <c r="BT1356" s="5">
        <v>0.38541666666666669</v>
      </c>
      <c r="BU1356" t="s">
        <v>1828</v>
      </c>
      <c r="BV1356" t="s">
        <v>86</v>
      </c>
      <c r="BY1356">
        <v>9784.0300000000007</v>
      </c>
      <c r="CC1356" t="s">
        <v>139</v>
      </c>
      <c r="CD1356">
        <v>1422</v>
      </c>
      <c r="CE1356" t="s">
        <v>96</v>
      </c>
      <c r="CF1356" s="3">
        <v>43823</v>
      </c>
      <c r="CI1356">
        <v>1</v>
      </c>
      <c r="CJ1356">
        <v>1</v>
      </c>
      <c r="CK1356">
        <v>22</v>
      </c>
      <c r="CL1356" t="s">
        <v>89</v>
      </c>
    </row>
    <row r="1357" spans="1:90">
      <c r="A1357" t="s">
        <v>72</v>
      </c>
      <c r="B1357" t="s">
        <v>73</v>
      </c>
      <c r="C1357" t="s">
        <v>74</v>
      </c>
      <c r="E1357" t="str">
        <f>"FES1162729267"</f>
        <v>FES1162729267</v>
      </c>
      <c r="F1357" s="3">
        <v>43819</v>
      </c>
      <c r="G1357">
        <v>202006</v>
      </c>
      <c r="H1357" t="s">
        <v>75</v>
      </c>
      <c r="I1357" t="s">
        <v>76</v>
      </c>
      <c r="J1357" t="s">
        <v>77</v>
      </c>
      <c r="K1357" t="s">
        <v>78</v>
      </c>
      <c r="L1357" t="s">
        <v>75</v>
      </c>
      <c r="M1357" t="s">
        <v>76</v>
      </c>
      <c r="N1357" t="s">
        <v>305</v>
      </c>
      <c r="O1357" t="s">
        <v>82</v>
      </c>
      <c r="P1357" t="str">
        <f>"2170721117                    "</f>
        <v xml:space="preserve">2170721117                    </v>
      </c>
      <c r="Q1357">
        <v>0</v>
      </c>
      <c r="R1357">
        <v>0</v>
      </c>
      <c r="S1357">
        <v>0</v>
      </c>
      <c r="T1357">
        <v>0</v>
      </c>
      <c r="U1357">
        <v>0</v>
      </c>
      <c r="V1357">
        <v>0</v>
      </c>
      <c r="W1357">
        <v>0</v>
      </c>
      <c r="X1357">
        <v>0</v>
      </c>
      <c r="Y1357">
        <v>0</v>
      </c>
      <c r="Z1357">
        <v>0</v>
      </c>
      <c r="AA1357">
        <v>0</v>
      </c>
      <c r="AB1357">
        <v>0</v>
      </c>
      <c r="AC1357">
        <v>0</v>
      </c>
      <c r="AD1357">
        <v>0</v>
      </c>
      <c r="AE1357">
        <v>0</v>
      </c>
      <c r="AF1357">
        <v>0</v>
      </c>
      <c r="AG1357">
        <v>0</v>
      </c>
      <c r="AH1357">
        <v>0</v>
      </c>
      <c r="AI1357">
        <v>0</v>
      </c>
      <c r="AJ1357">
        <v>0</v>
      </c>
      <c r="AK1357">
        <v>0</v>
      </c>
      <c r="AL1357">
        <v>0</v>
      </c>
      <c r="AM1357">
        <v>21.97</v>
      </c>
      <c r="AN1357">
        <v>0</v>
      </c>
      <c r="AO1357">
        <v>0</v>
      </c>
      <c r="AP1357">
        <v>0</v>
      </c>
      <c r="AQ1357">
        <v>0</v>
      </c>
      <c r="AR1357">
        <v>0</v>
      </c>
      <c r="AS1357">
        <v>0</v>
      </c>
      <c r="AT1357">
        <v>0</v>
      </c>
      <c r="AU1357">
        <v>0</v>
      </c>
      <c r="AV1357">
        <v>0</v>
      </c>
      <c r="AW1357">
        <v>0</v>
      </c>
      <c r="AX1357">
        <v>0</v>
      </c>
      <c r="AY1357">
        <v>0</v>
      </c>
      <c r="AZ1357">
        <v>0</v>
      </c>
      <c r="BA1357">
        <v>0</v>
      </c>
      <c r="BB1357">
        <v>0</v>
      </c>
      <c r="BC1357">
        <v>0</v>
      </c>
      <c r="BD1357">
        <v>0</v>
      </c>
      <c r="BE1357">
        <v>0</v>
      </c>
      <c r="BF1357">
        <v>0</v>
      </c>
      <c r="BG1357">
        <v>0</v>
      </c>
      <c r="BH1357">
        <v>1</v>
      </c>
      <c r="BI1357">
        <v>11.1</v>
      </c>
      <c r="BJ1357">
        <v>5.4</v>
      </c>
      <c r="BK1357">
        <v>11.5</v>
      </c>
      <c r="BL1357" s="4">
        <v>129.16</v>
      </c>
      <c r="BM1357" s="4">
        <v>19.37</v>
      </c>
      <c r="BN1357" s="4">
        <v>148.53</v>
      </c>
      <c r="BO1357" s="4">
        <v>148.53</v>
      </c>
      <c r="BQ1357" t="s">
        <v>147</v>
      </c>
      <c r="BR1357" t="s">
        <v>84</v>
      </c>
      <c r="BS1357" t="s">
        <v>717</v>
      </c>
      <c r="BY1357">
        <v>26862.959999999999</v>
      </c>
      <c r="CC1357" t="s">
        <v>76</v>
      </c>
      <c r="CD1357">
        <v>1645</v>
      </c>
      <c r="CE1357" t="s">
        <v>116</v>
      </c>
      <c r="CI1357">
        <v>1</v>
      </c>
      <c r="CJ1357" t="s">
        <v>717</v>
      </c>
      <c r="CK1357">
        <v>22</v>
      </c>
      <c r="CL1357" t="s">
        <v>89</v>
      </c>
    </row>
    <row r="1358" spans="1:90">
      <c r="A1358" t="s">
        <v>72</v>
      </c>
      <c r="B1358" t="s">
        <v>73</v>
      </c>
      <c r="C1358" t="s">
        <v>74</v>
      </c>
      <c r="E1358" t="str">
        <f>"FES1162729286"</f>
        <v>FES1162729286</v>
      </c>
      <c r="F1358" s="3">
        <v>43819</v>
      </c>
      <c r="G1358">
        <v>202006</v>
      </c>
      <c r="H1358" t="s">
        <v>75</v>
      </c>
      <c r="I1358" t="s">
        <v>76</v>
      </c>
      <c r="J1358" t="s">
        <v>77</v>
      </c>
      <c r="K1358" t="s">
        <v>78</v>
      </c>
      <c r="L1358" t="s">
        <v>90</v>
      </c>
      <c r="M1358" t="s">
        <v>91</v>
      </c>
      <c r="N1358" t="s">
        <v>548</v>
      </c>
      <c r="O1358" t="s">
        <v>82</v>
      </c>
      <c r="P1358" t="str">
        <f>"321707759                     "</f>
        <v xml:space="preserve">321707759                     </v>
      </c>
      <c r="Q1358">
        <v>0</v>
      </c>
      <c r="R1358">
        <v>0</v>
      </c>
      <c r="S1358">
        <v>0</v>
      </c>
      <c r="T1358">
        <v>0</v>
      </c>
      <c r="U1358">
        <v>0</v>
      </c>
      <c r="V1358">
        <v>0</v>
      </c>
      <c r="W1358">
        <v>0</v>
      </c>
      <c r="X1358">
        <v>0</v>
      </c>
      <c r="Y1358">
        <v>0</v>
      </c>
      <c r="Z1358">
        <v>0</v>
      </c>
      <c r="AA1358">
        <v>0</v>
      </c>
      <c r="AB1358">
        <v>0</v>
      </c>
      <c r="AC1358">
        <v>0</v>
      </c>
      <c r="AD1358">
        <v>0</v>
      </c>
      <c r="AE1358">
        <v>0</v>
      </c>
      <c r="AF1358">
        <v>0</v>
      </c>
      <c r="AG1358">
        <v>0</v>
      </c>
      <c r="AH1358">
        <v>0</v>
      </c>
      <c r="AI1358">
        <v>0</v>
      </c>
      <c r="AJ1358">
        <v>0</v>
      </c>
      <c r="AK1358">
        <v>0</v>
      </c>
      <c r="AL1358">
        <v>0</v>
      </c>
      <c r="AM1358">
        <v>8.58</v>
      </c>
      <c r="AN1358">
        <v>0</v>
      </c>
      <c r="AO1358">
        <v>0</v>
      </c>
      <c r="AP1358">
        <v>0</v>
      </c>
      <c r="AQ1358">
        <v>0</v>
      </c>
      <c r="AR1358">
        <v>0</v>
      </c>
      <c r="AS1358">
        <v>0</v>
      </c>
      <c r="AT1358">
        <v>0</v>
      </c>
      <c r="AU1358">
        <v>0</v>
      </c>
      <c r="AV1358">
        <v>0</v>
      </c>
      <c r="AW1358">
        <v>0</v>
      </c>
      <c r="AX1358">
        <v>0</v>
      </c>
      <c r="AY1358">
        <v>0</v>
      </c>
      <c r="AZ1358">
        <v>0</v>
      </c>
      <c r="BA1358">
        <v>0</v>
      </c>
      <c r="BB1358">
        <v>0</v>
      </c>
      <c r="BC1358">
        <v>0</v>
      </c>
      <c r="BD1358">
        <v>0</v>
      </c>
      <c r="BE1358">
        <v>0</v>
      </c>
      <c r="BF1358">
        <v>0</v>
      </c>
      <c r="BG1358">
        <v>0</v>
      </c>
      <c r="BH1358">
        <v>1</v>
      </c>
      <c r="BI1358">
        <v>1.1000000000000001</v>
      </c>
      <c r="BJ1358">
        <v>0.9</v>
      </c>
      <c r="BK1358">
        <v>1.5</v>
      </c>
      <c r="BL1358" s="4">
        <v>50.45</v>
      </c>
      <c r="BM1358" s="4">
        <v>7.57</v>
      </c>
      <c r="BN1358" s="4">
        <v>58.02</v>
      </c>
      <c r="BO1358" s="4">
        <v>58.02</v>
      </c>
      <c r="BQ1358" t="s">
        <v>147</v>
      </c>
      <c r="BR1358" t="s">
        <v>84</v>
      </c>
      <c r="BS1358" s="3">
        <v>43822</v>
      </c>
      <c r="BT1358" s="5">
        <v>0.31597222222222221</v>
      </c>
      <c r="BU1358" t="s">
        <v>1829</v>
      </c>
      <c r="BV1358" t="s">
        <v>86</v>
      </c>
      <c r="BY1358">
        <v>4380.12</v>
      </c>
      <c r="CA1358" t="s">
        <v>550</v>
      </c>
      <c r="CC1358" t="s">
        <v>91</v>
      </c>
      <c r="CD1358">
        <v>7530</v>
      </c>
      <c r="CE1358" t="s">
        <v>116</v>
      </c>
      <c r="CF1358" s="3">
        <v>43823</v>
      </c>
      <c r="CI1358">
        <v>1</v>
      </c>
      <c r="CJ1358">
        <v>1</v>
      </c>
      <c r="CK1358">
        <v>21</v>
      </c>
      <c r="CL1358" t="s">
        <v>89</v>
      </c>
    </row>
    <row r="1359" spans="1:90">
      <c r="A1359" t="s">
        <v>72</v>
      </c>
      <c r="B1359" t="s">
        <v>73</v>
      </c>
      <c r="C1359" t="s">
        <v>74</v>
      </c>
      <c r="E1359" t="str">
        <f>"FES1162729310"</f>
        <v>FES1162729310</v>
      </c>
      <c r="F1359" s="3">
        <v>43819</v>
      </c>
      <c r="G1359">
        <v>202006</v>
      </c>
      <c r="H1359" t="s">
        <v>75</v>
      </c>
      <c r="I1359" t="s">
        <v>76</v>
      </c>
      <c r="J1359" t="s">
        <v>77</v>
      </c>
      <c r="K1359" t="s">
        <v>78</v>
      </c>
      <c r="L1359" t="s">
        <v>90</v>
      </c>
      <c r="M1359" t="s">
        <v>91</v>
      </c>
      <c r="N1359" t="s">
        <v>110</v>
      </c>
      <c r="O1359" t="s">
        <v>82</v>
      </c>
      <c r="P1359" t="str">
        <f>"2170722294                    "</f>
        <v xml:space="preserve">2170722294                    </v>
      </c>
      <c r="Q1359">
        <v>0</v>
      </c>
      <c r="R1359">
        <v>0</v>
      </c>
      <c r="S1359">
        <v>0</v>
      </c>
      <c r="T1359">
        <v>0</v>
      </c>
      <c r="U1359">
        <v>0</v>
      </c>
      <c r="V1359">
        <v>0</v>
      </c>
      <c r="W1359">
        <v>0</v>
      </c>
      <c r="X1359">
        <v>0</v>
      </c>
      <c r="Y1359">
        <v>0</v>
      </c>
      <c r="Z1359">
        <v>0</v>
      </c>
      <c r="AA1359">
        <v>0</v>
      </c>
      <c r="AB1359">
        <v>0</v>
      </c>
      <c r="AC1359">
        <v>0</v>
      </c>
      <c r="AD1359">
        <v>0</v>
      </c>
      <c r="AE1359">
        <v>0</v>
      </c>
      <c r="AF1359">
        <v>0</v>
      </c>
      <c r="AG1359">
        <v>0</v>
      </c>
      <c r="AH1359">
        <v>0</v>
      </c>
      <c r="AI1359">
        <v>0</v>
      </c>
      <c r="AJ1359">
        <v>0</v>
      </c>
      <c r="AK1359">
        <v>0</v>
      </c>
      <c r="AL1359">
        <v>0</v>
      </c>
      <c r="AM1359">
        <v>8.58</v>
      </c>
      <c r="AN1359">
        <v>0</v>
      </c>
      <c r="AO1359">
        <v>0</v>
      </c>
      <c r="AP1359">
        <v>0</v>
      </c>
      <c r="AQ1359">
        <v>0</v>
      </c>
      <c r="AR1359">
        <v>0</v>
      </c>
      <c r="AS1359">
        <v>0</v>
      </c>
      <c r="AT1359">
        <v>0</v>
      </c>
      <c r="AU1359">
        <v>0</v>
      </c>
      <c r="AV1359">
        <v>0</v>
      </c>
      <c r="AW1359">
        <v>0</v>
      </c>
      <c r="AX1359">
        <v>0</v>
      </c>
      <c r="AY1359">
        <v>0</v>
      </c>
      <c r="AZ1359">
        <v>0</v>
      </c>
      <c r="BA1359">
        <v>0</v>
      </c>
      <c r="BB1359">
        <v>0</v>
      </c>
      <c r="BC1359">
        <v>0</v>
      </c>
      <c r="BD1359">
        <v>0</v>
      </c>
      <c r="BE1359">
        <v>0</v>
      </c>
      <c r="BF1359">
        <v>0</v>
      </c>
      <c r="BG1359">
        <v>0</v>
      </c>
      <c r="BH1359">
        <v>1</v>
      </c>
      <c r="BI1359">
        <v>1</v>
      </c>
      <c r="BJ1359">
        <v>0.2</v>
      </c>
      <c r="BK1359">
        <v>1</v>
      </c>
      <c r="BL1359" s="4">
        <v>50.45</v>
      </c>
      <c r="BM1359" s="4">
        <v>7.57</v>
      </c>
      <c r="BN1359" s="4">
        <v>58.02</v>
      </c>
      <c r="BO1359" s="4">
        <v>58.02</v>
      </c>
      <c r="BQ1359" t="s">
        <v>147</v>
      </c>
      <c r="BR1359" t="s">
        <v>84</v>
      </c>
      <c r="BS1359" s="3">
        <v>43822</v>
      </c>
      <c r="BT1359" s="5">
        <v>0.32569444444444445</v>
      </c>
      <c r="BU1359" t="s">
        <v>1830</v>
      </c>
      <c r="BV1359" t="s">
        <v>86</v>
      </c>
      <c r="BY1359">
        <v>1200</v>
      </c>
      <c r="CA1359" t="s">
        <v>1831</v>
      </c>
      <c r="CC1359" t="s">
        <v>91</v>
      </c>
      <c r="CD1359">
        <v>7405</v>
      </c>
      <c r="CE1359" t="s">
        <v>88</v>
      </c>
      <c r="CF1359" s="3">
        <v>43823</v>
      </c>
      <c r="CI1359">
        <v>1</v>
      </c>
      <c r="CJ1359">
        <v>1</v>
      </c>
      <c r="CK1359">
        <v>21</v>
      </c>
      <c r="CL1359" t="s">
        <v>89</v>
      </c>
    </row>
    <row r="1360" spans="1:90">
      <c r="A1360" t="s">
        <v>72</v>
      </c>
      <c r="B1360" t="s">
        <v>73</v>
      </c>
      <c r="C1360" t="s">
        <v>74</v>
      </c>
      <c r="E1360" t="str">
        <f>"FES1162729282"</f>
        <v>FES1162729282</v>
      </c>
      <c r="F1360" s="3">
        <v>43819</v>
      </c>
      <c r="G1360">
        <v>202006</v>
      </c>
      <c r="H1360" t="s">
        <v>75</v>
      </c>
      <c r="I1360" t="s">
        <v>76</v>
      </c>
      <c r="J1360" t="s">
        <v>77</v>
      </c>
      <c r="K1360" t="s">
        <v>78</v>
      </c>
      <c r="L1360" t="s">
        <v>90</v>
      </c>
      <c r="M1360" t="s">
        <v>91</v>
      </c>
      <c r="N1360" t="s">
        <v>548</v>
      </c>
      <c r="O1360" t="s">
        <v>82</v>
      </c>
      <c r="P1360" t="str">
        <f>"2170722293                    "</f>
        <v xml:space="preserve">2170722293                    </v>
      </c>
      <c r="Q1360">
        <v>0</v>
      </c>
      <c r="R1360">
        <v>0</v>
      </c>
      <c r="S1360">
        <v>0</v>
      </c>
      <c r="T1360">
        <v>0</v>
      </c>
      <c r="U1360">
        <v>0</v>
      </c>
      <c r="V1360">
        <v>0</v>
      </c>
      <c r="W1360">
        <v>0</v>
      </c>
      <c r="X1360">
        <v>0</v>
      </c>
      <c r="Y1360">
        <v>0</v>
      </c>
      <c r="Z1360">
        <v>0</v>
      </c>
      <c r="AA1360">
        <v>0</v>
      </c>
      <c r="AB1360">
        <v>0</v>
      </c>
      <c r="AC1360">
        <v>0</v>
      </c>
      <c r="AD1360">
        <v>0</v>
      </c>
      <c r="AE1360">
        <v>0</v>
      </c>
      <c r="AF1360">
        <v>0</v>
      </c>
      <c r="AG1360">
        <v>0</v>
      </c>
      <c r="AH1360">
        <v>0</v>
      </c>
      <c r="AI1360">
        <v>0</v>
      </c>
      <c r="AJ1360">
        <v>0</v>
      </c>
      <c r="AK1360">
        <v>0</v>
      </c>
      <c r="AL1360">
        <v>0</v>
      </c>
      <c r="AM1360">
        <v>8.58</v>
      </c>
      <c r="AN1360">
        <v>0</v>
      </c>
      <c r="AO1360">
        <v>0</v>
      </c>
      <c r="AP1360">
        <v>0</v>
      </c>
      <c r="AQ1360">
        <v>0</v>
      </c>
      <c r="AR1360">
        <v>0</v>
      </c>
      <c r="AS1360">
        <v>0</v>
      </c>
      <c r="AT1360">
        <v>0</v>
      </c>
      <c r="AU1360">
        <v>0</v>
      </c>
      <c r="AV1360">
        <v>0</v>
      </c>
      <c r="AW1360">
        <v>0</v>
      </c>
      <c r="AX1360">
        <v>0</v>
      </c>
      <c r="AY1360">
        <v>0</v>
      </c>
      <c r="AZ1360">
        <v>0</v>
      </c>
      <c r="BA1360">
        <v>0</v>
      </c>
      <c r="BB1360">
        <v>0</v>
      </c>
      <c r="BC1360">
        <v>0</v>
      </c>
      <c r="BD1360">
        <v>0</v>
      </c>
      <c r="BE1360">
        <v>0</v>
      </c>
      <c r="BF1360">
        <v>0</v>
      </c>
      <c r="BG1360">
        <v>0</v>
      </c>
      <c r="BH1360">
        <v>1</v>
      </c>
      <c r="BI1360">
        <v>1</v>
      </c>
      <c r="BJ1360">
        <v>0.2</v>
      </c>
      <c r="BK1360">
        <v>1</v>
      </c>
      <c r="BL1360" s="4">
        <v>50.45</v>
      </c>
      <c r="BM1360" s="4">
        <v>7.57</v>
      </c>
      <c r="BN1360" s="4">
        <v>58.02</v>
      </c>
      <c r="BO1360" s="4">
        <v>58.02</v>
      </c>
      <c r="BQ1360" t="s">
        <v>147</v>
      </c>
      <c r="BR1360" t="s">
        <v>84</v>
      </c>
      <c r="BS1360" s="3">
        <v>43822</v>
      </c>
      <c r="BT1360" s="5">
        <v>0.31597222222222221</v>
      </c>
      <c r="BU1360" t="s">
        <v>1829</v>
      </c>
      <c r="BV1360" t="s">
        <v>86</v>
      </c>
      <c r="BY1360">
        <v>1200</v>
      </c>
      <c r="CA1360" t="s">
        <v>550</v>
      </c>
      <c r="CC1360" t="s">
        <v>91</v>
      </c>
      <c r="CD1360">
        <v>7530</v>
      </c>
      <c r="CE1360" t="s">
        <v>88</v>
      </c>
      <c r="CF1360" s="3">
        <v>43823</v>
      </c>
      <c r="CI1360">
        <v>1</v>
      </c>
      <c r="CJ1360">
        <v>1</v>
      </c>
      <c r="CK1360">
        <v>21</v>
      </c>
      <c r="CL1360" t="s">
        <v>89</v>
      </c>
    </row>
    <row r="1361" spans="1:90">
      <c r="A1361" t="s">
        <v>72</v>
      </c>
      <c r="B1361" t="s">
        <v>73</v>
      </c>
      <c r="C1361" t="s">
        <v>74</v>
      </c>
      <c r="E1361" t="str">
        <f>"FES1162729036"</f>
        <v>FES1162729036</v>
      </c>
      <c r="F1361" s="3">
        <v>43819</v>
      </c>
      <c r="G1361">
        <v>202006</v>
      </c>
      <c r="H1361" t="s">
        <v>75</v>
      </c>
      <c r="I1361" t="s">
        <v>76</v>
      </c>
      <c r="J1361" t="s">
        <v>77</v>
      </c>
      <c r="K1361" t="s">
        <v>78</v>
      </c>
      <c r="L1361" t="s">
        <v>75</v>
      </c>
      <c r="M1361" t="s">
        <v>76</v>
      </c>
      <c r="N1361" t="s">
        <v>305</v>
      </c>
      <c r="O1361" t="s">
        <v>82</v>
      </c>
      <c r="P1361" t="str">
        <f>"217079395                     "</f>
        <v xml:space="preserve">217079395                     </v>
      </c>
      <c r="Q1361">
        <v>0</v>
      </c>
      <c r="R1361">
        <v>0</v>
      </c>
      <c r="S1361">
        <v>0</v>
      </c>
      <c r="T1361">
        <v>0</v>
      </c>
      <c r="U1361">
        <v>0</v>
      </c>
      <c r="V1361">
        <v>0</v>
      </c>
      <c r="W1361">
        <v>0</v>
      </c>
      <c r="X1361">
        <v>0</v>
      </c>
      <c r="Y1361">
        <v>0</v>
      </c>
      <c r="Z1361">
        <v>0</v>
      </c>
      <c r="AA1361">
        <v>0</v>
      </c>
      <c r="AB1361">
        <v>0</v>
      </c>
      <c r="AC1361">
        <v>0</v>
      </c>
      <c r="AD1361">
        <v>0</v>
      </c>
      <c r="AE1361">
        <v>0</v>
      </c>
      <c r="AF1361">
        <v>0</v>
      </c>
      <c r="AG1361">
        <v>0</v>
      </c>
      <c r="AH1361">
        <v>0</v>
      </c>
      <c r="AI1361">
        <v>0</v>
      </c>
      <c r="AJ1361">
        <v>0</v>
      </c>
      <c r="AK1361">
        <v>0</v>
      </c>
      <c r="AL1361">
        <v>0</v>
      </c>
      <c r="AM1361">
        <v>6.71</v>
      </c>
      <c r="AN1361">
        <v>0</v>
      </c>
      <c r="AO1361">
        <v>0</v>
      </c>
      <c r="AP1361">
        <v>0</v>
      </c>
      <c r="AQ1361">
        <v>0</v>
      </c>
      <c r="AR1361">
        <v>0</v>
      </c>
      <c r="AS1361">
        <v>0</v>
      </c>
      <c r="AT1361">
        <v>0</v>
      </c>
      <c r="AU1361">
        <v>0</v>
      </c>
      <c r="AV1361">
        <v>0</v>
      </c>
      <c r="AW1361">
        <v>0</v>
      </c>
      <c r="AX1361">
        <v>0</v>
      </c>
      <c r="AY1361">
        <v>0</v>
      </c>
      <c r="AZ1361">
        <v>0</v>
      </c>
      <c r="BA1361">
        <v>0</v>
      </c>
      <c r="BB1361">
        <v>0</v>
      </c>
      <c r="BC1361">
        <v>0</v>
      </c>
      <c r="BD1361">
        <v>0</v>
      </c>
      <c r="BE1361">
        <v>0</v>
      </c>
      <c r="BF1361">
        <v>0</v>
      </c>
      <c r="BG1361">
        <v>0</v>
      </c>
      <c r="BH1361">
        <v>1</v>
      </c>
      <c r="BI1361">
        <v>0.5</v>
      </c>
      <c r="BJ1361">
        <v>0.5</v>
      </c>
      <c r="BK1361">
        <v>0.5</v>
      </c>
      <c r="BL1361" s="4">
        <v>39.42</v>
      </c>
      <c r="BM1361" s="4">
        <v>5.91</v>
      </c>
      <c r="BN1361" s="4">
        <v>45.33</v>
      </c>
      <c r="BO1361" s="4">
        <v>45.33</v>
      </c>
      <c r="BQ1361" t="s">
        <v>147</v>
      </c>
      <c r="BR1361" t="s">
        <v>84</v>
      </c>
      <c r="BS1361" t="s">
        <v>717</v>
      </c>
      <c r="BY1361">
        <v>2706.8</v>
      </c>
      <c r="CC1361" t="s">
        <v>76</v>
      </c>
      <c r="CD1361">
        <v>1645</v>
      </c>
      <c r="CE1361" t="s">
        <v>96</v>
      </c>
      <c r="CI1361">
        <v>1</v>
      </c>
      <c r="CJ1361" t="s">
        <v>717</v>
      </c>
      <c r="CK1361">
        <v>22</v>
      </c>
      <c r="CL1361" t="s">
        <v>89</v>
      </c>
    </row>
    <row r="1362" spans="1:90">
      <c r="A1362" t="s">
        <v>72</v>
      </c>
      <c r="B1362" t="s">
        <v>73</v>
      </c>
      <c r="C1362" t="s">
        <v>74</v>
      </c>
      <c r="E1362" t="str">
        <f>"FES1162729300"</f>
        <v>FES1162729300</v>
      </c>
      <c r="F1362" s="3">
        <v>43819</v>
      </c>
      <c r="G1362">
        <v>202006</v>
      </c>
      <c r="H1362" t="s">
        <v>75</v>
      </c>
      <c r="I1362" t="s">
        <v>76</v>
      </c>
      <c r="J1362" t="s">
        <v>77</v>
      </c>
      <c r="K1362" t="s">
        <v>78</v>
      </c>
      <c r="L1362" t="s">
        <v>90</v>
      </c>
      <c r="M1362" t="s">
        <v>91</v>
      </c>
      <c r="N1362" t="s">
        <v>207</v>
      </c>
      <c r="O1362" t="s">
        <v>82</v>
      </c>
      <c r="P1362" t="str">
        <f>"2170721523                    "</f>
        <v xml:space="preserve">2170721523                    </v>
      </c>
      <c r="Q1362">
        <v>0</v>
      </c>
      <c r="R1362">
        <v>0</v>
      </c>
      <c r="S1362">
        <v>0</v>
      </c>
      <c r="T1362">
        <v>0</v>
      </c>
      <c r="U1362">
        <v>0</v>
      </c>
      <c r="V1362">
        <v>0</v>
      </c>
      <c r="W1362">
        <v>0</v>
      </c>
      <c r="X1362">
        <v>0</v>
      </c>
      <c r="Y1362">
        <v>0</v>
      </c>
      <c r="Z1362">
        <v>0</v>
      </c>
      <c r="AA1362">
        <v>0</v>
      </c>
      <c r="AB1362">
        <v>0</v>
      </c>
      <c r="AC1362">
        <v>0</v>
      </c>
      <c r="AD1362">
        <v>0</v>
      </c>
      <c r="AE1362">
        <v>0</v>
      </c>
      <c r="AF1362">
        <v>0</v>
      </c>
      <c r="AG1362">
        <v>0</v>
      </c>
      <c r="AH1362">
        <v>0</v>
      </c>
      <c r="AI1362">
        <v>0</v>
      </c>
      <c r="AJ1362">
        <v>0</v>
      </c>
      <c r="AK1362">
        <v>0</v>
      </c>
      <c r="AL1362">
        <v>0</v>
      </c>
      <c r="AM1362">
        <v>8.58</v>
      </c>
      <c r="AN1362">
        <v>0</v>
      </c>
      <c r="AO1362">
        <v>0</v>
      </c>
      <c r="AP1362">
        <v>0</v>
      </c>
      <c r="AQ1362">
        <v>0</v>
      </c>
      <c r="AR1362">
        <v>0</v>
      </c>
      <c r="AS1362">
        <v>0</v>
      </c>
      <c r="AT1362">
        <v>0</v>
      </c>
      <c r="AU1362">
        <v>0</v>
      </c>
      <c r="AV1362">
        <v>0</v>
      </c>
      <c r="AW1362">
        <v>0</v>
      </c>
      <c r="AX1362">
        <v>0</v>
      </c>
      <c r="AY1362">
        <v>0</v>
      </c>
      <c r="AZ1362">
        <v>0</v>
      </c>
      <c r="BA1362">
        <v>0</v>
      </c>
      <c r="BB1362">
        <v>0</v>
      </c>
      <c r="BC1362">
        <v>0</v>
      </c>
      <c r="BD1362">
        <v>0</v>
      </c>
      <c r="BE1362">
        <v>0</v>
      </c>
      <c r="BF1362">
        <v>0</v>
      </c>
      <c r="BG1362">
        <v>0</v>
      </c>
      <c r="BH1362">
        <v>1</v>
      </c>
      <c r="BI1362">
        <v>1</v>
      </c>
      <c r="BJ1362">
        <v>0.2</v>
      </c>
      <c r="BK1362">
        <v>1</v>
      </c>
      <c r="BL1362" s="4">
        <v>50.45</v>
      </c>
      <c r="BM1362" s="4">
        <v>7.57</v>
      </c>
      <c r="BN1362" s="4">
        <v>58.02</v>
      </c>
      <c r="BO1362" s="4">
        <v>58.02</v>
      </c>
      <c r="BQ1362" t="s">
        <v>147</v>
      </c>
      <c r="BR1362" t="s">
        <v>84</v>
      </c>
      <c r="BS1362" s="3">
        <v>43836</v>
      </c>
      <c r="BT1362" s="5">
        <v>0.33819444444444446</v>
      </c>
      <c r="BU1362" t="s">
        <v>1832</v>
      </c>
      <c r="BV1362" t="s">
        <v>89</v>
      </c>
      <c r="BY1362">
        <v>1200</v>
      </c>
      <c r="CA1362" t="s">
        <v>1833</v>
      </c>
      <c r="CC1362" t="s">
        <v>91</v>
      </c>
      <c r="CD1362">
        <v>7441</v>
      </c>
      <c r="CE1362" t="s">
        <v>88</v>
      </c>
      <c r="CI1362">
        <v>1</v>
      </c>
      <c r="CJ1362">
        <v>11</v>
      </c>
      <c r="CK1362">
        <v>21</v>
      </c>
      <c r="CL1362" t="s">
        <v>89</v>
      </c>
    </row>
    <row r="1363" spans="1:90">
      <c r="A1363" t="s">
        <v>72</v>
      </c>
      <c r="B1363" t="s">
        <v>73</v>
      </c>
      <c r="C1363" t="s">
        <v>74</v>
      </c>
      <c r="E1363" t="str">
        <f>"FES1162729363"</f>
        <v>FES1162729363</v>
      </c>
      <c r="F1363" s="3">
        <v>43819</v>
      </c>
      <c r="G1363">
        <v>202006</v>
      </c>
      <c r="H1363" t="s">
        <v>75</v>
      </c>
      <c r="I1363" t="s">
        <v>76</v>
      </c>
      <c r="J1363" t="s">
        <v>77</v>
      </c>
      <c r="K1363" t="s">
        <v>78</v>
      </c>
      <c r="L1363" t="s">
        <v>626</v>
      </c>
      <c r="M1363" t="s">
        <v>627</v>
      </c>
      <c r="N1363" t="s">
        <v>1834</v>
      </c>
      <c r="O1363" t="s">
        <v>82</v>
      </c>
      <c r="P1363" t="str">
        <f>"2170722359                    "</f>
        <v xml:space="preserve">2170722359                    </v>
      </c>
      <c r="Q1363">
        <v>0</v>
      </c>
      <c r="R1363">
        <v>0</v>
      </c>
      <c r="S1363">
        <v>0</v>
      </c>
      <c r="T1363">
        <v>0</v>
      </c>
      <c r="U1363">
        <v>0</v>
      </c>
      <c r="V1363">
        <v>0</v>
      </c>
      <c r="W1363">
        <v>0</v>
      </c>
      <c r="X1363">
        <v>0</v>
      </c>
      <c r="Y1363">
        <v>0</v>
      </c>
      <c r="Z1363">
        <v>0</v>
      </c>
      <c r="AA1363">
        <v>0</v>
      </c>
      <c r="AB1363">
        <v>0</v>
      </c>
      <c r="AC1363">
        <v>0</v>
      </c>
      <c r="AD1363">
        <v>0</v>
      </c>
      <c r="AE1363">
        <v>0</v>
      </c>
      <c r="AF1363">
        <v>0</v>
      </c>
      <c r="AG1363">
        <v>0</v>
      </c>
      <c r="AH1363">
        <v>0</v>
      </c>
      <c r="AI1363">
        <v>0</v>
      </c>
      <c r="AJ1363">
        <v>0</v>
      </c>
      <c r="AK1363">
        <v>0</v>
      </c>
      <c r="AL1363">
        <v>0</v>
      </c>
      <c r="AM1363">
        <v>47.18</v>
      </c>
      <c r="AN1363">
        <v>0</v>
      </c>
      <c r="AO1363">
        <v>0</v>
      </c>
      <c r="AP1363">
        <v>0</v>
      </c>
      <c r="AQ1363">
        <v>0</v>
      </c>
      <c r="AR1363">
        <v>0</v>
      </c>
      <c r="AS1363">
        <v>0</v>
      </c>
      <c r="AT1363">
        <v>0</v>
      </c>
      <c r="AU1363">
        <v>0</v>
      </c>
      <c r="AV1363">
        <v>0</v>
      </c>
      <c r="AW1363">
        <v>0</v>
      </c>
      <c r="AX1363">
        <v>0</v>
      </c>
      <c r="AY1363">
        <v>0</v>
      </c>
      <c r="AZ1363">
        <v>0</v>
      </c>
      <c r="BA1363">
        <v>0</v>
      </c>
      <c r="BB1363">
        <v>0</v>
      </c>
      <c r="BC1363">
        <v>0</v>
      </c>
      <c r="BD1363">
        <v>0</v>
      </c>
      <c r="BE1363">
        <v>0</v>
      </c>
      <c r="BF1363">
        <v>0</v>
      </c>
      <c r="BG1363">
        <v>0</v>
      </c>
      <c r="BH1363">
        <v>1</v>
      </c>
      <c r="BI1363">
        <v>6.9</v>
      </c>
      <c r="BJ1363">
        <v>11</v>
      </c>
      <c r="BK1363">
        <v>11</v>
      </c>
      <c r="BL1363" s="4">
        <v>277.33</v>
      </c>
      <c r="BM1363" s="4">
        <v>41.6</v>
      </c>
      <c r="BN1363" s="4">
        <v>318.93</v>
      </c>
      <c r="BO1363" s="4">
        <v>318.93</v>
      </c>
      <c r="BR1363" t="s">
        <v>84</v>
      </c>
      <c r="BS1363" s="3">
        <v>43822</v>
      </c>
      <c r="BT1363" s="5">
        <v>0.43263888888888885</v>
      </c>
      <c r="BU1363" t="s">
        <v>1835</v>
      </c>
      <c r="BV1363" t="s">
        <v>86</v>
      </c>
      <c r="BY1363">
        <v>54999</v>
      </c>
      <c r="CA1363" t="s">
        <v>244</v>
      </c>
      <c r="CC1363" t="s">
        <v>627</v>
      </c>
      <c r="CD1363">
        <v>4120</v>
      </c>
      <c r="CE1363" t="s">
        <v>116</v>
      </c>
      <c r="CF1363" s="3">
        <v>43823</v>
      </c>
      <c r="CI1363">
        <v>1</v>
      </c>
      <c r="CJ1363">
        <v>1</v>
      </c>
      <c r="CK1363">
        <v>21</v>
      </c>
      <c r="CL1363" t="s">
        <v>89</v>
      </c>
    </row>
    <row r="1364" spans="1:90">
      <c r="A1364" t="s">
        <v>72</v>
      </c>
      <c r="B1364" t="s">
        <v>73</v>
      </c>
      <c r="C1364" t="s">
        <v>74</v>
      </c>
      <c r="E1364" t="str">
        <f>"FES1162729062"</f>
        <v>FES1162729062</v>
      </c>
      <c r="F1364" s="3">
        <v>43819</v>
      </c>
      <c r="G1364">
        <v>202006</v>
      </c>
      <c r="H1364" t="s">
        <v>75</v>
      </c>
      <c r="I1364" t="s">
        <v>76</v>
      </c>
      <c r="J1364" t="s">
        <v>77</v>
      </c>
      <c r="K1364" t="s">
        <v>78</v>
      </c>
      <c r="L1364" t="s">
        <v>138</v>
      </c>
      <c r="M1364" t="s">
        <v>139</v>
      </c>
      <c r="N1364" t="s">
        <v>1580</v>
      </c>
      <c r="O1364" t="s">
        <v>82</v>
      </c>
      <c r="P1364" t="str">
        <f>"2170720256                    "</f>
        <v xml:space="preserve">2170720256                    </v>
      </c>
      <c r="Q1364">
        <v>0</v>
      </c>
      <c r="R1364">
        <v>0</v>
      </c>
      <c r="S1364">
        <v>0</v>
      </c>
      <c r="T1364">
        <v>0</v>
      </c>
      <c r="U1364">
        <v>0</v>
      </c>
      <c r="V1364">
        <v>0</v>
      </c>
      <c r="W1364">
        <v>0</v>
      </c>
      <c r="X1364">
        <v>0</v>
      </c>
      <c r="Y1364">
        <v>0</v>
      </c>
      <c r="Z1364">
        <v>0</v>
      </c>
      <c r="AA1364">
        <v>0</v>
      </c>
      <c r="AB1364">
        <v>0</v>
      </c>
      <c r="AC1364">
        <v>0</v>
      </c>
      <c r="AD1364">
        <v>0</v>
      </c>
      <c r="AE1364">
        <v>0</v>
      </c>
      <c r="AF1364">
        <v>0</v>
      </c>
      <c r="AG1364">
        <v>0</v>
      </c>
      <c r="AH1364">
        <v>0</v>
      </c>
      <c r="AI1364">
        <v>0</v>
      </c>
      <c r="AJ1364">
        <v>0</v>
      </c>
      <c r="AK1364">
        <v>0</v>
      </c>
      <c r="AL1364">
        <v>0</v>
      </c>
      <c r="AM1364">
        <v>6.71</v>
      </c>
      <c r="AN1364">
        <v>0</v>
      </c>
      <c r="AO1364">
        <v>0</v>
      </c>
      <c r="AP1364">
        <v>0</v>
      </c>
      <c r="AQ1364">
        <v>0</v>
      </c>
      <c r="AR1364">
        <v>0</v>
      </c>
      <c r="AS1364">
        <v>0</v>
      </c>
      <c r="AT1364">
        <v>0</v>
      </c>
      <c r="AU1364">
        <v>0</v>
      </c>
      <c r="AV1364">
        <v>0</v>
      </c>
      <c r="AW1364">
        <v>0</v>
      </c>
      <c r="AX1364">
        <v>0</v>
      </c>
      <c r="AY1364">
        <v>0</v>
      </c>
      <c r="AZ1364">
        <v>0</v>
      </c>
      <c r="BA1364">
        <v>0</v>
      </c>
      <c r="BB1364">
        <v>0</v>
      </c>
      <c r="BC1364">
        <v>0</v>
      </c>
      <c r="BD1364">
        <v>0</v>
      </c>
      <c r="BE1364">
        <v>0</v>
      </c>
      <c r="BF1364">
        <v>0</v>
      </c>
      <c r="BG1364">
        <v>0</v>
      </c>
      <c r="BH1364">
        <v>1</v>
      </c>
      <c r="BI1364">
        <v>1</v>
      </c>
      <c r="BJ1364">
        <v>0.2</v>
      </c>
      <c r="BK1364">
        <v>1</v>
      </c>
      <c r="BL1364" s="4">
        <v>39.42</v>
      </c>
      <c r="BM1364" s="4">
        <v>5.91</v>
      </c>
      <c r="BN1364" s="4">
        <v>45.33</v>
      </c>
      <c r="BO1364" s="4">
        <v>45.33</v>
      </c>
      <c r="BQ1364" t="s">
        <v>256</v>
      </c>
      <c r="BR1364" t="s">
        <v>84</v>
      </c>
      <c r="BS1364" s="3">
        <v>43832</v>
      </c>
      <c r="BT1364" s="5">
        <v>0.78680555555555554</v>
      </c>
      <c r="BU1364" t="s">
        <v>617</v>
      </c>
      <c r="BV1364" t="s">
        <v>89</v>
      </c>
      <c r="BY1364">
        <v>1200</v>
      </c>
      <c r="CA1364" t="s">
        <v>620</v>
      </c>
      <c r="CC1364" t="s">
        <v>139</v>
      </c>
      <c r="CD1364">
        <v>1406</v>
      </c>
      <c r="CE1364" t="s">
        <v>88</v>
      </c>
      <c r="CI1364">
        <v>1</v>
      </c>
      <c r="CJ1364">
        <v>9</v>
      </c>
      <c r="CK1364">
        <v>22</v>
      </c>
      <c r="CL1364" t="s">
        <v>89</v>
      </c>
    </row>
    <row r="1365" spans="1:90">
      <c r="A1365" t="s">
        <v>72</v>
      </c>
      <c r="B1365" t="s">
        <v>73</v>
      </c>
      <c r="C1365" t="s">
        <v>74</v>
      </c>
      <c r="E1365" t="str">
        <f>"FES1162729071"</f>
        <v>FES1162729071</v>
      </c>
      <c r="F1365" s="3">
        <v>43819</v>
      </c>
      <c r="G1365">
        <v>202006</v>
      </c>
      <c r="H1365" t="s">
        <v>75</v>
      </c>
      <c r="I1365" t="s">
        <v>76</v>
      </c>
      <c r="J1365" t="s">
        <v>77</v>
      </c>
      <c r="K1365" t="s">
        <v>78</v>
      </c>
      <c r="L1365" t="s">
        <v>714</v>
      </c>
      <c r="M1365" t="s">
        <v>715</v>
      </c>
      <c r="N1365" t="s">
        <v>1018</v>
      </c>
      <c r="O1365" t="s">
        <v>82</v>
      </c>
      <c r="P1365" t="str">
        <f>"2170720317                    "</f>
        <v xml:space="preserve">2170720317                    </v>
      </c>
      <c r="Q1365">
        <v>0</v>
      </c>
      <c r="R1365">
        <v>0</v>
      </c>
      <c r="S1365">
        <v>0</v>
      </c>
      <c r="T1365">
        <v>0</v>
      </c>
      <c r="U1365">
        <v>0</v>
      </c>
      <c r="V1365">
        <v>0</v>
      </c>
      <c r="W1365">
        <v>0</v>
      </c>
      <c r="X1365">
        <v>0</v>
      </c>
      <c r="Y1365">
        <v>0</v>
      </c>
      <c r="Z1365">
        <v>0</v>
      </c>
      <c r="AA1365">
        <v>0</v>
      </c>
      <c r="AB1365">
        <v>0</v>
      </c>
      <c r="AC1365">
        <v>0</v>
      </c>
      <c r="AD1365">
        <v>0</v>
      </c>
      <c r="AE1365">
        <v>0</v>
      </c>
      <c r="AF1365">
        <v>0</v>
      </c>
      <c r="AG1365">
        <v>0</v>
      </c>
      <c r="AH1365">
        <v>0</v>
      </c>
      <c r="AI1365">
        <v>0</v>
      </c>
      <c r="AJ1365">
        <v>0</v>
      </c>
      <c r="AK1365">
        <v>0</v>
      </c>
      <c r="AL1365">
        <v>0</v>
      </c>
      <c r="AM1365">
        <v>6.71</v>
      </c>
      <c r="AN1365">
        <v>0</v>
      </c>
      <c r="AO1365">
        <v>0</v>
      </c>
      <c r="AP1365">
        <v>0</v>
      </c>
      <c r="AQ1365">
        <v>0</v>
      </c>
      <c r="AR1365">
        <v>0</v>
      </c>
      <c r="AS1365">
        <v>0</v>
      </c>
      <c r="AT1365">
        <v>0</v>
      </c>
      <c r="AU1365">
        <v>0</v>
      </c>
      <c r="AV1365">
        <v>0</v>
      </c>
      <c r="AW1365">
        <v>0</v>
      </c>
      <c r="AX1365">
        <v>0</v>
      </c>
      <c r="AY1365">
        <v>0</v>
      </c>
      <c r="AZ1365">
        <v>0</v>
      </c>
      <c r="BA1365">
        <v>0</v>
      </c>
      <c r="BB1365">
        <v>0</v>
      </c>
      <c r="BC1365">
        <v>0</v>
      </c>
      <c r="BD1365">
        <v>0</v>
      </c>
      <c r="BE1365">
        <v>0</v>
      </c>
      <c r="BF1365">
        <v>0</v>
      </c>
      <c r="BG1365">
        <v>0</v>
      </c>
      <c r="BH1365">
        <v>1</v>
      </c>
      <c r="BI1365">
        <v>1</v>
      </c>
      <c r="BJ1365">
        <v>0.2</v>
      </c>
      <c r="BK1365">
        <v>1</v>
      </c>
      <c r="BL1365" s="4">
        <v>39.42</v>
      </c>
      <c r="BM1365" s="4">
        <v>5.91</v>
      </c>
      <c r="BN1365" s="4">
        <v>45.33</v>
      </c>
      <c r="BO1365" s="4">
        <v>45.33</v>
      </c>
      <c r="BQ1365" t="s">
        <v>147</v>
      </c>
      <c r="BR1365" t="s">
        <v>84</v>
      </c>
      <c r="BS1365" s="3">
        <v>43822</v>
      </c>
      <c r="BT1365" s="5">
        <v>0.35416666666666669</v>
      </c>
      <c r="BU1365" t="s">
        <v>1836</v>
      </c>
      <c r="BV1365" t="s">
        <v>86</v>
      </c>
      <c r="BY1365">
        <v>1200</v>
      </c>
      <c r="CC1365" t="s">
        <v>715</v>
      </c>
      <c r="CD1365">
        <v>1559</v>
      </c>
      <c r="CE1365" t="s">
        <v>88</v>
      </c>
      <c r="CF1365" s="3">
        <v>43823</v>
      </c>
      <c r="CI1365">
        <v>1</v>
      </c>
      <c r="CJ1365">
        <v>1</v>
      </c>
      <c r="CK1365">
        <v>22</v>
      </c>
      <c r="CL1365" t="s">
        <v>89</v>
      </c>
    </row>
    <row r="1366" spans="1:90">
      <c r="A1366" t="s">
        <v>72</v>
      </c>
      <c r="B1366" t="s">
        <v>73</v>
      </c>
      <c r="C1366" t="s">
        <v>74</v>
      </c>
      <c r="E1366" t="str">
        <f>"FES1162729322"</f>
        <v>FES1162729322</v>
      </c>
      <c r="F1366" s="3">
        <v>43819</v>
      </c>
      <c r="G1366">
        <v>202006</v>
      </c>
      <c r="H1366" t="s">
        <v>75</v>
      </c>
      <c r="I1366" t="s">
        <v>76</v>
      </c>
      <c r="J1366" t="s">
        <v>77</v>
      </c>
      <c r="K1366" t="s">
        <v>78</v>
      </c>
      <c r="L1366" t="s">
        <v>198</v>
      </c>
      <c r="M1366" t="s">
        <v>199</v>
      </c>
      <c r="N1366" t="s">
        <v>1837</v>
      </c>
      <c r="O1366" t="s">
        <v>82</v>
      </c>
      <c r="P1366" t="str">
        <f>"2170722039                    "</f>
        <v xml:space="preserve">2170722039                    </v>
      </c>
      <c r="Q1366">
        <v>0</v>
      </c>
      <c r="R1366">
        <v>0</v>
      </c>
      <c r="S1366">
        <v>0</v>
      </c>
      <c r="T1366">
        <v>0</v>
      </c>
      <c r="U1366">
        <v>0</v>
      </c>
      <c r="V1366">
        <v>0</v>
      </c>
      <c r="W1366">
        <v>0</v>
      </c>
      <c r="X1366">
        <v>0</v>
      </c>
      <c r="Y1366">
        <v>0</v>
      </c>
      <c r="Z1366">
        <v>0</v>
      </c>
      <c r="AA1366">
        <v>0</v>
      </c>
      <c r="AB1366">
        <v>0</v>
      </c>
      <c r="AC1366">
        <v>0</v>
      </c>
      <c r="AD1366">
        <v>0</v>
      </c>
      <c r="AE1366">
        <v>0</v>
      </c>
      <c r="AF1366">
        <v>0</v>
      </c>
      <c r="AG1366">
        <v>0</v>
      </c>
      <c r="AH1366">
        <v>0</v>
      </c>
      <c r="AI1366">
        <v>0</v>
      </c>
      <c r="AJ1366">
        <v>0</v>
      </c>
      <c r="AK1366">
        <v>0</v>
      </c>
      <c r="AL1366">
        <v>0</v>
      </c>
      <c r="AM1366">
        <v>8.58</v>
      </c>
      <c r="AN1366">
        <v>0</v>
      </c>
      <c r="AO1366">
        <v>0</v>
      </c>
      <c r="AP1366">
        <v>0</v>
      </c>
      <c r="AQ1366">
        <v>0</v>
      </c>
      <c r="AR1366">
        <v>0</v>
      </c>
      <c r="AS1366">
        <v>0</v>
      </c>
      <c r="AT1366">
        <v>0</v>
      </c>
      <c r="AU1366">
        <v>0</v>
      </c>
      <c r="AV1366">
        <v>0</v>
      </c>
      <c r="AW1366">
        <v>0</v>
      </c>
      <c r="AX1366">
        <v>0</v>
      </c>
      <c r="AY1366">
        <v>0</v>
      </c>
      <c r="AZ1366">
        <v>0</v>
      </c>
      <c r="BA1366">
        <v>0</v>
      </c>
      <c r="BB1366">
        <v>0</v>
      </c>
      <c r="BC1366">
        <v>0</v>
      </c>
      <c r="BD1366">
        <v>0</v>
      </c>
      <c r="BE1366">
        <v>0</v>
      </c>
      <c r="BF1366">
        <v>0</v>
      </c>
      <c r="BG1366">
        <v>0</v>
      </c>
      <c r="BH1366">
        <v>1</v>
      </c>
      <c r="BI1366">
        <v>1</v>
      </c>
      <c r="BJ1366">
        <v>0.2</v>
      </c>
      <c r="BK1366">
        <v>1</v>
      </c>
      <c r="BL1366" s="4">
        <v>50.45</v>
      </c>
      <c r="BM1366" s="4">
        <v>7.57</v>
      </c>
      <c r="BN1366" s="4">
        <v>58.02</v>
      </c>
      <c r="BO1366" s="4">
        <v>58.02</v>
      </c>
      <c r="BQ1366" t="s">
        <v>277</v>
      </c>
      <c r="BR1366" t="s">
        <v>84</v>
      </c>
      <c r="BS1366" t="s">
        <v>717</v>
      </c>
      <c r="BY1366">
        <v>1200</v>
      </c>
      <c r="CC1366" t="s">
        <v>199</v>
      </c>
      <c r="CD1366">
        <v>4072</v>
      </c>
      <c r="CE1366" t="s">
        <v>88</v>
      </c>
      <c r="CI1366">
        <v>1</v>
      </c>
      <c r="CJ1366" t="s">
        <v>717</v>
      </c>
      <c r="CK1366">
        <v>21</v>
      </c>
      <c r="CL1366" t="s">
        <v>89</v>
      </c>
    </row>
    <row r="1367" spans="1:90">
      <c r="A1367" t="s">
        <v>72</v>
      </c>
      <c r="B1367" t="s">
        <v>73</v>
      </c>
      <c r="C1367" t="s">
        <v>74</v>
      </c>
      <c r="E1367" t="str">
        <f>"FES1162729361"</f>
        <v>FES1162729361</v>
      </c>
      <c r="F1367" s="3">
        <v>43819</v>
      </c>
      <c r="G1367">
        <v>202006</v>
      </c>
      <c r="H1367" t="s">
        <v>75</v>
      </c>
      <c r="I1367" t="s">
        <v>76</v>
      </c>
      <c r="J1367" t="s">
        <v>77</v>
      </c>
      <c r="K1367" t="s">
        <v>78</v>
      </c>
      <c r="L1367" t="s">
        <v>75</v>
      </c>
      <c r="M1367" t="s">
        <v>76</v>
      </c>
      <c r="N1367" t="s">
        <v>1819</v>
      </c>
      <c r="O1367" t="s">
        <v>82</v>
      </c>
      <c r="P1367" t="str">
        <f>"2170722358                    "</f>
        <v xml:space="preserve">2170722358                    </v>
      </c>
      <c r="Q1367">
        <v>0</v>
      </c>
      <c r="R1367">
        <v>0</v>
      </c>
      <c r="S1367">
        <v>0</v>
      </c>
      <c r="T1367">
        <v>0</v>
      </c>
      <c r="U1367">
        <v>0</v>
      </c>
      <c r="V1367">
        <v>0</v>
      </c>
      <c r="W1367">
        <v>0</v>
      </c>
      <c r="X1367">
        <v>0</v>
      </c>
      <c r="Y1367">
        <v>0</v>
      </c>
      <c r="Z1367">
        <v>0</v>
      </c>
      <c r="AA1367">
        <v>0</v>
      </c>
      <c r="AB1367">
        <v>0</v>
      </c>
      <c r="AC1367">
        <v>0</v>
      </c>
      <c r="AD1367">
        <v>0</v>
      </c>
      <c r="AE1367">
        <v>0</v>
      </c>
      <c r="AF1367">
        <v>0</v>
      </c>
      <c r="AG1367">
        <v>0</v>
      </c>
      <c r="AH1367">
        <v>0</v>
      </c>
      <c r="AI1367">
        <v>0</v>
      </c>
      <c r="AJ1367">
        <v>0</v>
      </c>
      <c r="AK1367">
        <v>0</v>
      </c>
      <c r="AL1367">
        <v>0</v>
      </c>
      <c r="AM1367">
        <v>6.71</v>
      </c>
      <c r="AN1367">
        <v>0</v>
      </c>
      <c r="AO1367">
        <v>0</v>
      </c>
      <c r="AP1367">
        <v>0</v>
      </c>
      <c r="AQ1367">
        <v>0</v>
      </c>
      <c r="AR1367">
        <v>0</v>
      </c>
      <c r="AS1367">
        <v>0</v>
      </c>
      <c r="AT1367">
        <v>0</v>
      </c>
      <c r="AU1367">
        <v>0</v>
      </c>
      <c r="AV1367">
        <v>0</v>
      </c>
      <c r="AW1367">
        <v>0</v>
      </c>
      <c r="AX1367">
        <v>0</v>
      </c>
      <c r="AY1367">
        <v>0</v>
      </c>
      <c r="AZ1367">
        <v>0</v>
      </c>
      <c r="BA1367">
        <v>0</v>
      </c>
      <c r="BB1367">
        <v>0</v>
      </c>
      <c r="BC1367">
        <v>0</v>
      </c>
      <c r="BD1367">
        <v>0</v>
      </c>
      <c r="BE1367">
        <v>0</v>
      </c>
      <c r="BF1367">
        <v>0</v>
      </c>
      <c r="BG1367">
        <v>0</v>
      </c>
      <c r="BH1367">
        <v>1</v>
      </c>
      <c r="BI1367">
        <v>1</v>
      </c>
      <c r="BJ1367">
        <v>0.2</v>
      </c>
      <c r="BK1367">
        <v>1</v>
      </c>
      <c r="BL1367" s="4">
        <v>39.42</v>
      </c>
      <c r="BM1367" s="4">
        <v>5.91</v>
      </c>
      <c r="BN1367" s="4">
        <v>45.33</v>
      </c>
      <c r="BO1367" s="4">
        <v>45.33</v>
      </c>
      <c r="BR1367" t="s">
        <v>84</v>
      </c>
      <c r="BS1367" s="3">
        <v>43822</v>
      </c>
      <c r="BT1367" s="5">
        <v>0.38958333333333334</v>
      </c>
      <c r="BU1367" t="s">
        <v>1838</v>
      </c>
      <c r="BV1367" t="s">
        <v>86</v>
      </c>
      <c r="BY1367">
        <v>1200</v>
      </c>
      <c r="CA1367" t="s">
        <v>588</v>
      </c>
      <c r="CC1367" t="s">
        <v>76</v>
      </c>
      <c r="CD1367">
        <v>1624</v>
      </c>
      <c r="CE1367" t="s">
        <v>88</v>
      </c>
      <c r="CF1367" s="3">
        <v>43823</v>
      </c>
      <c r="CI1367">
        <v>1</v>
      </c>
      <c r="CJ1367">
        <v>1</v>
      </c>
      <c r="CK1367">
        <v>22</v>
      </c>
      <c r="CL1367" t="s">
        <v>89</v>
      </c>
    </row>
    <row r="1368" spans="1:90">
      <c r="A1368" t="s">
        <v>72</v>
      </c>
      <c r="B1368" t="s">
        <v>73</v>
      </c>
      <c r="C1368" t="s">
        <v>74</v>
      </c>
      <c r="E1368" t="str">
        <f>"FES1162729293"</f>
        <v>FES1162729293</v>
      </c>
      <c r="F1368" s="3">
        <v>43819</v>
      </c>
      <c r="G1368">
        <v>202006</v>
      </c>
      <c r="H1368" t="s">
        <v>75</v>
      </c>
      <c r="I1368" t="s">
        <v>76</v>
      </c>
      <c r="J1368" t="s">
        <v>77</v>
      </c>
      <c r="K1368" t="s">
        <v>78</v>
      </c>
      <c r="L1368" t="s">
        <v>469</v>
      </c>
      <c r="M1368" t="s">
        <v>470</v>
      </c>
      <c r="N1368" t="s">
        <v>471</v>
      </c>
      <c r="O1368" t="s">
        <v>82</v>
      </c>
      <c r="P1368" t="str">
        <f>"2170720845                    "</f>
        <v xml:space="preserve">2170720845                    </v>
      </c>
      <c r="Q1368">
        <v>0</v>
      </c>
      <c r="R1368">
        <v>0</v>
      </c>
      <c r="S1368">
        <v>0</v>
      </c>
      <c r="T1368">
        <v>0</v>
      </c>
      <c r="U1368">
        <v>0</v>
      </c>
      <c r="V1368">
        <v>0</v>
      </c>
      <c r="W1368">
        <v>0</v>
      </c>
      <c r="X1368">
        <v>0</v>
      </c>
      <c r="Y1368">
        <v>0</v>
      </c>
      <c r="Z1368">
        <v>0</v>
      </c>
      <c r="AA1368">
        <v>0</v>
      </c>
      <c r="AB1368">
        <v>0</v>
      </c>
      <c r="AC1368">
        <v>0</v>
      </c>
      <c r="AD1368">
        <v>0</v>
      </c>
      <c r="AE1368">
        <v>0</v>
      </c>
      <c r="AF1368">
        <v>0</v>
      </c>
      <c r="AG1368">
        <v>0</v>
      </c>
      <c r="AH1368">
        <v>0</v>
      </c>
      <c r="AI1368">
        <v>0</v>
      </c>
      <c r="AJ1368">
        <v>0</v>
      </c>
      <c r="AK1368">
        <v>0</v>
      </c>
      <c r="AL1368">
        <v>0</v>
      </c>
      <c r="AM1368">
        <v>69.209999999999994</v>
      </c>
      <c r="AN1368">
        <v>0</v>
      </c>
      <c r="AO1368">
        <v>0</v>
      </c>
      <c r="AP1368">
        <v>0</v>
      </c>
      <c r="AQ1368">
        <v>0</v>
      </c>
      <c r="AR1368">
        <v>0</v>
      </c>
      <c r="AS1368">
        <v>0</v>
      </c>
      <c r="AT1368">
        <v>0</v>
      </c>
      <c r="AU1368">
        <v>0</v>
      </c>
      <c r="AV1368">
        <v>0</v>
      </c>
      <c r="AW1368">
        <v>0</v>
      </c>
      <c r="AX1368">
        <v>0</v>
      </c>
      <c r="AY1368">
        <v>0</v>
      </c>
      <c r="AZ1368">
        <v>0</v>
      </c>
      <c r="BA1368">
        <v>0</v>
      </c>
      <c r="BB1368">
        <v>0</v>
      </c>
      <c r="BC1368">
        <v>0</v>
      </c>
      <c r="BD1368">
        <v>0</v>
      </c>
      <c r="BE1368">
        <v>0</v>
      </c>
      <c r="BF1368">
        <v>0</v>
      </c>
      <c r="BG1368">
        <v>0</v>
      </c>
      <c r="BH1368">
        <v>1</v>
      </c>
      <c r="BI1368">
        <v>8.8000000000000007</v>
      </c>
      <c r="BJ1368">
        <v>8.9</v>
      </c>
      <c r="BK1368">
        <v>9</v>
      </c>
      <c r="BL1368" s="4">
        <v>406.81</v>
      </c>
      <c r="BM1368" s="4">
        <v>61.02</v>
      </c>
      <c r="BN1368" s="4">
        <v>467.83</v>
      </c>
      <c r="BO1368" s="4">
        <v>467.83</v>
      </c>
      <c r="BQ1368" t="s">
        <v>147</v>
      </c>
      <c r="BR1368" t="s">
        <v>84</v>
      </c>
      <c r="BS1368" s="3">
        <v>43822</v>
      </c>
      <c r="BT1368" s="5">
        <v>0.39583333333333331</v>
      </c>
      <c r="BU1368" t="s">
        <v>1393</v>
      </c>
      <c r="BV1368" t="s">
        <v>86</v>
      </c>
      <c r="BY1368">
        <v>44473.83</v>
      </c>
      <c r="CA1368" t="s">
        <v>1839</v>
      </c>
      <c r="CC1368" t="s">
        <v>470</v>
      </c>
      <c r="CD1368">
        <v>9880</v>
      </c>
      <c r="CE1368" t="s">
        <v>96</v>
      </c>
      <c r="CF1368" s="3">
        <v>43826</v>
      </c>
      <c r="CI1368">
        <v>1</v>
      </c>
      <c r="CJ1368">
        <v>1</v>
      </c>
      <c r="CK1368">
        <v>23</v>
      </c>
      <c r="CL1368" t="s">
        <v>89</v>
      </c>
    </row>
    <row r="1369" spans="1:90">
      <c r="A1369" t="s">
        <v>72</v>
      </c>
      <c r="B1369" t="s">
        <v>73</v>
      </c>
      <c r="C1369" t="s">
        <v>74</v>
      </c>
      <c r="E1369" t="str">
        <f>"FES1162729234"</f>
        <v>FES1162729234</v>
      </c>
      <c r="F1369" s="3">
        <v>43819</v>
      </c>
      <c r="G1369">
        <v>202006</v>
      </c>
      <c r="H1369" t="s">
        <v>75</v>
      </c>
      <c r="I1369" t="s">
        <v>76</v>
      </c>
      <c r="J1369" t="s">
        <v>77</v>
      </c>
      <c r="K1369" t="s">
        <v>78</v>
      </c>
      <c r="L1369" t="s">
        <v>138</v>
      </c>
      <c r="M1369" t="s">
        <v>139</v>
      </c>
      <c r="N1369" t="s">
        <v>703</v>
      </c>
      <c r="O1369" t="s">
        <v>82</v>
      </c>
      <c r="P1369" t="str">
        <f>"2170722226                    "</f>
        <v xml:space="preserve">2170722226                    </v>
      </c>
      <c r="Q1369">
        <v>0</v>
      </c>
      <c r="R1369">
        <v>0</v>
      </c>
      <c r="S1369">
        <v>0</v>
      </c>
      <c r="T1369">
        <v>0</v>
      </c>
      <c r="U1369">
        <v>0</v>
      </c>
      <c r="V1369">
        <v>0</v>
      </c>
      <c r="W1369">
        <v>0</v>
      </c>
      <c r="X1369">
        <v>0</v>
      </c>
      <c r="Y1369">
        <v>0</v>
      </c>
      <c r="Z1369">
        <v>0</v>
      </c>
      <c r="AA1369">
        <v>0</v>
      </c>
      <c r="AB1369">
        <v>0</v>
      </c>
      <c r="AC1369">
        <v>0</v>
      </c>
      <c r="AD1369">
        <v>0</v>
      </c>
      <c r="AE1369">
        <v>0</v>
      </c>
      <c r="AF1369">
        <v>0</v>
      </c>
      <c r="AG1369">
        <v>0</v>
      </c>
      <c r="AH1369">
        <v>0</v>
      </c>
      <c r="AI1369">
        <v>0</v>
      </c>
      <c r="AJ1369">
        <v>0</v>
      </c>
      <c r="AK1369">
        <v>0</v>
      </c>
      <c r="AL1369">
        <v>0</v>
      </c>
      <c r="AM1369">
        <v>6.71</v>
      </c>
      <c r="AN1369">
        <v>0</v>
      </c>
      <c r="AO1369">
        <v>0</v>
      </c>
      <c r="AP1369">
        <v>0</v>
      </c>
      <c r="AQ1369">
        <v>0</v>
      </c>
      <c r="AR1369">
        <v>0</v>
      </c>
      <c r="AS1369">
        <v>0</v>
      </c>
      <c r="AT1369">
        <v>0</v>
      </c>
      <c r="AU1369">
        <v>0</v>
      </c>
      <c r="AV1369">
        <v>0</v>
      </c>
      <c r="AW1369">
        <v>0</v>
      </c>
      <c r="AX1369">
        <v>0</v>
      </c>
      <c r="AY1369">
        <v>0</v>
      </c>
      <c r="AZ1369">
        <v>0</v>
      </c>
      <c r="BA1369">
        <v>0</v>
      </c>
      <c r="BB1369">
        <v>0</v>
      </c>
      <c r="BC1369">
        <v>0</v>
      </c>
      <c r="BD1369">
        <v>0</v>
      </c>
      <c r="BE1369">
        <v>0</v>
      </c>
      <c r="BF1369">
        <v>0</v>
      </c>
      <c r="BG1369">
        <v>0</v>
      </c>
      <c r="BH1369">
        <v>1</v>
      </c>
      <c r="BI1369">
        <v>1</v>
      </c>
      <c r="BJ1369">
        <v>0.2</v>
      </c>
      <c r="BK1369">
        <v>1</v>
      </c>
      <c r="BL1369" s="4">
        <v>39.42</v>
      </c>
      <c r="BM1369" s="4">
        <v>5.91</v>
      </c>
      <c r="BN1369" s="4">
        <v>45.33</v>
      </c>
      <c r="BO1369" s="4">
        <v>45.33</v>
      </c>
      <c r="BQ1369" t="s">
        <v>1840</v>
      </c>
      <c r="BR1369" t="s">
        <v>84</v>
      </c>
      <c r="BS1369" s="3">
        <v>43822</v>
      </c>
      <c r="BT1369" s="5">
        <v>0.38541666666666669</v>
      </c>
      <c r="BU1369" t="s">
        <v>1828</v>
      </c>
      <c r="BV1369" t="s">
        <v>86</v>
      </c>
      <c r="BY1369">
        <v>1200</v>
      </c>
      <c r="CC1369" t="s">
        <v>139</v>
      </c>
      <c r="CD1369">
        <v>1422</v>
      </c>
      <c r="CE1369" t="s">
        <v>88</v>
      </c>
      <c r="CF1369" s="3">
        <v>43823</v>
      </c>
      <c r="CI1369">
        <v>1</v>
      </c>
      <c r="CJ1369">
        <v>1</v>
      </c>
      <c r="CK1369">
        <v>22</v>
      </c>
      <c r="CL1369" t="s">
        <v>89</v>
      </c>
    </row>
    <row r="1370" spans="1:90">
      <c r="A1370" t="s">
        <v>72</v>
      </c>
      <c r="B1370" t="s">
        <v>73</v>
      </c>
      <c r="C1370" t="s">
        <v>74</v>
      </c>
      <c r="E1370" t="str">
        <f>"FES1162729308"</f>
        <v>FES1162729308</v>
      </c>
      <c r="F1370" s="3">
        <v>43819</v>
      </c>
      <c r="G1370">
        <v>202006</v>
      </c>
      <c r="H1370" t="s">
        <v>75</v>
      </c>
      <c r="I1370" t="s">
        <v>76</v>
      </c>
      <c r="J1370" t="s">
        <v>77</v>
      </c>
      <c r="K1370" t="s">
        <v>78</v>
      </c>
      <c r="L1370" t="s">
        <v>164</v>
      </c>
      <c r="M1370" t="s">
        <v>165</v>
      </c>
      <c r="N1370" t="s">
        <v>263</v>
      </c>
      <c r="O1370" t="s">
        <v>82</v>
      </c>
      <c r="P1370" t="str">
        <f>"2170722098                    "</f>
        <v xml:space="preserve">2170722098                    </v>
      </c>
      <c r="Q1370">
        <v>0</v>
      </c>
      <c r="R1370">
        <v>0</v>
      </c>
      <c r="S1370">
        <v>0</v>
      </c>
      <c r="T1370">
        <v>0</v>
      </c>
      <c r="U1370">
        <v>0</v>
      </c>
      <c r="V1370">
        <v>0</v>
      </c>
      <c r="W1370">
        <v>0</v>
      </c>
      <c r="X1370">
        <v>0</v>
      </c>
      <c r="Y1370">
        <v>0</v>
      </c>
      <c r="Z1370">
        <v>0</v>
      </c>
      <c r="AA1370">
        <v>0</v>
      </c>
      <c r="AB1370">
        <v>0</v>
      </c>
      <c r="AC1370">
        <v>0</v>
      </c>
      <c r="AD1370">
        <v>0</v>
      </c>
      <c r="AE1370">
        <v>0</v>
      </c>
      <c r="AF1370">
        <v>0</v>
      </c>
      <c r="AG1370">
        <v>0</v>
      </c>
      <c r="AH1370">
        <v>0</v>
      </c>
      <c r="AI1370">
        <v>0</v>
      </c>
      <c r="AJ1370">
        <v>0</v>
      </c>
      <c r="AK1370">
        <v>0</v>
      </c>
      <c r="AL1370">
        <v>0</v>
      </c>
      <c r="AM1370">
        <v>8.58</v>
      </c>
      <c r="AN1370">
        <v>0</v>
      </c>
      <c r="AO1370">
        <v>0</v>
      </c>
      <c r="AP1370">
        <v>0</v>
      </c>
      <c r="AQ1370">
        <v>0</v>
      </c>
      <c r="AR1370">
        <v>0</v>
      </c>
      <c r="AS1370">
        <v>0</v>
      </c>
      <c r="AT1370">
        <v>0</v>
      </c>
      <c r="AU1370">
        <v>0</v>
      </c>
      <c r="AV1370">
        <v>0</v>
      </c>
      <c r="AW1370">
        <v>0</v>
      </c>
      <c r="AX1370">
        <v>0</v>
      </c>
      <c r="AY1370">
        <v>0</v>
      </c>
      <c r="AZ1370">
        <v>0</v>
      </c>
      <c r="BA1370">
        <v>0</v>
      </c>
      <c r="BB1370">
        <v>0</v>
      </c>
      <c r="BC1370">
        <v>0</v>
      </c>
      <c r="BD1370">
        <v>0</v>
      </c>
      <c r="BE1370">
        <v>0</v>
      </c>
      <c r="BF1370">
        <v>0</v>
      </c>
      <c r="BG1370">
        <v>0</v>
      </c>
      <c r="BH1370">
        <v>1</v>
      </c>
      <c r="BI1370">
        <v>1</v>
      </c>
      <c r="BJ1370">
        <v>0.2</v>
      </c>
      <c r="BK1370">
        <v>1</v>
      </c>
      <c r="BL1370" s="4">
        <v>50.45</v>
      </c>
      <c r="BM1370" s="4">
        <v>7.57</v>
      </c>
      <c r="BN1370" s="4">
        <v>58.02</v>
      </c>
      <c r="BO1370" s="4">
        <v>58.02</v>
      </c>
      <c r="BQ1370" t="s">
        <v>147</v>
      </c>
      <c r="BR1370" t="s">
        <v>84</v>
      </c>
      <c r="BS1370" s="3">
        <v>43822</v>
      </c>
      <c r="BT1370" s="5">
        <v>0.36180555555555555</v>
      </c>
      <c r="BU1370" t="s">
        <v>1841</v>
      </c>
      <c r="BV1370" t="s">
        <v>86</v>
      </c>
      <c r="BY1370">
        <v>1200</v>
      </c>
      <c r="CA1370" t="s">
        <v>766</v>
      </c>
      <c r="CC1370" t="s">
        <v>165</v>
      </c>
      <c r="CD1370">
        <v>5201</v>
      </c>
      <c r="CE1370" t="s">
        <v>88</v>
      </c>
      <c r="CF1370" s="3">
        <v>43830</v>
      </c>
      <c r="CI1370">
        <v>1</v>
      </c>
      <c r="CJ1370">
        <v>1</v>
      </c>
      <c r="CK1370">
        <v>21</v>
      </c>
      <c r="CL1370" t="s">
        <v>89</v>
      </c>
    </row>
    <row r="1371" spans="1:90">
      <c r="A1371" t="s">
        <v>72</v>
      </c>
      <c r="B1371" t="s">
        <v>73</v>
      </c>
      <c r="C1371" t="s">
        <v>74</v>
      </c>
      <c r="E1371" t="str">
        <f>"FES1162728301"</f>
        <v>FES1162728301</v>
      </c>
      <c r="F1371" s="3">
        <v>43812</v>
      </c>
      <c r="G1371">
        <v>202006</v>
      </c>
      <c r="H1371" t="s">
        <v>75</v>
      </c>
      <c r="I1371" t="s">
        <v>76</v>
      </c>
      <c r="J1371" t="s">
        <v>77</v>
      </c>
      <c r="K1371" t="s">
        <v>78</v>
      </c>
      <c r="L1371" t="s">
        <v>90</v>
      </c>
      <c r="M1371" t="s">
        <v>91</v>
      </c>
      <c r="N1371" t="s">
        <v>1842</v>
      </c>
      <c r="O1371" t="s">
        <v>82</v>
      </c>
      <c r="P1371" t="str">
        <f>"2170718902                    "</f>
        <v xml:space="preserve">2170718902                    </v>
      </c>
      <c r="Q1371">
        <v>0</v>
      </c>
      <c r="R1371">
        <v>0</v>
      </c>
      <c r="S1371">
        <v>0</v>
      </c>
      <c r="T1371">
        <v>0</v>
      </c>
      <c r="U1371">
        <v>0</v>
      </c>
      <c r="V1371">
        <v>0</v>
      </c>
      <c r="W1371">
        <v>0</v>
      </c>
      <c r="X1371">
        <v>0</v>
      </c>
      <c r="Y1371">
        <v>0</v>
      </c>
      <c r="Z1371">
        <v>0</v>
      </c>
      <c r="AA1371">
        <v>0</v>
      </c>
      <c r="AB1371">
        <v>0</v>
      </c>
      <c r="AC1371">
        <v>0</v>
      </c>
      <c r="AD1371">
        <v>0</v>
      </c>
      <c r="AE1371">
        <v>0</v>
      </c>
      <c r="AF1371">
        <v>0</v>
      </c>
      <c r="AG1371">
        <v>0</v>
      </c>
      <c r="AH1371">
        <v>0</v>
      </c>
      <c r="AI1371">
        <v>0</v>
      </c>
      <c r="AJ1371">
        <v>0</v>
      </c>
      <c r="AK1371">
        <v>0</v>
      </c>
      <c r="AL1371">
        <v>0</v>
      </c>
      <c r="AM1371">
        <v>8.58</v>
      </c>
      <c r="AN1371">
        <v>0</v>
      </c>
      <c r="AO1371">
        <v>0</v>
      </c>
      <c r="AP1371">
        <v>0</v>
      </c>
      <c r="AQ1371">
        <v>0</v>
      </c>
      <c r="AR1371">
        <v>0</v>
      </c>
      <c r="AS1371">
        <v>0</v>
      </c>
      <c r="AT1371">
        <v>0</v>
      </c>
      <c r="AU1371">
        <v>0</v>
      </c>
      <c r="AV1371">
        <v>0</v>
      </c>
      <c r="AW1371">
        <v>0</v>
      </c>
      <c r="AX1371">
        <v>0</v>
      </c>
      <c r="AY1371">
        <v>0</v>
      </c>
      <c r="AZ1371">
        <v>0</v>
      </c>
      <c r="BA1371">
        <v>0</v>
      </c>
      <c r="BB1371">
        <v>0</v>
      </c>
      <c r="BC1371">
        <v>0</v>
      </c>
      <c r="BD1371">
        <v>0</v>
      </c>
      <c r="BE1371">
        <v>0</v>
      </c>
      <c r="BF1371">
        <v>0</v>
      </c>
      <c r="BG1371">
        <v>0</v>
      </c>
      <c r="BH1371">
        <v>1</v>
      </c>
      <c r="BI1371">
        <v>1</v>
      </c>
      <c r="BJ1371">
        <v>0.2</v>
      </c>
      <c r="BK1371">
        <v>1</v>
      </c>
      <c r="BL1371" s="4">
        <v>50.45</v>
      </c>
      <c r="BM1371" s="4">
        <v>7.57</v>
      </c>
      <c r="BN1371" s="4">
        <v>58.02</v>
      </c>
      <c r="BO1371" s="4">
        <v>58.02</v>
      </c>
      <c r="BQ1371" t="s">
        <v>93</v>
      </c>
      <c r="BR1371" t="s">
        <v>84</v>
      </c>
      <c r="BS1371" s="3">
        <v>43816</v>
      </c>
      <c r="BT1371" s="5">
        <v>0.34513888888888888</v>
      </c>
      <c r="BU1371" t="s">
        <v>1843</v>
      </c>
      <c r="BV1371" t="s">
        <v>86</v>
      </c>
      <c r="BY1371">
        <v>1200</v>
      </c>
      <c r="CA1371" t="s">
        <v>273</v>
      </c>
      <c r="CC1371" t="s">
        <v>91</v>
      </c>
      <c r="CD1371">
        <v>7945</v>
      </c>
      <c r="CE1371" t="s">
        <v>88</v>
      </c>
      <c r="CF1371" s="3">
        <v>43817</v>
      </c>
      <c r="CI1371">
        <v>1</v>
      </c>
      <c r="CJ1371">
        <v>2</v>
      </c>
      <c r="CK1371">
        <v>21</v>
      </c>
      <c r="CL1371" t="s">
        <v>89</v>
      </c>
    </row>
    <row r="1372" spans="1:90">
      <c r="A1372" t="s">
        <v>72</v>
      </c>
      <c r="B1372" t="s">
        <v>73</v>
      </c>
      <c r="C1372" t="s">
        <v>74</v>
      </c>
      <c r="E1372" t="str">
        <f>"RFES1162727809"</f>
        <v>RFES1162727809</v>
      </c>
      <c r="F1372" s="3">
        <v>43812</v>
      </c>
      <c r="G1372">
        <v>202006</v>
      </c>
      <c r="H1372" t="s">
        <v>646</v>
      </c>
      <c r="I1372" t="s">
        <v>647</v>
      </c>
      <c r="J1372" t="s">
        <v>648</v>
      </c>
      <c r="K1372" t="s">
        <v>78</v>
      </c>
      <c r="L1372" t="s">
        <v>75</v>
      </c>
      <c r="M1372" t="s">
        <v>76</v>
      </c>
      <c r="N1372" t="s">
        <v>77</v>
      </c>
      <c r="O1372" t="s">
        <v>82</v>
      </c>
      <c r="P1372" t="str">
        <f>"217071911                     "</f>
        <v xml:space="preserve">217071911                     </v>
      </c>
      <c r="Q1372">
        <v>0</v>
      </c>
      <c r="R1372">
        <v>0</v>
      </c>
      <c r="S1372">
        <v>0</v>
      </c>
      <c r="T1372">
        <v>0</v>
      </c>
      <c r="U1372">
        <v>0</v>
      </c>
      <c r="V1372">
        <v>0</v>
      </c>
      <c r="W1372">
        <v>0</v>
      </c>
      <c r="X1372">
        <v>0</v>
      </c>
      <c r="Y1372">
        <v>0</v>
      </c>
      <c r="Z1372">
        <v>0</v>
      </c>
      <c r="AA1372">
        <v>0</v>
      </c>
      <c r="AB1372">
        <v>0</v>
      </c>
      <c r="AC1372">
        <v>0</v>
      </c>
      <c r="AD1372">
        <v>0</v>
      </c>
      <c r="AE1372">
        <v>0</v>
      </c>
      <c r="AF1372">
        <v>0</v>
      </c>
      <c r="AG1372">
        <v>0</v>
      </c>
      <c r="AH1372">
        <v>0</v>
      </c>
      <c r="AI1372">
        <v>0</v>
      </c>
      <c r="AJ1372">
        <v>0</v>
      </c>
      <c r="AK1372">
        <v>0</v>
      </c>
      <c r="AL1372">
        <v>0</v>
      </c>
      <c r="AM1372">
        <v>12.07</v>
      </c>
      <c r="AN1372">
        <v>0</v>
      </c>
      <c r="AO1372">
        <v>0</v>
      </c>
      <c r="AP1372">
        <v>0</v>
      </c>
      <c r="AQ1372">
        <v>0</v>
      </c>
      <c r="AR1372">
        <v>0</v>
      </c>
      <c r="AS1372">
        <v>0</v>
      </c>
      <c r="AT1372">
        <v>0</v>
      </c>
      <c r="AU1372">
        <v>0</v>
      </c>
      <c r="AV1372">
        <v>0</v>
      </c>
      <c r="AW1372">
        <v>0</v>
      </c>
      <c r="AX1372">
        <v>0</v>
      </c>
      <c r="AY1372">
        <v>0</v>
      </c>
      <c r="AZ1372">
        <v>0</v>
      </c>
      <c r="BA1372">
        <v>0</v>
      </c>
      <c r="BB1372">
        <v>0</v>
      </c>
      <c r="BC1372">
        <v>0</v>
      </c>
      <c r="BD1372">
        <v>0</v>
      </c>
      <c r="BE1372">
        <v>0</v>
      </c>
      <c r="BF1372">
        <v>0</v>
      </c>
      <c r="BG1372">
        <v>0</v>
      </c>
      <c r="BH1372">
        <v>1</v>
      </c>
      <c r="BI1372">
        <v>0.8</v>
      </c>
      <c r="BJ1372">
        <v>1.3</v>
      </c>
      <c r="BK1372">
        <v>1.5</v>
      </c>
      <c r="BL1372" s="4">
        <v>70.95</v>
      </c>
      <c r="BM1372" s="4">
        <v>10.64</v>
      </c>
      <c r="BN1372" s="4">
        <v>81.59</v>
      </c>
      <c r="BO1372" s="4">
        <v>81.59</v>
      </c>
      <c r="BQ1372" t="s">
        <v>84</v>
      </c>
      <c r="BS1372" s="3">
        <v>43816</v>
      </c>
      <c r="BT1372" s="5">
        <v>0.36944444444444446</v>
      </c>
      <c r="BU1372" t="s">
        <v>154</v>
      </c>
      <c r="BV1372" t="s">
        <v>86</v>
      </c>
      <c r="BY1372">
        <v>6504.23</v>
      </c>
      <c r="CA1372" t="s">
        <v>155</v>
      </c>
      <c r="CC1372" t="s">
        <v>76</v>
      </c>
      <c r="CD1372">
        <v>1601</v>
      </c>
      <c r="CE1372" t="s">
        <v>88</v>
      </c>
      <c r="CF1372" s="3">
        <v>43817</v>
      </c>
      <c r="CI1372">
        <v>1</v>
      </c>
      <c r="CJ1372">
        <v>2</v>
      </c>
      <c r="CK1372">
        <v>24</v>
      </c>
      <c r="CL1372" t="s">
        <v>89</v>
      </c>
    </row>
    <row r="1373" spans="1:90">
      <c r="A1373" t="s">
        <v>72</v>
      </c>
      <c r="B1373" t="s">
        <v>73</v>
      </c>
      <c r="C1373" t="s">
        <v>74</v>
      </c>
      <c r="E1373" t="str">
        <f>"FES1162728296"</f>
        <v>FES1162728296</v>
      </c>
      <c r="F1373" s="3">
        <v>43812</v>
      </c>
      <c r="G1373">
        <v>202006</v>
      </c>
      <c r="H1373" t="s">
        <v>75</v>
      </c>
      <c r="I1373" t="s">
        <v>76</v>
      </c>
      <c r="J1373" t="s">
        <v>77</v>
      </c>
      <c r="K1373" t="s">
        <v>78</v>
      </c>
      <c r="L1373" t="s">
        <v>90</v>
      </c>
      <c r="M1373" t="s">
        <v>91</v>
      </c>
      <c r="N1373" t="s">
        <v>207</v>
      </c>
      <c r="O1373" t="s">
        <v>82</v>
      </c>
      <c r="P1373" t="str">
        <f>"21707169798                   "</f>
        <v xml:space="preserve">21707169798                   </v>
      </c>
      <c r="Q1373">
        <v>0</v>
      </c>
      <c r="R1373">
        <v>0</v>
      </c>
      <c r="S1373">
        <v>0</v>
      </c>
      <c r="T1373">
        <v>0</v>
      </c>
      <c r="U1373">
        <v>0</v>
      </c>
      <c r="V1373">
        <v>0</v>
      </c>
      <c r="W1373">
        <v>0</v>
      </c>
      <c r="X1373">
        <v>0</v>
      </c>
      <c r="Y1373">
        <v>0</v>
      </c>
      <c r="Z1373">
        <v>0</v>
      </c>
      <c r="AA1373">
        <v>0</v>
      </c>
      <c r="AB1373">
        <v>0</v>
      </c>
      <c r="AC1373">
        <v>0</v>
      </c>
      <c r="AD1373">
        <v>0</v>
      </c>
      <c r="AE1373">
        <v>0</v>
      </c>
      <c r="AF1373">
        <v>0</v>
      </c>
      <c r="AG1373">
        <v>0</v>
      </c>
      <c r="AH1373">
        <v>0</v>
      </c>
      <c r="AI1373">
        <v>0</v>
      </c>
      <c r="AJ1373">
        <v>0</v>
      </c>
      <c r="AK1373">
        <v>0</v>
      </c>
      <c r="AL1373">
        <v>0</v>
      </c>
      <c r="AM1373">
        <v>8.58</v>
      </c>
      <c r="AN1373">
        <v>0</v>
      </c>
      <c r="AO1373">
        <v>0</v>
      </c>
      <c r="AP1373">
        <v>0</v>
      </c>
      <c r="AQ1373">
        <v>0</v>
      </c>
      <c r="AR1373">
        <v>0</v>
      </c>
      <c r="AS1373">
        <v>0</v>
      </c>
      <c r="AT1373">
        <v>0</v>
      </c>
      <c r="AU1373">
        <v>0</v>
      </c>
      <c r="AV1373">
        <v>0</v>
      </c>
      <c r="AW1373">
        <v>0</v>
      </c>
      <c r="AX1373">
        <v>0</v>
      </c>
      <c r="AY1373">
        <v>0</v>
      </c>
      <c r="AZ1373">
        <v>0</v>
      </c>
      <c r="BA1373">
        <v>0</v>
      </c>
      <c r="BB1373">
        <v>0</v>
      </c>
      <c r="BC1373">
        <v>0</v>
      </c>
      <c r="BD1373">
        <v>0</v>
      </c>
      <c r="BE1373">
        <v>0</v>
      </c>
      <c r="BF1373">
        <v>0</v>
      </c>
      <c r="BG1373">
        <v>0</v>
      </c>
      <c r="BH1373">
        <v>1</v>
      </c>
      <c r="BI1373">
        <v>1</v>
      </c>
      <c r="BJ1373">
        <v>0.2</v>
      </c>
      <c r="BK1373">
        <v>1</v>
      </c>
      <c r="BL1373" s="4">
        <v>50.45</v>
      </c>
      <c r="BM1373" s="4">
        <v>7.57</v>
      </c>
      <c r="BN1373" s="4">
        <v>58.02</v>
      </c>
      <c r="BO1373" s="4">
        <v>58.02</v>
      </c>
      <c r="BQ1373" t="s">
        <v>147</v>
      </c>
      <c r="BR1373" t="s">
        <v>84</v>
      </c>
      <c r="BS1373" s="3">
        <v>43816</v>
      </c>
      <c r="BT1373" s="5">
        <v>0.34027777777777773</v>
      </c>
      <c r="BU1373" t="s">
        <v>1844</v>
      </c>
      <c r="BV1373" t="s">
        <v>86</v>
      </c>
      <c r="BY1373">
        <v>1200</v>
      </c>
      <c r="CA1373" t="s">
        <v>209</v>
      </c>
      <c r="CC1373" t="s">
        <v>91</v>
      </c>
      <c r="CD1373">
        <v>7441</v>
      </c>
      <c r="CE1373" t="s">
        <v>88</v>
      </c>
      <c r="CF1373" s="3">
        <v>43817</v>
      </c>
      <c r="CI1373">
        <v>1</v>
      </c>
      <c r="CJ1373">
        <v>2</v>
      </c>
      <c r="CK1373">
        <v>21</v>
      </c>
      <c r="CL1373" t="s">
        <v>89</v>
      </c>
    </row>
    <row r="1374" spans="1:90">
      <c r="A1374" t="s">
        <v>72</v>
      </c>
      <c r="B1374" t="s">
        <v>73</v>
      </c>
      <c r="C1374" t="s">
        <v>74</v>
      </c>
      <c r="E1374" t="str">
        <f>"FES1162728472"</f>
        <v>FES1162728472</v>
      </c>
      <c r="F1374" s="3">
        <v>43812</v>
      </c>
      <c r="G1374">
        <v>202006</v>
      </c>
      <c r="H1374" t="s">
        <v>75</v>
      </c>
      <c r="I1374" t="s">
        <v>76</v>
      </c>
      <c r="J1374" t="s">
        <v>77</v>
      </c>
      <c r="K1374" t="s">
        <v>78</v>
      </c>
      <c r="L1374" t="s">
        <v>201</v>
      </c>
      <c r="M1374" t="s">
        <v>202</v>
      </c>
      <c r="N1374" t="s">
        <v>1469</v>
      </c>
      <c r="O1374" t="s">
        <v>82</v>
      </c>
      <c r="P1374" t="str">
        <f>"2170719706                    "</f>
        <v xml:space="preserve">2170719706                    </v>
      </c>
      <c r="Q1374">
        <v>0</v>
      </c>
      <c r="R1374">
        <v>0</v>
      </c>
      <c r="S1374">
        <v>0</v>
      </c>
      <c r="T1374">
        <v>0</v>
      </c>
      <c r="U1374">
        <v>0</v>
      </c>
      <c r="V1374">
        <v>0</v>
      </c>
      <c r="W1374">
        <v>0</v>
      </c>
      <c r="X1374">
        <v>0</v>
      </c>
      <c r="Y1374">
        <v>0</v>
      </c>
      <c r="Z1374">
        <v>0</v>
      </c>
      <c r="AA1374">
        <v>0</v>
      </c>
      <c r="AB1374">
        <v>0</v>
      </c>
      <c r="AC1374">
        <v>0</v>
      </c>
      <c r="AD1374">
        <v>0</v>
      </c>
      <c r="AE1374">
        <v>0</v>
      </c>
      <c r="AF1374">
        <v>0</v>
      </c>
      <c r="AG1374">
        <v>0</v>
      </c>
      <c r="AH1374">
        <v>0</v>
      </c>
      <c r="AI1374">
        <v>0</v>
      </c>
      <c r="AJ1374">
        <v>0</v>
      </c>
      <c r="AK1374">
        <v>0</v>
      </c>
      <c r="AL1374">
        <v>0</v>
      </c>
      <c r="AM1374">
        <v>23.59</v>
      </c>
      <c r="AN1374">
        <v>0</v>
      </c>
      <c r="AO1374">
        <v>0</v>
      </c>
      <c r="AP1374">
        <v>0</v>
      </c>
      <c r="AQ1374">
        <v>0</v>
      </c>
      <c r="AR1374">
        <v>0</v>
      </c>
      <c r="AS1374">
        <v>0</v>
      </c>
      <c r="AT1374">
        <v>0</v>
      </c>
      <c r="AU1374">
        <v>0</v>
      </c>
      <c r="AV1374">
        <v>0</v>
      </c>
      <c r="AW1374">
        <v>0</v>
      </c>
      <c r="AX1374">
        <v>0</v>
      </c>
      <c r="AY1374">
        <v>0</v>
      </c>
      <c r="AZ1374">
        <v>0</v>
      </c>
      <c r="BA1374">
        <v>0</v>
      </c>
      <c r="BB1374">
        <v>0</v>
      </c>
      <c r="BC1374">
        <v>0</v>
      </c>
      <c r="BD1374">
        <v>0</v>
      </c>
      <c r="BE1374">
        <v>0</v>
      </c>
      <c r="BF1374">
        <v>0</v>
      </c>
      <c r="BG1374">
        <v>0</v>
      </c>
      <c r="BH1374">
        <v>1</v>
      </c>
      <c r="BI1374">
        <v>5.5</v>
      </c>
      <c r="BJ1374">
        <v>3.4</v>
      </c>
      <c r="BK1374">
        <v>5.5</v>
      </c>
      <c r="BL1374" s="4">
        <v>138.68</v>
      </c>
      <c r="BM1374" s="4">
        <v>20.8</v>
      </c>
      <c r="BN1374" s="4">
        <v>159.47999999999999</v>
      </c>
      <c r="BO1374" s="4">
        <v>159.47999999999999</v>
      </c>
      <c r="BQ1374" t="s">
        <v>93</v>
      </c>
      <c r="BR1374" t="s">
        <v>84</v>
      </c>
      <c r="BS1374" s="3">
        <v>43816</v>
      </c>
      <c r="BT1374" s="5">
        <v>0.43611111111111112</v>
      </c>
      <c r="BU1374" t="s">
        <v>1470</v>
      </c>
      <c r="BV1374" t="s">
        <v>86</v>
      </c>
      <c r="BY1374">
        <v>16964.64</v>
      </c>
      <c r="CA1374" t="s">
        <v>205</v>
      </c>
      <c r="CC1374" t="s">
        <v>202</v>
      </c>
      <c r="CD1374">
        <v>3610</v>
      </c>
      <c r="CE1374" t="s">
        <v>96</v>
      </c>
      <c r="CF1374" s="3">
        <v>43817</v>
      </c>
      <c r="CI1374">
        <v>1</v>
      </c>
      <c r="CJ1374">
        <v>2</v>
      </c>
      <c r="CK1374">
        <v>21</v>
      </c>
      <c r="CL1374" t="s">
        <v>89</v>
      </c>
    </row>
    <row r="1375" spans="1:90">
      <c r="A1375" t="s">
        <v>72</v>
      </c>
      <c r="B1375" t="s">
        <v>73</v>
      </c>
      <c r="C1375" t="s">
        <v>74</v>
      </c>
      <c r="E1375" t="str">
        <f>"FES1162728294"</f>
        <v>FES1162728294</v>
      </c>
      <c r="F1375" s="3">
        <v>43812</v>
      </c>
      <c r="G1375">
        <v>202006</v>
      </c>
      <c r="H1375" t="s">
        <v>75</v>
      </c>
      <c r="I1375" t="s">
        <v>76</v>
      </c>
      <c r="J1375" t="s">
        <v>77</v>
      </c>
      <c r="K1375" t="s">
        <v>78</v>
      </c>
      <c r="L1375" t="s">
        <v>1845</v>
      </c>
      <c r="M1375" t="s">
        <v>1846</v>
      </c>
      <c r="N1375" t="s">
        <v>1847</v>
      </c>
      <c r="O1375" t="s">
        <v>82</v>
      </c>
      <c r="P1375" t="str">
        <f>"2170716034                    "</f>
        <v xml:space="preserve">2170716034                    </v>
      </c>
      <c r="Q1375">
        <v>0</v>
      </c>
      <c r="R1375">
        <v>0</v>
      </c>
      <c r="S1375">
        <v>0</v>
      </c>
      <c r="T1375">
        <v>0</v>
      </c>
      <c r="U1375">
        <v>0</v>
      </c>
      <c r="V1375">
        <v>0</v>
      </c>
      <c r="W1375">
        <v>0</v>
      </c>
      <c r="X1375">
        <v>0</v>
      </c>
      <c r="Y1375">
        <v>0</v>
      </c>
      <c r="Z1375">
        <v>0</v>
      </c>
      <c r="AA1375">
        <v>0</v>
      </c>
      <c r="AB1375">
        <v>0</v>
      </c>
      <c r="AC1375">
        <v>0</v>
      </c>
      <c r="AD1375">
        <v>0</v>
      </c>
      <c r="AE1375">
        <v>0</v>
      </c>
      <c r="AF1375">
        <v>0</v>
      </c>
      <c r="AG1375">
        <v>0</v>
      </c>
      <c r="AH1375">
        <v>0</v>
      </c>
      <c r="AI1375">
        <v>0</v>
      </c>
      <c r="AJ1375">
        <v>0</v>
      </c>
      <c r="AK1375">
        <v>0</v>
      </c>
      <c r="AL1375">
        <v>0</v>
      </c>
      <c r="AM1375">
        <v>99.25</v>
      </c>
      <c r="AN1375">
        <v>0</v>
      </c>
      <c r="AO1375">
        <v>0</v>
      </c>
      <c r="AP1375">
        <v>0</v>
      </c>
      <c r="AQ1375">
        <v>0</v>
      </c>
      <c r="AR1375">
        <v>0</v>
      </c>
      <c r="AS1375">
        <v>0</v>
      </c>
      <c r="AT1375">
        <v>0</v>
      </c>
      <c r="AU1375">
        <v>0</v>
      </c>
      <c r="AV1375">
        <v>0</v>
      </c>
      <c r="AW1375">
        <v>0</v>
      </c>
      <c r="AX1375">
        <v>0</v>
      </c>
      <c r="AY1375">
        <v>0</v>
      </c>
      <c r="AZ1375">
        <v>0</v>
      </c>
      <c r="BA1375">
        <v>0</v>
      </c>
      <c r="BB1375">
        <v>0</v>
      </c>
      <c r="BC1375">
        <v>0</v>
      </c>
      <c r="BD1375">
        <v>0</v>
      </c>
      <c r="BE1375">
        <v>0</v>
      </c>
      <c r="BF1375">
        <v>0</v>
      </c>
      <c r="BG1375">
        <v>0</v>
      </c>
      <c r="BH1375">
        <v>1</v>
      </c>
      <c r="BI1375">
        <v>12.8</v>
      </c>
      <c r="BJ1375">
        <v>6.7</v>
      </c>
      <c r="BK1375">
        <v>13</v>
      </c>
      <c r="BL1375" s="4">
        <v>583.41</v>
      </c>
      <c r="BM1375" s="4">
        <v>87.51</v>
      </c>
      <c r="BN1375" s="4">
        <v>670.92</v>
      </c>
      <c r="BO1375" s="4">
        <v>670.92</v>
      </c>
      <c r="BQ1375" t="s">
        <v>147</v>
      </c>
      <c r="BR1375" t="s">
        <v>84</v>
      </c>
      <c r="BS1375" s="3">
        <v>43816</v>
      </c>
      <c r="BT1375" s="5">
        <v>0.54097222222222219</v>
      </c>
      <c r="BU1375" t="s">
        <v>1848</v>
      </c>
      <c r="BV1375" t="s">
        <v>86</v>
      </c>
      <c r="BY1375">
        <v>33455.72</v>
      </c>
      <c r="CA1375" t="s">
        <v>1849</v>
      </c>
      <c r="CC1375" t="s">
        <v>1846</v>
      </c>
      <c r="CD1375">
        <v>7349</v>
      </c>
      <c r="CE1375" t="s">
        <v>116</v>
      </c>
      <c r="CF1375" s="3">
        <v>43817</v>
      </c>
      <c r="CI1375">
        <v>1</v>
      </c>
      <c r="CJ1375">
        <v>2</v>
      </c>
      <c r="CK1375">
        <v>23</v>
      </c>
      <c r="CL1375" t="s">
        <v>89</v>
      </c>
    </row>
    <row r="1376" spans="1:90">
      <c r="A1376" t="s">
        <v>72</v>
      </c>
      <c r="B1376" t="s">
        <v>73</v>
      </c>
      <c r="C1376" t="s">
        <v>74</v>
      </c>
      <c r="E1376" t="str">
        <f>"FES1162728517"</f>
        <v>FES1162728517</v>
      </c>
      <c r="F1376" s="3">
        <v>43812</v>
      </c>
      <c r="G1376">
        <v>202006</v>
      </c>
      <c r="H1376" t="s">
        <v>75</v>
      </c>
      <c r="I1376" t="s">
        <v>76</v>
      </c>
      <c r="J1376" t="s">
        <v>77</v>
      </c>
      <c r="K1376" t="s">
        <v>78</v>
      </c>
      <c r="L1376" t="s">
        <v>308</v>
      </c>
      <c r="M1376" t="s">
        <v>308</v>
      </c>
      <c r="N1376" t="s">
        <v>540</v>
      </c>
      <c r="O1376" t="s">
        <v>82</v>
      </c>
      <c r="P1376" t="str">
        <f>"217071136                     "</f>
        <v xml:space="preserve">217071136                     </v>
      </c>
      <c r="Q1376">
        <v>0</v>
      </c>
      <c r="R1376">
        <v>0</v>
      </c>
      <c r="S1376">
        <v>0</v>
      </c>
      <c r="T1376">
        <v>0</v>
      </c>
      <c r="U1376">
        <v>0</v>
      </c>
      <c r="V1376">
        <v>0</v>
      </c>
      <c r="W1376">
        <v>0</v>
      </c>
      <c r="X1376">
        <v>0</v>
      </c>
      <c r="Y1376">
        <v>0</v>
      </c>
      <c r="Z1376">
        <v>0</v>
      </c>
      <c r="AA1376">
        <v>0</v>
      </c>
      <c r="AB1376">
        <v>0</v>
      </c>
      <c r="AC1376">
        <v>0</v>
      </c>
      <c r="AD1376">
        <v>0</v>
      </c>
      <c r="AE1376">
        <v>0</v>
      </c>
      <c r="AF1376">
        <v>0</v>
      </c>
      <c r="AG1376">
        <v>0</v>
      </c>
      <c r="AH1376">
        <v>0</v>
      </c>
      <c r="AI1376">
        <v>0</v>
      </c>
      <c r="AJ1376">
        <v>0</v>
      </c>
      <c r="AK1376">
        <v>0</v>
      </c>
      <c r="AL1376">
        <v>0</v>
      </c>
      <c r="AM1376">
        <v>16.63</v>
      </c>
      <c r="AN1376">
        <v>0</v>
      </c>
      <c r="AO1376">
        <v>0</v>
      </c>
      <c r="AP1376">
        <v>0</v>
      </c>
      <c r="AQ1376">
        <v>0</v>
      </c>
      <c r="AR1376">
        <v>0</v>
      </c>
      <c r="AS1376">
        <v>0</v>
      </c>
      <c r="AT1376">
        <v>0</v>
      </c>
      <c r="AU1376">
        <v>0</v>
      </c>
      <c r="AV1376">
        <v>0</v>
      </c>
      <c r="AW1376">
        <v>0</v>
      </c>
      <c r="AX1376">
        <v>0</v>
      </c>
      <c r="AY1376">
        <v>0</v>
      </c>
      <c r="AZ1376">
        <v>0</v>
      </c>
      <c r="BA1376">
        <v>0</v>
      </c>
      <c r="BB1376">
        <v>0</v>
      </c>
      <c r="BC1376">
        <v>0</v>
      </c>
      <c r="BD1376">
        <v>0</v>
      </c>
      <c r="BE1376">
        <v>0</v>
      </c>
      <c r="BF1376">
        <v>0</v>
      </c>
      <c r="BG1376">
        <v>0</v>
      </c>
      <c r="BH1376">
        <v>1</v>
      </c>
      <c r="BI1376">
        <v>1.9</v>
      </c>
      <c r="BJ1376">
        <v>1</v>
      </c>
      <c r="BK1376">
        <v>2</v>
      </c>
      <c r="BL1376" s="4">
        <v>97.75</v>
      </c>
      <c r="BM1376" s="4">
        <v>14.66</v>
      </c>
      <c r="BN1376" s="4">
        <v>112.41</v>
      </c>
      <c r="BO1376" s="4">
        <v>112.41</v>
      </c>
      <c r="BQ1376" t="s">
        <v>147</v>
      </c>
      <c r="BR1376" t="s">
        <v>84</v>
      </c>
      <c r="BS1376" s="3">
        <v>43816</v>
      </c>
      <c r="BT1376" s="5">
        <v>0.44791666666666669</v>
      </c>
      <c r="BU1376" t="s">
        <v>541</v>
      </c>
      <c r="BV1376" t="s">
        <v>86</v>
      </c>
      <c r="BY1376">
        <v>4910.8900000000003</v>
      </c>
      <c r="CA1376" t="s">
        <v>311</v>
      </c>
      <c r="CC1376" t="s">
        <v>308</v>
      </c>
      <c r="CD1376">
        <v>7646</v>
      </c>
      <c r="CE1376" t="s">
        <v>96</v>
      </c>
      <c r="CF1376" s="3">
        <v>43817</v>
      </c>
      <c r="CI1376">
        <v>1</v>
      </c>
      <c r="CJ1376">
        <v>2</v>
      </c>
      <c r="CK1376">
        <v>23</v>
      </c>
      <c r="CL1376" t="s">
        <v>89</v>
      </c>
    </row>
    <row r="1377" spans="1:90">
      <c r="A1377" t="s">
        <v>72</v>
      </c>
      <c r="B1377" t="s">
        <v>73</v>
      </c>
      <c r="C1377" t="s">
        <v>74</v>
      </c>
      <c r="E1377" t="str">
        <f>"FES1162728313"</f>
        <v>FES1162728313</v>
      </c>
      <c r="F1377" s="3">
        <v>43812</v>
      </c>
      <c r="G1377">
        <v>202006</v>
      </c>
      <c r="H1377" t="s">
        <v>75</v>
      </c>
      <c r="I1377" t="s">
        <v>76</v>
      </c>
      <c r="J1377" t="s">
        <v>77</v>
      </c>
      <c r="K1377" t="s">
        <v>78</v>
      </c>
      <c r="L1377" t="s">
        <v>90</v>
      </c>
      <c r="M1377" t="s">
        <v>91</v>
      </c>
      <c r="N1377" t="s">
        <v>561</v>
      </c>
      <c r="O1377" t="s">
        <v>82</v>
      </c>
      <c r="P1377" t="str">
        <f>"2170719037                    "</f>
        <v xml:space="preserve">2170719037                    </v>
      </c>
      <c r="Q1377">
        <v>0</v>
      </c>
      <c r="R1377">
        <v>0</v>
      </c>
      <c r="S1377">
        <v>0</v>
      </c>
      <c r="T1377">
        <v>0</v>
      </c>
      <c r="U1377">
        <v>0</v>
      </c>
      <c r="V1377">
        <v>0</v>
      </c>
      <c r="W1377">
        <v>0</v>
      </c>
      <c r="X1377">
        <v>0</v>
      </c>
      <c r="Y1377">
        <v>0</v>
      </c>
      <c r="Z1377">
        <v>0</v>
      </c>
      <c r="AA1377">
        <v>0</v>
      </c>
      <c r="AB1377">
        <v>0</v>
      </c>
      <c r="AC1377">
        <v>0</v>
      </c>
      <c r="AD1377">
        <v>0</v>
      </c>
      <c r="AE1377">
        <v>0</v>
      </c>
      <c r="AF1377">
        <v>0</v>
      </c>
      <c r="AG1377">
        <v>0</v>
      </c>
      <c r="AH1377">
        <v>0</v>
      </c>
      <c r="AI1377">
        <v>0</v>
      </c>
      <c r="AJ1377">
        <v>0</v>
      </c>
      <c r="AK1377">
        <v>0</v>
      </c>
      <c r="AL1377">
        <v>0</v>
      </c>
      <c r="AM1377">
        <v>8.58</v>
      </c>
      <c r="AN1377">
        <v>0</v>
      </c>
      <c r="AO1377">
        <v>0</v>
      </c>
      <c r="AP1377">
        <v>0</v>
      </c>
      <c r="AQ1377">
        <v>0</v>
      </c>
      <c r="AR1377">
        <v>0</v>
      </c>
      <c r="AS1377">
        <v>0</v>
      </c>
      <c r="AT1377">
        <v>0</v>
      </c>
      <c r="AU1377">
        <v>0</v>
      </c>
      <c r="AV1377">
        <v>0</v>
      </c>
      <c r="AW1377">
        <v>0</v>
      </c>
      <c r="AX1377">
        <v>0</v>
      </c>
      <c r="AY1377">
        <v>0</v>
      </c>
      <c r="AZ1377">
        <v>0</v>
      </c>
      <c r="BA1377">
        <v>0</v>
      </c>
      <c r="BB1377">
        <v>0</v>
      </c>
      <c r="BC1377">
        <v>0</v>
      </c>
      <c r="BD1377">
        <v>0</v>
      </c>
      <c r="BE1377">
        <v>0</v>
      </c>
      <c r="BF1377">
        <v>0</v>
      </c>
      <c r="BG1377">
        <v>0</v>
      </c>
      <c r="BH1377">
        <v>1</v>
      </c>
      <c r="BI1377">
        <v>2</v>
      </c>
      <c r="BJ1377">
        <v>1.7</v>
      </c>
      <c r="BK1377">
        <v>2</v>
      </c>
      <c r="BL1377" s="4">
        <v>50.45</v>
      </c>
      <c r="BM1377" s="4">
        <v>7.57</v>
      </c>
      <c r="BN1377" s="4">
        <v>58.02</v>
      </c>
      <c r="BO1377" s="4">
        <v>58.02</v>
      </c>
      <c r="BQ1377" t="s">
        <v>172</v>
      </c>
      <c r="BR1377" t="s">
        <v>84</v>
      </c>
      <c r="BS1377" s="3">
        <v>43816</v>
      </c>
      <c r="BT1377" s="5">
        <v>0.3659722222222222</v>
      </c>
      <c r="BU1377" t="s">
        <v>1850</v>
      </c>
      <c r="BV1377" t="s">
        <v>86</v>
      </c>
      <c r="BY1377">
        <v>8550</v>
      </c>
      <c r="CA1377" t="s">
        <v>1720</v>
      </c>
      <c r="CC1377" t="s">
        <v>91</v>
      </c>
      <c r="CD1377">
        <v>7460</v>
      </c>
      <c r="CE1377" t="s">
        <v>116</v>
      </c>
      <c r="CF1377" s="3">
        <v>43817</v>
      </c>
      <c r="CI1377">
        <v>1</v>
      </c>
      <c r="CJ1377">
        <v>2</v>
      </c>
      <c r="CK1377">
        <v>21</v>
      </c>
      <c r="CL1377" t="s">
        <v>89</v>
      </c>
    </row>
    <row r="1378" spans="1:90">
      <c r="A1378" t="s">
        <v>72</v>
      </c>
      <c r="B1378" t="s">
        <v>73</v>
      </c>
      <c r="C1378" t="s">
        <v>74</v>
      </c>
      <c r="E1378" t="str">
        <f>"FES1162728429"</f>
        <v>FES1162728429</v>
      </c>
      <c r="F1378" s="3">
        <v>43812</v>
      </c>
      <c r="G1378">
        <v>202006</v>
      </c>
      <c r="H1378" t="s">
        <v>75</v>
      </c>
      <c r="I1378" t="s">
        <v>76</v>
      </c>
      <c r="J1378" t="s">
        <v>77</v>
      </c>
      <c r="K1378" t="s">
        <v>78</v>
      </c>
      <c r="L1378" t="s">
        <v>177</v>
      </c>
      <c r="M1378" t="s">
        <v>178</v>
      </c>
      <c r="N1378" t="s">
        <v>1851</v>
      </c>
      <c r="O1378" t="s">
        <v>82</v>
      </c>
      <c r="P1378" t="str">
        <f>"2170719+214                   "</f>
        <v xml:space="preserve">2170719+214                   </v>
      </c>
      <c r="Q1378">
        <v>0</v>
      </c>
      <c r="R1378">
        <v>0</v>
      </c>
      <c r="S1378">
        <v>0</v>
      </c>
      <c r="T1378">
        <v>0</v>
      </c>
      <c r="U1378">
        <v>0</v>
      </c>
      <c r="V1378">
        <v>0</v>
      </c>
      <c r="W1378">
        <v>0</v>
      </c>
      <c r="X1378">
        <v>0</v>
      </c>
      <c r="Y1378">
        <v>0</v>
      </c>
      <c r="Z1378">
        <v>0</v>
      </c>
      <c r="AA1378">
        <v>0</v>
      </c>
      <c r="AB1378">
        <v>0</v>
      </c>
      <c r="AC1378">
        <v>0</v>
      </c>
      <c r="AD1378">
        <v>0</v>
      </c>
      <c r="AE1378">
        <v>0</v>
      </c>
      <c r="AF1378">
        <v>0</v>
      </c>
      <c r="AG1378">
        <v>0</v>
      </c>
      <c r="AH1378">
        <v>0</v>
      </c>
      <c r="AI1378">
        <v>0</v>
      </c>
      <c r="AJ1378">
        <v>0</v>
      </c>
      <c r="AK1378">
        <v>0</v>
      </c>
      <c r="AL1378">
        <v>0</v>
      </c>
      <c r="AM1378">
        <v>12.07</v>
      </c>
      <c r="AN1378">
        <v>0</v>
      </c>
      <c r="AO1378">
        <v>0</v>
      </c>
      <c r="AP1378">
        <v>0</v>
      </c>
      <c r="AQ1378">
        <v>0</v>
      </c>
      <c r="AR1378">
        <v>0</v>
      </c>
      <c r="AS1378">
        <v>0</v>
      </c>
      <c r="AT1378">
        <v>0</v>
      </c>
      <c r="AU1378">
        <v>0</v>
      </c>
      <c r="AV1378">
        <v>0</v>
      </c>
      <c r="AW1378">
        <v>0</v>
      </c>
      <c r="AX1378">
        <v>0</v>
      </c>
      <c r="AY1378">
        <v>0</v>
      </c>
      <c r="AZ1378">
        <v>0</v>
      </c>
      <c r="BA1378">
        <v>0</v>
      </c>
      <c r="BB1378">
        <v>0</v>
      </c>
      <c r="BC1378">
        <v>0</v>
      </c>
      <c r="BD1378">
        <v>0</v>
      </c>
      <c r="BE1378">
        <v>0</v>
      </c>
      <c r="BF1378">
        <v>0</v>
      </c>
      <c r="BG1378">
        <v>0</v>
      </c>
      <c r="BH1378">
        <v>1</v>
      </c>
      <c r="BI1378">
        <v>1</v>
      </c>
      <c r="BJ1378">
        <v>0.2</v>
      </c>
      <c r="BK1378">
        <v>1</v>
      </c>
      <c r="BL1378" s="4">
        <v>70.95</v>
      </c>
      <c r="BM1378" s="4">
        <v>10.64</v>
      </c>
      <c r="BN1378" s="4">
        <v>81.59</v>
      </c>
      <c r="BO1378" s="4">
        <v>81.59</v>
      </c>
      <c r="BQ1378" t="s">
        <v>147</v>
      </c>
      <c r="BR1378" t="s">
        <v>84</v>
      </c>
      <c r="BS1378" s="3">
        <v>43817</v>
      </c>
      <c r="BT1378" s="5">
        <v>0.625</v>
      </c>
      <c r="BU1378" t="s">
        <v>1852</v>
      </c>
      <c r="BV1378" t="s">
        <v>89</v>
      </c>
      <c r="BY1378">
        <v>1200</v>
      </c>
      <c r="CA1378" t="s">
        <v>182</v>
      </c>
      <c r="CC1378" t="s">
        <v>178</v>
      </c>
      <c r="CD1378">
        <v>1020</v>
      </c>
      <c r="CE1378" t="s">
        <v>88</v>
      </c>
      <c r="CF1378" s="3">
        <v>43818</v>
      </c>
      <c r="CI1378">
        <v>1</v>
      </c>
      <c r="CJ1378">
        <v>3</v>
      </c>
      <c r="CK1378">
        <v>24</v>
      </c>
      <c r="CL1378" t="s">
        <v>89</v>
      </c>
    </row>
    <row r="1379" spans="1:90">
      <c r="A1379" t="s">
        <v>72</v>
      </c>
      <c r="B1379" t="s">
        <v>73</v>
      </c>
      <c r="C1379" t="s">
        <v>74</v>
      </c>
      <c r="E1379" t="str">
        <f>"FES1162728319"</f>
        <v>FES1162728319</v>
      </c>
      <c r="F1379" s="3">
        <v>43812</v>
      </c>
      <c r="G1379">
        <v>202006</v>
      </c>
      <c r="H1379" t="s">
        <v>75</v>
      </c>
      <c r="I1379" t="s">
        <v>76</v>
      </c>
      <c r="J1379" t="s">
        <v>77</v>
      </c>
      <c r="K1379" t="s">
        <v>78</v>
      </c>
      <c r="L1379" t="s">
        <v>90</v>
      </c>
      <c r="M1379" t="s">
        <v>91</v>
      </c>
      <c r="N1379" t="s">
        <v>1582</v>
      </c>
      <c r="O1379" t="s">
        <v>82</v>
      </c>
      <c r="P1379" t="str">
        <f>"21707198492                   "</f>
        <v xml:space="preserve">21707198492                   </v>
      </c>
      <c r="Q1379">
        <v>0</v>
      </c>
      <c r="R1379">
        <v>0</v>
      </c>
      <c r="S1379">
        <v>0</v>
      </c>
      <c r="T1379">
        <v>0</v>
      </c>
      <c r="U1379">
        <v>0</v>
      </c>
      <c r="V1379">
        <v>0</v>
      </c>
      <c r="W1379">
        <v>0</v>
      </c>
      <c r="X1379">
        <v>0</v>
      </c>
      <c r="Y1379">
        <v>0</v>
      </c>
      <c r="Z1379">
        <v>0</v>
      </c>
      <c r="AA1379">
        <v>0</v>
      </c>
      <c r="AB1379">
        <v>0</v>
      </c>
      <c r="AC1379">
        <v>0</v>
      </c>
      <c r="AD1379">
        <v>0</v>
      </c>
      <c r="AE1379">
        <v>0</v>
      </c>
      <c r="AF1379">
        <v>0</v>
      </c>
      <c r="AG1379">
        <v>0</v>
      </c>
      <c r="AH1379">
        <v>0</v>
      </c>
      <c r="AI1379">
        <v>0</v>
      </c>
      <c r="AJ1379">
        <v>0</v>
      </c>
      <c r="AK1379">
        <v>0</v>
      </c>
      <c r="AL1379">
        <v>0</v>
      </c>
      <c r="AM1379">
        <v>34.31</v>
      </c>
      <c r="AN1379">
        <v>0</v>
      </c>
      <c r="AO1379">
        <v>0</v>
      </c>
      <c r="AP1379">
        <v>0</v>
      </c>
      <c r="AQ1379">
        <v>0</v>
      </c>
      <c r="AR1379">
        <v>0</v>
      </c>
      <c r="AS1379">
        <v>0</v>
      </c>
      <c r="AT1379">
        <v>0</v>
      </c>
      <c r="AU1379">
        <v>0</v>
      </c>
      <c r="AV1379">
        <v>0</v>
      </c>
      <c r="AW1379">
        <v>0</v>
      </c>
      <c r="AX1379">
        <v>0</v>
      </c>
      <c r="AY1379">
        <v>0</v>
      </c>
      <c r="AZ1379">
        <v>0</v>
      </c>
      <c r="BA1379">
        <v>0</v>
      </c>
      <c r="BB1379">
        <v>0</v>
      </c>
      <c r="BC1379">
        <v>0</v>
      </c>
      <c r="BD1379">
        <v>0</v>
      </c>
      <c r="BE1379">
        <v>0</v>
      </c>
      <c r="BF1379">
        <v>0</v>
      </c>
      <c r="BG1379">
        <v>0</v>
      </c>
      <c r="BH1379">
        <v>1</v>
      </c>
      <c r="BI1379">
        <v>3.8</v>
      </c>
      <c r="BJ1379">
        <v>7.8</v>
      </c>
      <c r="BK1379">
        <v>8</v>
      </c>
      <c r="BL1379" s="4">
        <v>201.7</v>
      </c>
      <c r="BM1379" s="4">
        <v>30.26</v>
      </c>
      <c r="BN1379" s="4">
        <v>231.96</v>
      </c>
      <c r="BO1379" s="4">
        <v>231.96</v>
      </c>
      <c r="BQ1379" t="s">
        <v>256</v>
      </c>
      <c r="BR1379" t="s">
        <v>84</v>
      </c>
      <c r="BS1379" s="3">
        <v>43816</v>
      </c>
      <c r="BT1379" s="5">
        <v>0.40972222222222227</v>
      </c>
      <c r="BU1379" t="s">
        <v>1583</v>
      </c>
      <c r="BV1379" t="s">
        <v>86</v>
      </c>
      <c r="BY1379">
        <v>38881.94</v>
      </c>
      <c r="CA1379" t="s">
        <v>539</v>
      </c>
      <c r="CC1379" t="s">
        <v>91</v>
      </c>
      <c r="CD1379">
        <v>7580</v>
      </c>
      <c r="CE1379" t="s">
        <v>116</v>
      </c>
      <c r="CF1379" s="3">
        <v>43817</v>
      </c>
      <c r="CI1379">
        <v>1</v>
      </c>
      <c r="CJ1379">
        <v>2</v>
      </c>
      <c r="CK1379">
        <v>21</v>
      </c>
      <c r="CL1379" t="s">
        <v>89</v>
      </c>
    </row>
    <row r="1380" spans="1:90">
      <c r="A1380" t="s">
        <v>72</v>
      </c>
      <c r="B1380" t="s">
        <v>73</v>
      </c>
      <c r="C1380" t="s">
        <v>74</v>
      </c>
      <c r="E1380" t="str">
        <f>"FES1162728483"</f>
        <v>FES1162728483</v>
      </c>
      <c r="F1380" s="3">
        <v>43812</v>
      </c>
      <c r="G1380">
        <v>202006</v>
      </c>
      <c r="H1380" t="s">
        <v>75</v>
      </c>
      <c r="I1380" t="s">
        <v>76</v>
      </c>
      <c r="J1380" t="s">
        <v>77</v>
      </c>
      <c r="K1380" t="s">
        <v>78</v>
      </c>
      <c r="L1380" t="s">
        <v>198</v>
      </c>
      <c r="M1380" t="s">
        <v>199</v>
      </c>
      <c r="N1380" t="s">
        <v>1853</v>
      </c>
      <c r="O1380" t="s">
        <v>82</v>
      </c>
      <c r="P1380" t="str">
        <f>"217071720                     "</f>
        <v xml:space="preserve">217071720                     </v>
      </c>
      <c r="Q1380">
        <v>0</v>
      </c>
      <c r="R1380">
        <v>0</v>
      </c>
      <c r="S1380">
        <v>0</v>
      </c>
      <c r="T1380">
        <v>0</v>
      </c>
      <c r="U1380">
        <v>0</v>
      </c>
      <c r="V1380">
        <v>0</v>
      </c>
      <c r="W1380">
        <v>0</v>
      </c>
      <c r="X1380">
        <v>0</v>
      </c>
      <c r="Y1380">
        <v>0</v>
      </c>
      <c r="Z1380">
        <v>0</v>
      </c>
      <c r="AA1380">
        <v>0</v>
      </c>
      <c r="AB1380">
        <v>0</v>
      </c>
      <c r="AC1380">
        <v>0</v>
      </c>
      <c r="AD1380">
        <v>0</v>
      </c>
      <c r="AE1380">
        <v>0</v>
      </c>
      <c r="AF1380">
        <v>0</v>
      </c>
      <c r="AG1380">
        <v>0</v>
      </c>
      <c r="AH1380">
        <v>0</v>
      </c>
      <c r="AI1380">
        <v>0</v>
      </c>
      <c r="AJ1380">
        <v>0</v>
      </c>
      <c r="AK1380">
        <v>0</v>
      </c>
      <c r="AL1380">
        <v>0</v>
      </c>
      <c r="AM1380">
        <v>8.58</v>
      </c>
      <c r="AN1380">
        <v>0</v>
      </c>
      <c r="AO1380">
        <v>0</v>
      </c>
      <c r="AP1380">
        <v>0</v>
      </c>
      <c r="AQ1380">
        <v>0</v>
      </c>
      <c r="AR1380">
        <v>0</v>
      </c>
      <c r="AS1380">
        <v>0</v>
      </c>
      <c r="AT1380">
        <v>0</v>
      </c>
      <c r="AU1380">
        <v>0</v>
      </c>
      <c r="AV1380">
        <v>0</v>
      </c>
      <c r="AW1380">
        <v>0</v>
      </c>
      <c r="AX1380">
        <v>0</v>
      </c>
      <c r="AY1380">
        <v>0</v>
      </c>
      <c r="AZ1380">
        <v>0</v>
      </c>
      <c r="BA1380">
        <v>0</v>
      </c>
      <c r="BB1380">
        <v>0</v>
      </c>
      <c r="BC1380">
        <v>0</v>
      </c>
      <c r="BD1380">
        <v>0</v>
      </c>
      <c r="BE1380">
        <v>0</v>
      </c>
      <c r="BF1380">
        <v>0</v>
      </c>
      <c r="BG1380">
        <v>0</v>
      </c>
      <c r="BH1380">
        <v>1</v>
      </c>
      <c r="BI1380">
        <v>1.7</v>
      </c>
      <c r="BJ1380">
        <v>0.9</v>
      </c>
      <c r="BK1380">
        <v>2</v>
      </c>
      <c r="BL1380" s="4">
        <v>50.45</v>
      </c>
      <c r="BM1380" s="4">
        <v>7.57</v>
      </c>
      <c r="BN1380" s="4">
        <v>58.02</v>
      </c>
      <c r="BO1380" s="4">
        <v>58.02</v>
      </c>
      <c r="BQ1380" t="s">
        <v>147</v>
      </c>
      <c r="BR1380" t="s">
        <v>84</v>
      </c>
      <c r="BS1380" s="3">
        <v>43816</v>
      </c>
      <c r="BT1380" s="5">
        <v>0.31666666666666665</v>
      </c>
      <c r="BU1380" t="s">
        <v>1854</v>
      </c>
      <c r="BV1380" t="s">
        <v>86</v>
      </c>
      <c r="BY1380">
        <v>4635.92</v>
      </c>
      <c r="CA1380" t="s">
        <v>839</v>
      </c>
      <c r="CC1380" t="s">
        <v>199</v>
      </c>
      <c r="CD1380">
        <v>4000</v>
      </c>
      <c r="CE1380" t="s">
        <v>96</v>
      </c>
      <c r="CF1380" s="3">
        <v>43817</v>
      </c>
      <c r="CI1380">
        <v>1</v>
      </c>
      <c r="CJ1380">
        <v>2</v>
      </c>
      <c r="CK1380">
        <v>21</v>
      </c>
      <c r="CL1380" t="s">
        <v>89</v>
      </c>
    </row>
    <row r="1381" spans="1:90">
      <c r="A1381" t="s">
        <v>72</v>
      </c>
      <c r="B1381" t="s">
        <v>73</v>
      </c>
      <c r="C1381" t="s">
        <v>74</v>
      </c>
      <c r="E1381" t="str">
        <f>"FES1162728297"</f>
        <v>FES1162728297</v>
      </c>
      <c r="F1381" s="3">
        <v>43812</v>
      </c>
      <c r="G1381">
        <v>202006</v>
      </c>
      <c r="H1381" t="s">
        <v>75</v>
      </c>
      <c r="I1381" t="s">
        <v>76</v>
      </c>
      <c r="J1381" t="s">
        <v>77</v>
      </c>
      <c r="K1381" t="s">
        <v>78</v>
      </c>
      <c r="L1381" t="s">
        <v>90</v>
      </c>
      <c r="M1381" t="s">
        <v>91</v>
      </c>
      <c r="N1381" t="s">
        <v>110</v>
      </c>
      <c r="O1381" t="s">
        <v>82</v>
      </c>
      <c r="P1381" t="str">
        <f>"2170717658                    "</f>
        <v xml:space="preserve">2170717658                    </v>
      </c>
      <c r="Q1381">
        <v>0</v>
      </c>
      <c r="R1381">
        <v>0</v>
      </c>
      <c r="S1381">
        <v>0</v>
      </c>
      <c r="T1381">
        <v>0</v>
      </c>
      <c r="U1381">
        <v>0</v>
      </c>
      <c r="V1381">
        <v>0</v>
      </c>
      <c r="W1381">
        <v>0</v>
      </c>
      <c r="X1381">
        <v>0</v>
      </c>
      <c r="Y1381">
        <v>0</v>
      </c>
      <c r="Z1381">
        <v>0</v>
      </c>
      <c r="AA1381">
        <v>0</v>
      </c>
      <c r="AB1381">
        <v>0</v>
      </c>
      <c r="AC1381">
        <v>0</v>
      </c>
      <c r="AD1381">
        <v>0</v>
      </c>
      <c r="AE1381">
        <v>0</v>
      </c>
      <c r="AF1381">
        <v>0</v>
      </c>
      <c r="AG1381">
        <v>0</v>
      </c>
      <c r="AH1381">
        <v>0</v>
      </c>
      <c r="AI1381">
        <v>0</v>
      </c>
      <c r="AJ1381">
        <v>0</v>
      </c>
      <c r="AK1381">
        <v>0</v>
      </c>
      <c r="AL1381">
        <v>0</v>
      </c>
      <c r="AM1381">
        <v>8.58</v>
      </c>
      <c r="AN1381">
        <v>0</v>
      </c>
      <c r="AO1381">
        <v>0</v>
      </c>
      <c r="AP1381">
        <v>0</v>
      </c>
      <c r="AQ1381">
        <v>0</v>
      </c>
      <c r="AR1381">
        <v>0</v>
      </c>
      <c r="AS1381">
        <v>0</v>
      </c>
      <c r="AT1381">
        <v>0</v>
      </c>
      <c r="AU1381">
        <v>0</v>
      </c>
      <c r="AV1381">
        <v>0</v>
      </c>
      <c r="AW1381">
        <v>0</v>
      </c>
      <c r="AX1381">
        <v>0</v>
      </c>
      <c r="AY1381">
        <v>0</v>
      </c>
      <c r="AZ1381">
        <v>0</v>
      </c>
      <c r="BA1381">
        <v>0</v>
      </c>
      <c r="BB1381">
        <v>0</v>
      </c>
      <c r="BC1381">
        <v>0</v>
      </c>
      <c r="BD1381">
        <v>0</v>
      </c>
      <c r="BE1381">
        <v>0</v>
      </c>
      <c r="BF1381">
        <v>0</v>
      </c>
      <c r="BG1381">
        <v>0</v>
      </c>
      <c r="BH1381">
        <v>1</v>
      </c>
      <c r="BI1381">
        <v>1</v>
      </c>
      <c r="BJ1381">
        <v>1</v>
      </c>
      <c r="BK1381">
        <v>1</v>
      </c>
      <c r="BL1381" s="4">
        <v>50.45</v>
      </c>
      <c r="BM1381" s="4">
        <v>7.57</v>
      </c>
      <c r="BN1381" s="4">
        <v>58.02</v>
      </c>
      <c r="BO1381" s="4">
        <v>58.02</v>
      </c>
      <c r="BQ1381" t="s">
        <v>147</v>
      </c>
      <c r="BR1381" t="s">
        <v>84</v>
      </c>
      <c r="BS1381" s="3">
        <v>43816</v>
      </c>
      <c r="BT1381" s="5">
        <v>0.31111111111111112</v>
      </c>
      <c r="BU1381" t="s">
        <v>111</v>
      </c>
      <c r="BV1381" t="s">
        <v>86</v>
      </c>
      <c r="BY1381">
        <v>4970.09</v>
      </c>
      <c r="CA1381" t="s">
        <v>112</v>
      </c>
      <c r="CC1381" t="s">
        <v>91</v>
      </c>
      <c r="CD1381">
        <v>7405</v>
      </c>
      <c r="CE1381" t="s">
        <v>96</v>
      </c>
      <c r="CF1381" s="3">
        <v>43817</v>
      </c>
      <c r="CI1381">
        <v>1</v>
      </c>
      <c r="CJ1381">
        <v>2</v>
      </c>
      <c r="CK1381">
        <v>21</v>
      </c>
      <c r="CL1381" t="s">
        <v>89</v>
      </c>
    </row>
    <row r="1382" spans="1:90">
      <c r="A1382" t="s">
        <v>72</v>
      </c>
      <c r="B1382" t="s">
        <v>73</v>
      </c>
      <c r="C1382" t="s">
        <v>74</v>
      </c>
      <c r="E1382" t="str">
        <f>"FES1162728299"</f>
        <v>FES1162728299</v>
      </c>
      <c r="F1382" s="3">
        <v>43812</v>
      </c>
      <c r="G1382">
        <v>202006</v>
      </c>
      <c r="H1382" t="s">
        <v>75</v>
      </c>
      <c r="I1382" t="s">
        <v>76</v>
      </c>
      <c r="J1382" t="s">
        <v>77</v>
      </c>
      <c r="K1382" t="s">
        <v>78</v>
      </c>
      <c r="L1382" t="s">
        <v>332</v>
      </c>
      <c r="M1382" t="s">
        <v>333</v>
      </c>
      <c r="N1382" t="s">
        <v>1855</v>
      </c>
      <c r="O1382" t="s">
        <v>82</v>
      </c>
      <c r="P1382" t="str">
        <f>"2170718263                    "</f>
        <v xml:space="preserve">2170718263                    </v>
      </c>
      <c r="Q1382">
        <v>0</v>
      </c>
      <c r="R1382">
        <v>0</v>
      </c>
      <c r="S1382">
        <v>0</v>
      </c>
      <c r="T1382">
        <v>0</v>
      </c>
      <c r="U1382">
        <v>0</v>
      </c>
      <c r="V1382">
        <v>0</v>
      </c>
      <c r="W1382">
        <v>0</v>
      </c>
      <c r="X1382">
        <v>0</v>
      </c>
      <c r="Y1382">
        <v>0</v>
      </c>
      <c r="Z1382">
        <v>0</v>
      </c>
      <c r="AA1382">
        <v>0</v>
      </c>
      <c r="AB1382">
        <v>0</v>
      </c>
      <c r="AC1382">
        <v>0</v>
      </c>
      <c r="AD1382">
        <v>0</v>
      </c>
      <c r="AE1382">
        <v>0</v>
      </c>
      <c r="AF1382">
        <v>0</v>
      </c>
      <c r="AG1382">
        <v>0</v>
      </c>
      <c r="AH1382">
        <v>0</v>
      </c>
      <c r="AI1382">
        <v>0</v>
      </c>
      <c r="AJ1382">
        <v>0</v>
      </c>
      <c r="AK1382">
        <v>0</v>
      </c>
      <c r="AL1382">
        <v>0</v>
      </c>
      <c r="AM1382">
        <v>6.71</v>
      </c>
      <c r="AN1382">
        <v>0</v>
      </c>
      <c r="AO1382">
        <v>0</v>
      </c>
      <c r="AP1382">
        <v>0</v>
      </c>
      <c r="AQ1382">
        <v>0</v>
      </c>
      <c r="AR1382">
        <v>0</v>
      </c>
      <c r="AS1382">
        <v>0</v>
      </c>
      <c r="AT1382">
        <v>0</v>
      </c>
      <c r="AU1382">
        <v>0</v>
      </c>
      <c r="AV1382">
        <v>0</v>
      </c>
      <c r="AW1382">
        <v>0</v>
      </c>
      <c r="AX1382">
        <v>0</v>
      </c>
      <c r="AY1382">
        <v>0</v>
      </c>
      <c r="AZ1382">
        <v>0</v>
      </c>
      <c r="BA1382">
        <v>0</v>
      </c>
      <c r="BB1382">
        <v>0</v>
      </c>
      <c r="BC1382">
        <v>0</v>
      </c>
      <c r="BD1382">
        <v>0</v>
      </c>
      <c r="BE1382">
        <v>0</v>
      </c>
      <c r="BF1382">
        <v>0</v>
      </c>
      <c r="BG1382">
        <v>0</v>
      </c>
      <c r="BH1382">
        <v>1</v>
      </c>
      <c r="BI1382">
        <v>1</v>
      </c>
      <c r="BJ1382">
        <v>0.2</v>
      </c>
      <c r="BK1382">
        <v>1</v>
      </c>
      <c r="BL1382" s="4">
        <v>39.42</v>
      </c>
      <c r="BM1382" s="4">
        <v>5.91</v>
      </c>
      <c r="BN1382" s="4">
        <v>45.33</v>
      </c>
      <c r="BO1382" s="4">
        <v>45.33</v>
      </c>
      <c r="BQ1382" t="s">
        <v>147</v>
      </c>
      <c r="BR1382" t="s">
        <v>84</v>
      </c>
      <c r="BS1382" s="3">
        <v>43816</v>
      </c>
      <c r="BT1382" s="5">
        <v>0.41666666666666669</v>
      </c>
      <c r="BU1382" t="s">
        <v>1856</v>
      </c>
      <c r="BV1382" t="s">
        <v>86</v>
      </c>
      <c r="BY1382">
        <v>1200</v>
      </c>
      <c r="CA1382" t="s">
        <v>344</v>
      </c>
      <c r="CC1382" t="s">
        <v>333</v>
      </c>
      <c r="CD1382">
        <v>2090</v>
      </c>
      <c r="CE1382" t="s">
        <v>88</v>
      </c>
      <c r="CF1382" s="3">
        <v>43817</v>
      </c>
      <c r="CI1382">
        <v>1</v>
      </c>
      <c r="CJ1382">
        <v>2</v>
      </c>
      <c r="CK1382">
        <v>22</v>
      </c>
      <c r="CL1382" t="s">
        <v>89</v>
      </c>
    </row>
    <row r="1383" spans="1:90">
      <c r="A1383" t="s">
        <v>72</v>
      </c>
      <c r="B1383" t="s">
        <v>73</v>
      </c>
      <c r="C1383" t="s">
        <v>74</v>
      </c>
      <c r="E1383" t="str">
        <f>"FES1162728440"</f>
        <v>FES1162728440</v>
      </c>
      <c r="F1383" s="3">
        <v>43812</v>
      </c>
      <c r="G1383">
        <v>202006</v>
      </c>
      <c r="H1383" t="s">
        <v>75</v>
      </c>
      <c r="I1383" t="s">
        <v>76</v>
      </c>
      <c r="J1383" t="s">
        <v>77</v>
      </c>
      <c r="K1383" t="s">
        <v>78</v>
      </c>
      <c r="L1383" t="s">
        <v>577</v>
      </c>
      <c r="M1383" t="s">
        <v>578</v>
      </c>
      <c r="N1383" t="s">
        <v>579</v>
      </c>
      <c r="O1383" t="s">
        <v>82</v>
      </c>
      <c r="P1383" t="str">
        <f>"21707217407                   "</f>
        <v xml:space="preserve">21707217407                   </v>
      </c>
      <c r="Q1383">
        <v>0</v>
      </c>
      <c r="R1383">
        <v>0</v>
      </c>
      <c r="S1383">
        <v>0</v>
      </c>
      <c r="T1383">
        <v>0</v>
      </c>
      <c r="U1383">
        <v>0</v>
      </c>
      <c r="V1383">
        <v>0</v>
      </c>
      <c r="W1383">
        <v>0</v>
      </c>
      <c r="X1383">
        <v>0</v>
      </c>
      <c r="Y1383">
        <v>0</v>
      </c>
      <c r="Z1383">
        <v>0</v>
      </c>
      <c r="AA1383">
        <v>0</v>
      </c>
      <c r="AB1383">
        <v>0</v>
      </c>
      <c r="AC1383">
        <v>0</v>
      </c>
      <c r="AD1383">
        <v>0</v>
      </c>
      <c r="AE1383">
        <v>0</v>
      </c>
      <c r="AF1383">
        <v>0</v>
      </c>
      <c r="AG1383">
        <v>0</v>
      </c>
      <c r="AH1383">
        <v>0</v>
      </c>
      <c r="AI1383">
        <v>0</v>
      </c>
      <c r="AJ1383">
        <v>0</v>
      </c>
      <c r="AK1383">
        <v>0</v>
      </c>
      <c r="AL1383">
        <v>0</v>
      </c>
      <c r="AM1383">
        <v>8.58</v>
      </c>
      <c r="AN1383">
        <v>0</v>
      </c>
      <c r="AO1383">
        <v>0</v>
      </c>
      <c r="AP1383">
        <v>0</v>
      </c>
      <c r="AQ1383">
        <v>0</v>
      </c>
      <c r="AR1383">
        <v>0</v>
      </c>
      <c r="AS1383">
        <v>0</v>
      </c>
      <c r="AT1383">
        <v>0</v>
      </c>
      <c r="AU1383">
        <v>0</v>
      </c>
      <c r="AV1383">
        <v>0</v>
      </c>
      <c r="AW1383">
        <v>0</v>
      </c>
      <c r="AX1383">
        <v>0</v>
      </c>
      <c r="AY1383">
        <v>0</v>
      </c>
      <c r="AZ1383">
        <v>0</v>
      </c>
      <c r="BA1383">
        <v>0</v>
      </c>
      <c r="BB1383">
        <v>0</v>
      </c>
      <c r="BC1383">
        <v>0</v>
      </c>
      <c r="BD1383">
        <v>0</v>
      </c>
      <c r="BE1383">
        <v>0</v>
      </c>
      <c r="BF1383">
        <v>0</v>
      </c>
      <c r="BG1383">
        <v>0</v>
      </c>
      <c r="BH1383">
        <v>1</v>
      </c>
      <c r="BI1383">
        <v>1.9</v>
      </c>
      <c r="BJ1383">
        <v>1.4</v>
      </c>
      <c r="BK1383">
        <v>2</v>
      </c>
      <c r="BL1383" s="4">
        <v>50.45</v>
      </c>
      <c r="BM1383" s="4">
        <v>7.57</v>
      </c>
      <c r="BN1383" s="4">
        <v>58.02</v>
      </c>
      <c r="BO1383" s="4">
        <v>58.02</v>
      </c>
      <c r="BQ1383" t="s">
        <v>147</v>
      </c>
      <c r="BR1383" t="s">
        <v>84</v>
      </c>
      <c r="BS1383" s="3">
        <v>43816</v>
      </c>
      <c r="BT1383" s="5">
        <v>0.42569444444444443</v>
      </c>
      <c r="BU1383" t="s">
        <v>580</v>
      </c>
      <c r="BV1383" t="s">
        <v>86</v>
      </c>
      <c r="BY1383">
        <v>7102.6</v>
      </c>
      <c r="CC1383" t="s">
        <v>578</v>
      </c>
      <c r="CD1383">
        <v>6536</v>
      </c>
      <c r="CE1383" t="s">
        <v>96</v>
      </c>
      <c r="CF1383" s="3">
        <v>43819</v>
      </c>
      <c r="CI1383">
        <v>1</v>
      </c>
      <c r="CJ1383">
        <v>2</v>
      </c>
      <c r="CK1383">
        <v>21</v>
      </c>
      <c r="CL1383" t="s">
        <v>89</v>
      </c>
    </row>
    <row r="1384" spans="1:90">
      <c r="A1384" t="s">
        <v>72</v>
      </c>
      <c r="B1384" t="s">
        <v>73</v>
      </c>
      <c r="C1384" t="s">
        <v>74</v>
      </c>
      <c r="E1384" t="str">
        <f>"FES1162728180"</f>
        <v>FES1162728180</v>
      </c>
      <c r="F1384" s="3">
        <v>43812</v>
      </c>
      <c r="G1384">
        <v>202006</v>
      </c>
      <c r="H1384" t="s">
        <v>75</v>
      </c>
      <c r="I1384" t="s">
        <v>76</v>
      </c>
      <c r="J1384" t="s">
        <v>77</v>
      </c>
      <c r="K1384" t="s">
        <v>78</v>
      </c>
      <c r="L1384" t="s">
        <v>75</v>
      </c>
      <c r="M1384" t="s">
        <v>76</v>
      </c>
      <c r="N1384" t="s">
        <v>312</v>
      </c>
      <c r="O1384" t="s">
        <v>82</v>
      </c>
      <c r="P1384" t="str">
        <f>"2170721508                    "</f>
        <v xml:space="preserve">2170721508                    </v>
      </c>
      <c r="Q1384">
        <v>0</v>
      </c>
      <c r="R1384">
        <v>0</v>
      </c>
      <c r="S1384">
        <v>0</v>
      </c>
      <c r="T1384">
        <v>0</v>
      </c>
      <c r="U1384">
        <v>0</v>
      </c>
      <c r="V1384">
        <v>0</v>
      </c>
      <c r="W1384">
        <v>0</v>
      </c>
      <c r="X1384">
        <v>0</v>
      </c>
      <c r="Y1384">
        <v>0</v>
      </c>
      <c r="Z1384">
        <v>0</v>
      </c>
      <c r="AA1384">
        <v>0</v>
      </c>
      <c r="AB1384">
        <v>0</v>
      </c>
      <c r="AC1384">
        <v>0</v>
      </c>
      <c r="AD1384">
        <v>0</v>
      </c>
      <c r="AE1384">
        <v>0</v>
      </c>
      <c r="AF1384">
        <v>0</v>
      </c>
      <c r="AG1384">
        <v>0</v>
      </c>
      <c r="AH1384">
        <v>0</v>
      </c>
      <c r="AI1384">
        <v>0</v>
      </c>
      <c r="AJ1384">
        <v>0</v>
      </c>
      <c r="AK1384">
        <v>0</v>
      </c>
      <c r="AL1384">
        <v>0</v>
      </c>
      <c r="AM1384">
        <v>8.31</v>
      </c>
      <c r="AN1384">
        <v>0</v>
      </c>
      <c r="AO1384">
        <v>0</v>
      </c>
      <c r="AP1384">
        <v>0</v>
      </c>
      <c r="AQ1384">
        <v>0</v>
      </c>
      <c r="AR1384">
        <v>0</v>
      </c>
      <c r="AS1384">
        <v>0</v>
      </c>
      <c r="AT1384">
        <v>0</v>
      </c>
      <c r="AU1384">
        <v>0</v>
      </c>
      <c r="AV1384">
        <v>0</v>
      </c>
      <c r="AW1384">
        <v>0</v>
      </c>
      <c r="AX1384">
        <v>0</v>
      </c>
      <c r="AY1384">
        <v>0</v>
      </c>
      <c r="AZ1384">
        <v>0</v>
      </c>
      <c r="BA1384">
        <v>0</v>
      </c>
      <c r="BB1384">
        <v>0</v>
      </c>
      <c r="BC1384">
        <v>0</v>
      </c>
      <c r="BD1384">
        <v>0</v>
      </c>
      <c r="BE1384">
        <v>0</v>
      </c>
      <c r="BF1384">
        <v>0</v>
      </c>
      <c r="BG1384">
        <v>0</v>
      </c>
      <c r="BH1384">
        <v>1</v>
      </c>
      <c r="BI1384">
        <v>2.9</v>
      </c>
      <c r="BJ1384">
        <v>1.3</v>
      </c>
      <c r="BK1384">
        <v>3</v>
      </c>
      <c r="BL1384" s="4">
        <v>48.86</v>
      </c>
      <c r="BM1384" s="4">
        <v>7.33</v>
      </c>
      <c r="BN1384" s="4">
        <v>56.19</v>
      </c>
      <c r="BO1384" s="4">
        <v>56.19</v>
      </c>
      <c r="BQ1384" t="s">
        <v>147</v>
      </c>
      <c r="BR1384" t="s">
        <v>84</v>
      </c>
      <c r="BS1384" s="3">
        <v>43816</v>
      </c>
      <c r="BT1384" s="5">
        <v>0.39583333333333331</v>
      </c>
      <c r="BU1384" t="s">
        <v>1784</v>
      </c>
      <c r="BV1384" t="s">
        <v>86</v>
      </c>
      <c r="BY1384">
        <v>6707.72</v>
      </c>
      <c r="CA1384" t="s">
        <v>314</v>
      </c>
      <c r="CC1384" t="s">
        <v>76</v>
      </c>
      <c r="CD1384">
        <v>1609</v>
      </c>
      <c r="CE1384" t="s">
        <v>96</v>
      </c>
      <c r="CF1384" s="3">
        <v>43817</v>
      </c>
      <c r="CI1384">
        <v>1</v>
      </c>
      <c r="CJ1384">
        <v>2</v>
      </c>
      <c r="CK1384">
        <v>22</v>
      </c>
      <c r="CL1384" t="s">
        <v>89</v>
      </c>
    </row>
    <row r="1385" spans="1:90">
      <c r="A1385" t="s">
        <v>72</v>
      </c>
      <c r="B1385" t="s">
        <v>73</v>
      </c>
      <c r="C1385" t="s">
        <v>74</v>
      </c>
      <c r="E1385" t="str">
        <f>"FES1162728298"</f>
        <v>FES1162728298</v>
      </c>
      <c r="F1385" s="3">
        <v>43812</v>
      </c>
      <c r="G1385">
        <v>202006</v>
      </c>
      <c r="H1385" t="s">
        <v>75</v>
      </c>
      <c r="I1385" t="s">
        <v>76</v>
      </c>
      <c r="J1385" t="s">
        <v>77</v>
      </c>
      <c r="K1385" t="s">
        <v>78</v>
      </c>
      <c r="L1385" t="s">
        <v>90</v>
      </c>
      <c r="M1385" t="s">
        <v>91</v>
      </c>
      <c r="N1385" t="s">
        <v>110</v>
      </c>
      <c r="O1385" t="s">
        <v>82</v>
      </c>
      <c r="P1385" t="str">
        <f>"2170717662                    "</f>
        <v xml:space="preserve">2170717662                    </v>
      </c>
      <c r="Q1385">
        <v>0</v>
      </c>
      <c r="R1385">
        <v>0</v>
      </c>
      <c r="S1385">
        <v>0</v>
      </c>
      <c r="T1385">
        <v>0</v>
      </c>
      <c r="U1385">
        <v>0</v>
      </c>
      <c r="V1385">
        <v>0</v>
      </c>
      <c r="W1385">
        <v>0</v>
      </c>
      <c r="X1385">
        <v>0</v>
      </c>
      <c r="Y1385">
        <v>0</v>
      </c>
      <c r="Z1385">
        <v>0</v>
      </c>
      <c r="AA1385">
        <v>0</v>
      </c>
      <c r="AB1385">
        <v>0</v>
      </c>
      <c r="AC1385">
        <v>0</v>
      </c>
      <c r="AD1385">
        <v>0</v>
      </c>
      <c r="AE1385">
        <v>0</v>
      </c>
      <c r="AF1385">
        <v>0</v>
      </c>
      <c r="AG1385">
        <v>0</v>
      </c>
      <c r="AH1385">
        <v>0</v>
      </c>
      <c r="AI1385">
        <v>0</v>
      </c>
      <c r="AJ1385">
        <v>0</v>
      </c>
      <c r="AK1385">
        <v>0</v>
      </c>
      <c r="AL1385">
        <v>0</v>
      </c>
      <c r="AM1385">
        <v>8.58</v>
      </c>
      <c r="AN1385">
        <v>0</v>
      </c>
      <c r="AO1385">
        <v>0</v>
      </c>
      <c r="AP1385">
        <v>0</v>
      </c>
      <c r="AQ1385">
        <v>0</v>
      </c>
      <c r="AR1385">
        <v>0</v>
      </c>
      <c r="AS1385">
        <v>0</v>
      </c>
      <c r="AT1385">
        <v>0</v>
      </c>
      <c r="AU1385">
        <v>0</v>
      </c>
      <c r="AV1385">
        <v>0</v>
      </c>
      <c r="AW1385">
        <v>0</v>
      </c>
      <c r="AX1385">
        <v>0</v>
      </c>
      <c r="AY1385">
        <v>0</v>
      </c>
      <c r="AZ1385">
        <v>0</v>
      </c>
      <c r="BA1385">
        <v>0</v>
      </c>
      <c r="BB1385">
        <v>0</v>
      </c>
      <c r="BC1385">
        <v>0</v>
      </c>
      <c r="BD1385">
        <v>0</v>
      </c>
      <c r="BE1385">
        <v>0</v>
      </c>
      <c r="BF1385">
        <v>0</v>
      </c>
      <c r="BG1385">
        <v>0</v>
      </c>
      <c r="BH1385">
        <v>1</v>
      </c>
      <c r="BI1385">
        <v>1</v>
      </c>
      <c r="BJ1385">
        <v>0.2</v>
      </c>
      <c r="BK1385">
        <v>1</v>
      </c>
      <c r="BL1385" s="4">
        <v>50.45</v>
      </c>
      <c r="BM1385" s="4">
        <v>7.57</v>
      </c>
      <c r="BN1385" s="4">
        <v>58.02</v>
      </c>
      <c r="BO1385" s="4">
        <v>58.02</v>
      </c>
      <c r="BQ1385" t="s">
        <v>147</v>
      </c>
      <c r="BR1385" t="s">
        <v>84</v>
      </c>
      <c r="BS1385" s="3">
        <v>43816</v>
      </c>
      <c r="BT1385" s="5">
        <v>0.31041666666666667</v>
      </c>
      <c r="BU1385" t="s">
        <v>111</v>
      </c>
      <c r="BV1385" t="s">
        <v>86</v>
      </c>
      <c r="BY1385">
        <v>1200</v>
      </c>
      <c r="CA1385" t="s">
        <v>112</v>
      </c>
      <c r="CC1385" t="s">
        <v>91</v>
      </c>
      <c r="CD1385">
        <v>7405</v>
      </c>
      <c r="CE1385" t="s">
        <v>88</v>
      </c>
      <c r="CF1385" s="3">
        <v>43817</v>
      </c>
      <c r="CI1385">
        <v>1</v>
      </c>
      <c r="CJ1385">
        <v>2</v>
      </c>
      <c r="CK1385">
        <v>21</v>
      </c>
      <c r="CL1385" t="s">
        <v>89</v>
      </c>
    </row>
    <row r="1386" spans="1:90">
      <c r="A1386" t="s">
        <v>72</v>
      </c>
      <c r="B1386" t="s">
        <v>73</v>
      </c>
      <c r="C1386" t="s">
        <v>74</v>
      </c>
      <c r="E1386" t="str">
        <f>"FES1162728382"</f>
        <v>FES1162728382</v>
      </c>
      <c r="F1386" s="3">
        <v>43812</v>
      </c>
      <c r="G1386">
        <v>202006</v>
      </c>
      <c r="H1386" t="s">
        <v>75</v>
      </c>
      <c r="I1386" t="s">
        <v>76</v>
      </c>
      <c r="J1386" t="s">
        <v>77</v>
      </c>
      <c r="K1386" t="s">
        <v>78</v>
      </c>
      <c r="L1386" t="s">
        <v>90</v>
      </c>
      <c r="M1386" t="s">
        <v>91</v>
      </c>
      <c r="N1386" t="s">
        <v>207</v>
      </c>
      <c r="O1386" t="s">
        <v>82</v>
      </c>
      <c r="P1386" t="str">
        <f>"2170721672                    "</f>
        <v xml:space="preserve">2170721672                    </v>
      </c>
      <c r="Q1386">
        <v>0</v>
      </c>
      <c r="R1386">
        <v>0</v>
      </c>
      <c r="S1386">
        <v>0</v>
      </c>
      <c r="T1386">
        <v>0</v>
      </c>
      <c r="U1386">
        <v>0</v>
      </c>
      <c r="V1386">
        <v>0</v>
      </c>
      <c r="W1386">
        <v>0</v>
      </c>
      <c r="X1386">
        <v>0</v>
      </c>
      <c r="Y1386">
        <v>0</v>
      </c>
      <c r="Z1386">
        <v>0</v>
      </c>
      <c r="AA1386">
        <v>0</v>
      </c>
      <c r="AB1386">
        <v>0</v>
      </c>
      <c r="AC1386">
        <v>0</v>
      </c>
      <c r="AD1386">
        <v>0</v>
      </c>
      <c r="AE1386">
        <v>0</v>
      </c>
      <c r="AF1386">
        <v>0</v>
      </c>
      <c r="AG1386">
        <v>0</v>
      </c>
      <c r="AH1386">
        <v>0</v>
      </c>
      <c r="AI1386">
        <v>0</v>
      </c>
      <c r="AJ1386">
        <v>0</v>
      </c>
      <c r="AK1386">
        <v>0</v>
      </c>
      <c r="AL1386">
        <v>0</v>
      </c>
      <c r="AM1386">
        <v>8.58</v>
      </c>
      <c r="AN1386">
        <v>0</v>
      </c>
      <c r="AO1386">
        <v>0</v>
      </c>
      <c r="AP1386">
        <v>0</v>
      </c>
      <c r="AQ1386">
        <v>0</v>
      </c>
      <c r="AR1386">
        <v>0</v>
      </c>
      <c r="AS1386">
        <v>0</v>
      </c>
      <c r="AT1386">
        <v>0</v>
      </c>
      <c r="AU1386">
        <v>0</v>
      </c>
      <c r="AV1386">
        <v>0</v>
      </c>
      <c r="AW1386">
        <v>0</v>
      </c>
      <c r="AX1386">
        <v>0</v>
      </c>
      <c r="AY1386">
        <v>0</v>
      </c>
      <c r="AZ1386">
        <v>0</v>
      </c>
      <c r="BA1386">
        <v>0</v>
      </c>
      <c r="BB1386">
        <v>0</v>
      </c>
      <c r="BC1386">
        <v>0</v>
      </c>
      <c r="BD1386">
        <v>0</v>
      </c>
      <c r="BE1386">
        <v>0</v>
      </c>
      <c r="BF1386">
        <v>0</v>
      </c>
      <c r="BG1386">
        <v>0</v>
      </c>
      <c r="BH1386">
        <v>1</v>
      </c>
      <c r="BI1386">
        <v>1</v>
      </c>
      <c r="BJ1386">
        <v>0.2</v>
      </c>
      <c r="BK1386">
        <v>1</v>
      </c>
      <c r="BL1386" s="4">
        <v>50.45</v>
      </c>
      <c r="BM1386" s="4">
        <v>7.57</v>
      </c>
      <c r="BN1386" s="4">
        <v>58.02</v>
      </c>
      <c r="BO1386" s="4">
        <v>58.02</v>
      </c>
      <c r="BQ1386" t="s">
        <v>147</v>
      </c>
      <c r="BR1386" t="s">
        <v>84</v>
      </c>
      <c r="BS1386" s="3">
        <v>43816</v>
      </c>
      <c r="BT1386" s="5">
        <v>0.33958333333333335</v>
      </c>
      <c r="BU1386" t="s">
        <v>1844</v>
      </c>
      <c r="BV1386" t="s">
        <v>86</v>
      </c>
      <c r="BY1386">
        <v>1200</v>
      </c>
      <c r="CA1386" t="s">
        <v>209</v>
      </c>
      <c r="CC1386" t="s">
        <v>91</v>
      </c>
      <c r="CD1386">
        <v>7441</v>
      </c>
      <c r="CE1386" t="s">
        <v>88</v>
      </c>
      <c r="CF1386" s="3">
        <v>43817</v>
      </c>
      <c r="CI1386">
        <v>1</v>
      </c>
      <c r="CJ1386">
        <v>2</v>
      </c>
      <c r="CK1386">
        <v>21</v>
      </c>
      <c r="CL1386" t="s">
        <v>89</v>
      </c>
    </row>
    <row r="1387" spans="1:90">
      <c r="A1387" t="s">
        <v>72</v>
      </c>
      <c r="B1387" t="s">
        <v>73</v>
      </c>
      <c r="C1387" t="s">
        <v>74</v>
      </c>
      <c r="E1387" t="str">
        <f>"FES1162728332"</f>
        <v>FES1162728332</v>
      </c>
      <c r="F1387" s="3">
        <v>43812</v>
      </c>
      <c r="G1387">
        <v>202006</v>
      </c>
      <c r="H1387" t="s">
        <v>75</v>
      </c>
      <c r="I1387" t="s">
        <v>76</v>
      </c>
      <c r="J1387" t="s">
        <v>77</v>
      </c>
      <c r="K1387" t="s">
        <v>78</v>
      </c>
      <c r="L1387" t="s">
        <v>667</v>
      </c>
      <c r="M1387" t="s">
        <v>668</v>
      </c>
      <c r="N1387" t="s">
        <v>953</v>
      </c>
      <c r="O1387" t="s">
        <v>82</v>
      </c>
      <c r="P1387" t="str">
        <f>"2170719959                    "</f>
        <v xml:space="preserve">2170719959                    </v>
      </c>
      <c r="Q1387">
        <v>0</v>
      </c>
      <c r="R1387">
        <v>0</v>
      </c>
      <c r="S1387">
        <v>0</v>
      </c>
      <c r="T1387">
        <v>0</v>
      </c>
      <c r="U1387">
        <v>0</v>
      </c>
      <c r="V1387">
        <v>0</v>
      </c>
      <c r="W1387">
        <v>0</v>
      </c>
      <c r="X1387">
        <v>0</v>
      </c>
      <c r="Y1387">
        <v>0</v>
      </c>
      <c r="Z1387">
        <v>0</v>
      </c>
      <c r="AA1387">
        <v>0</v>
      </c>
      <c r="AB1387">
        <v>0</v>
      </c>
      <c r="AC1387">
        <v>0</v>
      </c>
      <c r="AD1387">
        <v>0</v>
      </c>
      <c r="AE1387">
        <v>0</v>
      </c>
      <c r="AF1387">
        <v>0</v>
      </c>
      <c r="AG1387">
        <v>0</v>
      </c>
      <c r="AH1387">
        <v>0</v>
      </c>
      <c r="AI1387">
        <v>0</v>
      </c>
      <c r="AJ1387">
        <v>0</v>
      </c>
      <c r="AK1387">
        <v>0</v>
      </c>
      <c r="AL1387">
        <v>0</v>
      </c>
      <c r="AM1387">
        <v>12.07</v>
      </c>
      <c r="AN1387">
        <v>0</v>
      </c>
      <c r="AO1387">
        <v>0</v>
      </c>
      <c r="AP1387">
        <v>0</v>
      </c>
      <c r="AQ1387">
        <v>0</v>
      </c>
      <c r="AR1387">
        <v>0</v>
      </c>
      <c r="AS1387">
        <v>0</v>
      </c>
      <c r="AT1387">
        <v>0</v>
      </c>
      <c r="AU1387">
        <v>0</v>
      </c>
      <c r="AV1387">
        <v>0</v>
      </c>
      <c r="AW1387">
        <v>0</v>
      </c>
      <c r="AX1387">
        <v>0</v>
      </c>
      <c r="AY1387">
        <v>0</v>
      </c>
      <c r="AZ1387">
        <v>0</v>
      </c>
      <c r="BA1387">
        <v>0</v>
      </c>
      <c r="BB1387">
        <v>0</v>
      </c>
      <c r="BC1387">
        <v>0</v>
      </c>
      <c r="BD1387">
        <v>0</v>
      </c>
      <c r="BE1387">
        <v>0</v>
      </c>
      <c r="BF1387">
        <v>0</v>
      </c>
      <c r="BG1387">
        <v>0</v>
      </c>
      <c r="BH1387">
        <v>1</v>
      </c>
      <c r="BI1387">
        <v>1</v>
      </c>
      <c r="BJ1387">
        <v>0.2</v>
      </c>
      <c r="BK1387">
        <v>1</v>
      </c>
      <c r="BL1387" s="4">
        <v>70.95</v>
      </c>
      <c r="BM1387" s="4">
        <v>10.64</v>
      </c>
      <c r="BN1387" s="4">
        <v>81.59</v>
      </c>
      <c r="BO1387" s="4">
        <v>81.59</v>
      </c>
      <c r="BQ1387" t="s">
        <v>93</v>
      </c>
      <c r="BR1387" t="s">
        <v>84</v>
      </c>
      <c r="BS1387" s="3">
        <v>43816</v>
      </c>
      <c r="BT1387" s="5">
        <v>0.37152777777777773</v>
      </c>
      <c r="BU1387" t="s">
        <v>1857</v>
      </c>
      <c r="BV1387" t="s">
        <v>86</v>
      </c>
      <c r="BY1387">
        <v>1200</v>
      </c>
      <c r="CC1387" t="s">
        <v>668</v>
      </c>
      <c r="CD1387">
        <v>1759</v>
      </c>
      <c r="CE1387" t="s">
        <v>88</v>
      </c>
      <c r="CF1387" s="3">
        <v>43817</v>
      </c>
      <c r="CI1387">
        <v>1</v>
      </c>
      <c r="CJ1387">
        <v>2</v>
      </c>
      <c r="CK1387">
        <v>24</v>
      </c>
      <c r="CL1387" t="s">
        <v>89</v>
      </c>
    </row>
    <row r="1388" spans="1:90">
      <c r="A1388" t="s">
        <v>72</v>
      </c>
      <c r="B1388" t="s">
        <v>73</v>
      </c>
      <c r="C1388" t="s">
        <v>74</v>
      </c>
      <c r="E1388" t="str">
        <f>"FES1162728312"</f>
        <v>FES1162728312</v>
      </c>
      <c r="F1388" s="3">
        <v>43812</v>
      </c>
      <c r="G1388">
        <v>202006</v>
      </c>
      <c r="H1388" t="s">
        <v>75</v>
      </c>
      <c r="I1388" t="s">
        <v>76</v>
      </c>
      <c r="J1388" t="s">
        <v>77</v>
      </c>
      <c r="K1388" t="s">
        <v>78</v>
      </c>
      <c r="L1388" t="s">
        <v>90</v>
      </c>
      <c r="M1388" t="s">
        <v>91</v>
      </c>
      <c r="N1388" t="s">
        <v>856</v>
      </c>
      <c r="O1388" t="s">
        <v>82</v>
      </c>
      <c r="P1388" t="str">
        <f>"2170719299                    "</f>
        <v xml:space="preserve">2170719299                    </v>
      </c>
      <c r="Q1388">
        <v>0</v>
      </c>
      <c r="R1388">
        <v>0</v>
      </c>
      <c r="S1388">
        <v>0</v>
      </c>
      <c r="T1388">
        <v>0</v>
      </c>
      <c r="U1388">
        <v>0</v>
      </c>
      <c r="V1388">
        <v>0</v>
      </c>
      <c r="W1388">
        <v>0</v>
      </c>
      <c r="X1388">
        <v>0</v>
      </c>
      <c r="Y1388">
        <v>0</v>
      </c>
      <c r="Z1388">
        <v>0</v>
      </c>
      <c r="AA1388">
        <v>0</v>
      </c>
      <c r="AB1388">
        <v>0</v>
      </c>
      <c r="AC1388">
        <v>0</v>
      </c>
      <c r="AD1388">
        <v>0</v>
      </c>
      <c r="AE1388">
        <v>0</v>
      </c>
      <c r="AF1388">
        <v>0</v>
      </c>
      <c r="AG1388">
        <v>0</v>
      </c>
      <c r="AH1388">
        <v>0</v>
      </c>
      <c r="AI1388">
        <v>0</v>
      </c>
      <c r="AJ1388">
        <v>0</v>
      </c>
      <c r="AK1388">
        <v>0</v>
      </c>
      <c r="AL1388">
        <v>0</v>
      </c>
      <c r="AM1388">
        <v>8.58</v>
      </c>
      <c r="AN1388">
        <v>0</v>
      </c>
      <c r="AO1388">
        <v>0</v>
      </c>
      <c r="AP1388">
        <v>0</v>
      </c>
      <c r="AQ1388">
        <v>0</v>
      </c>
      <c r="AR1388">
        <v>0</v>
      </c>
      <c r="AS1388">
        <v>0</v>
      </c>
      <c r="AT1388">
        <v>0</v>
      </c>
      <c r="AU1388">
        <v>0</v>
      </c>
      <c r="AV1388">
        <v>0</v>
      </c>
      <c r="AW1388">
        <v>0</v>
      </c>
      <c r="AX1388">
        <v>0</v>
      </c>
      <c r="AY1388">
        <v>0</v>
      </c>
      <c r="AZ1388">
        <v>0</v>
      </c>
      <c r="BA1388">
        <v>0</v>
      </c>
      <c r="BB1388">
        <v>0</v>
      </c>
      <c r="BC1388">
        <v>0</v>
      </c>
      <c r="BD1388">
        <v>0</v>
      </c>
      <c r="BE1388">
        <v>0</v>
      </c>
      <c r="BF1388">
        <v>0</v>
      </c>
      <c r="BG1388">
        <v>0</v>
      </c>
      <c r="BH1388">
        <v>1</v>
      </c>
      <c r="BI1388">
        <v>1</v>
      </c>
      <c r="BJ1388">
        <v>0.2</v>
      </c>
      <c r="BK1388">
        <v>1</v>
      </c>
      <c r="BL1388" s="4">
        <v>50.45</v>
      </c>
      <c r="BM1388" s="4">
        <v>7.57</v>
      </c>
      <c r="BN1388" s="4">
        <v>58.02</v>
      </c>
      <c r="BO1388" s="4">
        <v>58.02</v>
      </c>
      <c r="BQ1388" t="s">
        <v>93</v>
      </c>
      <c r="BR1388" t="s">
        <v>84</v>
      </c>
      <c r="BS1388" t="s">
        <v>717</v>
      </c>
      <c r="BW1388" t="s">
        <v>1335</v>
      </c>
      <c r="BX1388" t="s">
        <v>619</v>
      </c>
      <c r="BY1388">
        <v>1200</v>
      </c>
      <c r="CC1388" t="s">
        <v>91</v>
      </c>
      <c r="CD1388">
        <v>7441</v>
      </c>
      <c r="CE1388" t="s">
        <v>88</v>
      </c>
      <c r="CI1388">
        <v>1</v>
      </c>
      <c r="CJ1388" t="s">
        <v>717</v>
      </c>
      <c r="CK1388">
        <v>21</v>
      </c>
      <c r="CL1388" t="s">
        <v>89</v>
      </c>
    </row>
    <row r="1389" spans="1:90">
      <c r="A1389" t="s">
        <v>72</v>
      </c>
      <c r="B1389" t="s">
        <v>73</v>
      </c>
      <c r="C1389" t="s">
        <v>74</v>
      </c>
      <c r="E1389" t="str">
        <f>"FES1162728247"</f>
        <v>FES1162728247</v>
      </c>
      <c r="F1389" s="3">
        <v>43812</v>
      </c>
      <c r="G1389">
        <v>202006</v>
      </c>
      <c r="H1389" t="s">
        <v>75</v>
      </c>
      <c r="I1389" t="s">
        <v>76</v>
      </c>
      <c r="J1389" t="s">
        <v>77</v>
      </c>
      <c r="K1389" t="s">
        <v>78</v>
      </c>
      <c r="L1389" t="s">
        <v>151</v>
      </c>
      <c r="M1389" t="s">
        <v>102</v>
      </c>
      <c r="N1389" t="s">
        <v>1858</v>
      </c>
      <c r="O1389" t="s">
        <v>82</v>
      </c>
      <c r="P1389" t="str">
        <f>"2170721588                    "</f>
        <v xml:space="preserve">2170721588                    </v>
      </c>
      <c r="Q1389">
        <v>0</v>
      </c>
      <c r="R1389">
        <v>0</v>
      </c>
      <c r="S1389">
        <v>0</v>
      </c>
      <c r="T1389">
        <v>0</v>
      </c>
      <c r="U1389">
        <v>0</v>
      </c>
      <c r="V1389">
        <v>0</v>
      </c>
      <c r="W1389">
        <v>0</v>
      </c>
      <c r="X1389">
        <v>0</v>
      </c>
      <c r="Y1389">
        <v>0</v>
      </c>
      <c r="Z1389">
        <v>0</v>
      </c>
      <c r="AA1389">
        <v>0</v>
      </c>
      <c r="AB1389">
        <v>0</v>
      </c>
      <c r="AC1389">
        <v>0</v>
      </c>
      <c r="AD1389">
        <v>0</v>
      </c>
      <c r="AE1389">
        <v>0</v>
      </c>
      <c r="AF1389">
        <v>0</v>
      </c>
      <c r="AG1389">
        <v>0</v>
      </c>
      <c r="AH1389">
        <v>0</v>
      </c>
      <c r="AI1389">
        <v>0</v>
      </c>
      <c r="AJ1389">
        <v>0</v>
      </c>
      <c r="AK1389">
        <v>0</v>
      </c>
      <c r="AL1389">
        <v>0</v>
      </c>
      <c r="AM1389">
        <v>8.58</v>
      </c>
      <c r="AN1389">
        <v>0</v>
      </c>
      <c r="AO1389">
        <v>0</v>
      </c>
      <c r="AP1389">
        <v>0</v>
      </c>
      <c r="AQ1389">
        <v>0</v>
      </c>
      <c r="AR1389">
        <v>0</v>
      </c>
      <c r="AS1389">
        <v>0</v>
      </c>
      <c r="AT1389">
        <v>0</v>
      </c>
      <c r="AU1389">
        <v>0</v>
      </c>
      <c r="AV1389">
        <v>0</v>
      </c>
      <c r="AW1389">
        <v>0</v>
      </c>
      <c r="AX1389">
        <v>0</v>
      </c>
      <c r="AY1389">
        <v>0</v>
      </c>
      <c r="AZ1389">
        <v>0</v>
      </c>
      <c r="BA1389">
        <v>0</v>
      </c>
      <c r="BB1389">
        <v>0</v>
      </c>
      <c r="BC1389">
        <v>0</v>
      </c>
      <c r="BD1389">
        <v>0</v>
      </c>
      <c r="BE1389">
        <v>0</v>
      </c>
      <c r="BF1389">
        <v>0</v>
      </c>
      <c r="BG1389">
        <v>0</v>
      </c>
      <c r="BH1389">
        <v>1</v>
      </c>
      <c r="BI1389">
        <v>1</v>
      </c>
      <c r="BJ1389">
        <v>0.2</v>
      </c>
      <c r="BK1389">
        <v>1</v>
      </c>
      <c r="BL1389" s="4">
        <v>50.45</v>
      </c>
      <c r="BM1389" s="4">
        <v>7.57</v>
      </c>
      <c r="BN1389" s="4">
        <v>58.02</v>
      </c>
      <c r="BO1389" s="4">
        <v>58.02</v>
      </c>
      <c r="BQ1389" t="s">
        <v>147</v>
      </c>
      <c r="BR1389" t="s">
        <v>84</v>
      </c>
      <c r="BS1389" t="s">
        <v>717</v>
      </c>
      <c r="BY1389">
        <v>1200</v>
      </c>
      <c r="CC1389" t="s">
        <v>102</v>
      </c>
      <c r="CD1389">
        <v>184</v>
      </c>
      <c r="CE1389" t="s">
        <v>88</v>
      </c>
      <c r="CI1389">
        <v>1</v>
      </c>
      <c r="CJ1389" t="s">
        <v>717</v>
      </c>
      <c r="CK1389">
        <v>21</v>
      </c>
      <c r="CL1389" t="s">
        <v>89</v>
      </c>
    </row>
    <row r="1390" spans="1:90">
      <c r="A1390" t="s">
        <v>72</v>
      </c>
      <c r="B1390" t="s">
        <v>73</v>
      </c>
      <c r="C1390" t="s">
        <v>74</v>
      </c>
      <c r="E1390" t="str">
        <f>"FES1162728156"</f>
        <v>FES1162728156</v>
      </c>
      <c r="F1390" s="3">
        <v>43812</v>
      </c>
      <c r="G1390">
        <v>202006</v>
      </c>
      <c r="H1390" t="s">
        <v>75</v>
      </c>
      <c r="I1390" t="s">
        <v>76</v>
      </c>
      <c r="J1390" t="s">
        <v>77</v>
      </c>
      <c r="K1390" t="s">
        <v>78</v>
      </c>
      <c r="L1390" t="s">
        <v>151</v>
      </c>
      <c r="M1390" t="s">
        <v>102</v>
      </c>
      <c r="N1390" t="s">
        <v>1859</v>
      </c>
      <c r="O1390" t="s">
        <v>82</v>
      </c>
      <c r="P1390" t="str">
        <f>"2170719036                    "</f>
        <v xml:space="preserve">2170719036                    </v>
      </c>
      <c r="Q1390">
        <v>0</v>
      </c>
      <c r="R1390">
        <v>0</v>
      </c>
      <c r="S1390">
        <v>0</v>
      </c>
      <c r="T1390">
        <v>0</v>
      </c>
      <c r="U1390">
        <v>0</v>
      </c>
      <c r="V1390">
        <v>0</v>
      </c>
      <c r="W1390">
        <v>0</v>
      </c>
      <c r="X1390">
        <v>0</v>
      </c>
      <c r="Y1390">
        <v>0</v>
      </c>
      <c r="Z1390">
        <v>0</v>
      </c>
      <c r="AA1390">
        <v>0</v>
      </c>
      <c r="AB1390">
        <v>0</v>
      </c>
      <c r="AC1390">
        <v>0</v>
      </c>
      <c r="AD1390">
        <v>0</v>
      </c>
      <c r="AE1390">
        <v>0</v>
      </c>
      <c r="AF1390">
        <v>0</v>
      </c>
      <c r="AG1390">
        <v>0</v>
      </c>
      <c r="AH1390">
        <v>0</v>
      </c>
      <c r="AI1390">
        <v>0</v>
      </c>
      <c r="AJ1390">
        <v>0</v>
      </c>
      <c r="AK1390">
        <v>0</v>
      </c>
      <c r="AL1390">
        <v>0</v>
      </c>
      <c r="AM1390">
        <v>8.58</v>
      </c>
      <c r="AN1390">
        <v>0</v>
      </c>
      <c r="AO1390">
        <v>0</v>
      </c>
      <c r="AP1390">
        <v>0</v>
      </c>
      <c r="AQ1390">
        <v>0</v>
      </c>
      <c r="AR1390">
        <v>0</v>
      </c>
      <c r="AS1390">
        <v>0</v>
      </c>
      <c r="AT1390">
        <v>0</v>
      </c>
      <c r="AU1390">
        <v>0</v>
      </c>
      <c r="AV1390">
        <v>0</v>
      </c>
      <c r="AW1390">
        <v>0</v>
      </c>
      <c r="AX1390">
        <v>0</v>
      </c>
      <c r="AY1390">
        <v>0</v>
      </c>
      <c r="AZ1390">
        <v>0</v>
      </c>
      <c r="BA1390">
        <v>0</v>
      </c>
      <c r="BB1390">
        <v>0</v>
      </c>
      <c r="BC1390">
        <v>0</v>
      </c>
      <c r="BD1390">
        <v>0</v>
      </c>
      <c r="BE1390">
        <v>0</v>
      </c>
      <c r="BF1390">
        <v>0</v>
      </c>
      <c r="BG1390">
        <v>0</v>
      </c>
      <c r="BH1390">
        <v>1</v>
      </c>
      <c r="BI1390">
        <v>1</v>
      </c>
      <c r="BJ1390">
        <v>0.2</v>
      </c>
      <c r="BK1390">
        <v>1</v>
      </c>
      <c r="BL1390" s="4">
        <v>50.45</v>
      </c>
      <c r="BM1390" s="4">
        <v>7.57</v>
      </c>
      <c r="BN1390" s="4">
        <v>58.02</v>
      </c>
      <c r="BO1390" s="4">
        <v>58.02</v>
      </c>
      <c r="BQ1390" t="s">
        <v>1860</v>
      </c>
      <c r="BR1390" t="s">
        <v>84</v>
      </c>
      <c r="BS1390" s="3">
        <v>43818</v>
      </c>
      <c r="BT1390" s="5">
        <v>0.33333333333333331</v>
      </c>
      <c r="BU1390" t="s">
        <v>1861</v>
      </c>
      <c r="BV1390" t="s">
        <v>89</v>
      </c>
      <c r="BY1390">
        <v>1200</v>
      </c>
      <c r="CA1390" t="s">
        <v>620</v>
      </c>
      <c r="CC1390" t="s">
        <v>102</v>
      </c>
      <c r="CD1390">
        <v>200</v>
      </c>
      <c r="CE1390" t="s">
        <v>88</v>
      </c>
      <c r="CI1390">
        <v>1</v>
      </c>
      <c r="CJ1390">
        <v>4</v>
      </c>
      <c r="CK1390">
        <v>21</v>
      </c>
      <c r="CL1390" t="s">
        <v>89</v>
      </c>
    </row>
    <row r="1391" spans="1:90">
      <c r="A1391" t="s">
        <v>72</v>
      </c>
      <c r="B1391" t="s">
        <v>73</v>
      </c>
      <c r="C1391" t="s">
        <v>74</v>
      </c>
      <c r="E1391" t="str">
        <f>"FES1162728267"</f>
        <v>FES1162728267</v>
      </c>
      <c r="F1391" s="3">
        <v>43812</v>
      </c>
      <c r="G1391">
        <v>202006</v>
      </c>
      <c r="H1391" t="s">
        <v>75</v>
      </c>
      <c r="I1391" t="s">
        <v>76</v>
      </c>
      <c r="J1391" t="s">
        <v>77</v>
      </c>
      <c r="K1391" t="s">
        <v>78</v>
      </c>
      <c r="L1391" t="s">
        <v>75</v>
      </c>
      <c r="M1391" t="s">
        <v>76</v>
      </c>
      <c r="N1391" t="s">
        <v>312</v>
      </c>
      <c r="O1391" t="s">
        <v>82</v>
      </c>
      <c r="P1391" t="str">
        <f>"2170712586                    "</f>
        <v xml:space="preserve">2170712586                    </v>
      </c>
      <c r="Q1391">
        <v>0</v>
      </c>
      <c r="R1391">
        <v>0</v>
      </c>
      <c r="S1391">
        <v>0</v>
      </c>
      <c r="T1391">
        <v>0</v>
      </c>
      <c r="U1391">
        <v>0</v>
      </c>
      <c r="V1391">
        <v>0</v>
      </c>
      <c r="W1391">
        <v>0</v>
      </c>
      <c r="X1391">
        <v>0</v>
      </c>
      <c r="Y1391">
        <v>0</v>
      </c>
      <c r="Z1391">
        <v>0</v>
      </c>
      <c r="AA1391">
        <v>0</v>
      </c>
      <c r="AB1391">
        <v>0</v>
      </c>
      <c r="AC1391">
        <v>0</v>
      </c>
      <c r="AD1391">
        <v>0</v>
      </c>
      <c r="AE1391">
        <v>0</v>
      </c>
      <c r="AF1391">
        <v>0</v>
      </c>
      <c r="AG1391">
        <v>0</v>
      </c>
      <c r="AH1391">
        <v>0</v>
      </c>
      <c r="AI1391">
        <v>0</v>
      </c>
      <c r="AJ1391">
        <v>0</v>
      </c>
      <c r="AK1391">
        <v>0</v>
      </c>
      <c r="AL1391">
        <v>0</v>
      </c>
      <c r="AM1391">
        <v>6.71</v>
      </c>
      <c r="AN1391">
        <v>0</v>
      </c>
      <c r="AO1391">
        <v>0</v>
      </c>
      <c r="AP1391">
        <v>0</v>
      </c>
      <c r="AQ1391">
        <v>0</v>
      </c>
      <c r="AR1391">
        <v>0</v>
      </c>
      <c r="AS1391">
        <v>0</v>
      </c>
      <c r="AT1391">
        <v>0</v>
      </c>
      <c r="AU1391">
        <v>0</v>
      </c>
      <c r="AV1391">
        <v>0</v>
      </c>
      <c r="AW1391">
        <v>0</v>
      </c>
      <c r="AX1391">
        <v>0</v>
      </c>
      <c r="AY1391">
        <v>0</v>
      </c>
      <c r="AZ1391">
        <v>0</v>
      </c>
      <c r="BA1391">
        <v>0</v>
      </c>
      <c r="BB1391">
        <v>0</v>
      </c>
      <c r="BC1391">
        <v>0</v>
      </c>
      <c r="BD1391">
        <v>0</v>
      </c>
      <c r="BE1391">
        <v>0</v>
      </c>
      <c r="BF1391">
        <v>0</v>
      </c>
      <c r="BG1391">
        <v>0</v>
      </c>
      <c r="BH1391">
        <v>1</v>
      </c>
      <c r="BI1391">
        <v>1</v>
      </c>
      <c r="BJ1391">
        <v>0.2</v>
      </c>
      <c r="BK1391">
        <v>1</v>
      </c>
      <c r="BL1391" s="4">
        <v>39.42</v>
      </c>
      <c r="BM1391" s="4">
        <v>5.91</v>
      </c>
      <c r="BN1391" s="4">
        <v>45.33</v>
      </c>
      <c r="BO1391" s="4">
        <v>45.33</v>
      </c>
      <c r="BQ1391" t="s">
        <v>147</v>
      </c>
      <c r="BR1391" t="s">
        <v>84</v>
      </c>
      <c r="BS1391" s="3">
        <v>43816</v>
      </c>
      <c r="BT1391" s="5">
        <v>0.39583333333333331</v>
      </c>
      <c r="BU1391" t="s">
        <v>1784</v>
      </c>
      <c r="BV1391" t="s">
        <v>86</v>
      </c>
      <c r="BY1391">
        <v>1200</v>
      </c>
      <c r="CA1391" t="s">
        <v>314</v>
      </c>
      <c r="CC1391" t="s">
        <v>76</v>
      </c>
      <c r="CD1391">
        <v>1609</v>
      </c>
      <c r="CE1391" t="s">
        <v>88</v>
      </c>
      <c r="CF1391" s="3">
        <v>43817</v>
      </c>
      <c r="CI1391">
        <v>1</v>
      </c>
      <c r="CJ1391">
        <v>2</v>
      </c>
      <c r="CK1391">
        <v>22</v>
      </c>
      <c r="CL1391" t="s">
        <v>89</v>
      </c>
    </row>
    <row r="1392" spans="1:90">
      <c r="A1392" t="s">
        <v>72</v>
      </c>
      <c r="B1392" t="s">
        <v>73</v>
      </c>
      <c r="C1392" t="s">
        <v>74</v>
      </c>
      <c r="E1392" t="str">
        <f>"FES1162728188"</f>
        <v>FES1162728188</v>
      </c>
      <c r="F1392" s="3">
        <v>43812</v>
      </c>
      <c r="G1392">
        <v>202006</v>
      </c>
      <c r="H1392" t="s">
        <v>75</v>
      </c>
      <c r="I1392" t="s">
        <v>76</v>
      </c>
      <c r="J1392" t="s">
        <v>77</v>
      </c>
      <c r="K1392" t="s">
        <v>78</v>
      </c>
      <c r="L1392" t="s">
        <v>132</v>
      </c>
      <c r="M1392" t="s">
        <v>133</v>
      </c>
      <c r="N1392" t="s">
        <v>1862</v>
      </c>
      <c r="O1392" t="s">
        <v>82</v>
      </c>
      <c r="P1392" t="str">
        <f>"2170718931                    "</f>
        <v xml:space="preserve">2170718931                    </v>
      </c>
      <c r="Q1392">
        <v>0</v>
      </c>
      <c r="R1392">
        <v>0</v>
      </c>
      <c r="S1392">
        <v>0</v>
      </c>
      <c r="T1392">
        <v>0</v>
      </c>
      <c r="U1392">
        <v>0</v>
      </c>
      <c r="V1392">
        <v>0</v>
      </c>
      <c r="W1392">
        <v>0</v>
      </c>
      <c r="X1392">
        <v>0</v>
      </c>
      <c r="Y1392">
        <v>0</v>
      </c>
      <c r="Z1392">
        <v>0</v>
      </c>
      <c r="AA1392">
        <v>0</v>
      </c>
      <c r="AB1392">
        <v>0</v>
      </c>
      <c r="AC1392">
        <v>0</v>
      </c>
      <c r="AD1392">
        <v>0</v>
      </c>
      <c r="AE1392">
        <v>0</v>
      </c>
      <c r="AF1392">
        <v>0</v>
      </c>
      <c r="AG1392">
        <v>0</v>
      </c>
      <c r="AH1392">
        <v>0</v>
      </c>
      <c r="AI1392">
        <v>0</v>
      </c>
      <c r="AJ1392">
        <v>0</v>
      </c>
      <c r="AK1392">
        <v>0</v>
      </c>
      <c r="AL1392">
        <v>0</v>
      </c>
      <c r="AM1392">
        <v>8.58</v>
      </c>
      <c r="AN1392">
        <v>0</v>
      </c>
      <c r="AO1392">
        <v>0</v>
      </c>
      <c r="AP1392">
        <v>0</v>
      </c>
      <c r="AQ1392">
        <v>0</v>
      </c>
      <c r="AR1392">
        <v>0</v>
      </c>
      <c r="AS1392">
        <v>0</v>
      </c>
      <c r="AT1392">
        <v>0</v>
      </c>
      <c r="AU1392">
        <v>0</v>
      </c>
      <c r="AV1392">
        <v>0</v>
      </c>
      <c r="AW1392">
        <v>0</v>
      </c>
      <c r="AX1392">
        <v>0</v>
      </c>
      <c r="AY1392">
        <v>0</v>
      </c>
      <c r="AZ1392">
        <v>0</v>
      </c>
      <c r="BA1392">
        <v>0</v>
      </c>
      <c r="BB1392">
        <v>0</v>
      </c>
      <c r="BC1392">
        <v>0</v>
      </c>
      <c r="BD1392">
        <v>0</v>
      </c>
      <c r="BE1392">
        <v>0</v>
      </c>
      <c r="BF1392">
        <v>0</v>
      </c>
      <c r="BG1392">
        <v>0</v>
      </c>
      <c r="BH1392">
        <v>1</v>
      </c>
      <c r="BI1392">
        <v>1</v>
      </c>
      <c r="BJ1392">
        <v>0.2</v>
      </c>
      <c r="BK1392">
        <v>1</v>
      </c>
      <c r="BL1392" s="4">
        <v>50.45</v>
      </c>
      <c r="BM1392" s="4">
        <v>7.57</v>
      </c>
      <c r="BN1392" s="4">
        <v>58.02</v>
      </c>
      <c r="BO1392" s="4">
        <v>58.02</v>
      </c>
      <c r="BQ1392" t="s">
        <v>93</v>
      </c>
      <c r="BR1392" t="s">
        <v>84</v>
      </c>
      <c r="BS1392" s="3">
        <v>43818</v>
      </c>
      <c r="BT1392" s="5">
        <v>0.33333333333333331</v>
      </c>
      <c r="BU1392" t="s">
        <v>1863</v>
      </c>
      <c r="BV1392" t="s">
        <v>89</v>
      </c>
      <c r="BY1392">
        <v>1200</v>
      </c>
      <c r="CA1392" t="s">
        <v>620</v>
      </c>
      <c r="CC1392" t="s">
        <v>133</v>
      </c>
      <c r="CD1392">
        <v>157</v>
      </c>
      <c r="CE1392" t="s">
        <v>88</v>
      </c>
      <c r="CF1392" s="3">
        <v>43819</v>
      </c>
      <c r="CI1392">
        <v>1</v>
      </c>
      <c r="CJ1392">
        <v>4</v>
      </c>
      <c r="CK1392">
        <v>21</v>
      </c>
      <c r="CL1392" t="s">
        <v>89</v>
      </c>
    </row>
    <row r="1393" spans="1:90">
      <c r="A1393" t="s">
        <v>72</v>
      </c>
      <c r="B1393" t="s">
        <v>73</v>
      </c>
      <c r="C1393" t="s">
        <v>74</v>
      </c>
      <c r="E1393" t="str">
        <f>"FES1162728176"</f>
        <v>FES1162728176</v>
      </c>
      <c r="F1393" s="3">
        <v>43812</v>
      </c>
      <c r="G1393">
        <v>202006</v>
      </c>
      <c r="H1393" t="s">
        <v>75</v>
      </c>
      <c r="I1393" t="s">
        <v>76</v>
      </c>
      <c r="J1393" t="s">
        <v>77</v>
      </c>
      <c r="K1393" t="s">
        <v>78</v>
      </c>
      <c r="L1393" t="s">
        <v>1864</v>
      </c>
      <c r="M1393" t="s">
        <v>1865</v>
      </c>
      <c r="N1393" t="s">
        <v>1866</v>
      </c>
      <c r="O1393" t="s">
        <v>82</v>
      </c>
      <c r="P1393" t="str">
        <f>"2170721502                    "</f>
        <v xml:space="preserve">2170721502                    </v>
      </c>
      <c r="Q1393">
        <v>0</v>
      </c>
      <c r="R1393">
        <v>0</v>
      </c>
      <c r="S1393">
        <v>0</v>
      </c>
      <c r="T1393">
        <v>0</v>
      </c>
      <c r="U1393">
        <v>0</v>
      </c>
      <c r="V1393">
        <v>0</v>
      </c>
      <c r="W1393">
        <v>0</v>
      </c>
      <c r="X1393">
        <v>0</v>
      </c>
      <c r="Y1393">
        <v>0</v>
      </c>
      <c r="Z1393">
        <v>0</v>
      </c>
      <c r="AA1393">
        <v>0</v>
      </c>
      <c r="AB1393">
        <v>0</v>
      </c>
      <c r="AC1393">
        <v>0</v>
      </c>
      <c r="AD1393">
        <v>0</v>
      </c>
      <c r="AE1393">
        <v>0</v>
      </c>
      <c r="AF1393">
        <v>0</v>
      </c>
      <c r="AG1393">
        <v>0</v>
      </c>
      <c r="AH1393">
        <v>0</v>
      </c>
      <c r="AI1393">
        <v>0</v>
      </c>
      <c r="AJ1393">
        <v>0</v>
      </c>
      <c r="AK1393">
        <v>0</v>
      </c>
      <c r="AL1393">
        <v>0</v>
      </c>
      <c r="AM1393">
        <v>16.63</v>
      </c>
      <c r="AN1393">
        <v>0</v>
      </c>
      <c r="AO1393">
        <v>0</v>
      </c>
      <c r="AP1393">
        <v>0</v>
      </c>
      <c r="AQ1393">
        <v>0</v>
      </c>
      <c r="AR1393">
        <v>0</v>
      </c>
      <c r="AS1393">
        <v>0</v>
      </c>
      <c r="AT1393">
        <v>0</v>
      </c>
      <c r="AU1393">
        <v>0</v>
      </c>
      <c r="AV1393">
        <v>0</v>
      </c>
      <c r="AW1393">
        <v>0</v>
      </c>
      <c r="AX1393">
        <v>0</v>
      </c>
      <c r="AY1393">
        <v>0</v>
      </c>
      <c r="AZ1393">
        <v>0</v>
      </c>
      <c r="BA1393">
        <v>0</v>
      </c>
      <c r="BB1393">
        <v>0</v>
      </c>
      <c r="BC1393">
        <v>0</v>
      </c>
      <c r="BD1393">
        <v>0</v>
      </c>
      <c r="BE1393">
        <v>0</v>
      </c>
      <c r="BF1393">
        <v>0</v>
      </c>
      <c r="BG1393">
        <v>0</v>
      </c>
      <c r="BH1393">
        <v>1</v>
      </c>
      <c r="BI1393">
        <v>1</v>
      </c>
      <c r="BJ1393">
        <v>0.2</v>
      </c>
      <c r="BK1393">
        <v>1</v>
      </c>
      <c r="BL1393" s="4">
        <v>97.75</v>
      </c>
      <c r="BM1393" s="4">
        <v>14.66</v>
      </c>
      <c r="BN1393" s="4">
        <v>112.41</v>
      </c>
      <c r="BO1393" s="4">
        <v>112.41</v>
      </c>
      <c r="BQ1393" t="s">
        <v>147</v>
      </c>
      <c r="BR1393" t="s">
        <v>84</v>
      </c>
      <c r="BS1393" s="3">
        <v>43816</v>
      </c>
      <c r="BT1393" s="5">
        <v>0.47222222222222227</v>
      </c>
      <c r="BU1393" t="s">
        <v>1867</v>
      </c>
      <c r="BV1393" t="s">
        <v>86</v>
      </c>
      <c r="BY1393">
        <v>1200</v>
      </c>
      <c r="CA1393" t="s">
        <v>1868</v>
      </c>
      <c r="CC1393" t="s">
        <v>1865</v>
      </c>
      <c r="CD1393">
        <v>2571</v>
      </c>
      <c r="CE1393" t="s">
        <v>88</v>
      </c>
      <c r="CF1393" s="3">
        <v>43818</v>
      </c>
      <c r="CI1393">
        <v>1</v>
      </c>
      <c r="CJ1393">
        <v>2</v>
      </c>
      <c r="CK1393">
        <v>23</v>
      </c>
      <c r="CL1393" t="s">
        <v>89</v>
      </c>
    </row>
    <row r="1394" spans="1:90">
      <c r="A1394" t="s">
        <v>72</v>
      </c>
      <c r="B1394" t="s">
        <v>73</v>
      </c>
      <c r="C1394" t="s">
        <v>74</v>
      </c>
      <c r="E1394" t="str">
        <f>"FES1162728244"</f>
        <v>FES1162728244</v>
      </c>
      <c r="F1394" s="3">
        <v>43812</v>
      </c>
      <c r="G1394">
        <v>202006</v>
      </c>
      <c r="H1394" t="s">
        <v>75</v>
      </c>
      <c r="I1394" t="s">
        <v>76</v>
      </c>
      <c r="J1394" t="s">
        <v>77</v>
      </c>
      <c r="K1394" t="s">
        <v>78</v>
      </c>
      <c r="L1394" t="s">
        <v>75</v>
      </c>
      <c r="M1394" t="s">
        <v>76</v>
      </c>
      <c r="N1394" t="s">
        <v>1095</v>
      </c>
      <c r="O1394" t="s">
        <v>82</v>
      </c>
      <c r="P1394" t="str">
        <f>"217072154                     "</f>
        <v xml:space="preserve">217072154                     </v>
      </c>
      <c r="Q1394">
        <v>0</v>
      </c>
      <c r="R1394">
        <v>0</v>
      </c>
      <c r="S1394">
        <v>0</v>
      </c>
      <c r="T1394">
        <v>0</v>
      </c>
      <c r="U1394">
        <v>0</v>
      </c>
      <c r="V1394">
        <v>0</v>
      </c>
      <c r="W1394">
        <v>0</v>
      </c>
      <c r="X1394">
        <v>0</v>
      </c>
      <c r="Y1394">
        <v>0</v>
      </c>
      <c r="Z1394">
        <v>0</v>
      </c>
      <c r="AA1394">
        <v>0</v>
      </c>
      <c r="AB1394">
        <v>0</v>
      </c>
      <c r="AC1394">
        <v>0</v>
      </c>
      <c r="AD1394">
        <v>0</v>
      </c>
      <c r="AE1394">
        <v>0</v>
      </c>
      <c r="AF1394">
        <v>0</v>
      </c>
      <c r="AG1394">
        <v>0</v>
      </c>
      <c r="AH1394">
        <v>0</v>
      </c>
      <c r="AI1394">
        <v>0</v>
      </c>
      <c r="AJ1394">
        <v>0</v>
      </c>
      <c r="AK1394">
        <v>0</v>
      </c>
      <c r="AL1394">
        <v>0</v>
      </c>
      <c r="AM1394">
        <v>6.71</v>
      </c>
      <c r="AN1394">
        <v>0</v>
      </c>
      <c r="AO1394">
        <v>0</v>
      </c>
      <c r="AP1394">
        <v>0</v>
      </c>
      <c r="AQ1394">
        <v>0</v>
      </c>
      <c r="AR1394">
        <v>0</v>
      </c>
      <c r="AS1394">
        <v>0</v>
      </c>
      <c r="AT1394">
        <v>0</v>
      </c>
      <c r="AU1394">
        <v>0</v>
      </c>
      <c r="AV1394">
        <v>0</v>
      </c>
      <c r="AW1394">
        <v>0</v>
      </c>
      <c r="AX1394">
        <v>0</v>
      </c>
      <c r="AY1394">
        <v>0</v>
      </c>
      <c r="AZ1394">
        <v>0</v>
      </c>
      <c r="BA1394">
        <v>0</v>
      </c>
      <c r="BB1394">
        <v>0</v>
      </c>
      <c r="BC1394">
        <v>0</v>
      </c>
      <c r="BD1394">
        <v>0</v>
      </c>
      <c r="BE1394">
        <v>0</v>
      </c>
      <c r="BF1394">
        <v>0</v>
      </c>
      <c r="BG1394">
        <v>0</v>
      </c>
      <c r="BH1394">
        <v>1</v>
      </c>
      <c r="BI1394">
        <v>1</v>
      </c>
      <c r="BJ1394">
        <v>0.2</v>
      </c>
      <c r="BK1394">
        <v>1</v>
      </c>
      <c r="BL1394" s="4">
        <v>39.42</v>
      </c>
      <c r="BM1394" s="4">
        <v>5.91</v>
      </c>
      <c r="BN1394" s="4">
        <v>45.33</v>
      </c>
      <c r="BO1394" s="4">
        <v>45.33</v>
      </c>
      <c r="BQ1394" t="s">
        <v>147</v>
      </c>
      <c r="BR1394" t="s">
        <v>84</v>
      </c>
      <c r="BS1394" s="3">
        <v>43816</v>
      </c>
      <c r="BT1394" s="5">
        <v>0.3125</v>
      </c>
      <c r="BU1394" t="s">
        <v>1869</v>
      </c>
      <c r="BV1394" t="s">
        <v>86</v>
      </c>
      <c r="BY1394">
        <v>1200</v>
      </c>
      <c r="CC1394" t="s">
        <v>76</v>
      </c>
      <c r="CD1394">
        <v>1665</v>
      </c>
      <c r="CE1394" t="s">
        <v>88</v>
      </c>
      <c r="CF1394" s="3">
        <v>43817</v>
      </c>
      <c r="CI1394">
        <v>1</v>
      </c>
      <c r="CJ1394">
        <v>2</v>
      </c>
      <c r="CK1394">
        <v>22</v>
      </c>
      <c r="CL1394" t="s">
        <v>89</v>
      </c>
    </row>
    <row r="1395" spans="1:90">
      <c r="A1395" t="s">
        <v>72</v>
      </c>
      <c r="B1395" t="s">
        <v>73</v>
      </c>
      <c r="C1395" t="s">
        <v>74</v>
      </c>
      <c r="E1395" t="str">
        <f>"FES1162728199"</f>
        <v>FES1162728199</v>
      </c>
      <c r="F1395" s="3">
        <v>43812</v>
      </c>
      <c r="G1395">
        <v>202006</v>
      </c>
      <c r="H1395" t="s">
        <v>75</v>
      </c>
      <c r="I1395" t="s">
        <v>76</v>
      </c>
      <c r="J1395" t="s">
        <v>77</v>
      </c>
      <c r="K1395" t="s">
        <v>78</v>
      </c>
      <c r="L1395" t="s">
        <v>714</v>
      </c>
      <c r="M1395" t="s">
        <v>715</v>
      </c>
      <c r="N1395" t="s">
        <v>1015</v>
      </c>
      <c r="O1395" t="s">
        <v>82</v>
      </c>
      <c r="P1395" t="str">
        <f>"217071286                     "</f>
        <v xml:space="preserve">217071286                     </v>
      </c>
      <c r="Q1395">
        <v>0</v>
      </c>
      <c r="R1395">
        <v>0</v>
      </c>
      <c r="S1395">
        <v>0</v>
      </c>
      <c r="T1395">
        <v>0</v>
      </c>
      <c r="U1395">
        <v>0</v>
      </c>
      <c r="V1395">
        <v>0</v>
      </c>
      <c r="W1395">
        <v>0</v>
      </c>
      <c r="X1395">
        <v>0</v>
      </c>
      <c r="Y1395">
        <v>0</v>
      </c>
      <c r="Z1395">
        <v>0</v>
      </c>
      <c r="AA1395">
        <v>0</v>
      </c>
      <c r="AB1395">
        <v>0</v>
      </c>
      <c r="AC1395">
        <v>0</v>
      </c>
      <c r="AD1395">
        <v>0</v>
      </c>
      <c r="AE1395">
        <v>0</v>
      </c>
      <c r="AF1395">
        <v>0</v>
      </c>
      <c r="AG1395">
        <v>0</v>
      </c>
      <c r="AH1395">
        <v>0</v>
      </c>
      <c r="AI1395">
        <v>0</v>
      </c>
      <c r="AJ1395">
        <v>0</v>
      </c>
      <c r="AK1395">
        <v>0</v>
      </c>
      <c r="AL1395">
        <v>0</v>
      </c>
      <c r="AM1395">
        <v>10.72</v>
      </c>
      <c r="AN1395">
        <v>0</v>
      </c>
      <c r="AO1395">
        <v>0</v>
      </c>
      <c r="AP1395">
        <v>0</v>
      </c>
      <c r="AQ1395">
        <v>0</v>
      </c>
      <c r="AR1395">
        <v>0</v>
      </c>
      <c r="AS1395">
        <v>0</v>
      </c>
      <c r="AT1395">
        <v>0</v>
      </c>
      <c r="AU1395">
        <v>0</v>
      </c>
      <c r="AV1395">
        <v>0</v>
      </c>
      <c r="AW1395">
        <v>0</v>
      </c>
      <c r="AX1395">
        <v>0</v>
      </c>
      <c r="AY1395">
        <v>0</v>
      </c>
      <c r="AZ1395">
        <v>0</v>
      </c>
      <c r="BA1395">
        <v>0</v>
      </c>
      <c r="BB1395">
        <v>0</v>
      </c>
      <c r="BC1395">
        <v>0</v>
      </c>
      <c r="BD1395">
        <v>0</v>
      </c>
      <c r="BE1395">
        <v>0</v>
      </c>
      <c r="BF1395">
        <v>0</v>
      </c>
      <c r="BG1395">
        <v>0</v>
      </c>
      <c r="BH1395">
        <v>1</v>
      </c>
      <c r="BI1395">
        <v>4.2</v>
      </c>
      <c r="BJ1395">
        <v>1.5</v>
      </c>
      <c r="BK1395">
        <v>4.5</v>
      </c>
      <c r="BL1395" s="4">
        <v>63.03</v>
      </c>
      <c r="BM1395" s="4">
        <v>9.4499999999999993</v>
      </c>
      <c r="BN1395" s="4">
        <v>72.48</v>
      </c>
      <c r="BO1395" s="4">
        <v>72.48</v>
      </c>
      <c r="BQ1395" t="s">
        <v>1016</v>
      </c>
      <c r="BR1395" t="s">
        <v>84</v>
      </c>
      <c r="BS1395" s="3">
        <v>43816</v>
      </c>
      <c r="BT1395" s="5">
        <v>0.39097222222222222</v>
      </c>
      <c r="BU1395" t="s">
        <v>1870</v>
      </c>
      <c r="BV1395" t="s">
        <v>86</v>
      </c>
      <c r="BY1395">
        <v>7471.06</v>
      </c>
      <c r="CA1395" t="s">
        <v>1350</v>
      </c>
      <c r="CC1395" t="s">
        <v>715</v>
      </c>
      <c r="CD1395">
        <v>1559</v>
      </c>
      <c r="CE1395" t="s">
        <v>116</v>
      </c>
      <c r="CF1395" s="3">
        <v>43817</v>
      </c>
      <c r="CI1395">
        <v>1</v>
      </c>
      <c r="CJ1395">
        <v>2</v>
      </c>
      <c r="CK1395">
        <v>22</v>
      </c>
      <c r="CL1395" t="s">
        <v>89</v>
      </c>
    </row>
    <row r="1396" spans="1:90">
      <c r="A1396" t="s">
        <v>72</v>
      </c>
      <c r="B1396" t="s">
        <v>73</v>
      </c>
      <c r="C1396" t="s">
        <v>74</v>
      </c>
      <c r="E1396" t="str">
        <f>"FES1162728242"</f>
        <v>FES1162728242</v>
      </c>
      <c r="F1396" s="3">
        <v>43812</v>
      </c>
      <c r="G1396">
        <v>202006</v>
      </c>
      <c r="H1396" t="s">
        <v>75</v>
      </c>
      <c r="I1396" t="s">
        <v>76</v>
      </c>
      <c r="J1396" t="s">
        <v>77</v>
      </c>
      <c r="K1396" t="s">
        <v>78</v>
      </c>
      <c r="L1396" t="s">
        <v>151</v>
      </c>
      <c r="M1396" t="s">
        <v>102</v>
      </c>
      <c r="N1396" t="s">
        <v>1871</v>
      </c>
      <c r="O1396" t="s">
        <v>82</v>
      </c>
      <c r="P1396" t="str">
        <f>"217071540                     "</f>
        <v xml:space="preserve">217071540                     </v>
      </c>
      <c r="Q1396">
        <v>0</v>
      </c>
      <c r="R1396">
        <v>0</v>
      </c>
      <c r="S1396">
        <v>0</v>
      </c>
      <c r="T1396">
        <v>0</v>
      </c>
      <c r="U1396">
        <v>0</v>
      </c>
      <c r="V1396">
        <v>0</v>
      </c>
      <c r="W1396">
        <v>0</v>
      </c>
      <c r="X1396">
        <v>0</v>
      </c>
      <c r="Y1396">
        <v>0</v>
      </c>
      <c r="Z1396">
        <v>0</v>
      </c>
      <c r="AA1396">
        <v>0</v>
      </c>
      <c r="AB1396">
        <v>0</v>
      </c>
      <c r="AC1396">
        <v>0</v>
      </c>
      <c r="AD1396">
        <v>0</v>
      </c>
      <c r="AE1396">
        <v>0</v>
      </c>
      <c r="AF1396">
        <v>0</v>
      </c>
      <c r="AG1396">
        <v>0</v>
      </c>
      <c r="AH1396">
        <v>0</v>
      </c>
      <c r="AI1396">
        <v>0</v>
      </c>
      <c r="AJ1396">
        <v>0</v>
      </c>
      <c r="AK1396">
        <v>0</v>
      </c>
      <c r="AL1396">
        <v>0</v>
      </c>
      <c r="AM1396">
        <v>8.58</v>
      </c>
      <c r="AN1396">
        <v>0</v>
      </c>
      <c r="AO1396">
        <v>0</v>
      </c>
      <c r="AP1396">
        <v>0</v>
      </c>
      <c r="AQ1396">
        <v>0</v>
      </c>
      <c r="AR1396">
        <v>0</v>
      </c>
      <c r="AS1396">
        <v>0</v>
      </c>
      <c r="AT1396">
        <v>0</v>
      </c>
      <c r="AU1396">
        <v>0</v>
      </c>
      <c r="AV1396">
        <v>0</v>
      </c>
      <c r="AW1396">
        <v>0</v>
      </c>
      <c r="AX1396">
        <v>0</v>
      </c>
      <c r="AY1396">
        <v>0</v>
      </c>
      <c r="AZ1396">
        <v>0</v>
      </c>
      <c r="BA1396">
        <v>0</v>
      </c>
      <c r="BB1396">
        <v>0</v>
      </c>
      <c r="BC1396">
        <v>0</v>
      </c>
      <c r="BD1396">
        <v>0</v>
      </c>
      <c r="BE1396">
        <v>0</v>
      </c>
      <c r="BF1396">
        <v>0</v>
      </c>
      <c r="BG1396">
        <v>0</v>
      </c>
      <c r="BH1396">
        <v>1</v>
      </c>
      <c r="BI1396">
        <v>0.7</v>
      </c>
      <c r="BJ1396">
        <v>1.3</v>
      </c>
      <c r="BK1396">
        <v>1.5</v>
      </c>
      <c r="BL1396" s="4">
        <v>50.45</v>
      </c>
      <c r="BM1396" s="4">
        <v>7.57</v>
      </c>
      <c r="BN1396" s="4">
        <v>58.02</v>
      </c>
      <c r="BO1396" s="4">
        <v>58.02</v>
      </c>
      <c r="BQ1396" t="s">
        <v>147</v>
      </c>
      <c r="BR1396" t="s">
        <v>84</v>
      </c>
      <c r="BS1396" s="3">
        <v>43818</v>
      </c>
      <c r="BT1396" s="5">
        <v>0.33333333333333331</v>
      </c>
      <c r="BU1396" t="s">
        <v>1872</v>
      </c>
      <c r="BV1396" t="s">
        <v>89</v>
      </c>
      <c r="BY1396">
        <v>6367.35</v>
      </c>
      <c r="CA1396" t="s">
        <v>620</v>
      </c>
      <c r="CC1396" t="s">
        <v>102</v>
      </c>
      <c r="CD1396">
        <v>186</v>
      </c>
      <c r="CE1396" t="s">
        <v>96</v>
      </c>
      <c r="CF1396" s="3">
        <v>43819</v>
      </c>
      <c r="CI1396">
        <v>1</v>
      </c>
      <c r="CJ1396">
        <v>4</v>
      </c>
      <c r="CK1396">
        <v>21</v>
      </c>
      <c r="CL1396" t="s">
        <v>89</v>
      </c>
    </row>
    <row r="1397" spans="1:90">
      <c r="A1397" t="s">
        <v>72</v>
      </c>
      <c r="B1397" t="s">
        <v>73</v>
      </c>
      <c r="C1397" t="s">
        <v>74</v>
      </c>
      <c r="E1397" t="str">
        <f>"FES1162728271"</f>
        <v>FES1162728271</v>
      </c>
      <c r="F1397" s="3">
        <v>43812</v>
      </c>
      <c r="G1397">
        <v>202006</v>
      </c>
      <c r="H1397" t="s">
        <v>75</v>
      </c>
      <c r="I1397" t="s">
        <v>76</v>
      </c>
      <c r="J1397" t="s">
        <v>77</v>
      </c>
      <c r="K1397" t="s">
        <v>78</v>
      </c>
      <c r="L1397" t="s">
        <v>169</v>
      </c>
      <c r="M1397" t="s">
        <v>170</v>
      </c>
      <c r="N1397" t="s">
        <v>772</v>
      </c>
      <c r="O1397" t="s">
        <v>82</v>
      </c>
      <c r="P1397" t="str">
        <f>"2170712195                    "</f>
        <v xml:space="preserve">2170712195                    </v>
      </c>
      <c r="Q1397">
        <v>0</v>
      </c>
      <c r="R1397">
        <v>0</v>
      </c>
      <c r="S1397">
        <v>0</v>
      </c>
      <c r="T1397">
        <v>0</v>
      </c>
      <c r="U1397">
        <v>0</v>
      </c>
      <c r="V1397">
        <v>0</v>
      </c>
      <c r="W1397">
        <v>0</v>
      </c>
      <c r="X1397">
        <v>0</v>
      </c>
      <c r="Y1397">
        <v>0</v>
      </c>
      <c r="Z1397">
        <v>0</v>
      </c>
      <c r="AA1397">
        <v>0</v>
      </c>
      <c r="AB1397">
        <v>0</v>
      </c>
      <c r="AC1397">
        <v>0</v>
      </c>
      <c r="AD1397">
        <v>0</v>
      </c>
      <c r="AE1397">
        <v>0</v>
      </c>
      <c r="AF1397">
        <v>0</v>
      </c>
      <c r="AG1397">
        <v>0</v>
      </c>
      <c r="AH1397">
        <v>0</v>
      </c>
      <c r="AI1397">
        <v>0</v>
      </c>
      <c r="AJ1397">
        <v>0</v>
      </c>
      <c r="AK1397">
        <v>0</v>
      </c>
      <c r="AL1397">
        <v>0</v>
      </c>
      <c r="AM1397">
        <v>13.13</v>
      </c>
      <c r="AN1397">
        <v>0</v>
      </c>
      <c r="AO1397">
        <v>0</v>
      </c>
      <c r="AP1397">
        <v>0</v>
      </c>
      <c r="AQ1397">
        <v>0</v>
      </c>
      <c r="AR1397">
        <v>0</v>
      </c>
      <c r="AS1397">
        <v>0</v>
      </c>
      <c r="AT1397">
        <v>0</v>
      </c>
      <c r="AU1397">
        <v>0</v>
      </c>
      <c r="AV1397">
        <v>0</v>
      </c>
      <c r="AW1397">
        <v>0</v>
      </c>
      <c r="AX1397">
        <v>0</v>
      </c>
      <c r="AY1397">
        <v>0</v>
      </c>
      <c r="AZ1397">
        <v>0</v>
      </c>
      <c r="BA1397">
        <v>0</v>
      </c>
      <c r="BB1397">
        <v>0</v>
      </c>
      <c r="BC1397">
        <v>0</v>
      </c>
      <c r="BD1397">
        <v>0</v>
      </c>
      <c r="BE1397">
        <v>0</v>
      </c>
      <c r="BF1397">
        <v>0</v>
      </c>
      <c r="BG1397">
        <v>0</v>
      </c>
      <c r="BH1397">
        <v>1</v>
      </c>
      <c r="BI1397">
        <v>6</v>
      </c>
      <c r="BJ1397">
        <v>1.7</v>
      </c>
      <c r="BK1397">
        <v>6</v>
      </c>
      <c r="BL1397" s="4">
        <v>77.2</v>
      </c>
      <c r="BM1397" s="4">
        <v>11.58</v>
      </c>
      <c r="BN1397" s="4">
        <v>88.78</v>
      </c>
      <c r="BO1397" s="4">
        <v>88.78</v>
      </c>
      <c r="BQ1397" t="s">
        <v>147</v>
      </c>
      <c r="BR1397" t="s">
        <v>84</v>
      </c>
      <c r="BS1397" s="3">
        <v>43816</v>
      </c>
      <c r="BT1397" s="5">
        <v>0.33333333333333331</v>
      </c>
      <c r="BU1397" t="s">
        <v>1873</v>
      </c>
      <c r="BV1397" t="s">
        <v>86</v>
      </c>
      <c r="BY1397">
        <v>8740</v>
      </c>
      <c r="CC1397" t="s">
        <v>170</v>
      </c>
      <c r="CD1397">
        <v>1459</v>
      </c>
      <c r="CE1397" t="s">
        <v>116</v>
      </c>
      <c r="CF1397" s="3">
        <v>43817</v>
      </c>
      <c r="CI1397">
        <v>1</v>
      </c>
      <c r="CJ1397">
        <v>2</v>
      </c>
      <c r="CK1397">
        <v>22</v>
      </c>
      <c r="CL1397" t="s">
        <v>89</v>
      </c>
    </row>
    <row r="1398" spans="1:90">
      <c r="A1398" t="s">
        <v>72</v>
      </c>
      <c r="B1398" t="s">
        <v>73</v>
      </c>
      <c r="C1398" t="s">
        <v>74</v>
      </c>
      <c r="E1398" t="str">
        <f>"FES1162728375"</f>
        <v>FES1162728375</v>
      </c>
      <c r="F1398" s="3">
        <v>43812</v>
      </c>
      <c r="G1398">
        <v>202006</v>
      </c>
      <c r="H1398" t="s">
        <v>75</v>
      </c>
      <c r="I1398" t="s">
        <v>76</v>
      </c>
      <c r="J1398" t="s">
        <v>77</v>
      </c>
      <c r="K1398" t="s">
        <v>78</v>
      </c>
      <c r="L1398" t="s">
        <v>332</v>
      </c>
      <c r="M1398" t="s">
        <v>333</v>
      </c>
      <c r="N1398" t="s">
        <v>701</v>
      </c>
      <c r="O1398" t="s">
        <v>82</v>
      </c>
      <c r="P1398" t="str">
        <f>"2170719339                    "</f>
        <v xml:space="preserve">2170719339                    </v>
      </c>
      <c r="Q1398">
        <v>0</v>
      </c>
      <c r="R1398">
        <v>0</v>
      </c>
      <c r="S1398">
        <v>0</v>
      </c>
      <c r="T1398">
        <v>0</v>
      </c>
      <c r="U1398">
        <v>0</v>
      </c>
      <c r="V1398">
        <v>0</v>
      </c>
      <c r="W1398">
        <v>0</v>
      </c>
      <c r="X1398">
        <v>0</v>
      </c>
      <c r="Y1398">
        <v>0</v>
      </c>
      <c r="Z1398">
        <v>0</v>
      </c>
      <c r="AA1398">
        <v>0</v>
      </c>
      <c r="AB1398">
        <v>0</v>
      </c>
      <c r="AC1398">
        <v>0</v>
      </c>
      <c r="AD1398">
        <v>0</v>
      </c>
      <c r="AE1398">
        <v>0</v>
      </c>
      <c r="AF1398">
        <v>0</v>
      </c>
      <c r="AG1398">
        <v>0</v>
      </c>
      <c r="AH1398">
        <v>0</v>
      </c>
      <c r="AI1398">
        <v>0</v>
      </c>
      <c r="AJ1398">
        <v>0</v>
      </c>
      <c r="AK1398">
        <v>0</v>
      </c>
      <c r="AL1398">
        <v>0</v>
      </c>
      <c r="AM1398">
        <v>16.350000000000001</v>
      </c>
      <c r="AN1398">
        <v>0</v>
      </c>
      <c r="AO1398">
        <v>0</v>
      </c>
      <c r="AP1398">
        <v>0</v>
      </c>
      <c r="AQ1398">
        <v>0</v>
      </c>
      <c r="AR1398">
        <v>0</v>
      </c>
      <c r="AS1398">
        <v>0</v>
      </c>
      <c r="AT1398">
        <v>0</v>
      </c>
      <c r="AU1398">
        <v>0</v>
      </c>
      <c r="AV1398">
        <v>0</v>
      </c>
      <c r="AW1398">
        <v>0</v>
      </c>
      <c r="AX1398">
        <v>0</v>
      </c>
      <c r="AY1398">
        <v>0</v>
      </c>
      <c r="AZ1398">
        <v>0</v>
      </c>
      <c r="BA1398">
        <v>0</v>
      </c>
      <c r="BB1398">
        <v>0</v>
      </c>
      <c r="BC1398">
        <v>0</v>
      </c>
      <c r="BD1398">
        <v>0</v>
      </c>
      <c r="BE1398">
        <v>0</v>
      </c>
      <c r="BF1398">
        <v>0</v>
      </c>
      <c r="BG1398">
        <v>0</v>
      </c>
      <c r="BH1398">
        <v>1</v>
      </c>
      <c r="BI1398">
        <v>7.9</v>
      </c>
      <c r="BJ1398">
        <v>6.8</v>
      </c>
      <c r="BK1398">
        <v>8</v>
      </c>
      <c r="BL1398" s="4">
        <v>96.1</v>
      </c>
      <c r="BM1398" s="4">
        <v>14.42</v>
      </c>
      <c r="BN1398" s="4">
        <v>110.52</v>
      </c>
      <c r="BO1398" s="4">
        <v>110.52</v>
      </c>
      <c r="BQ1398" t="s">
        <v>93</v>
      </c>
      <c r="BR1398" t="s">
        <v>84</v>
      </c>
      <c r="BS1398" s="3">
        <v>43816</v>
      </c>
      <c r="BT1398" s="5">
        <v>0.34513888888888888</v>
      </c>
      <c r="BU1398" t="s">
        <v>1358</v>
      </c>
      <c r="BV1398" t="s">
        <v>86</v>
      </c>
      <c r="BY1398">
        <v>33849.599999999999</v>
      </c>
      <c r="CA1398" t="s">
        <v>700</v>
      </c>
      <c r="CC1398" t="s">
        <v>333</v>
      </c>
      <c r="CD1398">
        <v>2094</v>
      </c>
      <c r="CE1398" t="s">
        <v>116</v>
      </c>
      <c r="CF1398" s="3">
        <v>43817</v>
      </c>
      <c r="CI1398">
        <v>1</v>
      </c>
      <c r="CJ1398">
        <v>2</v>
      </c>
      <c r="CK1398">
        <v>22</v>
      </c>
      <c r="CL1398" t="s">
        <v>89</v>
      </c>
    </row>
    <row r="1399" spans="1:90">
      <c r="A1399" t="s">
        <v>72</v>
      </c>
      <c r="B1399" t="s">
        <v>73</v>
      </c>
      <c r="C1399" t="s">
        <v>74</v>
      </c>
      <c r="E1399" t="str">
        <f>"FES1162728388"</f>
        <v>FES1162728388</v>
      </c>
      <c r="F1399" s="3">
        <v>43812</v>
      </c>
      <c r="G1399">
        <v>202006</v>
      </c>
      <c r="H1399" t="s">
        <v>75</v>
      </c>
      <c r="I1399" t="s">
        <v>76</v>
      </c>
      <c r="J1399" t="s">
        <v>77</v>
      </c>
      <c r="K1399" t="s">
        <v>78</v>
      </c>
      <c r="L1399" t="s">
        <v>308</v>
      </c>
      <c r="M1399" t="s">
        <v>308</v>
      </c>
      <c r="N1399" t="s">
        <v>540</v>
      </c>
      <c r="O1399" t="s">
        <v>82</v>
      </c>
      <c r="P1399" t="str">
        <f>"217071213                     "</f>
        <v xml:space="preserve">217071213                     </v>
      </c>
      <c r="Q1399">
        <v>0</v>
      </c>
      <c r="R1399">
        <v>0</v>
      </c>
      <c r="S1399">
        <v>0</v>
      </c>
      <c r="T1399">
        <v>0</v>
      </c>
      <c r="U1399">
        <v>0</v>
      </c>
      <c r="V1399">
        <v>0</v>
      </c>
      <c r="W1399">
        <v>0</v>
      </c>
      <c r="X1399">
        <v>0</v>
      </c>
      <c r="Y1399">
        <v>0</v>
      </c>
      <c r="Z1399">
        <v>0</v>
      </c>
      <c r="AA1399">
        <v>0</v>
      </c>
      <c r="AB1399">
        <v>0</v>
      </c>
      <c r="AC1399">
        <v>0</v>
      </c>
      <c r="AD1399">
        <v>0</v>
      </c>
      <c r="AE1399">
        <v>0</v>
      </c>
      <c r="AF1399">
        <v>0</v>
      </c>
      <c r="AG1399">
        <v>0</v>
      </c>
      <c r="AH1399">
        <v>0</v>
      </c>
      <c r="AI1399">
        <v>0</v>
      </c>
      <c r="AJ1399">
        <v>0</v>
      </c>
      <c r="AK1399">
        <v>0</v>
      </c>
      <c r="AL1399">
        <v>0</v>
      </c>
      <c r="AM1399">
        <v>27.9</v>
      </c>
      <c r="AN1399">
        <v>0</v>
      </c>
      <c r="AO1399">
        <v>0</v>
      </c>
      <c r="AP1399">
        <v>0</v>
      </c>
      <c r="AQ1399">
        <v>0</v>
      </c>
      <c r="AR1399">
        <v>0</v>
      </c>
      <c r="AS1399">
        <v>0</v>
      </c>
      <c r="AT1399">
        <v>0</v>
      </c>
      <c r="AU1399">
        <v>0</v>
      </c>
      <c r="AV1399">
        <v>0</v>
      </c>
      <c r="AW1399">
        <v>0</v>
      </c>
      <c r="AX1399">
        <v>0</v>
      </c>
      <c r="AY1399">
        <v>0</v>
      </c>
      <c r="AZ1399">
        <v>0</v>
      </c>
      <c r="BA1399">
        <v>0</v>
      </c>
      <c r="BB1399">
        <v>0</v>
      </c>
      <c r="BC1399">
        <v>0</v>
      </c>
      <c r="BD1399">
        <v>0</v>
      </c>
      <c r="BE1399">
        <v>0</v>
      </c>
      <c r="BF1399">
        <v>0</v>
      </c>
      <c r="BG1399">
        <v>0</v>
      </c>
      <c r="BH1399">
        <v>1</v>
      </c>
      <c r="BI1399">
        <v>2.6</v>
      </c>
      <c r="BJ1399">
        <v>3.5</v>
      </c>
      <c r="BK1399">
        <v>3.5</v>
      </c>
      <c r="BL1399" s="4">
        <v>163.98</v>
      </c>
      <c r="BM1399" s="4">
        <v>24.6</v>
      </c>
      <c r="BN1399" s="4">
        <v>188.58</v>
      </c>
      <c r="BO1399" s="4">
        <v>188.58</v>
      </c>
      <c r="BQ1399" t="s">
        <v>147</v>
      </c>
      <c r="BR1399" t="s">
        <v>84</v>
      </c>
      <c r="BS1399" s="3">
        <v>43816</v>
      </c>
      <c r="BT1399" s="5">
        <v>0.44791666666666669</v>
      </c>
      <c r="BU1399" t="s">
        <v>541</v>
      </c>
      <c r="BV1399" t="s">
        <v>86</v>
      </c>
      <c r="BY1399">
        <v>17411.14</v>
      </c>
      <c r="CA1399" t="s">
        <v>311</v>
      </c>
      <c r="CC1399" t="s">
        <v>308</v>
      </c>
      <c r="CD1399">
        <v>7646</v>
      </c>
      <c r="CE1399" t="s">
        <v>96</v>
      </c>
      <c r="CF1399" s="3">
        <v>43817</v>
      </c>
      <c r="CI1399">
        <v>1</v>
      </c>
      <c r="CJ1399">
        <v>2</v>
      </c>
      <c r="CK1399">
        <v>23</v>
      </c>
      <c r="CL1399" t="s">
        <v>89</v>
      </c>
    </row>
    <row r="1400" spans="1:90">
      <c r="A1400" t="s">
        <v>72</v>
      </c>
      <c r="B1400" t="s">
        <v>73</v>
      </c>
      <c r="C1400" t="s">
        <v>74</v>
      </c>
      <c r="E1400" t="str">
        <f>"FES1162728426"</f>
        <v>FES1162728426</v>
      </c>
      <c r="F1400" s="3">
        <v>43812</v>
      </c>
      <c r="G1400">
        <v>202006</v>
      </c>
      <c r="H1400" t="s">
        <v>75</v>
      </c>
      <c r="I1400" t="s">
        <v>76</v>
      </c>
      <c r="J1400" t="s">
        <v>77</v>
      </c>
      <c r="K1400" t="s">
        <v>78</v>
      </c>
      <c r="L1400" t="s">
        <v>632</v>
      </c>
      <c r="M1400" t="s">
        <v>633</v>
      </c>
      <c r="N1400" t="s">
        <v>1874</v>
      </c>
      <c r="O1400" t="s">
        <v>82</v>
      </c>
      <c r="P1400" t="str">
        <f>"21707191403                   "</f>
        <v xml:space="preserve">21707191403                   </v>
      </c>
      <c r="Q1400">
        <v>0</v>
      </c>
      <c r="R1400">
        <v>0</v>
      </c>
      <c r="S1400">
        <v>0</v>
      </c>
      <c r="T1400">
        <v>0</v>
      </c>
      <c r="U1400">
        <v>0</v>
      </c>
      <c r="V1400">
        <v>0</v>
      </c>
      <c r="W1400">
        <v>0</v>
      </c>
      <c r="X1400">
        <v>0</v>
      </c>
      <c r="Y1400">
        <v>0</v>
      </c>
      <c r="Z1400">
        <v>0</v>
      </c>
      <c r="AA1400">
        <v>0</v>
      </c>
      <c r="AB1400">
        <v>0</v>
      </c>
      <c r="AC1400">
        <v>0</v>
      </c>
      <c r="AD1400">
        <v>0</v>
      </c>
      <c r="AE1400">
        <v>0</v>
      </c>
      <c r="AF1400">
        <v>0</v>
      </c>
      <c r="AG1400">
        <v>0</v>
      </c>
      <c r="AH1400">
        <v>0</v>
      </c>
      <c r="AI1400">
        <v>0</v>
      </c>
      <c r="AJ1400">
        <v>0</v>
      </c>
      <c r="AK1400">
        <v>0</v>
      </c>
      <c r="AL1400">
        <v>0</v>
      </c>
      <c r="AM1400">
        <v>6.71</v>
      </c>
      <c r="AN1400">
        <v>0</v>
      </c>
      <c r="AO1400">
        <v>0</v>
      </c>
      <c r="AP1400">
        <v>0</v>
      </c>
      <c r="AQ1400">
        <v>0</v>
      </c>
      <c r="AR1400">
        <v>0</v>
      </c>
      <c r="AS1400">
        <v>0</v>
      </c>
      <c r="AT1400">
        <v>0</v>
      </c>
      <c r="AU1400">
        <v>0</v>
      </c>
      <c r="AV1400">
        <v>0</v>
      </c>
      <c r="AW1400">
        <v>0</v>
      </c>
      <c r="AX1400">
        <v>0</v>
      </c>
      <c r="AY1400">
        <v>0</v>
      </c>
      <c r="AZ1400">
        <v>0</v>
      </c>
      <c r="BA1400">
        <v>0</v>
      </c>
      <c r="BB1400">
        <v>0</v>
      </c>
      <c r="BC1400">
        <v>0</v>
      </c>
      <c r="BD1400">
        <v>0</v>
      </c>
      <c r="BE1400">
        <v>0</v>
      </c>
      <c r="BF1400">
        <v>0</v>
      </c>
      <c r="BG1400">
        <v>0</v>
      </c>
      <c r="BH1400">
        <v>1</v>
      </c>
      <c r="BI1400">
        <v>1</v>
      </c>
      <c r="BJ1400">
        <v>0.2</v>
      </c>
      <c r="BK1400">
        <v>1</v>
      </c>
      <c r="BL1400" s="4">
        <v>39.42</v>
      </c>
      <c r="BM1400" s="4">
        <v>5.91</v>
      </c>
      <c r="BN1400" s="4">
        <v>45.33</v>
      </c>
      <c r="BO1400" s="4">
        <v>45.33</v>
      </c>
      <c r="BQ1400" t="s">
        <v>1875</v>
      </c>
      <c r="BR1400" t="s">
        <v>84</v>
      </c>
      <c r="BS1400" s="3">
        <v>43816</v>
      </c>
      <c r="BT1400" s="5">
        <v>0.35416666666666669</v>
      </c>
      <c r="BU1400" t="s">
        <v>1876</v>
      </c>
      <c r="BV1400" t="s">
        <v>86</v>
      </c>
      <c r="BY1400">
        <v>1200</v>
      </c>
      <c r="CC1400" t="s">
        <v>633</v>
      </c>
      <c r="CD1400">
        <v>1451</v>
      </c>
      <c r="CE1400" t="s">
        <v>88</v>
      </c>
      <c r="CF1400" s="3">
        <v>43817</v>
      </c>
      <c r="CI1400">
        <v>1</v>
      </c>
      <c r="CJ1400">
        <v>2</v>
      </c>
      <c r="CK1400">
        <v>22</v>
      </c>
      <c r="CL1400" t="s">
        <v>89</v>
      </c>
    </row>
    <row r="1401" spans="1:90">
      <c r="A1401" t="s">
        <v>72</v>
      </c>
      <c r="B1401" t="s">
        <v>73</v>
      </c>
      <c r="C1401" t="s">
        <v>74</v>
      </c>
      <c r="E1401" t="str">
        <f>"FES1162728339"</f>
        <v>FES1162728339</v>
      </c>
      <c r="F1401" s="3">
        <v>43812</v>
      </c>
      <c r="G1401">
        <v>202006</v>
      </c>
      <c r="H1401" t="s">
        <v>75</v>
      </c>
      <c r="I1401" t="s">
        <v>76</v>
      </c>
      <c r="J1401" t="s">
        <v>77</v>
      </c>
      <c r="K1401" t="s">
        <v>78</v>
      </c>
      <c r="L1401" t="s">
        <v>332</v>
      </c>
      <c r="M1401" t="s">
        <v>333</v>
      </c>
      <c r="N1401" t="s">
        <v>701</v>
      </c>
      <c r="O1401" t="s">
        <v>82</v>
      </c>
      <c r="P1401" t="str">
        <f>"21707172042                   "</f>
        <v xml:space="preserve">21707172042                   </v>
      </c>
      <c r="Q1401">
        <v>0</v>
      </c>
      <c r="R1401">
        <v>0</v>
      </c>
      <c r="S1401">
        <v>0</v>
      </c>
      <c r="T1401">
        <v>0</v>
      </c>
      <c r="U1401">
        <v>0</v>
      </c>
      <c r="V1401">
        <v>0</v>
      </c>
      <c r="W1401">
        <v>0</v>
      </c>
      <c r="X1401">
        <v>0</v>
      </c>
      <c r="Y1401">
        <v>0</v>
      </c>
      <c r="Z1401">
        <v>0</v>
      </c>
      <c r="AA1401">
        <v>0</v>
      </c>
      <c r="AB1401">
        <v>0</v>
      </c>
      <c r="AC1401">
        <v>0</v>
      </c>
      <c r="AD1401">
        <v>0</v>
      </c>
      <c r="AE1401">
        <v>0</v>
      </c>
      <c r="AF1401">
        <v>0</v>
      </c>
      <c r="AG1401">
        <v>0</v>
      </c>
      <c r="AH1401">
        <v>0</v>
      </c>
      <c r="AI1401">
        <v>0</v>
      </c>
      <c r="AJ1401">
        <v>0</v>
      </c>
      <c r="AK1401">
        <v>0</v>
      </c>
      <c r="AL1401">
        <v>0</v>
      </c>
      <c r="AM1401">
        <v>6.71</v>
      </c>
      <c r="AN1401">
        <v>0</v>
      </c>
      <c r="AO1401">
        <v>0</v>
      </c>
      <c r="AP1401">
        <v>0</v>
      </c>
      <c r="AQ1401">
        <v>0</v>
      </c>
      <c r="AR1401">
        <v>0</v>
      </c>
      <c r="AS1401">
        <v>0</v>
      </c>
      <c r="AT1401">
        <v>0</v>
      </c>
      <c r="AU1401">
        <v>0</v>
      </c>
      <c r="AV1401">
        <v>0</v>
      </c>
      <c r="AW1401">
        <v>0</v>
      </c>
      <c r="AX1401">
        <v>0</v>
      </c>
      <c r="AY1401">
        <v>0</v>
      </c>
      <c r="AZ1401">
        <v>0</v>
      </c>
      <c r="BA1401">
        <v>0</v>
      </c>
      <c r="BB1401">
        <v>0</v>
      </c>
      <c r="BC1401">
        <v>0</v>
      </c>
      <c r="BD1401">
        <v>0</v>
      </c>
      <c r="BE1401">
        <v>0</v>
      </c>
      <c r="BF1401">
        <v>0</v>
      </c>
      <c r="BG1401">
        <v>0</v>
      </c>
      <c r="BH1401">
        <v>1</v>
      </c>
      <c r="BI1401">
        <v>1</v>
      </c>
      <c r="BJ1401">
        <v>0.2</v>
      </c>
      <c r="BK1401">
        <v>1</v>
      </c>
      <c r="BL1401" s="4">
        <v>39.42</v>
      </c>
      <c r="BM1401" s="4">
        <v>5.91</v>
      </c>
      <c r="BN1401" s="4">
        <v>45.33</v>
      </c>
      <c r="BO1401" s="4">
        <v>45.33</v>
      </c>
      <c r="BQ1401" t="s">
        <v>93</v>
      </c>
      <c r="BR1401" t="s">
        <v>84</v>
      </c>
      <c r="BS1401" s="3">
        <v>43816</v>
      </c>
      <c r="BT1401" s="5">
        <v>0.34583333333333338</v>
      </c>
      <c r="BU1401" t="s">
        <v>1358</v>
      </c>
      <c r="BV1401" t="s">
        <v>86</v>
      </c>
      <c r="BY1401">
        <v>1200</v>
      </c>
      <c r="CA1401" t="s">
        <v>700</v>
      </c>
      <c r="CC1401" t="s">
        <v>333</v>
      </c>
      <c r="CD1401">
        <v>2094</v>
      </c>
      <c r="CE1401" t="s">
        <v>88</v>
      </c>
      <c r="CF1401" s="3">
        <v>43817</v>
      </c>
      <c r="CI1401">
        <v>1</v>
      </c>
      <c r="CJ1401">
        <v>2</v>
      </c>
      <c r="CK1401">
        <v>22</v>
      </c>
      <c r="CL1401" t="s">
        <v>89</v>
      </c>
    </row>
    <row r="1402" spans="1:90">
      <c r="A1402" t="s">
        <v>72</v>
      </c>
      <c r="B1402" t="s">
        <v>73</v>
      </c>
      <c r="C1402" t="s">
        <v>74</v>
      </c>
      <c r="E1402" t="str">
        <f>"FES1162728438"</f>
        <v>FES1162728438</v>
      </c>
      <c r="F1402" s="3">
        <v>43812</v>
      </c>
      <c r="G1402">
        <v>202006</v>
      </c>
      <c r="H1402" t="s">
        <v>75</v>
      </c>
      <c r="I1402" t="s">
        <v>76</v>
      </c>
      <c r="J1402" t="s">
        <v>77</v>
      </c>
      <c r="K1402" t="s">
        <v>78</v>
      </c>
      <c r="L1402" t="s">
        <v>201</v>
      </c>
      <c r="M1402" t="s">
        <v>202</v>
      </c>
      <c r="N1402" t="s">
        <v>286</v>
      </c>
      <c r="O1402" t="s">
        <v>82</v>
      </c>
      <c r="P1402" t="str">
        <f>"21707120870                   "</f>
        <v xml:space="preserve">21707120870                   </v>
      </c>
      <c r="Q1402">
        <v>0</v>
      </c>
      <c r="R1402">
        <v>0</v>
      </c>
      <c r="S1402">
        <v>0</v>
      </c>
      <c r="T1402">
        <v>0</v>
      </c>
      <c r="U1402">
        <v>0</v>
      </c>
      <c r="V1402">
        <v>0</v>
      </c>
      <c r="W1402">
        <v>0</v>
      </c>
      <c r="X1402">
        <v>0</v>
      </c>
      <c r="Y1402">
        <v>0</v>
      </c>
      <c r="Z1402">
        <v>0</v>
      </c>
      <c r="AA1402">
        <v>0</v>
      </c>
      <c r="AB1402">
        <v>0</v>
      </c>
      <c r="AC1402">
        <v>0</v>
      </c>
      <c r="AD1402">
        <v>0</v>
      </c>
      <c r="AE1402">
        <v>0</v>
      </c>
      <c r="AF1402">
        <v>0</v>
      </c>
      <c r="AG1402">
        <v>0</v>
      </c>
      <c r="AH1402">
        <v>0</v>
      </c>
      <c r="AI1402">
        <v>0</v>
      </c>
      <c r="AJ1402">
        <v>0</v>
      </c>
      <c r="AK1402">
        <v>0</v>
      </c>
      <c r="AL1402">
        <v>0</v>
      </c>
      <c r="AM1402">
        <v>8.58</v>
      </c>
      <c r="AN1402">
        <v>0</v>
      </c>
      <c r="AO1402">
        <v>0</v>
      </c>
      <c r="AP1402">
        <v>0</v>
      </c>
      <c r="AQ1402">
        <v>0</v>
      </c>
      <c r="AR1402">
        <v>0</v>
      </c>
      <c r="AS1402">
        <v>0</v>
      </c>
      <c r="AT1402">
        <v>0</v>
      </c>
      <c r="AU1402">
        <v>0</v>
      </c>
      <c r="AV1402">
        <v>0</v>
      </c>
      <c r="AW1402">
        <v>0</v>
      </c>
      <c r="AX1402">
        <v>0</v>
      </c>
      <c r="AY1402">
        <v>0</v>
      </c>
      <c r="AZ1402">
        <v>0</v>
      </c>
      <c r="BA1402">
        <v>0</v>
      </c>
      <c r="BB1402">
        <v>0</v>
      </c>
      <c r="BC1402">
        <v>0</v>
      </c>
      <c r="BD1402">
        <v>0</v>
      </c>
      <c r="BE1402">
        <v>0</v>
      </c>
      <c r="BF1402">
        <v>0</v>
      </c>
      <c r="BG1402">
        <v>0</v>
      </c>
      <c r="BH1402">
        <v>1</v>
      </c>
      <c r="BI1402">
        <v>1</v>
      </c>
      <c r="BJ1402">
        <v>0.2</v>
      </c>
      <c r="BK1402">
        <v>1</v>
      </c>
      <c r="BL1402" s="4">
        <v>50.45</v>
      </c>
      <c r="BM1402" s="4">
        <v>7.57</v>
      </c>
      <c r="BN1402" s="4">
        <v>58.02</v>
      </c>
      <c r="BO1402" s="4">
        <v>58.02</v>
      </c>
      <c r="BQ1402" t="s">
        <v>93</v>
      </c>
      <c r="BR1402" t="s">
        <v>84</v>
      </c>
      <c r="BS1402" s="3">
        <v>43816</v>
      </c>
      <c r="BT1402" s="5">
        <v>0.39027777777777778</v>
      </c>
      <c r="BU1402" t="s">
        <v>287</v>
      </c>
      <c r="BV1402" t="s">
        <v>86</v>
      </c>
      <c r="BY1402">
        <v>1200</v>
      </c>
      <c r="CA1402" t="s">
        <v>288</v>
      </c>
      <c r="CC1402" t="s">
        <v>202</v>
      </c>
      <c r="CD1402">
        <v>3610</v>
      </c>
      <c r="CE1402" t="s">
        <v>88</v>
      </c>
      <c r="CF1402" s="3">
        <v>43817</v>
      </c>
      <c r="CI1402">
        <v>1</v>
      </c>
      <c r="CJ1402">
        <v>2</v>
      </c>
      <c r="CK1402">
        <v>21</v>
      </c>
      <c r="CL1402" t="s">
        <v>89</v>
      </c>
    </row>
    <row r="1403" spans="1:90">
      <c r="A1403" t="s">
        <v>72</v>
      </c>
      <c r="B1403" t="s">
        <v>73</v>
      </c>
      <c r="C1403" t="s">
        <v>74</v>
      </c>
      <c r="E1403" t="str">
        <f>"FES1162728343"</f>
        <v>FES1162728343</v>
      </c>
      <c r="F1403" s="3">
        <v>43812</v>
      </c>
      <c r="G1403">
        <v>202006</v>
      </c>
      <c r="H1403" t="s">
        <v>75</v>
      </c>
      <c r="I1403" t="s">
        <v>76</v>
      </c>
      <c r="J1403" t="s">
        <v>77</v>
      </c>
      <c r="K1403" t="s">
        <v>78</v>
      </c>
      <c r="L1403" t="s">
        <v>198</v>
      </c>
      <c r="M1403" t="s">
        <v>199</v>
      </c>
      <c r="N1403" t="s">
        <v>297</v>
      </c>
      <c r="O1403" t="s">
        <v>82</v>
      </c>
      <c r="P1403" t="str">
        <f>"2170720944                    "</f>
        <v xml:space="preserve">2170720944                    </v>
      </c>
      <c r="Q1403">
        <v>0</v>
      </c>
      <c r="R1403">
        <v>0</v>
      </c>
      <c r="S1403">
        <v>0</v>
      </c>
      <c r="T1403">
        <v>0</v>
      </c>
      <c r="U1403">
        <v>0</v>
      </c>
      <c r="V1403">
        <v>0</v>
      </c>
      <c r="W1403">
        <v>0</v>
      </c>
      <c r="X1403">
        <v>0</v>
      </c>
      <c r="Y1403">
        <v>0</v>
      </c>
      <c r="Z1403">
        <v>0</v>
      </c>
      <c r="AA1403">
        <v>0</v>
      </c>
      <c r="AB1403">
        <v>0</v>
      </c>
      <c r="AC1403">
        <v>0</v>
      </c>
      <c r="AD1403">
        <v>0</v>
      </c>
      <c r="AE1403">
        <v>0</v>
      </c>
      <c r="AF1403">
        <v>0</v>
      </c>
      <c r="AG1403">
        <v>0</v>
      </c>
      <c r="AH1403">
        <v>0</v>
      </c>
      <c r="AI1403">
        <v>0</v>
      </c>
      <c r="AJ1403">
        <v>0</v>
      </c>
      <c r="AK1403">
        <v>0</v>
      </c>
      <c r="AL1403">
        <v>0</v>
      </c>
      <c r="AM1403">
        <v>8.58</v>
      </c>
      <c r="AN1403">
        <v>0</v>
      </c>
      <c r="AO1403">
        <v>0</v>
      </c>
      <c r="AP1403">
        <v>0</v>
      </c>
      <c r="AQ1403">
        <v>0</v>
      </c>
      <c r="AR1403">
        <v>0</v>
      </c>
      <c r="AS1403">
        <v>0</v>
      </c>
      <c r="AT1403">
        <v>0</v>
      </c>
      <c r="AU1403">
        <v>0</v>
      </c>
      <c r="AV1403">
        <v>0</v>
      </c>
      <c r="AW1403">
        <v>0</v>
      </c>
      <c r="AX1403">
        <v>0</v>
      </c>
      <c r="AY1403">
        <v>0</v>
      </c>
      <c r="AZ1403">
        <v>0</v>
      </c>
      <c r="BA1403">
        <v>0</v>
      </c>
      <c r="BB1403">
        <v>0</v>
      </c>
      <c r="BC1403">
        <v>0</v>
      </c>
      <c r="BD1403">
        <v>0</v>
      </c>
      <c r="BE1403">
        <v>0</v>
      </c>
      <c r="BF1403">
        <v>0</v>
      </c>
      <c r="BG1403">
        <v>0</v>
      </c>
      <c r="BH1403">
        <v>1</v>
      </c>
      <c r="BI1403">
        <v>1</v>
      </c>
      <c r="BJ1403">
        <v>0.2</v>
      </c>
      <c r="BK1403">
        <v>1</v>
      </c>
      <c r="BL1403" s="4">
        <v>50.45</v>
      </c>
      <c r="BM1403" s="4">
        <v>7.57</v>
      </c>
      <c r="BN1403" s="4">
        <v>58.02</v>
      </c>
      <c r="BO1403" s="4">
        <v>58.02</v>
      </c>
      <c r="BQ1403" t="s">
        <v>172</v>
      </c>
      <c r="BR1403" t="s">
        <v>84</v>
      </c>
      <c r="BS1403" s="3">
        <v>43816</v>
      </c>
      <c r="BT1403" s="5">
        <v>0.34583333333333338</v>
      </c>
      <c r="BU1403" t="s">
        <v>542</v>
      </c>
      <c r="BV1403" t="s">
        <v>86</v>
      </c>
      <c r="BY1403">
        <v>1200</v>
      </c>
      <c r="CA1403" t="s">
        <v>299</v>
      </c>
      <c r="CC1403" t="s">
        <v>199</v>
      </c>
      <c r="CD1403">
        <v>4000</v>
      </c>
      <c r="CE1403" t="s">
        <v>88</v>
      </c>
      <c r="CF1403" s="3">
        <v>43817</v>
      </c>
      <c r="CI1403">
        <v>1</v>
      </c>
      <c r="CJ1403">
        <v>2</v>
      </c>
      <c r="CK1403">
        <v>21</v>
      </c>
      <c r="CL1403" t="s">
        <v>89</v>
      </c>
    </row>
    <row r="1404" spans="1:90">
      <c r="A1404" t="s">
        <v>72</v>
      </c>
      <c r="B1404" t="s">
        <v>73</v>
      </c>
      <c r="C1404" t="s">
        <v>74</v>
      </c>
      <c r="E1404" t="str">
        <f>"FES1162728436"</f>
        <v>FES1162728436</v>
      </c>
      <c r="F1404" s="3">
        <v>43812</v>
      </c>
      <c r="G1404">
        <v>202006</v>
      </c>
      <c r="H1404" t="s">
        <v>75</v>
      </c>
      <c r="I1404" t="s">
        <v>76</v>
      </c>
      <c r="J1404" t="s">
        <v>77</v>
      </c>
      <c r="K1404" t="s">
        <v>78</v>
      </c>
      <c r="L1404" t="s">
        <v>198</v>
      </c>
      <c r="M1404" t="s">
        <v>199</v>
      </c>
      <c r="N1404" t="s">
        <v>639</v>
      </c>
      <c r="O1404" t="s">
        <v>82</v>
      </c>
      <c r="P1404" t="str">
        <f>"2170720578                    "</f>
        <v xml:space="preserve">2170720578                    </v>
      </c>
      <c r="Q1404">
        <v>0</v>
      </c>
      <c r="R1404">
        <v>0</v>
      </c>
      <c r="S1404">
        <v>0</v>
      </c>
      <c r="T1404">
        <v>0</v>
      </c>
      <c r="U1404">
        <v>0</v>
      </c>
      <c r="V1404">
        <v>0</v>
      </c>
      <c r="W1404">
        <v>0</v>
      </c>
      <c r="X1404">
        <v>0</v>
      </c>
      <c r="Y1404">
        <v>0</v>
      </c>
      <c r="Z1404">
        <v>0</v>
      </c>
      <c r="AA1404">
        <v>0</v>
      </c>
      <c r="AB1404">
        <v>0</v>
      </c>
      <c r="AC1404">
        <v>0</v>
      </c>
      <c r="AD1404">
        <v>0</v>
      </c>
      <c r="AE1404">
        <v>0</v>
      </c>
      <c r="AF1404">
        <v>0</v>
      </c>
      <c r="AG1404">
        <v>0</v>
      </c>
      <c r="AH1404">
        <v>0</v>
      </c>
      <c r="AI1404">
        <v>0</v>
      </c>
      <c r="AJ1404">
        <v>0</v>
      </c>
      <c r="AK1404">
        <v>0</v>
      </c>
      <c r="AL1404">
        <v>0</v>
      </c>
      <c r="AM1404">
        <v>8.58</v>
      </c>
      <c r="AN1404">
        <v>0</v>
      </c>
      <c r="AO1404">
        <v>0</v>
      </c>
      <c r="AP1404">
        <v>0</v>
      </c>
      <c r="AQ1404">
        <v>0</v>
      </c>
      <c r="AR1404">
        <v>0</v>
      </c>
      <c r="AS1404">
        <v>0</v>
      </c>
      <c r="AT1404">
        <v>0</v>
      </c>
      <c r="AU1404">
        <v>0</v>
      </c>
      <c r="AV1404">
        <v>0</v>
      </c>
      <c r="AW1404">
        <v>0</v>
      </c>
      <c r="AX1404">
        <v>0</v>
      </c>
      <c r="AY1404">
        <v>0</v>
      </c>
      <c r="AZ1404">
        <v>0</v>
      </c>
      <c r="BA1404">
        <v>0</v>
      </c>
      <c r="BB1404">
        <v>0</v>
      </c>
      <c r="BC1404">
        <v>0</v>
      </c>
      <c r="BD1404">
        <v>0</v>
      </c>
      <c r="BE1404">
        <v>0</v>
      </c>
      <c r="BF1404">
        <v>0</v>
      </c>
      <c r="BG1404">
        <v>0</v>
      </c>
      <c r="BH1404">
        <v>1</v>
      </c>
      <c r="BI1404">
        <v>1</v>
      </c>
      <c r="BJ1404">
        <v>0.2</v>
      </c>
      <c r="BK1404">
        <v>1</v>
      </c>
      <c r="BL1404" s="4">
        <v>50.45</v>
      </c>
      <c r="BM1404" s="4">
        <v>7.57</v>
      </c>
      <c r="BN1404" s="4">
        <v>58.02</v>
      </c>
      <c r="BO1404" s="4">
        <v>58.02</v>
      </c>
      <c r="BQ1404" t="s">
        <v>640</v>
      </c>
      <c r="BR1404" t="s">
        <v>84</v>
      </c>
      <c r="BS1404" s="3">
        <v>43816</v>
      </c>
      <c r="BT1404" s="5">
        <v>0.33958333333333335</v>
      </c>
      <c r="BU1404" t="s">
        <v>641</v>
      </c>
      <c r="BV1404" t="s">
        <v>86</v>
      </c>
      <c r="BY1404">
        <v>1200</v>
      </c>
      <c r="CA1404" t="s">
        <v>408</v>
      </c>
      <c r="CC1404" t="s">
        <v>199</v>
      </c>
      <c r="CD1404">
        <v>4052</v>
      </c>
      <c r="CE1404" t="s">
        <v>88</v>
      </c>
      <c r="CF1404" s="3">
        <v>43817</v>
      </c>
      <c r="CI1404">
        <v>1</v>
      </c>
      <c r="CJ1404">
        <v>2</v>
      </c>
      <c r="CK1404">
        <v>21</v>
      </c>
      <c r="CL1404" t="s">
        <v>89</v>
      </c>
    </row>
    <row r="1405" spans="1:90">
      <c r="A1405" t="s">
        <v>72</v>
      </c>
      <c r="B1405" t="s">
        <v>73</v>
      </c>
      <c r="C1405" t="s">
        <v>74</v>
      </c>
      <c r="E1405" t="str">
        <f>"FES1162728380"</f>
        <v>FES1162728380</v>
      </c>
      <c r="F1405" s="3">
        <v>43812</v>
      </c>
      <c r="G1405">
        <v>202006</v>
      </c>
      <c r="H1405" t="s">
        <v>75</v>
      </c>
      <c r="I1405" t="s">
        <v>76</v>
      </c>
      <c r="J1405" t="s">
        <v>77</v>
      </c>
      <c r="K1405" t="s">
        <v>78</v>
      </c>
      <c r="L1405" t="s">
        <v>332</v>
      </c>
      <c r="M1405" t="s">
        <v>333</v>
      </c>
      <c r="N1405" t="s">
        <v>978</v>
      </c>
      <c r="O1405" t="s">
        <v>82</v>
      </c>
      <c r="P1405" t="str">
        <f>"2170720280                    "</f>
        <v xml:space="preserve">2170720280                    </v>
      </c>
      <c r="Q1405">
        <v>0</v>
      </c>
      <c r="R1405">
        <v>0</v>
      </c>
      <c r="S1405">
        <v>0</v>
      </c>
      <c r="T1405">
        <v>0</v>
      </c>
      <c r="U1405">
        <v>0</v>
      </c>
      <c r="V1405">
        <v>0</v>
      </c>
      <c r="W1405">
        <v>0</v>
      </c>
      <c r="X1405">
        <v>0</v>
      </c>
      <c r="Y1405">
        <v>0</v>
      </c>
      <c r="Z1405">
        <v>0</v>
      </c>
      <c r="AA1405">
        <v>0</v>
      </c>
      <c r="AB1405">
        <v>0</v>
      </c>
      <c r="AC1405">
        <v>0</v>
      </c>
      <c r="AD1405">
        <v>0</v>
      </c>
      <c r="AE1405">
        <v>0</v>
      </c>
      <c r="AF1405">
        <v>0</v>
      </c>
      <c r="AG1405">
        <v>0</v>
      </c>
      <c r="AH1405">
        <v>0</v>
      </c>
      <c r="AI1405">
        <v>0</v>
      </c>
      <c r="AJ1405">
        <v>0</v>
      </c>
      <c r="AK1405">
        <v>0</v>
      </c>
      <c r="AL1405">
        <v>0</v>
      </c>
      <c r="AM1405">
        <v>6.71</v>
      </c>
      <c r="AN1405">
        <v>0</v>
      </c>
      <c r="AO1405">
        <v>0</v>
      </c>
      <c r="AP1405">
        <v>0</v>
      </c>
      <c r="AQ1405">
        <v>0</v>
      </c>
      <c r="AR1405">
        <v>0</v>
      </c>
      <c r="AS1405">
        <v>0</v>
      </c>
      <c r="AT1405">
        <v>0</v>
      </c>
      <c r="AU1405">
        <v>0</v>
      </c>
      <c r="AV1405">
        <v>0</v>
      </c>
      <c r="AW1405">
        <v>0</v>
      </c>
      <c r="AX1405">
        <v>0</v>
      </c>
      <c r="AY1405">
        <v>0</v>
      </c>
      <c r="AZ1405">
        <v>0</v>
      </c>
      <c r="BA1405">
        <v>0</v>
      </c>
      <c r="BB1405">
        <v>0</v>
      </c>
      <c r="BC1405">
        <v>0</v>
      </c>
      <c r="BD1405">
        <v>0</v>
      </c>
      <c r="BE1405">
        <v>0</v>
      </c>
      <c r="BF1405">
        <v>0</v>
      </c>
      <c r="BG1405">
        <v>0</v>
      </c>
      <c r="BH1405">
        <v>1</v>
      </c>
      <c r="BI1405">
        <v>1</v>
      </c>
      <c r="BJ1405">
        <v>0.2</v>
      </c>
      <c r="BK1405">
        <v>1</v>
      </c>
      <c r="BL1405" s="4">
        <v>39.42</v>
      </c>
      <c r="BM1405" s="4">
        <v>5.91</v>
      </c>
      <c r="BN1405" s="4">
        <v>45.33</v>
      </c>
      <c r="BO1405" s="4">
        <v>45.33</v>
      </c>
      <c r="BR1405" t="s">
        <v>84</v>
      </c>
      <c r="BS1405" s="3">
        <v>43816</v>
      </c>
      <c r="BT1405" s="5">
        <v>0.37152777777777773</v>
      </c>
      <c r="BU1405" t="s">
        <v>1877</v>
      </c>
      <c r="BV1405" t="s">
        <v>86</v>
      </c>
      <c r="BY1405">
        <v>1200</v>
      </c>
      <c r="CA1405" t="s">
        <v>1008</v>
      </c>
      <c r="CC1405" t="s">
        <v>333</v>
      </c>
      <c r="CD1405">
        <v>2013</v>
      </c>
      <c r="CE1405" t="s">
        <v>88</v>
      </c>
      <c r="CF1405" s="3">
        <v>43817</v>
      </c>
      <c r="CI1405">
        <v>1</v>
      </c>
      <c r="CJ1405">
        <v>2</v>
      </c>
      <c r="CK1405">
        <v>22</v>
      </c>
      <c r="CL1405" t="s">
        <v>89</v>
      </c>
    </row>
    <row r="1406" spans="1:90">
      <c r="A1406" t="s">
        <v>72</v>
      </c>
      <c r="B1406" t="s">
        <v>73</v>
      </c>
      <c r="C1406" t="s">
        <v>74</v>
      </c>
      <c r="E1406" t="str">
        <f>"FES1162728404"</f>
        <v>FES1162728404</v>
      </c>
      <c r="F1406" s="3">
        <v>43812</v>
      </c>
      <c r="G1406">
        <v>202006</v>
      </c>
      <c r="H1406" t="s">
        <v>75</v>
      </c>
      <c r="I1406" t="s">
        <v>76</v>
      </c>
      <c r="J1406" t="s">
        <v>77</v>
      </c>
      <c r="K1406" t="s">
        <v>78</v>
      </c>
      <c r="L1406" t="s">
        <v>221</v>
      </c>
      <c r="M1406" t="s">
        <v>222</v>
      </c>
      <c r="N1406" t="s">
        <v>1662</v>
      </c>
      <c r="O1406" t="s">
        <v>82</v>
      </c>
      <c r="P1406" t="str">
        <f>"2170718467                    "</f>
        <v xml:space="preserve">2170718467                    </v>
      </c>
      <c r="Q1406">
        <v>0</v>
      </c>
      <c r="R1406">
        <v>0</v>
      </c>
      <c r="S1406">
        <v>0</v>
      </c>
      <c r="T1406">
        <v>0</v>
      </c>
      <c r="U1406">
        <v>0</v>
      </c>
      <c r="V1406">
        <v>0</v>
      </c>
      <c r="W1406">
        <v>0</v>
      </c>
      <c r="X1406">
        <v>0</v>
      </c>
      <c r="Y1406">
        <v>0</v>
      </c>
      <c r="Z1406">
        <v>0</v>
      </c>
      <c r="AA1406">
        <v>0</v>
      </c>
      <c r="AB1406">
        <v>0</v>
      </c>
      <c r="AC1406">
        <v>0</v>
      </c>
      <c r="AD1406">
        <v>0</v>
      </c>
      <c r="AE1406">
        <v>0</v>
      </c>
      <c r="AF1406">
        <v>0</v>
      </c>
      <c r="AG1406">
        <v>0</v>
      </c>
      <c r="AH1406">
        <v>0</v>
      </c>
      <c r="AI1406">
        <v>0</v>
      </c>
      <c r="AJ1406">
        <v>0</v>
      </c>
      <c r="AK1406">
        <v>0</v>
      </c>
      <c r="AL1406">
        <v>0</v>
      </c>
      <c r="AM1406">
        <v>8.58</v>
      </c>
      <c r="AN1406">
        <v>0</v>
      </c>
      <c r="AO1406">
        <v>0</v>
      </c>
      <c r="AP1406">
        <v>0</v>
      </c>
      <c r="AQ1406">
        <v>0</v>
      </c>
      <c r="AR1406">
        <v>0</v>
      </c>
      <c r="AS1406">
        <v>0</v>
      </c>
      <c r="AT1406">
        <v>0</v>
      </c>
      <c r="AU1406">
        <v>0</v>
      </c>
      <c r="AV1406">
        <v>0</v>
      </c>
      <c r="AW1406">
        <v>0</v>
      </c>
      <c r="AX1406">
        <v>0</v>
      </c>
      <c r="AY1406">
        <v>0</v>
      </c>
      <c r="AZ1406">
        <v>0</v>
      </c>
      <c r="BA1406">
        <v>0</v>
      </c>
      <c r="BB1406">
        <v>0</v>
      </c>
      <c r="BC1406">
        <v>0</v>
      </c>
      <c r="BD1406">
        <v>0</v>
      </c>
      <c r="BE1406">
        <v>0</v>
      </c>
      <c r="BF1406">
        <v>0</v>
      </c>
      <c r="BG1406">
        <v>0</v>
      </c>
      <c r="BH1406">
        <v>1</v>
      </c>
      <c r="BI1406">
        <v>1</v>
      </c>
      <c r="BJ1406">
        <v>0.2</v>
      </c>
      <c r="BK1406">
        <v>1</v>
      </c>
      <c r="BL1406" s="4">
        <v>50.45</v>
      </c>
      <c r="BM1406" s="4">
        <v>7.57</v>
      </c>
      <c r="BN1406" s="4">
        <v>58.02</v>
      </c>
      <c r="BO1406" s="4">
        <v>58.02</v>
      </c>
      <c r="BQ1406" t="s">
        <v>147</v>
      </c>
      <c r="BR1406" t="s">
        <v>84</v>
      </c>
      <c r="BS1406" s="3">
        <v>43817</v>
      </c>
      <c r="BT1406" s="5">
        <v>0.64583333333333337</v>
      </c>
      <c r="BU1406" t="s">
        <v>1878</v>
      </c>
      <c r="BV1406" t="s">
        <v>89</v>
      </c>
      <c r="BW1406" t="s">
        <v>506</v>
      </c>
      <c r="BX1406" t="s">
        <v>1879</v>
      </c>
      <c r="BY1406">
        <v>1200</v>
      </c>
      <c r="CA1406" t="s">
        <v>620</v>
      </c>
      <c r="CC1406" t="s">
        <v>222</v>
      </c>
      <c r="CD1406">
        <v>3201</v>
      </c>
      <c r="CE1406" t="s">
        <v>88</v>
      </c>
      <c r="CF1406" s="3">
        <v>43818</v>
      </c>
      <c r="CI1406">
        <v>1</v>
      </c>
      <c r="CJ1406">
        <v>3</v>
      </c>
      <c r="CK1406">
        <v>21</v>
      </c>
      <c r="CL1406" t="s">
        <v>89</v>
      </c>
    </row>
    <row r="1407" spans="1:90">
      <c r="A1407" t="s">
        <v>72</v>
      </c>
      <c r="B1407" t="s">
        <v>73</v>
      </c>
      <c r="C1407" t="s">
        <v>74</v>
      </c>
      <c r="E1407" t="str">
        <f>"FES1162728327"</f>
        <v>FES1162728327</v>
      </c>
      <c r="F1407" s="3">
        <v>43812</v>
      </c>
      <c r="G1407">
        <v>202006</v>
      </c>
      <c r="H1407" t="s">
        <v>75</v>
      </c>
      <c r="I1407" t="s">
        <v>76</v>
      </c>
      <c r="J1407" t="s">
        <v>77</v>
      </c>
      <c r="K1407" t="s">
        <v>78</v>
      </c>
      <c r="L1407" t="s">
        <v>1880</v>
      </c>
      <c r="M1407" t="s">
        <v>1881</v>
      </c>
      <c r="N1407" t="s">
        <v>1882</v>
      </c>
      <c r="O1407" t="s">
        <v>82</v>
      </c>
      <c r="P1407" t="str">
        <f>"2170719609                    "</f>
        <v xml:space="preserve">2170719609                    </v>
      </c>
      <c r="Q1407">
        <v>0</v>
      </c>
      <c r="R1407">
        <v>0</v>
      </c>
      <c r="S1407">
        <v>0</v>
      </c>
      <c r="T1407">
        <v>0</v>
      </c>
      <c r="U1407">
        <v>0</v>
      </c>
      <c r="V1407">
        <v>0</v>
      </c>
      <c r="W1407">
        <v>0</v>
      </c>
      <c r="X1407">
        <v>0</v>
      </c>
      <c r="Y1407">
        <v>0</v>
      </c>
      <c r="Z1407">
        <v>0</v>
      </c>
      <c r="AA1407">
        <v>0</v>
      </c>
      <c r="AB1407">
        <v>0</v>
      </c>
      <c r="AC1407">
        <v>0</v>
      </c>
      <c r="AD1407">
        <v>0</v>
      </c>
      <c r="AE1407">
        <v>0</v>
      </c>
      <c r="AF1407">
        <v>0</v>
      </c>
      <c r="AG1407">
        <v>0</v>
      </c>
      <c r="AH1407">
        <v>0</v>
      </c>
      <c r="AI1407">
        <v>0</v>
      </c>
      <c r="AJ1407">
        <v>0</v>
      </c>
      <c r="AK1407">
        <v>0</v>
      </c>
      <c r="AL1407">
        <v>0</v>
      </c>
      <c r="AM1407">
        <v>8.58</v>
      </c>
      <c r="AN1407">
        <v>0</v>
      </c>
      <c r="AO1407">
        <v>0</v>
      </c>
      <c r="AP1407">
        <v>0</v>
      </c>
      <c r="AQ1407">
        <v>0</v>
      </c>
      <c r="AR1407">
        <v>0</v>
      </c>
      <c r="AS1407">
        <v>0</v>
      </c>
      <c r="AT1407">
        <v>0</v>
      </c>
      <c r="AU1407">
        <v>0</v>
      </c>
      <c r="AV1407">
        <v>0</v>
      </c>
      <c r="AW1407">
        <v>0</v>
      </c>
      <c r="AX1407">
        <v>0</v>
      </c>
      <c r="AY1407">
        <v>0</v>
      </c>
      <c r="AZ1407">
        <v>0</v>
      </c>
      <c r="BA1407">
        <v>0</v>
      </c>
      <c r="BB1407">
        <v>0</v>
      </c>
      <c r="BC1407">
        <v>0</v>
      </c>
      <c r="BD1407">
        <v>0</v>
      </c>
      <c r="BE1407">
        <v>0</v>
      </c>
      <c r="BF1407">
        <v>0</v>
      </c>
      <c r="BG1407">
        <v>0</v>
      </c>
      <c r="BH1407">
        <v>1</v>
      </c>
      <c r="BI1407">
        <v>1</v>
      </c>
      <c r="BJ1407">
        <v>0.2</v>
      </c>
      <c r="BK1407">
        <v>1</v>
      </c>
      <c r="BL1407" s="4">
        <v>50.45</v>
      </c>
      <c r="BM1407" s="4">
        <v>7.57</v>
      </c>
      <c r="BN1407" s="4">
        <v>58.02</v>
      </c>
      <c r="BO1407" s="4">
        <v>58.02</v>
      </c>
      <c r="BQ1407" t="s">
        <v>147</v>
      </c>
      <c r="BR1407" t="s">
        <v>84</v>
      </c>
      <c r="BS1407" s="3">
        <v>43816</v>
      </c>
      <c r="BT1407" s="5">
        <v>0.46180555555555558</v>
      </c>
      <c r="BU1407" t="s">
        <v>1883</v>
      </c>
      <c r="BV1407" t="s">
        <v>86</v>
      </c>
      <c r="BY1407">
        <v>1200</v>
      </c>
      <c r="CA1407" t="s">
        <v>344</v>
      </c>
      <c r="CC1407" t="s">
        <v>1881</v>
      </c>
      <c r="CD1407">
        <v>3310</v>
      </c>
      <c r="CE1407" t="s">
        <v>88</v>
      </c>
      <c r="CF1407" s="3">
        <v>43817</v>
      </c>
      <c r="CI1407">
        <v>1</v>
      </c>
      <c r="CJ1407">
        <v>2</v>
      </c>
      <c r="CK1407">
        <v>21</v>
      </c>
      <c r="CL1407" t="s">
        <v>89</v>
      </c>
    </row>
    <row r="1408" spans="1:90">
      <c r="A1408" t="s">
        <v>72</v>
      </c>
      <c r="B1408" t="s">
        <v>73</v>
      </c>
      <c r="C1408" t="s">
        <v>74</v>
      </c>
      <c r="E1408" t="str">
        <f>"FES1162728342"</f>
        <v>FES1162728342</v>
      </c>
      <c r="F1408" s="3">
        <v>43812</v>
      </c>
      <c r="G1408">
        <v>202006</v>
      </c>
      <c r="H1408" t="s">
        <v>75</v>
      </c>
      <c r="I1408" t="s">
        <v>76</v>
      </c>
      <c r="J1408" t="s">
        <v>77</v>
      </c>
      <c r="K1408" t="s">
        <v>78</v>
      </c>
      <c r="L1408" t="s">
        <v>198</v>
      </c>
      <c r="M1408" t="s">
        <v>199</v>
      </c>
      <c r="N1408" t="s">
        <v>639</v>
      </c>
      <c r="O1408" t="s">
        <v>82</v>
      </c>
      <c r="P1408" t="str">
        <f>"2170720856                    "</f>
        <v xml:space="preserve">2170720856                    </v>
      </c>
      <c r="Q1408">
        <v>0</v>
      </c>
      <c r="R1408">
        <v>0</v>
      </c>
      <c r="S1408">
        <v>0</v>
      </c>
      <c r="T1408">
        <v>0</v>
      </c>
      <c r="U1408">
        <v>0</v>
      </c>
      <c r="V1408">
        <v>0</v>
      </c>
      <c r="W1408">
        <v>0</v>
      </c>
      <c r="X1408">
        <v>0</v>
      </c>
      <c r="Y1408">
        <v>0</v>
      </c>
      <c r="Z1408">
        <v>0</v>
      </c>
      <c r="AA1408">
        <v>0</v>
      </c>
      <c r="AB1408">
        <v>0</v>
      </c>
      <c r="AC1408">
        <v>0</v>
      </c>
      <c r="AD1408">
        <v>0</v>
      </c>
      <c r="AE1408">
        <v>0</v>
      </c>
      <c r="AF1408">
        <v>0</v>
      </c>
      <c r="AG1408">
        <v>0</v>
      </c>
      <c r="AH1408">
        <v>0</v>
      </c>
      <c r="AI1408">
        <v>0</v>
      </c>
      <c r="AJ1408">
        <v>0</v>
      </c>
      <c r="AK1408">
        <v>0</v>
      </c>
      <c r="AL1408">
        <v>0</v>
      </c>
      <c r="AM1408">
        <v>8.58</v>
      </c>
      <c r="AN1408">
        <v>0</v>
      </c>
      <c r="AO1408">
        <v>0</v>
      </c>
      <c r="AP1408">
        <v>0</v>
      </c>
      <c r="AQ1408">
        <v>0</v>
      </c>
      <c r="AR1408">
        <v>0</v>
      </c>
      <c r="AS1408">
        <v>0</v>
      </c>
      <c r="AT1408">
        <v>0</v>
      </c>
      <c r="AU1408">
        <v>0</v>
      </c>
      <c r="AV1408">
        <v>0</v>
      </c>
      <c r="AW1408">
        <v>0</v>
      </c>
      <c r="AX1408">
        <v>0</v>
      </c>
      <c r="AY1408">
        <v>0</v>
      </c>
      <c r="AZ1408">
        <v>0</v>
      </c>
      <c r="BA1408">
        <v>0</v>
      </c>
      <c r="BB1408">
        <v>0</v>
      </c>
      <c r="BC1408">
        <v>0</v>
      </c>
      <c r="BD1408">
        <v>0</v>
      </c>
      <c r="BE1408">
        <v>0</v>
      </c>
      <c r="BF1408">
        <v>0</v>
      </c>
      <c r="BG1408">
        <v>0</v>
      </c>
      <c r="BH1408">
        <v>1</v>
      </c>
      <c r="BI1408">
        <v>1</v>
      </c>
      <c r="BJ1408">
        <v>0.2</v>
      </c>
      <c r="BK1408">
        <v>1</v>
      </c>
      <c r="BL1408" s="4">
        <v>50.45</v>
      </c>
      <c r="BM1408" s="4">
        <v>7.57</v>
      </c>
      <c r="BN1408" s="4">
        <v>58.02</v>
      </c>
      <c r="BO1408" s="4">
        <v>58.02</v>
      </c>
      <c r="BQ1408" t="s">
        <v>640</v>
      </c>
      <c r="BR1408" t="s">
        <v>84</v>
      </c>
      <c r="BS1408" s="3">
        <v>43816</v>
      </c>
      <c r="BT1408" s="5">
        <v>0.33958333333333335</v>
      </c>
      <c r="BU1408" t="s">
        <v>641</v>
      </c>
      <c r="BV1408" t="s">
        <v>86</v>
      </c>
      <c r="BY1408">
        <v>1200</v>
      </c>
      <c r="CA1408" t="s">
        <v>408</v>
      </c>
      <c r="CC1408" t="s">
        <v>199</v>
      </c>
      <c r="CD1408">
        <v>4052</v>
      </c>
      <c r="CE1408" t="s">
        <v>88</v>
      </c>
      <c r="CF1408" s="3">
        <v>43817</v>
      </c>
      <c r="CI1408">
        <v>1</v>
      </c>
      <c r="CJ1408">
        <v>2</v>
      </c>
      <c r="CK1408">
        <v>21</v>
      </c>
      <c r="CL1408" t="s">
        <v>89</v>
      </c>
    </row>
    <row r="1409" spans="1:90">
      <c r="A1409" t="s">
        <v>72</v>
      </c>
      <c r="B1409" t="s">
        <v>73</v>
      </c>
      <c r="C1409" t="s">
        <v>74</v>
      </c>
      <c r="E1409" t="str">
        <f>"FES1162728427"</f>
        <v>FES1162728427</v>
      </c>
      <c r="F1409" s="3">
        <v>43812</v>
      </c>
      <c r="G1409">
        <v>202006</v>
      </c>
      <c r="H1409" t="s">
        <v>75</v>
      </c>
      <c r="I1409" t="s">
        <v>76</v>
      </c>
      <c r="J1409" t="s">
        <v>77</v>
      </c>
      <c r="K1409" t="s">
        <v>78</v>
      </c>
      <c r="L1409" t="s">
        <v>198</v>
      </c>
      <c r="M1409" t="s">
        <v>199</v>
      </c>
      <c r="N1409" t="s">
        <v>297</v>
      </c>
      <c r="O1409" t="s">
        <v>82</v>
      </c>
      <c r="P1409" t="str">
        <f>"2170719186                    "</f>
        <v xml:space="preserve">2170719186                    </v>
      </c>
      <c r="Q1409">
        <v>0</v>
      </c>
      <c r="R1409">
        <v>0</v>
      </c>
      <c r="S1409">
        <v>0</v>
      </c>
      <c r="T1409">
        <v>0</v>
      </c>
      <c r="U1409">
        <v>0</v>
      </c>
      <c r="V1409">
        <v>0</v>
      </c>
      <c r="W1409">
        <v>0</v>
      </c>
      <c r="X1409">
        <v>0</v>
      </c>
      <c r="Y1409">
        <v>0</v>
      </c>
      <c r="Z1409">
        <v>0</v>
      </c>
      <c r="AA1409">
        <v>0</v>
      </c>
      <c r="AB1409">
        <v>0</v>
      </c>
      <c r="AC1409">
        <v>0</v>
      </c>
      <c r="AD1409">
        <v>0</v>
      </c>
      <c r="AE1409">
        <v>0</v>
      </c>
      <c r="AF1409">
        <v>0</v>
      </c>
      <c r="AG1409">
        <v>0</v>
      </c>
      <c r="AH1409">
        <v>0</v>
      </c>
      <c r="AI1409">
        <v>0</v>
      </c>
      <c r="AJ1409">
        <v>0</v>
      </c>
      <c r="AK1409">
        <v>0</v>
      </c>
      <c r="AL1409">
        <v>0</v>
      </c>
      <c r="AM1409">
        <v>8.58</v>
      </c>
      <c r="AN1409">
        <v>0</v>
      </c>
      <c r="AO1409">
        <v>0</v>
      </c>
      <c r="AP1409">
        <v>0</v>
      </c>
      <c r="AQ1409">
        <v>0</v>
      </c>
      <c r="AR1409">
        <v>0</v>
      </c>
      <c r="AS1409">
        <v>0</v>
      </c>
      <c r="AT1409">
        <v>0</v>
      </c>
      <c r="AU1409">
        <v>0</v>
      </c>
      <c r="AV1409">
        <v>0</v>
      </c>
      <c r="AW1409">
        <v>0</v>
      </c>
      <c r="AX1409">
        <v>0</v>
      </c>
      <c r="AY1409">
        <v>0</v>
      </c>
      <c r="AZ1409">
        <v>0</v>
      </c>
      <c r="BA1409">
        <v>0</v>
      </c>
      <c r="BB1409">
        <v>0</v>
      </c>
      <c r="BC1409">
        <v>0</v>
      </c>
      <c r="BD1409">
        <v>0</v>
      </c>
      <c r="BE1409">
        <v>0</v>
      </c>
      <c r="BF1409">
        <v>0</v>
      </c>
      <c r="BG1409">
        <v>0</v>
      </c>
      <c r="BH1409">
        <v>1</v>
      </c>
      <c r="BI1409">
        <v>1</v>
      </c>
      <c r="BJ1409">
        <v>0.2</v>
      </c>
      <c r="BK1409">
        <v>1</v>
      </c>
      <c r="BL1409" s="4">
        <v>50.45</v>
      </c>
      <c r="BM1409" s="4">
        <v>7.57</v>
      </c>
      <c r="BN1409" s="4">
        <v>58.02</v>
      </c>
      <c r="BO1409" s="4">
        <v>58.02</v>
      </c>
      <c r="BQ1409" t="s">
        <v>172</v>
      </c>
      <c r="BR1409" t="s">
        <v>84</v>
      </c>
      <c r="BS1409" s="3">
        <v>43816</v>
      </c>
      <c r="BT1409" s="5">
        <v>0.34583333333333338</v>
      </c>
      <c r="BU1409" t="s">
        <v>542</v>
      </c>
      <c r="BV1409" t="s">
        <v>86</v>
      </c>
      <c r="BY1409">
        <v>1200</v>
      </c>
      <c r="CA1409" t="s">
        <v>299</v>
      </c>
      <c r="CC1409" t="s">
        <v>199</v>
      </c>
      <c r="CD1409">
        <v>4000</v>
      </c>
      <c r="CE1409" t="s">
        <v>88</v>
      </c>
      <c r="CF1409" s="3">
        <v>43817</v>
      </c>
      <c r="CI1409">
        <v>1</v>
      </c>
      <c r="CJ1409">
        <v>2</v>
      </c>
      <c r="CK1409">
        <v>21</v>
      </c>
      <c r="CL1409" t="s">
        <v>89</v>
      </c>
    </row>
    <row r="1410" spans="1:90">
      <c r="A1410" t="s">
        <v>72</v>
      </c>
      <c r="B1410" t="s">
        <v>73</v>
      </c>
      <c r="C1410" t="s">
        <v>74</v>
      </c>
      <c r="E1410" t="str">
        <f>"FES1162728455"</f>
        <v>FES1162728455</v>
      </c>
      <c r="F1410" s="3">
        <v>43812</v>
      </c>
      <c r="G1410">
        <v>202006</v>
      </c>
      <c r="H1410" t="s">
        <v>75</v>
      </c>
      <c r="I1410" t="s">
        <v>76</v>
      </c>
      <c r="J1410" t="s">
        <v>77</v>
      </c>
      <c r="K1410" t="s">
        <v>78</v>
      </c>
      <c r="L1410" t="s">
        <v>201</v>
      </c>
      <c r="M1410" t="s">
        <v>202</v>
      </c>
      <c r="N1410" t="s">
        <v>1716</v>
      </c>
      <c r="O1410" t="s">
        <v>82</v>
      </c>
      <c r="P1410" t="str">
        <f>"2170721689                    "</f>
        <v xml:space="preserve">2170721689                    </v>
      </c>
      <c r="Q1410">
        <v>0</v>
      </c>
      <c r="R1410">
        <v>0</v>
      </c>
      <c r="S1410">
        <v>0</v>
      </c>
      <c r="T1410">
        <v>0</v>
      </c>
      <c r="U1410">
        <v>0</v>
      </c>
      <c r="V1410">
        <v>0</v>
      </c>
      <c r="W1410">
        <v>0</v>
      </c>
      <c r="X1410">
        <v>0</v>
      </c>
      <c r="Y1410">
        <v>0</v>
      </c>
      <c r="Z1410">
        <v>0</v>
      </c>
      <c r="AA1410">
        <v>0</v>
      </c>
      <c r="AB1410">
        <v>0</v>
      </c>
      <c r="AC1410">
        <v>0</v>
      </c>
      <c r="AD1410">
        <v>0</v>
      </c>
      <c r="AE1410">
        <v>0</v>
      </c>
      <c r="AF1410">
        <v>0</v>
      </c>
      <c r="AG1410">
        <v>0</v>
      </c>
      <c r="AH1410">
        <v>0</v>
      </c>
      <c r="AI1410">
        <v>0</v>
      </c>
      <c r="AJ1410">
        <v>0</v>
      </c>
      <c r="AK1410">
        <v>0</v>
      </c>
      <c r="AL1410">
        <v>0</v>
      </c>
      <c r="AM1410">
        <v>8.58</v>
      </c>
      <c r="AN1410">
        <v>0</v>
      </c>
      <c r="AO1410">
        <v>0</v>
      </c>
      <c r="AP1410">
        <v>0</v>
      </c>
      <c r="AQ1410">
        <v>0</v>
      </c>
      <c r="AR1410">
        <v>0</v>
      </c>
      <c r="AS1410">
        <v>0</v>
      </c>
      <c r="AT1410">
        <v>0</v>
      </c>
      <c r="AU1410">
        <v>0</v>
      </c>
      <c r="AV1410">
        <v>0</v>
      </c>
      <c r="AW1410">
        <v>0</v>
      </c>
      <c r="AX1410">
        <v>0</v>
      </c>
      <c r="AY1410">
        <v>0</v>
      </c>
      <c r="AZ1410">
        <v>0</v>
      </c>
      <c r="BA1410">
        <v>0</v>
      </c>
      <c r="BB1410">
        <v>0</v>
      </c>
      <c r="BC1410">
        <v>0</v>
      </c>
      <c r="BD1410">
        <v>0</v>
      </c>
      <c r="BE1410">
        <v>0</v>
      </c>
      <c r="BF1410">
        <v>0</v>
      </c>
      <c r="BG1410">
        <v>0</v>
      </c>
      <c r="BH1410">
        <v>1</v>
      </c>
      <c r="BI1410">
        <v>1</v>
      </c>
      <c r="BJ1410">
        <v>0.2</v>
      </c>
      <c r="BK1410">
        <v>1</v>
      </c>
      <c r="BL1410" s="4">
        <v>50.45</v>
      </c>
      <c r="BM1410" s="4">
        <v>7.57</v>
      </c>
      <c r="BN1410" s="4">
        <v>58.02</v>
      </c>
      <c r="BO1410" s="4">
        <v>58.02</v>
      </c>
      <c r="BQ1410" t="s">
        <v>147</v>
      </c>
      <c r="BR1410" t="s">
        <v>84</v>
      </c>
      <c r="BS1410" s="3">
        <v>43818</v>
      </c>
      <c r="BT1410" s="5">
        <v>0.60972222222222217</v>
      </c>
      <c r="BU1410" t="s">
        <v>617</v>
      </c>
      <c r="BV1410" t="s">
        <v>89</v>
      </c>
      <c r="BW1410" t="s">
        <v>1335</v>
      </c>
      <c r="BX1410" t="s">
        <v>619</v>
      </c>
      <c r="BY1410">
        <v>1200</v>
      </c>
      <c r="CA1410" t="s">
        <v>620</v>
      </c>
      <c r="CC1410" t="s">
        <v>202</v>
      </c>
      <c r="CD1410">
        <v>3620</v>
      </c>
      <c r="CE1410" t="s">
        <v>88</v>
      </c>
      <c r="CI1410">
        <v>1</v>
      </c>
      <c r="CJ1410">
        <v>4</v>
      </c>
      <c r="CK1410">
        <v>21</v>
      </c>
      <c r="CL1410" t="s">
        <v>89</v>
      </c>
    </row>
    <row r="1411" spans="1:90">
      <c r="A1411" t="s">
        <v>72</v>
      </c>
      <c r="B1411" t="s">
        <v>73</v>
      </c>
      <c r="C1411" t="s">
        <v>74</v>
      </c>
      <c r="E1411" t="str">
        <f>"FES1162728329"</f>
        <v>FES1162728329</v>
      </c>
      <c r="F1411" s="3">
        <v>43812</v>
      </c>
      <c r="G1411">
        <v>202006</v>
      </c>
      <c r="H1411" t="s">
        <v>75</v>
      </c>
      <c r="I1411" t="s">
        <v>76</v>
      </c>
      <c r="J1411" t="s">
        <v>77</v>
      </c>
      <c r="K1411" t="s">
        <v>78</v>
      </c>
      <c r="L1411" t="s">
        <v>198</v>
      </c>
      <c r="M1411" t="s">
        <v>199</v>
      </c>
      <c r="N1411" t="s">
        <v>1884</v>
      </c>
      <c r="O1411" t="s">
        <v>82</v>
      </c>
      <c r="P1411" t="str">
        <f>"2170719631                    "</f>
        <v xml:space="preserve">2170719631                    </v>
      </c>
      <c r="Q1411">
        <v>0</v>
      </c>
      <c r="R1411">
        <v>0</v>
      </c>
      <c r="S1411">
        <v>0</v>
      </c>
      <c r="T1411">
        <v>0</v>
      </c>
      <c r="U1411">
        <v>0</v>
      </c>
      <c r="V1411">
        <v>0</v>
      </c>
      <c r="W1411">
        <v>0</v>
      </c>
      <c r="X1411">
        <v>0</v>
      </c>
      <c r="Y1411">
        <v>0</v>
      </c>
      <c r="Z1411">
        <v>0</v>
      </c>
      <c r="AA1411">
        <v>0</v>
      </c>
      <c r="AB1411">
        <v>0</v>
      </c>
      <c r="AC1411">
        <v>0</v>
      </c>
      <c r="AD1411">
        <v>0</v>
      </c>
      <c r="AE1411">
        <v>0</v>
      </c>
      <c r="AF1411">
        <v>0</v>
      </c>
      <c r="AG1411">
        <v>0</v>
      </c>
      <c r="AH1411">
        <v>0</v>
      </c>
      <c r="AI1411">
        <v>0</v>
      </c>
      <c r="AJ1411">
        <v>0</v>
      </c>
      <c r="AK1411">
        <v>0</v>
      </c>
      <c r="AL1411">
        <v>0</v>
      </c>
      <c r="AM1411">
        <v>8.58</v>
      </c>
      <c r="AN1411">
        <v>0</v>
      </c>
      <c r="AO1411">
        <v>0</v>
      </c>
      <c r="AP1411">
        <v>0</v>
      </c>
      <c r="AQ1411">
        <v>0</v>
      </c>
      <c r="AR1411">
        <v>0</v>
      </c>
      <c r="AS1411">
        <v>0</v>
      </c>
      <c r="AT1411">
        <v>0</v>
      </c>
      <c r="AU1411">
        <v>0</v>
      </c>
      <c r="AV1411">
        <v>0</v>
      </c>
      <c r="AW1411">
        <v>0</v>
      </c>
      <c r="AX1411">
        <v>0</v>
      </c>
      <c r="AY1411">
        <v>0</v>
      </c>
      <c r="AZ1411">
        <v>0</v>
      </c>
      <c r="BA1411">
        <v>0</v>
      </c>
      <c r="BB1411">
        <v>0</v>
      </c>
      <c r="BC1411">
        <v>0</v>
      </c>
      <c r="BD1411">
        <v>0</v>
      </c>
      <c r="BE1411">
        <v>0</v>
      </c>
      <c r="BF1411">
        <v>0</v>
      </c>
      <c r="BG1411">
        <v>0</v>
      </c>
      <c r="BH1411">
        <v>1</v>
      </c>
      <c r="BI1411">
        <v>1</v>
      </c>
      <c r="BJ1411">
        <v>0.2</v>
      </c>
      <c r="BK1411">
        <v>1</v>
      </c>
      <c r="BL1411" s="4">
        <v>50.45</v>
      </c>
      <c r="BM1411" s="4">
        <v>7.57</v>
      </c>
      <c r="BN1411" s="4">
        <v>58.02</v>
      </c>
      <c r="BO1411" s="4">
        <v>58.02</v>
      </c>
      <c r="BQ1411" t="s">
        <v>93</v>
      </c>
      <c r="BR1411" t="s">
        <v>84</v>
      </c>
      <c r="BS1411" s="3">
        <v>43818</v>
      </c>
      <c r="BT1411" s="5">
        <v>0.61041666666666672</v>
      </c>
      <c r="BU1411" t="s">
        <v>617</v>
      </c>
      <c r="BV1411" t="s">
        <v>89</v>
      </c>
      <c r="BW1411" t="s">
        <v>1335</v>
      </c>
      <c r="BX1411" t="s">
        <v>619</v>
      </c>
      <c r="BY1411">
        <v>1200</v>
      </c>
      <c r="CA1411" t="s">
        <v>620</v>
      </c>
      <c r="CC1411" t="s">
        <v>199</v>
      </c>
      <c r="CD1411">
        <v>4001</v>
      </c>
      <c r="CE1411" t="s">
        <v>88</v>
      </c>
      <c r="CI1411">
        <v>1</v>
      </c>
      <c r="CJ1411">
        <v>4</v>
      </c>
      <c r="CK1411">
        <v>21</v>
      </c>
      <c r="CL1411" t="s">
        <v>89</v>
      </c>
    </row>
    <row r="1412" spans="1:90">
      <c r="A1412" t="s">
        <v>72</v>
      </c>
      <c r="B1412" t="s">
        <v>73</v>
      </c>
      <c r="C1412" t="s">
        <v>74</v>
      </c>
      <c r="E1412" t="str">
        <f>"FES1162728462"</f>
        <v>FES1162728462</v>
      </c>
      <c r="F1412" s="3">
        <v>43812</v>
      </c>
      <c r="G1412">
        <v>202006</v>
      </c>
      <c r="H1412" t="s">
        <v>75</v>
      </c>
      <c r="I1412" t="s">
        <v>76</v>
      </c>
      <c r="J1412" t="s">
        <v>77</v>
      </c>
      <c r="K1412" t="s">
        <v>78</v>
      </c>
      <c r="L1412" t="s">
        <v>198</v>
      </c>
      <c r="M1412" t="s">
        <v>199</v>
      </c>
      <c r="N1412" t="s">
        <v>1885</v>
      </c>
      <c r="O1412" t="s">
        <v>82</v>
      </c>
      <c r="P1412" t="str">
        <f>"2170721697                    "</f>
        <v xml:space="preserve">2170721697                    </v>
      </c>
      <c r="Q1412">
        <v>0</v>
      </c>
      <c r="R1412">
        <v>0</v>
      </c>
      <c r="S1412">
        <v>0</v>
      </c>
      <c r="T1412">
        <v>0</v>
      </c>
      <c r="U1412">
        <v>0</v>
      </c>
      <c r="V1412">
        <v>0</v>
      </c>
      <c r="W1412">
        <v>0</v>
      </c>
      <c r="X1412">
        <v>0</v>
      </c>
      <c r="Y1412">
        <v>0</v>
      </c>
      <c r="Z1412">
        <v>0</v>
      </c>
      <c r="AA1412">
        <v>0</v>
      </c>
      <c r="AB1412">
        <v>0</v>
      </c>
      <c r="AC1412">
        <v>0</v>
      </c>
      <c r="AD1412">
        <v>0</v>
      </c>
      <c r="AE1412">
        <v>0</v>
      </c>
      <c r="AF1412">
        <v>0</v>
      </c>
      <c r="AG1412">
        <v>0</v>
      </c>
      <c r="AH1412">
        <v>0</v>
      </c>
      <c r="AI1412">
        <v>0</v>
      </c>
      <c r="AJ1412">
        <v>0</v>
      </c>
      <c r="AK1412">
        <v>0</v>
      </c>
      <c r="AL1412">
        <v>0</v>
      </c>
      <c r="AM1412">
        <v>8.58</v>
      </c>
      <c r="AN1412">
        <v>0</v>
      </c>
      <c r="AO1412">
        <v>0</v>
      </c>
      <c r="AP1412">
        <v>0</v>
      </c>
      <c r="AQ1412">
        <v>0</v>
      </c>
      <c r="AR1412">
        <v>0</v>
      </c>
      <c r="AS1412">
        <v>0</v>
      </c>
      <c r="AT1412">
        <v>0</v>
      </c>
      <c r="AU1412">
        <v>0</v>
      </c>
      <c r="AV1412">
        <v>0</v>
      </c>
      <c r="AW1412">
        <v>0</v>
      </c>
      <c r="AX1412">
        <v>0</v>
      </c>
      <c r="AY1412">
        <v>0</v>
      </c>
      <c r="AZ1412">
        <v>0</v>
      </c>
      <c r="BA1412">
        <v>0</v>
      </c>
      <c r="BB1412">
        <v>0</v>
      </c>
      <c r="BC1412">
        <v>0</v>
      </c>
      <c r="BD1412">
        <v>0</v>
      </c>
      <c r="BE1412">
        <v>0</v>
      </c>
      <c r="BF1412">
        <v>0</v>
      </c>
      <c r="BG1412">
        <v>0</v>
      </c>
      <c r="BH1412">
        <v>1</v>
      </c>
      <c r="BI1412">
        <v>1</v>
      </c>
      <c r="BJ1412">
        <v>0.2</v>
      </c>
      <c r="BK1412">
        <v>1</v>
      </c>
      <c r="BL1412" s="4">
        <v>50.45</v>
      </c>
      <c r="BM1412" s="4">
        <v>7.57</v>
      </c>
      <c r="BN1412" s="4">
        <v>58.02</v>
      </c>
      <c r="BO1412" s="4">
        <v>58.02</v>
      </c>
      <c r="BQ1412" t="s">
        <v>93</v>
      </c>
      <c r="BR1412" t="s">
        <v>84</v>
      </c>
      <c r="BS1412" s="3">
        <v>43816</v>
      </c>
      <c r="BT1412" s="5">
        <v>0.41597222222222219</v>
      </c>
      <c r="BU1412" t="s">
        <v>1886</v>
      </c>
      <c r="BV1412" t="s">
        <v>86</v>
      </c>
      <c r="BY1412">
        <v>1200</v>
      </c>
      <c r="CA1412" t="s">
        <v>408</v>
      </c>
      <c r="CC1412" t="s">
        <v>199</v>
      </c>
      <c r="CD1412">
        <v>4052</v>
      </c>
      <c r="CE1412" t="s">
        <v>88</v>
      </c>
      <c r="CF1412" s="3">
        <v>43817</v>
      </c>
      <c r="CI1412">
        <v>1</v>
      </c>
      <c r="CJ1412">
        <v>2</v>
      </c>
      <c r="CK1412">
        <v>21</v>
      </c>
      <c r="CL1412" t="s">
        <v>89</v>
      </c>
    </row>
    <row r="1413" spans="1:90">
      <c r="A1413" t="s">
        <v>72</v>
      </c>
      <c r="B1413" t="s">
        <v>73</v>
      </c>
      <c r="C1413" t="s">
        <v>74</v>
      </c>
      <c r="E1413" t="str">
        <f>"FES1162728355"</f>
        <v>FES1162728355</v>
      </c>
      <c r="F1413" s="3">
        <v>43812</v>
      </c>
      <c r="G1413">
        <v>202006</v>
      </c>
      <c r="H1413" t="s">
        <v>75</v>
      </c>
      <c r="I1413" t="s">
        <v>76</v>
      </c>
      <c r="J1413" t="s">
        <v>77</v>
      </c>
      <c r="K1413" t="s">
        <v>78</v>
      </c>
      <c r="L1413" t="s">
        <v>201</v>
      </c>
      <c r="M1413" t="s">
        <v>202</v>
      </c>
      <c r="N1413" t="s">
        <v>1716</v>
      </c>
      <c r="O1413" t="s">
        <v>82</v>
      </c>
      <c r="P1413" t="str">
        <f>"2170721651                    "</f>
        <v xml:space="preserve">2170721651                    </v>
      </c>
      <c r="Q1413">
        <v>0</v>
      </c>
      <c r="R1413">
        <v>0</v>
      </c>
      <c r="S1413">
        <v>0</v>
      </c>
      <c r="T1413">
        <v>0</v>
      </c>
      <c r="U1413">
        <v>0</v>
      </c>
      <c r="V1413">
        <v>0</v>
      </c>
      <c r="W1413">
        <v>0</v>
      </c>
      <c r="X1413">
        <v>0</v>
      </c>
      <c r="Y1413">
        <v>0</v>
      </c>
      <c r="Z1413">
        <v>0</v>
      </c>
      <c r="AA1413">
        <v>0</v>
      </c>
      <c r="AB1413">
        <v>0</v>
      </c>
      <c r="AC1413">
        <v>0</v>
      </c>
      <c r="AD1413">
        <v>0</v>
      </c>
      <c r="AE1413">
        <v>0</v>
      </c>
      <c r="AF1413">
        <v>0</v>
      </c>
      <c r="AG1413">
        <v>0</v>
      </c>
      <c r="AH1413">
        <v>0</v>
      </c>
      <c r="AI1413">
        <v>0</v>
      </c>
      <c r="AJ1413">
        <v>0</v>
      </c>
      <c r="AK1413">
        <v>0</v>
      </c>
      <c r="AL1413">
        <v>0</v>
      </c>
      <c r="AM1413">
        <v>8.58</v>
      </c>
      <c r="AN1413">
        <v>0</v>
      </c>
      <c r="AO1413">
        <v>0</v>
      </c>
      <c r="AP1413">
        <v>0</v>
      </c>
      <c r="AQ1413">
        <v>0</v>
      </c>
      <c r="AR1413">
        <v>0</v>
      </c>
      <c r="AS1413">
        <v>0</v>
      </c>
      <c r="AT1413">
        <v>0</v>
      </c>
      <c r="AU1413">
        <v>0</v>
      </c>
      <c r="AV1413">
        <v>0</v>
      </c>
      <c r="AW1413">
        <v>0</v>
      </c>
      <c r="AX1413">
        <v>0</v>
      </c>
      <c r="AY1413">
        <v>0</v>
      </c>
      <c r="AZ1413">
        <v>0</v>
      </c>
      <c r="BA1413">
        <v>0</v>
      </c>
      <c r="BB1413">
        <v>0</v>
      </c>
      <c r="BC1413">
        <v>0</v>
      </c>
      <c r="BD1413">
        <v>0</v>
      </c>
      <c r="BE1413">
        <v>0</v>
      </c>
      <c r="BF1413">
        <v>0</v>
      </c>
      <c r="BG1413">
        <v>0</v>
      </c>
      <c r="BH1413">
        <v>1</v>
      </c>
      <c r="BI1413">
        <v>1</v>
      </c>
      <c r="BJ1413">
        <v>0.2</v>
      </c>
      <c r="BK1413">
        <v>1</v>
      </c>
      <c r="BL1413" s="4">
        <v>50.45</v>
      </c>
      <c r="BM1413" s="4">
        <v>7.57</v>
      </c>
      <c r="BN1413" s="4">
        <v>58.02</v>
      </c>
      <c r="BO1413" s="4">
        <v>58.02</v>
      </c>
      <c r="BQ1413" t="s">
        <v>147</v>
      </c>
      <c r="BR1413" t="s">
        <v>84</v>
      </c>
      <c r="BS1413" s="3">
        <v>43818</v>
      </c>
      <c r="BT1413" s="5">
        <v>0.61041666666666672</v>
      </c>
      <c r="BU1413" t="s">
        <v>617</v>
      </c>
      <c r="BV1413" t="s">
        <v>89</v>
      </c>
      <c r="BW1413" t="s">
        <v>1335</v>
      </c>
      <c r="BX1413" t="s">
        <v>619</v>
      </c>
      <c r="BY1413">
        <v>1200</v>
      </c>
      <c r="CA1413" t="s">
        <v>620</v>
      </c>
      <c r="CC1413" t="s">
        <v>202</v>
      </c>
      <c r="CD1413">
        <v>3620</v>
      </c>
      <c r="CE1413" t="s">
        <v>88</v>
      </c>
      <c r="CI1413">
        <v>1</v>
      </c>
      <c r="CJ1413">
        <v>4</v>
      </c>
      <c r="CK1413">
        <v>21</v>
      </c>
      <c r="CL1413" t="s">
        <v>89</v>
      </c>
    </row>
    <row r="1414" spans="1:90">
      <c r="A1414" t="s">
        <v>72</v>
      </c>
      <c r="B1414" t="s">
        <v>73</v>
      </c>
      <c r="C1414" t="s">
        <v>74</v>
      </c>
      <c r="E1414" t="str">
        <f>"FES1162728459"</f>
        <v>FES1162728459</v>
      </c>
      <c r="F1414" s="3">
        <v>43812</v>
      </c>
      <c r="G1414">
        <v>202006</v>
      </c>
      <c r="H1414" t="s">
        <v>75</v>
      </c>
      <c r="I1414" t="s">
        <v>76</v>
      </c>
      <c r="J1414" t="s">
        <v>77</v>
      </c>
      <c r="K1414" t="s">
        <v>78</v>
      </c>
      <c r="L1414" t="s">
        <v>201</v>
      </c>
      <c r="M1414" t="s">
        <v>202</v>
      </c>
      <c r="N1414" t="s">
        <v>286</v>
      </c>
      <c r="O1414" t="s">
        <v>82</v>
      </c>
      <c r="P1414" t="str">
        <f>"2170721695                    "</f>
        <v xml:space="preserve">2170721695                    </v>
      </c>
      <c r="Q1414">
        <v>0</v>
      </c>
      <c r="R1414">
        <v>0</v>
      </c>
      <c r="S1414">
        <v>0</v>
      </c>
      <c r="T1414">
        <v>0</v>
      </c>
      <c r="U1414">
        <v>0</v>
      </c>
      <c r="V1414">
        <v>0</v>
      </c>
      <c r="W1414">
        <v>0</v>
      </c>
      <c r="X1414">
        <v>0</v>
      </c>
      <c r="Y1414">
        <v>0</v>
      </c>
      <c r="Z1414">
        <v>0</v>
      </c>
      <c r="AA1414">
        <v>0</v>
      </c>
      <c r="AB1414">
        <v>0</v>
      </c>
      <c r="AC1414">
        <v>0</v>
      </c>
      <c r="AD1414">
        <v>0</v>
      </c>
      <c r="AE1414">
        <v>0</v>
      </c>
      <c r="AF1414">
        <v>0</v>
      </c>
      <c r="AG1414">
        <v>0</v>
      </c>
      <c r="AH1414">
        <v>0</v>
      </c>
      <c r="AI1414">
        <v>0</v>
      </c>
      <c r="AJ1414">
        <v>0</v>
      </c>
      <c r="AK1414">
        <v>0</v>
      </c>
      <c r="AL1414">
        <v>0</v>
      </c>
      <c r="AM1414">
        <v>8.58</v>
      </c>
      <c r="AN1414">
        <v>0</v>
      </c>
      <c r="AO1414">
        <v>0</v>
      </c>
      <c r="AP1414">
        <v>0</v>
      </c>
      <c r="AQ1414">
        <v>0</v>
      </c>
      <c r="AR1414">
        <v>0</v>
      </c>
      <c r="AS1414">
        <v>0</v>
      </c>
      <c r="AT1414">
        <v>0</v>
      </c>
      <c r="AU1414">
        <v>0</v>
      </c>
      <c r="AV1414">
        <v>0</v>
      </c>
      <c r="AW1414">
        <v>0</v>
      </c>
      <c r="AX1414">
        <v>0</v>
      </c>
      <c r="AY1414">
        <v>0</v>
      </c>
      <c r="AZ1414">
        <v>0</v>
      </c>
      <c r="BA1414">
        <v>0</v>
      </c>
      <c r="BB1414">
        <v>0</v>
      </c>
      <c r="BC1414">
        <v>0</v>
      </c>
      <c r="BD1414">
        <v>0</v>
      </c>
      <c r="BE1414">
        <v>0</v>
      </c>
      <c r="BF1414">
        <v>0</v>
      </c>
      <c r="BG1414">
        <v>0</v>
      </c>
      <c r="BH1414">
        <v>1</v>
      </c>
      <c r="BI1414">
        <v>1</v>
      </c>
      <c r="BJ1414">
        <v>0.2</v>
      </c>
      <c r="BK1414">
        <v>1</v>
      </c>
      <c r="BL1414" s="4">
        <v>50.45</v>
      </c>
      <c r="BM1414" s="4">
        <v>7.57</v>
      </c>
      <c r="BN1414" s="4">
        <v>58.02</v>
      </c>
      <c r="BO1414" s="4">
        <v>58.02</v>
      </c>
      <c r="BQ1414" t="s">
        <v>93</v>
      </c>
      <c r="BR1414" t="s">
        <v>84</v>
      </c>
      <c r="BS1414" s="3">
        <v>43816</v>
      </c>
      <c r="BT1414" s="5">
        <v>0.39027777777777778</v>
      </c>
      <c r="BU1414" t="s">
        <v>287</v>
      </c>
      <c r="BV1414" t="s">
        <v>86</v>
      </c>
      <c r="BY1414">
        <v>1200</v>
      </c>
      <c r="CA1414" t="s">
        <v>288</v>
      </c>
      <c r="CC1414" t="s">
        <v>202</v>
      </c>
      <c r="CD1414">
        <v>3610</v>
      </c>
      <c r="CE1414" t="s">
        <v>88</v>
      </c>
      <c r="CF1414" s="3">
        <v>43817</v>
      </c>
      <c r="CI1414">
        <v>1</v>
      </c>
      <c r="CJ1414">
        <v>2</v>
      </c>
      <c r="CK1414">
        <v>21</v>
      </c>
      <c r="CL1414" t="s">
        <v>89</v>
      </c>
    </row>
    <row r="1415" spans="1:90">
      <c r="A1415" t="s">
        <v>72</v>
      </c>
      <c r="B1415" t="s">
        <v>73</v>
      </c>
      <c r="C1415" t="s">
        <v>74</v>
      </c>
      <c r="E1415" t="str">
        <f>"FES1162728305"</f>
        <v>FES1162728305</v>
      </c>
      <c r="F1415" s="3">
        <v>43812</v>
      </c>
      <c r="G1415">
        <v>202006</v>
      </c>
      <c r="H1415" t="s">
        <v>75</v>
      </c>
      <c r="I1415" t="s">
        <v>76</v>
      </c>
      <c r="J1415" t="s">
        <v>77</v>
      </c>
      <c r="K1415" t="s">
        <v>78</v>
      </c>
      <c r="L1415" t="s">
        <v>198</v>
      </c>
      <c r="M1415" t="s">
        <v>199</v>
      </c>
      <c r="N1415" t="s">
        <v>842</v>
      </c>
      <c r="O1415" t="s">
        <v>82</v>
      </c>
      <c r="P1415" t="str">
        <f>"2170719053                    "</f>
        <v xml:space="preserve">2170719053                    </v>
      </c>
      <c r="Q1415">
        <v>0</v>
      </c>
      <c r="R1415">
        <v>0</v>
      </c>
      <c r="S1415">
        <v>0</v>
      </c>
      <c r="T1415">
        <v>0</v>
      </c>
      <c r="U1415">
        <v>0</v>
      </c>
      <c r="V1415">
        <v>0</v>
      </c>
      <c r="W1415">
        <v>0</v>
      </c>
      <c r="X1415">
        <v>0</v>
      </c>
      <c r="Y1415">
        <v>0</v>
      </c>
      <c r="Z1415">
        <v>0</v>
      </c>
      <c r="AA1415">
        <v>0</v>
      </c>
      <c r="AB1415">
        <v>0</v>
      </c>
      <c r="AC1415">
        <v>0</v>
      </c>
      <c r="AD1415">
        <v>0</v>
      </c>
      <c r="AE1415">
        <v>0</v>
      </c>
      <c r="AF1415">
        <v>0</v>
      </c>
      <c r="AG1415">
        <v>0</v>
      </c>
      <c r="AH1415">
        <v>0</v>
      </c>
      <c r="AI1415">
        <v>0</v>
      </c>
      <c r="AJ1415">
        <v>0</v>
      </c>
      <c r="AK1415">
        <v>0</v>
      </c>
      <c r="AL1415">
        <v>0</v>
      </c>
      <c r="AM1415">
        <v>8.58</v>
      </c>
      <c r="AN1415">
        <v>0</v>
      </c>
      <c r="AO1415">
        <v>0</v>
      </c>
      <c r="AP1415">
        <v>0</v>
      </c>
      <c r="AQ1415">
        <v>0</v>
      </c>
      <c r="AR1415">
        <v>0</v>
      </c>
      <c r="AS1415">
        <v>0</v>
      </c>
      <c r="AT1415">
        <v>0</v>
      </c>
      <c r="AU1415">
        <v>0</v>
      </c>
      <c r="AV1415">
        <v>0</v>
      </c>
      <c r="AW1415">
        <v>0</v>
      </c>
      <c r="AX1415">
        <v>0</v>
      </c>
      <c r="AY1415">
        <v>0</v>
      </c>
      <c r="AZ1415">
        <v>0</v>
      </c>
      <c r="BA1415">
        <v>0</v>
      </c>
      <c r="BB1415">
        <v>0</v>
      </c>
      <c r="BC1415">
        <v>0</v>
      </c>
      <c r="BD1415">
        <v>0</v>
      </c>
      <c r="BE1415">
        <v>0</v>
      </c>
      <c r="BF1415">
        <v>0</v>
      </c>
      <c r="BG1415">
        <v>0</v>
      </c>
      <c r="BH1415">
        <v>1</v>
      </c>
      <c r="BI1415">
        <v>1.5</v>
      </c>
      <c r="BJ1415">
        <v>0.9</v>
      </c>
      <c r="BK1415">
        <v>1.5</v>
      </c>
      <c r="BL1415" s="4">
        <v>50.45</v>
      </c>
      <c r="BM1415" s="4">
        <v>7.57</v>
      </c>
      <c r="BN1415" s="4">
        <v>58.02</v>
      </c>
      <c r="BO1415" s="4">
        <v>58.02</v>
      </c>
      <c r="BQ1415" t="s">
        <v>843</v>
      </c>
      <c r="BR1415" t="s">
        <v>84</v>
      </c>
      <c r="BS1415" s="3">
        <v>43816</v>
      </c>
      <c r="BT1415" s="5">
        <v>0.35347222222222219</v>
      </c>
      <c r="BU1415" t="s">
        <v>844</v>
      </c>
      <c r="BV1415" t="s">
        <v>86</v>
      </c>
      <c r="BY1415">
        <v>4528.54</v>
      </c>
      <c r="CA1415" t="s">
        <v>299</v>
      </c>
      <c r="CC1415" t="s">
        <v>199</v>
      </c>
      <c r="CD1415">
        <v>4051</v>
      </c>
      <c r="CE1415" t="s">
        <v>96</v>
      </c>
      <c r="CF1415" s="3">
        <v>43817</v>
      </c>
      <c r="CI1415">
        <v>1</v>
      </c>
      <c r="CJ1415">
        <v>2</v>
      </c>
      <c r="CK1415">
        <v>21</v>
      </c>
      <c r="CL1415" t="s">
        <v>89</v>
      </c>
    </row>
    <row r="1416" spans="1:90">
      <c r="A1416" t="s">
        <v>72</v>
      </c>
      <c r="B1416" t="s">
        <v>73</v>
      </c>
      <c r="C1416" t="s">
        <v>74</v>
      </c>
      <c r="E1416" t="str">
        <f>"FES1162728363"</f>
        <v>FES1162728363</v>
      </c>
      <c r="F1416" s="3">
        <v>43812</v>
      </c>
      <c r="G1416">
        <v>202006</v>
      </c>
      <c r="H1416" t="s">
        <v>75</v>
      </c>
      <c r="I1416" t="s">
        <v>76</v>
      </c>
      <c r="J1416" t="s">
        <v>77</v>
      </c>
      <c r="K1416" t="s">
        <v>78</v>
      </c>
      <c r="L1416" t="s">
        <v>198</v>
      </c>
      <c r="M1416" t="s">
        <v>199</v>
      </c>
      <c r="N1416" t="s">
        <v>280</v>
      </c>
      <c r="O1416" t="s">
        <v>82</v>
      </c>
      <c r="P1416" t="str">
        <f>"2170721662                    "</f>
        <v xml:space="preserve">2170721662                    </v>
      </c>
      <c r="Q1416">
        <v>0</v>
      </c>
      <c r="R1416">
        <v>0</v>
      </c>
      <c r="S1416">
        <v>0</v>
      </c>
      <c r="T1416">
        <v>0</v>
      </c>
      <c r="U1416">
        <v>0</v>
      </c>
      <c r="V1416">
        <v>0</v>
      </c>
      <c r="W1416">
        <v>0</v>
      </c>
      <c r="X1416">
        <v>0</v>
      </c>
      <c r="Y1416">
        <v>0</v>
      </c>
      <c r="Z1416">
        <v>0</v>
      </c>
      <c r="AA1416">
        <v>0</v>
      </c>
      <c r="AB1416">
        <v>0</v>
      </c>
      <c r="AC1416">
        <v>0</v>
      </c>
      <c r="AD1416">
        <v>0</v>
      </c>
      <c r="AE1416">
        <v>0</v>
      </c>
      <c r="AF1416">
        <v>0</v>
      </c>
      <c r="AG1416">
        <v>0</v>
      </c>
      <c r="AH1416">
        <v>0</v>
      </c>
      <c r="AI1416">
        <v>0</v>
      </c>
      <c r="AJ1416">
        <v>0</v>
      </c>
      <c r="AK1416">
        <v>0</v>
      </c>
      <c r="AL1416">
        <v>0</v>
      </c>
      <c r="AM1416">
        <v>10.73</v>
      </c>
      <c r="AN1416">
        <v>0</v>
      </c>
      <c r="AO1416">
        <v>0</v>
      </c>
      <c r="AP1416">
        <v>0</v>
      </c>
      <c r="AQ1416">
        <v>0</v>
      </c>
      <c r="AR1416">
        <v>0</v>
      </c>
      <c r="AS1416">
        <v>0</v>
      </c>
      <c r="AT1416">
        <v>0</v>
      </c>
      <c r="AU1416">
        <v>0</v>
      </c>
      <c r="AV1416">
        <v>0</v>
      </c>
      <c r="AW1416">
        <v>0</v>
      </c>
      <c r="AX1416">
        <v>0</v>
      </c>
      <c r="AY1416">
        <v>0</v>
      </c>
      <c r="AZ1416">
        <v>0</v>
      </c>
      <c r="BA1416">
        <v>0</v>
      </c>
      <c r="BB1416">
        <v>0</v>
      </c>
      <c r="BC1416">
        <v>0</v>
      </c>
      <c r="BD1416">
        <v>0</v>
      </c>
      <c r="BE1416">
        <v>0</v>
      </c>
      <c r="BF1416">
        <v>0</v>
      </c>
      <c r="BG1416">
        <v>0</v>
      </c>
      <c r="BH1416">
        <v>1</v>
      </c>
      <c r="BI1416">
        <v>2.2000000000000002</v>
      </c>
      <c r="BJ1416">
        <v>0.9</v>
      </c>
      <c r="BK1416">
        <v>2.5</v>
      </c>
      <c r="BL1416" s="4">
        <v>63.06</v>
      </c>
      <c r="BM1416" s="4">
        <v>9.4600000000000009</v>
      </c>
      <c r="BN1416" s="4">
        <v>72.52</v>
      </c>
      <c r="BO1416" s="4">
        <v>72.52</v>
      </c>
      <c r="BQ1416" t="s">
        <v>147</v>
      </c>
      <c r="BR1416" t="s">
        <v>84</v>
      </c>
      <c r="BS1416" s="3">
        <v>43818</v>
      </c>
      <c r="BT1416" s="5">
        <v>0.54166666666666663</v>
      </c>
      <c r="BU1416" t="s">
        <v>1887</v>
      </c>
      <c r="BV1416" t="s">
        <v>89</v>
      </c>
      <c r="BW1416" t="s">
        <v>1162</v>
      </c>
      <c r="BX1416" t="s">
        <v>1163</v>
      </c>
      <c r="BY1416">
        <v>4390.8999999999996</v>
      </c>
      <c r="CC1416" t="s">
        <v>199</v>
      </c>
      <c r="CD1416">
        <v>4001</v>
      </c>
      <c r="CE1416" t="s">
        <v>96</v>
      </c>
      <c r="CF1416" s="3">
        <v>43819</v>
      </c>
      <c r="CI1416">
        <v>1</v>
      </c>
      <c r="CJ1416">
        <v>4</v>
      </c>
      <c r="CK1416">
        <v>21</v>
      </c>
      <c r="CL1416" t="s">
        <v>89</v>
      </c>
    </row>
    <row r="1417" spans="1:90">
      <c r="A1417" t="s">
        <v>72</v>
      </c>
      <c r="B1417" t="s">
        <v>73</v>
      </c>
      <c r="C1417" t="s">
        <v>74</v>
      </c>
      <c r="E1417" t="str">
        <f>"FES1162728414"</f>
        <v>FES1162728414</v>
      </c>
      <c r="F1417" s="3">
        <v>43812</v>
      </c>
      <c r="G1417">
        <v>202006</v>
      </c>
      <c r="H1417" t="s">
        <v>75</v>
      </c>
      <c r="I1417" t="s">
        <v>76</v>
      </c>
      <c r="J1417" t="s">
        <v>77</v>
      </c>
      <c r="K1417" t="s">
        <v>78</v>
      </c>
      <c r="L1417" t="s">
        <v>213</v>
      </c>
      <c r="M1417" t="s">
        <v>214</v>
      </c>
      <c r="N1417" t="s">
        <v>1888</v>
      </c>
      <c r="O1417" t="s">
        <v>82</v>
      </c>
      <c r="P1417" t="str">
        <f>"2170718665                    "</f>
        <v xml:space="preserve">2170718665                    </v>
      </c>
      <c r="Q1417">
        <v>0</v>
      </c>
      <c r="R1417">
        <v>0</v>
      </c>
      <c r="S1417">
        <v>0</v>
      </c>
      <c r="T1417">
        <v>0</v>
      </c>
      <c r="U1417">
        <v>0</v>
      </c>
      <c r="V1417">
        <v>0</v>
      </c>
      <c r="W1417">
        <v>0</v>
      </c>
      <c r="X1417">
        <v>0</v>
      </c>
      <c r="Y1417">
        <v>0</v>
      </c>
      <c r="Z1417">
        <v>0</v>
      </c>
      <c r="AA1417">
        <v>0</v>
      </c>
      <c r="AB1417">
        <v>0</v>
      </c>
      <c r="AC1417">
        <v>0</v>
      </c>
      <c r="AD1417">
        <v>0</v>
      </c>
      <c r="AE1417">
        <v>0</v>
      </c>
      <c r="AF1417">
        <v>0</v>
      </c>
      <c r="AG1417">
        <v>0</v>
      </c>
      <c r="AH1417">
        <v>0</v>
      </c>
      <c r="AI1417">
        <v>0</v>
      </c>
      <c r="AJ1417">
        <v>0</v>
      </c>
      <c r="AK1417">
        <v>0</v>
      </c>
      <c r="AL1417">
        <v>0</v>
      </c>
      <c r="AM1417">
        <v>23.59</v>
      </c>
      <c r="AN1417">
        <v>0</v>
      </c>
      <c r="AO1417">
        <v>0</v>
      </c>
      <c r="AP1417">
        <v>0</v>
      </c>
      <c r="AQ1417">
        <v>0</v>
      </c>
      <c r="AR1417">
        <v>0</v>
      </c>
      <c r="AS1417">
        <v>0</v>
      </c>
      <c r="AT1417">
        <v>0</v>
      </c>
      <c r="AU1417">
        <v>0</v>
      </c>
      <c r="AV1417">
        <v>0</v>
      </c>
      <c r="AW1417">
        <v>0</v>
      </c>
      <c r="AX1417">
        <v>0</v>
      </c>
      <c r="AY1417">
        <v>0</v>
      </c>
      <c r="AZ1417">
        <v>0</v>
      </c>
      <c r="BA1417">
        <v>0</v>
      </c>
      <c r="BB1417">
        <v>0</v>
      </c>
      <c r="BC1417">
        <v>0</v>
      </c>
      <c r="BD1417">
        <v>0</v>
      </c>
      <c r="BE1417">
        <v>0</v>
      </c>
      <c r="BF1417">
        <v>0</v>
      </c>
      <c r="BG1417">
        <v>0</v>
      </c>
      <c r="BH1417">
        <v>1</v>
      </c>
      <c r="BI1417">
        <v>4.4000000000000004</v>
      </c>
      <c r="BJ1417">
        <v>5.2</v>
      </c>
      <c r="BK1417">
        <v>5.5</v>
      </c>
      <c r="BL1417" s="4">
        <v>138.68</v>
      </c>
      <c r="BM1417" s="4">
        <v>20.8</v>
      </c>
      <c r="BN1417" s="4">
        <v>159.47999999999999</v>
      </c>
      <c r="BO1417" s="4">
        <v>159.47999999999999</v>
      </c>
      <c r="BQ1417" t="s">
        <v>135</v>
      </c>
      <c r="BR1417" t="s">
        <v>84</v>
      </c>
      <c r="BS1417" s="3">
        <v>43816</v>
      </c>
      <c r="BT1417" s="5">
        <v>0.40972222222222227</v>
      </c>
      <c r="BU1417" t="s">
        <v>1889</v>
      </c>
      <c r="BV1417" t="s">
        <v>86</v>
      </c>
      <c r="BY1417">
        <v>25819.4</v>
      </c>
      <c r="CA1417" t="s">
        <v>99</v>
      </c>
      <c r="CC1417" t="s">
        <v>214</v>
      </c>
      <c r="CD1417">
        <v>6229</v>
      </c>
      <c r="CE1417" t="s">
        <v>116</v>
      </c>
      <c r="CF1417" s="3">
        <v>43817</v>
      </c>
      <c r="CI1417">
        <v>1</v>
      </c>
      <c r="CJ1417">
        <v>2</v>
      </c>
      <c r="CK1417">
        <v>21</v>
      </c>
      <c r="CL1417" t="s">
        <v>89</v>
      </c>
    </row>
    <row r="1418" spans="1:90">
      <c r="A1418" t="s">
        <v>72</v>
      </c>
      <c r="B1418" t="s">
        <v>73</v>
      </c>
      <c r="C1418" t="s">
        <v>74</v>
      </c>
      <c r="E1418" t="str">
        <f>"FES1162728248"</f>
        <v>FES1162728248</v>
      </c>
      <c r="F1418" s="3">
        <v>43812</v>
      </c>
      <c r="G1418">
        <v>202006</v>
      </c>
      <c r="H1418" t="s">
        <v>75</v>
      </c>
      <c r="I1418" t="s">
        <v>76</v>
      </c>
      <c r="J1418" t="s">
        <v>77</v>
      </c>
      <c r="K1418" t="s">
        <v>78</v>
      </c>
      <c r="L1418" t="s">
        <v>75</v>
      </c>
      <c r="M1418" t="s">
        <v>76</v>
      </c>
      <c r="N1418" t="s">
        <v>312</v>
      </c>
      <c r="O1418" t="s">
        <v>82</v>
      </c>
      <c r="P1418" t="str">
        <f>"217071590                     "</f>
        <v xml:space="preserve">217071590                     </v>
      </c>
      <c r="Q1418">
        <v>0</v>
      </c>
      <c r="R1418">
        <v>0</v>
      </c>
      <c r="S1418">
        <v>0</v>
      </c>
      <c r="T1418">
        <v>0</v>
      </c>
      <c r="U1418">
        <v>0</v>
      </c>
      <c r="V1418">
        <v>0</v>
      </c>
      <c r="W1418">
        <v>0</v>
      </c>
      <c r="X1418">
        <v>0</v>
      </c>
      <c r="Y1418">
        <v>0</v>
      </c>
      <c r="Z1418">
        <v>0</v>
      </c>
      <c r="AA1418">
        <v>0</v>
      </c>
      <c r="AB1418">
        <v>0</v>
      </c>
      <c r="AC1418">
        <v>0</v>
      </c>
      <c r="AD1418">
        <v>0</v>
      </c>
      <c r="AE1418">
        <v>0</v>
      </c>
      <c r="AF1418">
        <v>0</v>
      </c>
      <c r="AG1418">
        <v>0</v>
      </c>
      <c r="AH1418">
        <v>0</v>
      </c>
      <c r="AI1418">
        <v>0</v>
      </c>
      <c r="AJ1418">
        <v>0</v>
      </c>
      <c r="AK1418">
        <v>0</v>
      </c>
      <c r="AL1418">
        <v>0</v>
      </c>
      <c r="AM1418">
        <v>12.33</v>
      </c>
      <c r="AN1418">
        <v>0</v>
      </c>
      <c r="AO1418">
        <v>0</v>
      </c>
      <c r="AP1418">
        <v>0</v>
      </c>
      <c r="AQ1418">
        <v>0</v>
      </c>
      <c r="AR1418">
        <v>0</v>
      </c>
      <c r="AS1418">
        <v>0</v>
      </c>
      <c r="AT1418">
        <v>0</v>
      </c>
      <c r="AU1418">
        <v>0</v>
      </c>
      <c r="AV1418">
        <v>0</v>
      </c>
      <c r="AW1418">
        <v>0</v>
      </c>
      <c r="AX1418">
        <v>0</v>
      </c>
      <c r="AY1418">
        <v>0</v>
      </c>
      <c r="AZ1418">
        <v>0</v>
      </c>
      <c r="BA1418">
        <v>0</v>
      </c>
      <c r="BB1418">
        <v>0</v>
      </c>
      <c r="BC1418">
        <v>0</v>
      </c>
      <c r="BD1418">
        <v>0</v>
      </c>
      <c r="BE1418">
        <v>0</v>
      </c>
      <c r="BF1418">
        <v>0</v>
      </c>
      <c r="BG1418">
        <v>0</v>
      </c>
      <c r="BH1418">
        <v>1</v>
      </c>
      <c r="BI1418">
        <v>5.0999999999999996</v>
      </c>
      <c r="BJ1418">
        <v>3.3</v>
      </c>
      <c r="BK1418">
        <v>5.5</v>
      </c>
      <c r="BL1418" s="4">
        <v>72.48</v>
      </c>
      <c r="BM1418" s="4">
        <v>10.87</v>
      </c>
      <c r="BN1418" s="4">
        <v>83.35</v>
      </c>
      <c r="BO1418" s="4">
        <v>83.35</v>
      </c>
      <c r="BQ1418" t="s">
        <v>147</v>
      </c>
      <c r="BR1418" t="s">
        <v>84</v>
      </c>
      <c r="BS1418" s="3">
        <v>43816</v>
      </c>
      <c r="BT1418" s="5">
        <v>0.3979166666666667</v>
      </c>
      <c r="BU1418" t="s">
        <v>1784</v>
      </c>
      <c r="BV1418" t="s">
        <v>86</v>
      </c>
      <c r="BY1418">
        <v>16663.98</v>
      </c>
      <c r="CA1418" t="s">
        <v>314</v>
      </c>
      <c r="CC1418" t="s">
        <v>76</v>
      </c>
      <c r="CD1418">
        <v>1609</v>
      </c>
      <c r="CE1418" t="s">
        <v>96</v>
      </c>
      <c r="CF1418" s="3">
        <v>43817</v>
      </c>
      <c r="CI1418">
        <v>1</v>
      </c>
      <c r="CJ1418">
        <v>2</v>
      </c>
      <c r="CK1418">
        <v>22</v>
      </c>
      <c r="CL1418" t="s">
        <v>89</v>
      </c>
    </row>
    <row r="1419" spans="1:90">
      <c r="A1419" t="s">
        <v>72</v>
      </c>
      <c r="B1419" t="s">
        <v>73</v>
      </c>
      <c r="C1419" t="s">
        <v>74</v>
      </c>
      <c r="E1419" t="str">
        <f>"FES1162728441"</f>
        <v>FES1162728441</v>
      </c>
      <c r="F1419" s="3">
        <v>43812</v>
      </c>
      <c r="G1419">
        <v>202006</v>
      </c>
      <c r="H1419" t="s">
        <v>75</v>
      </c>
      <c r="I1419" t="s">
        <v>76</v>
      </c>
      <c r="J1419" t="s">
        <v>77</v>
      </c>
      <c r="K1419" t="s">
        <v>78</v>
      </c>
      <c r="L1419" t="s">
        <v>151</v>
      </c>
      <c r="M1419" t="s">
        <v>102</v>
      </c>
      <c r="N1419" t="s">
        <v>1890</v>
      </c>
      <c r="O1419" t="s">
        <v>82</v>
      </c>
      <c r="P1419" t="str">
        <f>"217071505                     "</f>
        <v xml:space="preserve">217071505                     </v>
      </c>
      <c r="Q1419">
        <v>0</v>
      </c>
      <c r="R1419">
        <v>0</v>
      </c>
      <c r="S1419">
        <v>0</v>
      </c>
      <c r="T1419">
        <v>0</v>
      </c>
      <c r="U1419">
        <v>0</v>
      </c>
      <c r="V1419">
        <v>0</v>
      </c>
      <c r="W1419">
        <v>0</v>
      </c>
      <c r="X1419">
        <v>0</v>
      </c>
      <c r="Y1419">
        <v>0</v>
      </c>
      <c r="Z1419">
        <v>0</v>
      </c>
      <c r="AA1419">
        <v>0</v>
      </c>
      <c r="AB1419">
        <v>0</v>
      </c>
      <c r="AC1419">
        <v>0</v>
      </c>
      <c r="AD1419">
        <v>0</v>
      </c>
      <c r="AE1419">
        <v>0</v>
      </c>
      <c r="AF1419">
        <v>0</v>
      </c>
      <c r="AG1419">
        <v>0</v>
      </c>
      <c r="AH1419">
        <v>0</v>
      </c>
      <c r="AI1419">
        <v>0</v>
      </c>
      <c r="AJ1419">
        <v>0</v>
      </c>
      <c r="AK1419">
        <v>0</v>
      </c>
      <c r="AL1419">
        <v>0</v>
      </c>
      <c r="AM1419">
        <v>15.02</v>
      </c>
      <c r="AN1419">
        <v>0</v>
      </c>
      <c r="AO1419">
        <v>0</v>
      </c>
      <c r="AP1419">
        <v>0</v>
      </c>
      <c r="AQ1419">
        <v>0</v>
      </c>
      <c r="AR1419">
        <v>0</v>
      </c>
      <c r="AS1419">
        <v>0</v>
      </c>
      <c r="AT1419">
        <v>0</v>
      </c>
      <c r="AU1419">
        <v>0</v>
      </c>
      <c r="AV1419">
        <v>0</v>
      </c>
      <c r="AW1419">
        <v>0</v>
      </c>
      <c r="AX1419">
        <v>0</v>
      </c>
      <c r="AY1419">
        <v>0</v>
      </c>
      <c r="AZ1419">
        <v>0</v>
      </c>
      <c r="BA1419">
        <v>0</v>
      </c>
      <c r="BB1419">
        <v>0</v>
      </c>
      <c r="BC1419">
        <v>0</v>
      </c>
      <c r="BD1419">
        <v>0</v>
      </c>
      <c r="BE1419">
        <v>0</v>
      </c>
      <c r="BF1419">
        <v>0</v>
      </c>
      <c r="BG1419">
        <v>0</v>
      </c>
      <c r="BH1419">
        <v>1</v>
      </c>
      <c r="BI1419">
        <v>1.8</v>
      </c>
      <c r="BJ1419">
        <v>3.1</v>
      </c>
      <c r="BK1419">
        <v>3.5</v>
      </c>
      <c r="BL1419" s="4">
        <v>88.27</v>
      </c>
      <c r="BM1419" s="4">
        <v>13.24</v>
      </c>
      <c r="BN1419" s="4">
        <v>101.51</v>
      </c>
      <c r="BO1419" s="4">
        <v>101.51</v>
      </c>
      <c r="BR1419" t="s">
        <v>84</v>
      </c>
      <c r="BS1419" t="s">
        <v>717</v>
      </c>
      <c r="BY1419">
        <v>15667.26</v>
      </c>
      <c r="CC1419" t="s">
        <v>102</v>
      </c>
      <c r="CD1419">
        <v>184</v>
      </c>
      <c r="CE1419" t="s">
        <v>96</v>
      </c>
      <c r="CI1419">
        <v>1</v>
      </c>
      <c r="CJ1419" t="s">
        <v>717</v>
      </c>
      <c r="CK1419">
        <v>21</v>
      </c>
      <c r="CL1419" t="s">
        <v>89</v>
      </c>
    </row>
    <row r="1420" spans="1:90">
      <c r="A1420" t="s">
        <v>72</v>
      </c>
      <c r="B1420" t="s">
        <v>73</v>
      </c>
      <c r="C1420" t="s">
        <v>74</v>
      </c>
      <c r="E1420" t="str">
        <f>"FES1162728482"</f>
        <v>FES1162728482</v>
      </c>
      <c r="F1420" s="3">
        <v>43812</v>
      </c>
      <c r="G1420">
        <v>202006</v>
      </c>
      <c r="H1420" t="s">
        <v>75</v>
      </c>
      <c r="I1420" t="s">
        <v>76</v>
      </c>
      <c r="J1420" t="s">
        <v>77</v>
      </c>
      <c r="K1420" t="s">
        <v>78</v>
      </c>
      <c r="L1420" t="s">
        <v>79</v>
      </c>
      <c r="M1420" t="s">
        <v>80</v>
      </c>
      <c r="N1420" t="s">
        <v>81</v>
      </c>
      <c r="O1420" t="s">
        <v>82</v>
      </c>
      <c r="P1420" t="str">
        <f>"21707127424                   "</f>
        <v xml:space="preserve">21707127424                   </v>
      </c>
      <c r="Q1420">
        <v>0</v>
      </c>
      <c r="R1420">
        <v>0</v>
      </c>
      <c r="S1420">
        <v>0</v>
      </c>
      <c r="T1420">
        <v>0</v>
      </c>
      <c r="U1420">
        <v>0</v>
      </c>
      <c r="V1420">
        <v>0</v>
      </c>
      <c r="W1420">
        <v>0</v>
      </c>
      <c r="X1420">
        <v>0</v>
      </c>
      <c r="Y1420">
        <v>0</v>
      </c>
      <c r="Z1420">
        <v>0</v>
      </c>
      <c r="AA1420">
        <v>0</v>
      </c>
      <c r="AB1420">
        <v>0</v>
      </c>
      <c r="AC1420">
        <v>0</v>
      </c>
      <c r="AD1420">
        <v>0</v>
      </c>
      <c r="AE1420">
        <v>0</v>
      </c>
      <c r="AF1420">
        <v>0</v>
      </c>
      <c r="AG1420">
        <v>0</v>
      </c>
      <c r="AH1420">
        <v>0</v>
      </c>
      <c r="AI1420">
        <v>0</v>
      </c>
      <c r="AJ1420">
        <v>0</v>
      </c>
      <c r="AK1420">
        <v>0</v>
      </c>
      <c r="AL1420">
        <v>0</v>
      </c>
      <c r="AM1420">
        <v>40.75</v>
      </c>
      <c r="AN1420">
        <v>0</v>
      </c>
      <c r="AO1420">
        <v>0</v>
      </c>
      <c r="AP1420">
        <v>0</v>
      </c>
      <c r="AQ1420">
        <v>0</v>
      </c>
      <c r="AR1420">
        <v>0</v>
      </c>
      <c r="AS1420">
        <v>0</v>
      </c>
      <c r="AT1420">
        <v>0</v>
      </c>
      <c r="AU1420">
        <v>0</v>
      </c>
      <c r="AV1420">
        <v>0</v>
      </c>
      <c r="AW1420">
        <v>0</v>
      </c>
      <c r="AX1420">
        <v>0</v>
      </c>
      <c r="AY1420">
        <v>0</v>
      </c>
      <c r="AZ1420">
        <v>0</v>
      </c>
      <c r="BA1420">
        <v>0</v>
      </c>
      <c r="BB1420">
        <v>0</v>
      </c>
      <c r="BC1420">
        <v>0</v>
      </c>
      <c r="BD1420">
        <v>0</v>
      </c>
      <c r="BE1420">
        <v>0</v>
      </c>
      <c r="BF1420">
        <v>0</v>
      </c>
      <c r="BG1420">
        <v>0</v>
      </c>
      <c r="BH1420">
        <v>1</v>
      </c>
      <c r="BI1420">
        <v>4.3</v>
      </c>
      <c r="BJ1420">
        <v>9.3000000000000007</v>
      </c>
      <c r="BK1420">
        <v>9.5</v>
      </c>
      <c r="BL1420" s="4">
        <v>239.52</v>
      </c>
      <c r="BM1420" s="4">
        <v>35.93</v>
      </c>
      <c r="BN1420" s="4">
        <v>275.45</v>
      </c>
      <c r="BO1420" s="4">
        <v>275.45</v>
      </c>
      <c r="BQ1420" t="s">
        <v>83</v>
      </c>
      <c r="BR1420" t="s">
        <v>84</v>
      </c>
      <c r="BS1420" s="3">
        <v>43816</v>
      </c>
      <c r="BT1420" s="5">
        <v>0.3444444444444445</v>
      </c>
      <c r="BU1420" t="s">
        <v>1891</v>
      </c>
      <c r="BV1420" t="s">
        <v>86</v>
      </c>
      <c r="BY1420">
        <v>46494.14</v>
      </c>
      <c r="CA1420" t="s">
        <v>1562</v>
      </c>
      <c r="CC1420" t="s">
        <v>80</v>
      </c>
      <c r="CD1420">
        <v>6045</v>
      </c>
      <c r="CE1420" t="s">
        <v>116</v>
      </c>
      <c r="CF1420" s="3">
        <v>43817</v>
      </c>
      <c r="CI1420">
        <v>1</v>
      </c>
      <c r="CJ1420">
        <v>2</v>
      </c>
      <c r="CK1420">
        <v>21</v>
      </c>
      <c r="CL1420" t="s">
        <v>89</v>
      </c>
    </row>
    <row r="1421" spans="1:90">
      <c r="A1421" t="s">
        <v>72</v>
      </c>
      <c r="B1421" t="s">
        <v>73</v>
      </c>
      <c r="C1421" t="s">
        <v>74</v>
      </c>
      <c r="E1421" t="str">
        <f>"FES1162728318"</f>
        <v>FES1162728318</v>
      </c>
      <c r="F1421" s="3">
        <v>43812</v>
      </c>
      <c r="G1421">
        <v>202006</v>
      </c>
      <c r="H1421" t="s">
        <v>75</v>
      </c>
      <c r="I1421" t="s">
        <v>76</v>
      </c>
      <c r="J1421" t="s">
        <v>77</v>
      </c>
      <c r="K1421" t="s">
        <v>78</v>
      </c>
      <c r="L1421" t="s">
        <v>79</v>
      </c>
      <c r="M1421" t="s">
        <v>80</v>
      </c>
      <c r="N1421" t="s">
        <v>183</v>
      </c>
      <c r="O1421" t="s">
        <v>82</v>
      </c>
      <c r="P1421" t="str">
        <f>"2170719471                    "</f>
        <v xml:space="preserve">2170719471                    </v>
      </c>
      <c r="Q1421">
        <v>0</v>
      </c>
      <c r="R1421">
        <v>0</v>
      </c>
      <c r="S1421">
        <v>0</v>
      </c>
      <c r="T1421">
        <v>0</v>
      </c>
      <c r="U1421">
        <v>0</v>
      </c>
      <c r="V1421">
        <v>0</v>
      </c>
      <c r="W1421">
        <v>0</v>
      </c>
      <c r="X1421">
        <v>0</v>
      </c>
      <c r="Y1421">
        <v>0</v>
      </c>
      <c r="Z1421">
        <v>0</v>
      </c>
      <c r="AA1421">
        <v>0</v>
      </c>
      <c r="AB1421">
        <v>0</v>
      </c>
      <c r="AC1421">
        <v>0</v>
      </c>
      <c r="AD1421">
        <v>0</v>
      </c>
      <c r="AE1421">
        <v>0</v>
      </c>
      <c r="AF1421">
        <v>0</v>
      </c>
      <c r="AG1421">
        <v>0</v>
      </c>
      <c r="AH1421">
        <v>0</v>
      </c>
      <c r="AI1421">
        <v>0</v>
      </c>
      <c r="AJ1421">
        <v>0</v>
      </c>
      <c r="AK1421">
        <v>0</v>
      </c>
      <c r="AL1421">
        <v>0</v>
      </c>
      <c r="AM1421">
        <v>68.62</v>
      </c>
      <c r="AN1421">
        <v>0</v>
      </c>
      <c r="AO1421">
        <v>0</v>
      </c>
      <c r="AP1421">
        <v>0</v>
      </c>
      <c r="AQ1421">
        <v>0</v>
      </c>
      <c r="AR1421">
        <v>0</v>
      </c>
      <c r="AS1421">
        <v>0</v>
      </c>
      <c r="AT1421">
        <v>0</v>
      </c>
      <c r="AU1421">
        <v>0</v>
      </c>
      <c r="AV1421">
        <v>0</v>
      </c>
      <c r="AW1421">
        <v>0</v>
      </c>
      <c r="AX1421">
        <v>0</v>
      </c>
      <c r="AY1421">
        <v>0</v>
      </c>
      <c r="AZ1421">
        <v>0</v>
      </c>
      <c r="BA1421">
        <v>0</v>
      </c>
      <c r="BB1421">
        <v>0</v>
      </c>
      <c r="BC1421">
        <v>0</v>
      </c>
      <c r="BD1421">
        <v>0</v>
      </c>
      <c r="BE1421">
        <v>0</v>
      </c>
      <c r="BF1421">
        <v>0</v>
      </c>
      <c r="BG1421">
        <v>0</v>
      </c>
      <c r="BH1421">
        <v>1</v>
      </c>
      <c r="BI1421">
        <v>15.6</v>
      </c>
      <c r="BJ1421">
        <v>14.6</v>
      </c>
      <c r="BK1421">
        <v>16</v>
      </c>
      <c r="BL1421" s="4">
        <v>403.37</v>
      </c>
      <c r="BM1421" s="4">
        <v>60.51</v>
      </c>
      <c r="BN1421" s="4">
        <v>463.88</v>
      </c>
      <c r="BO1421" s="4">
        <v>463.88</v>
      </c>
      <c r="BQ1421" t="s">
        <v>147</v>
      </c>
      <c r="BR1421" t="s">
        <v>84</v>
      </c>
      <c r="BS1421" s="3">
        <v>43816</v>
      </c>
      <c r="BT1421" s="5">
        <v>0.36736111111111108</v>
      </c>
      <c r="BU1421" t="s">
        <v>1892</v>
      </c>
      <c r="BV1421" t="s">
        <v>86</v>
      </c>
      <c r="BY1421">
        <v>73133.34</v>
      </c>
      <c r="CA1421" t="s">
        <v>185</v>
      </c>
      <c r="CC1421" t="s">
        <v>80</v>
      </c>
      <c r="CD1421">
        <v>6001</v>
      </c>
      <c r="CE1421" t="s">
        <v>116</v>
      </c>
      <c r="CF1421" s="3">
        <v>43817</v>
      </c>
      <c r="CI1421">
        <v>1</v>
      </c>
      <c r="CJ1421">
        <v>2</v>
      </c>
      <c r="CK1421">
        <v>21</v>
      </c>
      <c r="CL1421" t="s">
        <v>89</v>
      </c>
    </row>
    <row r="1422" spans="1:90">
      <c r="A1422" t="s">
        <v>72</v>
      </c>
      <c r="B1422" t="s">
        <v>73</v>
      </c>
      <c r="C1422" t="s">
        <v>74</v>
      </c>
      <c r="E1422" t="str">
        <f>"FES1162728399"</f>
        <v>FES1162728399</v>
      </c>
      <c r="F1422" s="3">
        <v>43812</v>
      </c>
      <c r="G1422">
        <v>202006</v>
      </c>
      <c r="H1422" t="s">
        <v>75</v>
      </c>
      <c r="I1422" t="s">
        <v>76</v>
      </c>
      <c r="J1422" t="s">
        <v>77</v>
      </c>
      <c r="K1422" t="s">
        <v>78</v>
      </c>
      <c r="L1422" t="s">
        <v>198</v>
      </c>
      <c r="M1422" t="s">
        <v>199</v>
      </c>
      <c r="N1422" t="s">
        <v>280</v>
      </c>
      <c r="O1422" t="s">
        <v>82</v>
      </c>
      <c r="P1422" t="str">
        <f>"217071391                     "</f>
        <v xml:space="preserve">217071391                     </v>
      </c>
      <c r="Q1422">
        <v>0</v>
      </c>
      <c r="R1422">
        <v>0</v>
      </c>
      <c r="S1422">
        <v>0</v>
      </c>
      <c r="T1422">
        <v>0</v>
      </c>
      <c r="U1422">
        <v>0</v>
      </c>
      <c r="V1422">
        <v>0</v>
      </c>
      <c r="W1422">
        <v>0</v>
      </c>
      <c r="X1422">
        <v>0</v>
      </c>
      <c r="Y1422">
        <v>0</v>
      </c>
      <c r="Z1422">
        <v>0</v>
      </c>
      <c r="AA1422">
        <v>0</v>
      </c>
      <c r="AB1422">
        <v>0</v>
      </c>
      <c r="AC1422">
        <v>0</v>
      </c>
      <c r="AD1422">
        <v>0</v>
      </c>
      <c r="AE1422">
        <v>0</v>
      </c>
      <c r="AF1422">
        <v>0</v>
      </c>
      <c r="AG1422">
        <v>0</v>
      </c>
      <c r="AH1422">
        <v>0</v>
      </c>
      <c r="AI1422">
        <v>0</v>
      </c>
      <c r="AJ1422">
        <v>0</v>
      </c>
      <c r="AK1422">
        <v>0</v>
      </c>
      <c r="AL1422">
        <v>0</v>
      </c>
      <c r="AM1422">
        <v>47.18</v>
      </c>
      <c r="AN1422">
        <v>0</v>
      </c>
      <c r="AO1422">
        <v>0</v>
      </c>
      <c r="AP1422">
        <v>0</v>
      </c>
      <c r="AQ1422">
        <v>0</v>
      </c>
      <c r="AR1422">
        <v>0</v>
      </c>
      <c r="AS1422">
        <v>0</v>
      </c>
      <c r="AT1422">
        <v>0</v>
      </c>
      <c r="AU1422">
        <v>0</v>
      </c>
      <c r="AV1422">
        <v>0</v>
      </c>
      <c r="AW1422">
        <v>0</v>
      </c>
      <c r="AX1422">
        <v>0</v>
      </c>
      <c r="AY1422">
        <v>0</v>
      </c>
      <c r="AZ1422">
        <v>0</v>
      </c>
      <c r="BA1422">
        <v>0</v>
      </c>
      <c r="BB1422">
        <v>0</v>
      </c>
      <c r="BC1422">
        <v>0</v>
      </c>
      <c r="BD1422">
        <v>0</v>
      </c>
      <c r="BE1422">
        <v>0</v>
      </c>
      <c r="BF1422">
        <v>0</v>
      </c>
      <c r="BG1422">
        <v>0</v>
      </c>
      <c r="BH1422">
        <v>1</v>
      </c>
      <c r="BI1422">
        <v>10.9</v>
      </c>
      <c r="BJ1422">
        <v>3.4</v>
      </c>
      <c r="BK1422">
        <v>11</v>
      </c>
      <c r="BL1422" s="4">
        <v>277.33</v>
      </c>
      <c r="BM1422" s="4">
        <v>41.6</v>
      </c>
      <c r="BN1422" s="4">
        <v>318.93</v>
      </c>
      <c r="BO1422" s="4">
        <v>318.93</v>
      </c>
      <c r="BQ1422" t="s">
        <v>147</v>
      </c>
      <c r="BR1422" t="s">
        <v>84</v>
      </c>
      <c r="BS1422" s="3">
        <v>43818</v>
      </c>
      <c r="BT1422" s="5">
        <v>0.54166666666666663</v>
      </c>
      <c r="BU1422" t="s">
        <v>1887</v>
      </c>
      <c r="BV1422" t="s">
        <v>89</v>
      </c>
      <c r="BW1422" t="s">
        <v>1162</v>
      </c>
      <c r="BX1422" t="s">
        <v>1163</v>
      </c>
      <c r="BY1422">
        <v>16847.38</v>
      </c>
      <c r="CC1422" t="s">
        <v>199</v>
      </c>
      <c r="CD1422">
        <v>4001</v>
      </c>
      <c r="CE1422" t="s">
        <v>96</v>
      </c>
      <c r="CF1422" s="3">
        <v>43819</v>
      </c>
      <c r="CI1422">
        <v>1</v>
      </c>
      <c r="CJ1422">
        <v>4</v>
      </c>
      <c r="CK1422">
        <v>21</v>
      </c>
      <c r="CL1422" t="s">
        <v>89</v>
      </c>
    </row>
    <row r="1423" spans="1:90">
      <c r="A1423" t="s">
        <v>72</v>
      </c>
      <c r="B1423" t="s">
        <v>73</v>
      </c>
      <c r="C1423" t="s">
        <v>74</v>
      </c>
      <c r="E1423" t="str">
        <f>"FES1162728423"</f>
        <v>FES1162728423</v>
      </c>
      <c r="F1423" s="3">
        <v>43812</v>
      </c>
      <c r="G1423">
        <v>202006</v>
      </c>
      <c r="H1423" t="s">
        <v>75</v>
      </c>
      <c r="I1423" t="s">
        <v>76</v>
      </c>
      <c r="J1423" t="s">
        <v>77</v>
      </c>
      <c r="K1423" t="s">
        <v>78</v>
      </c>
      <c r="L1423" t="s">
        <v>198</v>
      </c>
      <c r="M1423" t="s">
        <v>199</v>
      </c>
      <c r="N1423" t="s">
        <v>1893</v>
      </c>
      <c r="O1423" t="s">
        <v>82</v>
      </c>
      <c r="P1423" t="str">
        <f>"2170719789                    "</f>
        <v xml:space="preserve">2170719789                    </v>
      </c>
      <c r="Q1423">
        <v>0</v>
      </c>
      <c r="R1423">
        <v>0</v>
      </c>
      <c r="S1423">
        <v>0</v>
      </c>
      <c r="T1423">
        <v>0</v>
      </c>
      <c r="U1423">
        <v>0</v>
      </c>
      <c r="V1423">
        <v>0</v>
      </c>
      <c r="W1423">
        <v>0</v>
      </c>
      <c r="X1423">
        <v>0</v>
      </c>
      <c r="Y1423">
        <v>0</v>
      </c>
      <c r="Z1423">
        <v>0</v>
      </c>
      <c r="AA1423">
        <v>0</v>
      </c>
      <c r="AB1423">
        <v>0</v>
      </c>
      <c r="AC1423">
        <v>0</v>
      </c>
      <c r="AD1423">
        <v>0</v>
      </c>
      <c r="AE1423">
        <v>0</v>
      </c>
      <c r="AF1423">
        <v>0</v>
      </c>
      <c r="AG1423">
        <v>0</v>
      </c>
      <c r="AH1423">
        <v>0</v>
      </c>
      <c r="AI1423">
        <v>0</v>
      </c>
      <c r="AJ1423">
        <v>0</v>
      </c>
      <c r="AK1423">
        <v>0</v>
      </c>
      <c r="AL1423">
        <v>0</v>
      </c>
      <c r="AM1423">
        <v>8.58</v>
      </c>
      <c r="AN1423">
        <v>0</v>
      </c>
      <c r="AO1423">
        <v>0</v>
      </c>
      <c r="AP1423">
        <v>0</v>
      </c>
      <c r="AQ1423">
        <v>0</v>
      </c>
      <c r="AR1423">
        <v>0</v>
      </c>
      <c r="AS1423">
        <v>0</v>
      </c>
      <c r="AT1423">
        <v>0</v>
      </c>
      <c r="AU1423">
        <v>0</v>
      </c>
      <c r="AV1423">
        <v>0</v>
      </c>
      <c r="AW1423">
        <v>0</v>
      </c>
      <c r="AX1423">
        <v>0</v>
      </c>
      <c r="AY1423">
        <v>0</v>
      </c>
      <c r="AZ1423">
        <v>0</v>
      </c>
      <c r="BA1423">
        <v>0</v>
      </c>
      <c r="BB1423">
        <v>0</v>
      </c>
      <c r="BC1423">
        <v>0</v>
      </c>
      <c r="BD1423">
        <v>0</v>
      </c>
      <c r="BE1423">
        <v>0</v>
      </c>
      <c r="BF1423">
        <v>0</v>
      </c>
      <c r="BG1423">
        <v>0</v>
      </c>
      <c r="BH1423">
        <v>1</v>
      </c>
      <c r="BI1423">
        <v>1.9</v>
      </c>
      <c r="BJ1423">
        <v>1.5</v>
      </c>
      <c r="BK1423">
        <v>2</v>
      </c>
      <c r="BL1423" s="4">
        <v>50.45</v>
      </c>
      <c r="BM1423" s="4">
        <v>7.57</v>
      </c>
      <c r="BN1423" s="4">
        <v>58.02</v>
      </c>
      <c r="BO1423" s="4">
        <v>58.02</v>
      </c>
      <c r="BR1423" t="s">
        <v>84</v>
      </c>
      <c r="BS1423" s="3">
        <v>43816</v>
      </c>
      <c r="BT1423" s="5">
        <v>0.4236111111111111</v>
      </c>
      <c r="BU1423" t="s">
        <v>1894</v>
      </c>
      <c r="BV1423" t="s">
        <v>86</v>
      </c>
      <c r="BY1423">
        <v>7744.7</v>
      </c>
      <c r="CA1423" t="s">
        <v>1895</v>
      </c>
      <c r="CC1423" t="s">
        <v>199</v>
      </c>
      <c r="CD1423">
        <v>3630</v>
      </c>
      <c r="CE1423" t="s">
        <v>116</v>
      </c>
      <c r="CF1423" s="3">
        <v>43817</v>
      </c>
      <c r="CI1423">
        <v>1</v>
      </c>
      <c r="CJ1423">
        <v>2</v>
      </c>
      <c r="CK1423">
        <v>21</v>
      </c>
      <c r="CL1423" t="s">
        <v>89</v>
      </c>
    </row>
    <row r="1424" spans="1:90">
      <c r="A1424" t="s">
        <v>72</v>
      </c>
      <c r="B1424" t="s">
        <v>73</v>
      </c>
      <c r="C1424" t="s">
        <v>74</v>
      </c>
      <c r="E1424" t="str">
        <f>"FES1162728306"</f>
        <v>FES1162728306</v>
      </c>
      <c r="F1424" s="3">
        <v>43812</v>
      </c>
      <c r="G1424">
        <v>202006</v>
      </c>
      <c r="H1424" t="s">
        <v>75</v>
      </c>
      <c r="I1424" t="s">
        <v>76</v>
      </c>
      <c r="J1424" t="s">
        <v>77</v>
      </c>
      <c r="K1424" t="s">
        <v>78</v>
      </c>
      <c r="L1424" t="s">
        <v>198</v>
      </c>
      <c r="M1424" t="s">
        <v>199</v>
      </c>
      <c r="N1424" t="s">
        <v>842</v>
      </c>
      <c r="O1424" t="s">
        <v>82</v>
      </c>
      <c r="P1424" t="str">
        <f>"2170719066                    "</f>
        <v xml:space="preserve">2170719066                    </v>
      </c>
      <c r="Q1424">
        <v>0</v>
      </c>
      <c r="R1424">
        <v>0</v>
      </c>
      <c r="S1424">
        <v>0</v>
      </c>
      <c r="T1424">
        <v>0</v>
      </c>
      <c r="U1424">
        <v>0</v>
      </c>
      <c r="V1424">
        <v>0</v>
      </c>
      <c r="W1424">
        <v>0</v>
      </c>
      <c r="X1424">
        <v>0</v>
      </c>
      <c r="Y1424">
        <v>0</v>
      </c>
      <c r="Z1424">
        <v>0</v>
      </c>
      <c r="AA1424">
        <v>0</v>
      </c>
      <c r="AB1424">
        <v>0</v>
      </c>
      <c r="AC1424">
        <v>0</v>
      </c>
      <c r="AD1424">
        <v>0</v>
      </c>
      <c r="AE1424">
        <v>0</v>
      </c>
      <c r="AF1424">
        <v>0</v>
      </c>
      <c r="AG1424">
        <v>0</v>
      </c>
      <c r="AH1424">
        <v>0</v>
      </c>
      <c r="AI1424">
        <v>0</v>
      </c>
      <c r="AJ1424">
        <v>0</v>
      </c>
      <c r="AK1424">
        <v>0</v>
      </c>
      <c r="AL1424">
        <v>0</v>
      </c>
      <c r="AM1424">
        <v>8.58</v>
      </c>
      <c r="AN1424">
        <v>0</v>
      </c>
      <c r="AO1424">
        <v>0</v>
      </c>
      <c r="AP1424">
        <v>0</v>
      </c>
      <c r="AQ1424">
        <v>0</v>
      </c>
      <c r="AR1424">
        <v>0</v>
      </c>
      <c r="AS1424">
        <v>0</v>
      </c>
      <c r="AT1424">
        <v>0</v>
      </c>
      <c r="AU1424">
        <v>0</v>
      </c>
      <c r="AV1424">
        <v>0</v>
      </c>
      <c r="AW1424">
        <v>0</v>
      </c>
      <c r="AX1424">
        <v>0</v>
      </c>
      <c r="AY1424">
        <v>0</v>
      </c>
      <c r="AZ1424">
        <v>0</v>
      </c>
      <c r="BA1424">
        <v>0</v>
      </c>
      <c r="BB1424">
        <v>0</v>
      </c>
      <c r="BC1424">
        <v>0</v>
      </c>
      <c r="BD1424">
        <v>0</v>
      </c>
      <c r="BE1424">
        <v>0</v>
      </c>
      <c r="BF1424">
        <v>0</v>
      </c>
      <c r="BG1424">
        <v>0</v>
      </c>
      <c r="BH1424">
        <v>1</v>
      </c>
      <c r="BI1424">
        <v>0.8</v>
      </c>
      <c r="BJ1424">
        <v>0.9</v>
      </c>
      <c r="BK1424">
        <v>1</v>
      </c>
      <c r="BL1424" s="4">
        <v>50.45</v>
      </c>
      <c r="BM1424" s="4">
        <v>7.57</v>
      </c>
      <c r="BN1424" s="4">
        <v>58.02</v>
      </c>
      <c r="BO1424" s="4">
        <v>58.02</v>
      </c>
      <c r="BQ1424" t="s">
        <v>843</v>
      </c>
      <c r="BR1424" t="s">
        <v>84</v>
      </c>
      <c r="BS1424" s="3">
        <v>43816</v>
      </c>
      <c r="BT1424" s="5">
        <v>0.35347222222222219</v>
      </c>
      <c r="BU1424" t="s">
        <v>844</v>
      </c>
      <c r="BV1424" t="s">
        <v>86</v>
      </c>
      <c r="BY1424">
        <v>4629.8100000000004</v>
      </c>
      <c r="CA1424" t="s">
        <v>299</v>
      </c>
      <c r="CC1424" t="s">
        <v>199</v>
      </c>
      <c r="CD1424">
        <v>4051</v>
      </c>
      <c r="CE1424" t="s">
        <v>96</v>
      </c>
      <c r="CF1424" s="3">
        <v>43817</v>
      </c>
      <c r="CI1424">
        <v>1</v>
      </c>
      <c r="CJ1424">
        <v>2</v>
      </c>
      <c r="CK1424">
        <v>21</v>
      </c>
      <c r="CL1424" t="s">
        <v>89</v>
      </c>
    </row>
    <row r="1425" spans="1:90">
      <c r="A1425" t="s">
        <v>72</v>
      </c>
      <c r="B1425" t="s">
        <v>73</v>
      </c>
      <c r="C1425" t="s">
        <v>74</v>
      </c>
      <c r="E1425" t="str">
        <f>"FES1162728408"</f>
        <v>FES1162728408</v>
      </c>
      <c r="F1425" s="3">
        <v>43812</v>
      </c>
      <c r="G1425">
        <v>202006</v>
      </c>
      <c r="H1425" t="s">
        <v>75</v>
      </c>
      <c r="I1425" t="s">
        <v>76</v>
      </c>
      <c r="J1425" t="s">
        <v>77</v>
      </c>
      <c r="K1425" t="s">
        <v>78</v>
      </c>
      <c r="L1425" t="s">
        <v>198</v>
      </c>
      <c r="M1425" t="s">
        <v>199</v>
      </c>
      <c r="N1425" t="s">
        <v>210</v>
      </c>
      <c r="O1425" t="s">
        <v>82</v>
      </c>
      <c r="P1425" t="str">
        <f>"2170718533                    "</f>
        <v xml:space="preserve">2170718533                    </v>
      </c>
      <c r="Q1425">
        <v>0</v>
      </c>
      <c r="R1425">
        <v>0</v>
      </c>
      <c r="S1425">
        <v>0</v>
      </c>
      <c r="T1425">
        <v>0</v>
      </c>
      <c r="U1425">
        <v>0</v>
      </c>
      <c r="V1425">
        <v>0</v>
      </c>
      <c r="W1425">
        <v>0</v>
      </c>
      <c r="X1425">
        <v>0</v>
      </c>
      <c r="Y1425">
        <v>0</v>
      </c>
      <c r="Z1425">
        <v>0</v>
      </c>
      <c r="AA1425">
        <v>0</v>
      </c>
      <c r="AB1425">
        <v>0</v>
      </c>
      <c r="AC1425">
        <v>0</v>
      </c>
      <c r="AD1425">
        <v>0</v>
      </c>
      <c r="AE1425">
        <v>0</v>
      </c>
      <c r="AF1425">
        <v>0</v>
      </c>
      <c r="AG1425">
        <v>0</v>
      </c>
      <c r="AH1425">
        <v>0</v>
      </c>
      <c r="AI1425">
        <v>0</v>
      </c>
      <c r="AJ1425">
        <v>0</v>
      </c>
      <c r="AK1425">
        <v>0</v>
      </c>
      <c r="AL1425">
        <v>0</v>
      </c>
      <c r="AM1425">
        <v>8.58</v>
      </c>
      <c r="AN1425">
        <v>0</v>
      </c>
      <c r="AO1425">
        <v>0</v>
      </c>
      <c r="AP1425">
        <v>0</v>
      </c>
      <c r="AQ1425">
        <v>0</v>
      </c>
      <c r="AR1425">
        <v>0</v>
      </c>
      <c r="AS1425">
        <v>0</v>
      </c>
      <c r="AT1425">
        <v>0</v>
      </c>
      <c r="AU1425">
        <v>0</v>
      </c>
      <c r="AV1425">
        <v>0</v>
      </c>
      <c r="AW1425">
        <v>0</v>
      </c>
      <c r="AX1425">
        <v>0</v>
      </c>
      <c r="AY1425">
        <v>0</v>
      </c>
      <c r="AZ1425">
        <v>0</v>
      </c>
      <c r="BA1425">
        <v>0</v>
      </c>
      <c r="BB1425">
        <v>0</v>
      </c>
      <c r="BC1425">
        <v>0</v>
      </c>
      <c r="BD1425">
        <v>0</v>
      </c>
      <c r="BE1425">
        <v>0</v>
      </c>
      <c r="BF1425">
        <v>0</v>
      </c>
      <c r="BG1425">
        <v>0</v>
      </c>
      <c r="BH1425">
        <v>1</v>
      </c>
      <c r="BI1425">
        <v>1.6</v>
      </c>
      <c r="BJ1425">
        <v>1.1000000000000001</v>
      </c>
      <c r="BK1425">
        <v>2</v>
      </c>
      <c r="BL1425" s="4">
        <v>50.45</v>
      </c>
      <c r="BM1425" s="4">
        <v>7.57</v>
      </c>
      <c r="BN1425" s="4">
        <v>58.02</v>
      </c>
      <c r="BO1425" s="4">
        <v>58.02</v>
      </c>
      <c r="BQ1425" t="s">
        <v>93</v>
      </c>
      <c r="BR1425" t="s">
        <v>84</v>
      </c>
      <c r="BS1425" s="3">
        <v>43816</v>
      </c>
      <c r="BT1425" s="5">
        <v>0.34027777777777773</v>
      </c>
      <c r="BU1425" t="s">
        <v>1896</v>
      </c>
      <c r="BV1425" t="s">
        <v>86</v>
      </c>
      <c r="BY1425">
        <v>5317.06</v>
      </c>
      <c r="CA1425" t="s">
        <v>212</v>
      </c>
      <c r="CC1425" t="s">
        <v>199</v>
      </c>
      <c r="CD1425">
        <v>4302</v>
      </c>
      <c r="CE1425" t="s">
        <v>96</v>
      </c>
      <c r="CF1425" s="3">
        <v>43817</v>
      </c>
      <c r="CI1425">
        <v>1</v>
      </c>
      <c r="CJ1425">
        <v>2</v>
      </c>
      <c r="CK1425">
        <v>21</v>
      </c>
      <c r="CL1425" t="s">
        <v>89</v>
      </c>
    </row>
    <row r="1426" spans="1:90">
      <c r="A1426" t="s">
        <v>72</v>
      </c>
      <c r="B1426" t="s">
        <v>73</v>
      </c>
      <c r="C1426" t="s">
        <v>74</v>
      </c>
      <c r="E1426" t="str">
        <f>"FES1162728304"</f>
        <v>FES1162728304</v>
      </c>
      <c r="F1426" s="3">
        <v>43812</v>
      </c>
      <c r="G1426">
        <v>202006</v>
      </c>
      <c r="H1426" t="s">
        <v>75</v>
      </c>
      <c r="I1426" t="s">
        <v>76</v>
      </c>
      <c r="J1426" t="s">
        <v>77</v>
      </c>
      <c r="K1426" t="s">
        <v>78</v>
      </c>
      <c r="L1426" t="s">
        <v>198</v>
      </c>
      <c r="M1426" t="s">
        <v>199</v>
      </c>
      <c r="N1426" t="s">
        <v>842</v>
      </c>
      <c r="O1426" t="s">
        <v>82</v>
      </c>
      <c r="P1426" t="str">
        <f>"2170719039                    "</f>
        <v xml:space="preserve">2170719039                    </v>
      </c>
      <c r="Q1426">
        <v>0</v>
      </c>
      <c r="R1426">
        <v>0</v>
      </c>
      <c r="S1426">
        <v>0</v>
      </c>
      <c r="T1426">
        <v>0</v>
      </c>
      <c r="U1426">
        <v>0</v>
      </c>
      <c r="V1426">
        <v>0</v>
      </c>
      <c r="W1426">
        <v>0</v>
      </c>
      <c r="X1426">
        <v>0</v>
      </c>
      <c r="Y1426">
        <v>0</v>
      </c>
      <c r="Z1426">
        <v>0</v>
      </c>
      <c r="AA1426">
        <v>0</v>
      </c>
      <c r="AB1426">
        <v>0</v>
      </c>
      <c r="AC1426">
        <v>0</v>
      </c>
      <c r="AD1426">
        <v>0</v>
      </c>
      <c r="AE1426">
        <v>0</v>
      </c>
      <c r="AF1426">
        <v>0</v>
      </c>
      <c r="AG1426">
        <v>0</v>
      </c>
      <c r="AH1426">
        <v>0</v>
      </c>
      <c r="AI1426">
        <v>0</v>
      </c>
      <c r="AJ1426">
        <v>0</v>
      </c>
      <c r="AK1426">
        <v>0</v>
      </c>
      <c r="AL1426">
        <v>0</v>
      </c>
      <c r="AM1426">
        <v>15.02</v>
      </c>
      <c r="AN1426">
        <v>0</v>
      </c>
      <c r="AO1426">
        <v>0</v>
      </c>
      <c r="AP1426">
        <v>0</v>
      </c>
      <c r="AQ1426">
        <v>0</v>
      </c>
      <c r="AR1426">
        <v>0</v>
      </c>
      <c r="AS1426">
        <v>0</v>
      </c>
      <c r="AT1426">
        <v>0</v>
      </c>
      <c r="AU1426">
        <v>0</v>
      </c>
      <c r="AV1426">
        <v>0</v>
      </c>
      <c r="AW1426">
        <v>0</v>
      </c>
      <c r="AX1426">
        <v>0</v>
      </c>
      <c r="AY1426">
        <v>0</v>
      </c>
      <c r="AZ1426">
        <v>0</v>
      </c>
      <c r="BA1426">
        <v>0</v>
      </c>
      <c r="BB1426">
        <v>0</v>
      </c>
      <c r="BC1426">
        <v>0</v>
      </c>
      <c r="BD1426">
        <v>0</v>
      </c>
      <c r="BE1426">
        <v>0</v>
      </c>
      <c r="BF1426">
        <v>0</v>
      </c>
      <c r="BG1426">
        <v>0</v>
      </c>
      <c r="BH1426">
        <v>1</v>
      </c>
      <c r="BI1426">
        <v>3.4</v>
      </c>
      <c r="BJ1426">
        <v>1.8</v>
      </c>
      <c r="BK1426">
        <v>3.5</v>
      </c>
      <c r="BL1426" s="4">
        <v>88.27</v>
      </c>
      <c r="BM1426" s="4">
        <v>13.24</v>
      </c>
      <c r="BN1426" s="4">
        <v>101.51</v>
      </c>
      <c r="BO1426" s="4">
        <v>101.51</v>
      </c>
      <c r="BQ1426" t="s">
        <v>843</v>
      </c>
      <c r="BR1426" t="s">
        <v>84</v>
      </c>
      <c r="BS1426" s="3">
        <v>43816</v>
      </c>
      <c r="BT1426" s="5">
        <v>0.35347222222222219</v>
      </c>
      <c r="BU1426" t="s">
        <v>844</v>
      </c>
      <c r="BV1426" t="s">
        <v>86</v>
      </c>
      <c r="BY1426">
        <v>8897.4599999999991</v>
      </c>
      <c r="CA1426" t="s">
        <v>299</v>
      </c>
      <c r="CC1426" t="s">
        <v>199</v>
      </c>
      <c r="CD1426">
        <v>4051</v>
      </c>
      <c r="CE1426" t="s">
        <v>96</v>
      </c>
      <c r="CF1426" s="3">
        <v>43817</v>
      </c>
      <c r="CI1426">
        <v>1</v>
      </c>
      <c r="CJ1426">
        <v>2</v>
      </c>
      <c r="CK1426">
        <v>21</v>
      </c>
      <c r="CL1426" t="s">
        <v>89</v>
      </c>
    </row>
    <row r="1427" spans="1:90">
      <c r="A1427" t="s">
        <v>72</v>
      </c>
      <c r="B1427" t="s">
        <v>73</v>
      </c>
      <c r="C1427" t="s">
        <v>74</v>
      </c>
      <c r="E1427" t="str">
        <f>"FES1162728456"</f>
        <v>FES1162728456</v>
      </c>
      <c r="F1427" s="3">
        <v>43812</v>
      </c>
      <c r="G1427">
        <v>202006</v>
      </c>
      <c r="H1427" t="s">
        <v>75</v>
      </c>
      <c r="I1427" t="s">
        <v>76</v>
      </c>
      <c r="J1427" t="s">
        <v>77</v>
      </c>
      <c r="K1427" t="s">
        <v>78</v>
      </c>
      <c r="L1427" t="s">
        <v>198</v>
      </c>
      <c r="M1427" t="s">
        <v>199</v>
      </c>
      <c r="N1427" t="s">
        <v>297</v>
      </c>
      <c r="O1427" t="s">
        <v>82</v>
      </c>
      <c r="P1427" t="str">
        <f>"217071690                     "</f>
        <v xml:space="preserve">217071690                     </v>
      </c>
      <c r="Q1427">
        <v>0</v>
      </c>
      <c r="R1427">
        <v>0</v>
      </c>
      <c r="S1427">
        <v>0</v>
      </c>
      <c r="T1427">
        <v>0</v>
      </c>
      <c r="U1427">
        <v>0</v>
      </c>
      <c r="V1427">
        <v>0</v>
      </c>
      <c r="W1427">
        <v>0</v>
      </c>
      <c r="X1427">
        <v>0</v>
      </c>
      <c r="Y1427">
        <v>0</v>
      </c>
      <c r="Z1427">
        <v>0</v>
      </c>
      <c r="AA1427">
        <v>0</v>
      </c>
      <c r="AB1427">
        <v>0</v>
      </c>
      <c r="AC1427">
        <v>0</v>
      </c>
      <c r="AD1427">
        <v>0</v>
      </c>
      <c r="AE1427">
        <v>0</v>
      </c>
      <c r="AF1427">
        <v>0</v>
      </c>
      <c r="AG1427">
        <v>0</v>
      </c>
      <c r="AH1427">
        <v>0</v>
      </c>
      <c r="AI1427">
        <v>0</v>
      </c>
      <c r="AJ1427">
        <v>0</v>
      </c>
      <c r="AK1427">
        <v>0</v>
      </c>
      <c r="AL1427">
        <v>0</v>
      </c>
      <c r="AM1427">
        <v>15.02</v>
      </c>
      <c r="AN1427">
        <v>0</v>
      </c>
      <c r="AO1427">
        <v>0</v>
      </c>
      <c r="AP1427">
        <v>0</v>
      </c>
      <c r="AQ1427">
        <v>0</v>
      </c>
      <c r="AR1427">
        <v>0</v>
      </c>
      <c r="AS1427">
        <v>0</v>
      </c>
      <c r="AT1427">
        <v>0</v>
      </c>
      <c r="AU1427">
        <v>0</v>
      </c>
      <c r="AV1427">
        <v>0</v>
      </c>
      <c r="AW1427">
        <v>0</v>
      </c>
      <c r="AX1427">
        <v>0</v>
      </c>
      <c r="AY1427">
        <v>0</v>
      </c>
      <c r="AZ1427">
        <v>0</v>
      </c>
      <c r="BA1427">
        <v>0</v>
      </c>
      <c r="BB1427">
        <v>0</v>
      </c>
      <c r="BC1427">
        <v>0</v>
      </c>
      <c r="BD1427">
        <v>0</v>
      </c>
      <c r="BE1427">
        <v>0</v>
      </c>
      <c r="BF1427">
        <v>0</v>
      </c>
      <c r="BG1427">
        <v>0</v>
      </c>
      <c r="BH1427">
        <v>1</v>
      </c>
      <c r="BI1427">
        <v>3.5</v>
      </c>
      <c r="BJ1427">
        <v>2.1</v>
      </c>
      <c r="BK1427">
        <v>3.5</v>
      </c>
      <c r="BL1427" s="4">
        <v>88.27</v>
      </c>
      <c r="BM1427" s="4">
        <v>13.24</v>
      </c>
      <c r="BN1427" s="4">
        <v>101.51</v>
      </c>
      <c r="BO1427" s="4">
        <v>101.51</v>
      </c>
      <c r="BQ1427" t="s">
        <v>172</v>
      </c>
      <c r="BR1427" t="s">
        <v>84</v>
      </c>
      <c r="BS1427" s="3">
        <v>43816</v>
      </c>
      <c r="BT1427" s="5">
        <v>0.35833333333333334</v>
      </c>
      <c r="BU1427" t="s">
        <v>542</v>
      </c>
      <c r="BV1427" t="s">
        <v>86</v>
      </c>
      <c r="BY1427">
        <v>10584.06</v>
      </c>
      <c r="CA1427" t="s">
        <v>299</v>
      </c>
      <c r="CC1427" t="s">
        <v>199</v>
      </c>
      <c r="CD1427">
        <v>4000</v>
      </c>
      <c r="CE1427" t="s">
        <v>116</v>
      </c>
      <c r="CF1427" s="3">
        <v>43817</v>
      </c>
      <c r="CI1427">
        <v>1</v>
      </c>
      <c r="CJ1427">
        <v>2</v>
      </c>
      <c r="CK1427">
        <v>21</v>
      </c>
      <c r="CL1427" t="s">
        <v>89</v>
      </c>
    </row>
    <row r="1428" spans="1:90">
      <c r="A1428" t="s">
        <v>72</v>
      </c>
      <c r="B1428" t="s">
        <v>73</v>
      </c>
      <c r="C1428" t="s">
        <v>74</v>
      </c>
      <c r="E1428" t="str">
        <f>"FES1162728461"</f>
        <v>FES1162728461</v>
      </c>
      <c r="F1428" s="3">
        <v>43812</v>
      </c>
      <c r="G1428">
        <v>202006</v>
      </c>
      <c r="H1428" t="s">
        <v>75</v>
      </c>
      <c r="I1428" t="s">
        <v>76</v>
      </c>
      <c r="J1428" t="s">
        <v>77</v>
      </c>
      <c r="K1428" t="s">
        <v>78</v>
      </c>
      <c r="L1428" t="s">
        <v>671</v>
      </c>
      <c r="M1428" t="s">
        <v>672</v>
      </c>
      <c r="N1428" t="s">
        <v>1897</v>
      </c>
      <c r="O1428" t="s">
        <v>82</v>
      </c>
      <c r="P1428" t="str">
        <f>"2170721509                    "</f>
        <v xml:space="preserve">2170721509                    </v>
      </c>
      <c r="Q1428">
        <v>0</v>
      </c>
      <c r="R1428">
        <v>0</v>
      </c>
      <c r="S1428">
        <v>0</v>
      </c>
      <c r="T1428">
        <v>0</v>
      </c>
      <c r="U1428">
        <v>0</v>
      </c>
      <c r="V1428">
        <v>0</v>
      </c>
      <c r="W1428">
        <v>0</v>
      </c>
      <c r="X1428">
        <v>0</v>
      </c>
      <c r="Y1428">
        <v>0</v>
      </c>
      <c r="Z1428">
        <v>0</v>
      </c>
      <c r="AA1428">
        <v>0</v>
      </c>
      <c r="AB1428">
        <v>0</v>
      </c>
      <c r="AC1428">
        <v>0</v>
      </c>
      <c r="AD1428">
        <v>0</v>
      </c>
      <c r="AE1428">
        <v>0</v>
      </c>
      <c r="AF1428">
        <v>0</v>
      </c>
      <c r="AG1428">
        <v>0</v>
      </c>
      <c r="AH1428">
        <v>0</v>
      </c>
      <c r="AI1428">
        <v>0</v>
      </c>
      <c r="AJ1428">
        <v>0</v>
      </c>
      <c r="AK1428">
        <v>0</v>
      </c>
      <c r="AL1428">
        <v>0</v>
      </c>
      <c r="AM1428">
        <v>16.63</v>
      </c>
      <c r="AN1428">
        <v>0</v>
      </c>
      <c r="AO1428">
        <v>0</v>
      </c>
      <c r="AP1428">
        <v>0</v>
      </c>
      <c r="AQ1428">
        <v>0</v>
      </c>
      <c r="AR1428">
        <v>0</v>
      </c>
      <c r="AS1428">
        <v>0</v>
      </c>
      <c r="AT1428">
        <v>0</v>
      </c>
      <c r="AU1428">
        <v>0</v>
      </c>
      <c r="AV1428">
        <v>0</v>
      </c>
      <c r="AW1428">
        <v>0</v>
      </c>
      <c r="AX1428">
        <v>0</v>
      </c>
      <c r="AY1428">
        <v>0</v>
      </c>
      <c r="AZ1428">
        <v>0</v>
      </c>
      <c r="BA1428">
        <v>0</v>
      </c>
      <c r="BB1428">
        <v>0</v>
      </c>
      <c r="BC1428">
        <v>0</v>
      </c>
      <c r="BD1428">
        <v>0</v>
      </c>
      <c r="BE1428">
        <v>0</v>
      </c>
      <c r="BF1428">
        <v>0</v>
      </c>
      <c r="BG1428">
        <v>0</v>
      </c>
      <c r="BH1428">
        <v>1</v>
      </c>
      <c r="BI1428">
        <v>1</v>
      </c>
      <c r="BJ1428">
        <v>0.2</v>
      </c>
      <c r="BK1428">
        <v>1</v>
      </c>
      <c r="BL1428" s="4">
        <v>97.75</v>
      </c>
      <c r="BM1428" s="4">
        <v>14.66</v>
      </c>
      <c r="BN1428" s="4">
        <v>112.41</v>
      </c>
      <c r="BO1428" s="4">
        <v>112.41</v>
      </c>
      <c r="BQ1428" t="s">
        <v>147</v>
      </c>
      <c r="BR1428" t="s">
        <v>84</v>
      </c>
      <c r="BS1428" s="3">
        <v>43817</v>
      </c>
      <c r="BT1428" s="5">
        <v>0.4375</v>
      </c>
      <c r="BU1428" t="s">
        <v>1898</v>
      </c>
      <c r="BV1428" t="s">
        <v>89</v>
      </c>
      <c r="BW1428" t="s">
        <v>149</v>
      </c>
      <c r="BX1428" t="s">
        <v>1066</v>
      </c>
      <c r="BY1428">
        <v>1200</v>
      </c>
      <c r="CA1428" t="s">
        <v>1805</v>
      </c>
      <c r="CC1428" t="s">
        <v>672</v>
      </c>
      <c r="CD1428">
        <v>1900</v>
      </c>
      <c r="CE1428" t="s">
        <v>88</v>
      </c>
      <c r="CI1428">
        <v>1</v>
      </c>
      <c r="CJ1428">
        <v>3</v>
      </c>
      <c r="CK1428">
        <v>23</v>
      </c>
      <c r="CL1428" t="s">
        <v>89</v>
      </c>
    </row>
    <row r="1429" spans="1:90">
      <c r="A1429" t="s">
        <v>72</v>
      </c>
      <c r="B1429" t="s">
        <v>73</v>
      </c>
      <c r="C1429" t="s">
        <v>74</v>
      </c>
      <c r="E1429" t="str">
        <f>"FES1162728509"</f>
        <v>FES1162728509</v>
      </c>
      <c r="F1429" s="3">
        <v>43812</v>
      </c>
      <c r="G1429">
        <v>202006</v>
      </c>
      <c r="H1429" t="s">
        <v>75</v>
      </c>
      <c r="I1429" t="s">
        <v>76</v>
      </c>
      <c r="J1429" t="s">
        <v>77</v>
      </c>
      <c r="K1429" t="s">
        <v>78</v>
      </c>
      <c r="L1429" t="s">
        <v>90</v>
      </c>
      <c r="M1429" t="s">
        <v>91</v>
      </c>
      <c r="N1429" t="s">
        <v>110</v>
      </c>
      <c r="O1429" t="s">
        <v>82</v>
      </c>
      <c r="P1429" t="str">
        <f>"2170721743                    "</f>
        <v xml:space="preserve">2170721743                    </v>
      </c>
      <c r="Q1429">
        <v>0</v>
      </c>
      <c r="R1429">
        <v>0</v>
      </c>
      <c r="S1429">
        <v>0</v>
      </c>
      <c r="T1429">
        <v>0</v>
      </c>
      <c r="U1429">
        <v>0</v>
      </c>
      <c r="V1429">
        <v>0</v>
      </c>
      <c r="W1429">
        <v>0</v>
      </c>
      <c r="X1429">
        <v>0</v>
      </c>
      <c r="Y1429">
        <v>0</v>
      </c>
      <c r="Z1429">
        <v>0</v>
      </c>
      <c r="AA1429">
        <v>0</v>
      </c>
      <c r="AB1429">
        <v>0</v>
      </c>
      <c r="AC1429">
        <v>0</v>
      </c>
      <c r="AD1429">
        <v>0</v>
      </c>
      <c r="AE1429">
        <v>0</v>
      </c>
      <c r="AF1429">
        <v>0</v>
      </c>
      <c r="AG1429">
        <v>0</v>
      </c>
      <c r="AH1429">
        <v>0</v>
      </c>
      <c r="AI1429">
        <v>0</v>
      </c>
      <c r="AJ1429">
        <v>0</v>
      </c>
      <c r="AK1429">
        <v>0</v>
      </c>
      <c r="AL1429">
        <v>0</v>
      </c>
      <c r="AM1429">
        <v>8.58</v>
      </c>
      <c r="AN1429">
        <v>0</v>
      </c>
      <c r="AO1429">
        <v>0</v>
      </c>
      <c r="AP1429">
        <v>0</v>
      </c>
      <c r="AQ1429">
        <v>0</v>
      </c>
      <c r="AR1429">
        <v>0</v>
      </c>
      <c r="AS1429">
        <v>0</v>
      </c>
      <c r="AT1429">
        <v>0</v>
      </c>
      <c r="AU1429">
        <v>0</v>
      </c>
      <c r="AV1429">
        <v>0</v>
      </c>
      <c r="AW1429">
        <v>0</v>
      </c>
      <c r="AX1429">
        <v>0</v>
      </c>
      <c r="AY1429">
        <v>0</v>
      </c>
      <c r="AZ1429">
        <v>0</v>
      </c>
      <c r="BA1429">
        <v>0</v>
      </c>
      <c r="BB1429">
        <v>0</v>
      </c>
      <c r="BC1429">
        <v>0</v>
      </c>
      <c r="BD1429">
        <v>0</v>
      </c>
      <c r="BE1429">
        <v>0</v>
      </c>
      <c r="BF1429">
        <v>0</v>
      </c>
      <c r="BG1429">
        <v>0</v>
      </c>
      <c r="BH1429">
        <v>1</v>
      </c>
      <c r="BI1429">
        <v>1</v>
      </c>
      <c r="BJ1429">
        <v>0.2</v>
      </c>
      <c r="BK1429">
        <v>1</v>
      </c>
      <c r="BL1429" s="4">
        <v>50.45</v>
      </c>
      <c r="BM1429" s="4">
        <v>7.57</v>
      </c>
      <c r="BN1429" s="4">
        <v>58.02</v>
      </c>
      <c r="BO1429" s="4">
        <v>58.02</v>
      </c>
      <c r="BQ1429" t="s">
        <v>147</v>
      </c>
      <c r="BR1429" t="s">
        <v>84</v>
      </c>
      <c r="BS1429" s="3">
        <v>43816</v>
      </c>
      <c r="BT1429" s="5">
        <v>0.31041666666666667</v>
      </c>
      <c r="BU1429" t="s">
        <v>111</v>
      </c>
      <c r="BV1429" t="s">
        <v>86</v>
      </c>
      <c r="BY1429">
        <v>1200</v>
      </c>
      <c r="CA1429" t="s">
        <v>112</v>
      </c>
      <c r="CC1429" t="s">
        <v>91</v>
      </c>
      <c r="CD1429">
        <v>7405</v>
      </c>
      <c r="CE1429" t="s">
        <v>88</v>
      </c>
      <c r="CF1429" s="3">
        <v>43817</v>
      </c>
      <c r="CI1429">
        <v>1</v>
      </c>
      <c r="CJ1429">
        <v>2</v>
      </c>
      <c r="CK1429">
        <v>21</v>
      </c>
      <c r="CL1429" t="s">
        <v>89</v>
      </c>
    </row>
    <row r="1430" spans="1:90">
      <c r="A1430" t="s">
        <v>72</v>
      </c>
      <c r="B1430" t="s">
        <v>73</v>
      </c>
      <c r="C1430" t="s">
        <v>74</v>
      </c>
      <c r="E1430" t="str">
        <f>"FES1162728484"</f>
        <v>FES1162728484</v>
      </c>
      <c r="F1430" s="3">
        <v>43812</v>
      </c>
      <c r="G1430">
        <v>202006</v>
      </c>
      <c r="H1430" t="s">
        <v>75</v>
      </c>
      <c r="I1430" t="s">
        <v>76</v>
      </c>
      <c r="J1430" t="s">
        <v>77</v>
      </c>
      <c r="K1430" t="s">
        <v>78</v>
      </c>
      <c r="L1430" t="s">
        <v>90</v>
      </c>
      <c r="M1430" t="s">
        <v>91</v>
      </c>
      <c r="N1430" t="s">
        <v>1899</v>
      </c>
      <c r="O1430" t="s">
        <v>82</v>
      </c>
      <c r="P1430" t="str">
        <f>"217071725                     "</f>
        <v xml:space="preserve">217071725                     </v>
      </c>
      <c r="Q1430">
        <v>0</v>
      </c>
      <c r="R1430">
        <v>0</v>
      </c>
      <c r="S1430">
        <v>0</v>
      </c>
      <c r="T1430">
        <v>0</v>
      </c>
      <c r="U1430">
        <v>0</v>
      </c>
      <c r="V1430">
        <v>0</v>
      </c>
      <c r="W1430">
        <v>0</v>
      </c>
      <c r="X1430">
        <v>0</v>
      </c>
      <c r="Y1430">
        <v>0</v>
      </c>
      <c r="Z1430">
        <v>0</v>
      </c>
      <c r="AA1430">
        <v>0</v>
      </c>
      <c r="AB1430">
        <v>0</v>
      </c>
      <c r="AC1430">
        <v>0</v>
      </c>
      <c r="AD1430">
        <v>0</v>
      </c>
      <c r="AE1430">
        <v>0</v>
      </c>
      <c r="AF1430">
        <v>0</v>
      </c>
      <c r="AG1430">
        <v>0</v>
      </c>
      <c r="AH1430">
        <v>0</v>
      </c>
      <c r="AI1430">
        <v>0</v>
      </c>
      <c r="AJ1430">
        <v>0</v>
      </c>
      <c r="AK1430">
        <v>0</v>
      </c>
      <c r="AL1430">
        <v>0</v>
      </c>
      <c r="AM1430">
        <v>8.58</v>
      </c>
      <c r="AN1430">
        <v>0</v>
      </c>
      <c r="AO1430">
        <v>0</v>
      </c>
      <c r="AP1430">
        <v>0</v>
      </c>
      <c r="AQ1430">
        <v>0</v>
      </c>
      <c r="AR1430">
        <v>0</v>
      </c>
      <c r="AS1430">
        <v>0</v>
      </c>
      <c r="AT1430">
        <v>0</v>
      </c>
      <c r="AU1430">
        <v>0</v>
      </c>
      <c r="AV1430">
        <v>0</v>
      </c>
      <c r="AW1430">
        <v>0</v>
      </c>
      <c r="AX1430">
        <v>0</v>
      </c>
      <c r="AY1430">
        <v>0</v>
      </c>
      <c r="AZ1430">
        <v>0</v>
      </c>
      <c r="BA1430">
        <v>0</v>
      </c>
      <c r="BB1430">
        <v>0</v>
      </c>
      <c r="BC1430">
        <v>0</v>
      </c>
      <c r="BD1430">
        <v>0</v>
      </c>
      <c r="BE1430">
        <v>0</v>
      </c>
      <c r="BF1430">
        <v>0</v>
      </c>
      <c r="BG1430">
        <v>0</v>
      </c>
      <c r="BH1430">
        <v>1</v>
      </c>
      <c r="BI1430">
        <v>1</v>
      </c>
      <c r="BJ1430">
        <v>0.2</v>
      </c>
      <c r="BK1430">
        <v>1</v>
      </c>
      <c r="BL1430" s="4">
        <v>50.45</v>
      </c>
      <c r="BM1430" s="4">
        <v>7.57</v>
      </c>
      <c r="BN1430" s="4">
        <v>58.02</v>
      </c>
      <c r="BO1430" s="4">
        <v>58.02</v>
      </c>
      <c r="BQ1430" t="s">
        <v>256</v>
      </c>
      <c r="BR1430" t="s">
        <v>84</v>
      </c>
      <c r="BS1430" s="3">
        <v>43816</v>
      </c>
      <c r="BT1430" s="5">
        <v>0.42222222222222222</v>
      </c>
      <c r="BU1430" t="s">
        <v>1900</v>
      </c>
      <c r="BV1430" t="s">
        <v>86</v>
      </c>
      <c r="BY1430">
        <v>1200</v>
      </c>
      <c r="CA1430" t="s">
        <v>1901</v>
      </c>
      <c r="CC1430" t="s">
        <v>91</v>
      </c>
      <c r="CD1430">
        <v>7500</v>
      </c>
      <c r="CE1430" t="s">
        <v>88</v>
      </c>
      <c r="CF1430" s="3">
        <v>43817</v>
      </c>
      <c r="CI1430">
        <v>1</v>
      </c>
      <c r="CJ1430">
        <v>2</v>
      </c>
      <c r="CK1430">
        <v>21</v>
      </c>
      <c r="CL1430" t="s">
        <v>89</v>
      </c>
    </row>
    <row r="1431" spans="1:90">
      <c r="A1431" t="s">
        <v>72</v>
      </c>
      <c r="B1431" t="s">
        <v>73</v>
      </c>
      <c r="C1431" t="s">
        <v>74</v>
      </c>
      <c r="E1431" t="str">
        <f>"FES1162728465"</f>
        <v>FES1162728465</v>
      </c>
      <c r="F1431" s="3">
        <v>43812</v>
      </c>
      <c r="G1431">
        <v>202006</v>
      </c>
      <c r="H1431" t="s">
        <v>75</v>
      </c>
      <c r="I1431" t="s">
        <v>76</v>
      </c>
      <c r="J1431" t="s">
        <v>77</v>
      </c>
      <c r="K1431" t="s">
        <v>78</v>
      </c>
      <c r="L1431" t="s">
        <v>90</v>
      </c>
      <c r="M1431" t="s">
        <v>91</v>
      </c>
      <c r="N1431" t="s">
        <v>110</v>
      </c>
      <c r="O1431" t="s">
        <v>82</v>
      </c>
      <c r="P1431" t="str">
        <f>"2170717203                    "</f>
        <v xml:space="preserve">2170717203                    </v>
      </c>
      <c r="Q1431">
        <v>0</v>
      </c>
      <c r="R1431">
        <v>0</v>
      </c>
      <c r="S1431">
        <v>0</v>
      </c>
      <c r="T1431">
        <v>0</v>
      </c>
      <c r="U1431">
        <v>0</v>
      </c>
      <c r="V1431">
        <v>0</v>
      </c>
      <c r="W1431">
        <v>0</v>
      </c>
      <c r="X1431">
        <v>0</v>
      </c>
      <c r="Y1431">
        <v>0</v>
      </c>
      <c r="Z1431">
        <v>0</v>
      </c>
      <c r="AA1431">
        <v>0</v>
      </c>
      <c r="AB1431">
        <v>0</v>
      </c>
      <c r="AC1431">
        <v>0</v>
      </c>
      <c r="AD1431">
        <v>0</v>
      </c>
      <c r="AE1431">
        <v>0</v>
      </c>
      <c r="AF1431">
        <v>0</v>
      </c>
      <c r="AG1431">
        <v>0</v>
      </c>
      <c r="AH1431">
        <v>0</v>
      </c>
      <c r="AI1431">
        <v>0</v>
      </c>
      <c r="AJ1431">
        <v>0</v>
      </c>
      <c r="AK1431">
        <v>0</v>
      </c>
      <c r="AL1431">
        <v>0</v>
      </c>
      <c r="AM1431">
        <v>8.58</v>
      </c>
      <c r="AN1431">
        <v>0</v>
      </c>
      <c r="AO1431">
        <v>0</v>
      </c>
      <c r="AP1431">
        <v>0</v>
      </c>
      <c r="AQ1431">
        <v>0</v>
      </c>
      <c r="AR1431">
        <v>0</v>
      </c>
      <c r="AS1431">
        <v>0</v>
      </c>
      <c r="AT1431">
        <v>0</v>
      </c>
      <c r="AU1431">
        <v>0</v>
      </c>
      <c r="AV1431">
        <v>0</v>
      </c>
      <c r="AW1431">
        <v>0</v>
      </c>
      <c r="AX1431">
        <v>0</v>
      </c>
      <c r="AY1431">
        <v>0</v>
      </c>
      <c r="AZ1431">
        <v>0</v>
      </c>
      <c r="BA1431">
        <v>0</v>
      </c>
      <c r="BB1431">
        <v>0</v>
      </c>
      <c r="BC1431">
        <v>0</v>
      </c>
      <c r="BD1431">
        <v>0</v>
      </c>
      <c r="BE1431">
        <v>0</v>
      </c>
      <c r="BF1431">
        <v>0</v>
      </c>
      <c r="BG1431">
        <v>0</v>
      </c>
      <c r="BH1431">
        <v>1</v>
      </c>
      <c r="BI1431">
        <v>1</v>
      </c>
      <c r="BJ1431">
        <v>0.2</v>
      </c>
      <c r="BK1431">
        <v>1</v>
      </c>
      <c r="BL1431" s="4">
        <v>50.45</v>
      </c>
      <c r="BM1431" s="4">
        <v>7.57</v>
      </c>
      <c r="BN1431" s="4">
        <v>58.02</v>
      </c>
      <c r="BO1431" s="4">
        <v>58.02</v>
      </c>
      <c r="BQ1431" t="s">
        <v>147</v>
      </c>
      <c r="BR1431" t="s">
        <v>84</v>
      </c>
      <c r="BS1431" s="3">
        <v>43816</v>
      </c>
      <c r="BT1431" s="5">
        <v>0.31111111111111112</v>
      </c>
      <c r="BU1431" t="s">
        <v>111</v>
      </c>
      <c r="BV1431" t="s">
        <v>86</v>
      </c>
      <c r="BY1431">
        <v>1200</v>
      </c>
      <c r="CA1431" t="s">
        <v>112</v>
      </c>
      <c r="CC1431" t="s">
        <v>91</v>
      </c>
      <c r="CD1431">
        <v>7405</v>
      </c>
      <c r="CE1431" t="s">
        <v>88</v>
      </c>
      <c r="CF1431" s="3">
        <v>43817</v>
      </c>
      <c r="CI1431">
        <v>1</v>
      </c>
      <c r="CJ1431">
        <v>2</v>
      </c>
      <c r="CK1431">
        <v>21</v>
      </c>
      <c r="CL1431" t="s">
        <v>89</v>
      </c>
    </row>
    <row r="1432" spans="1:90">
      <c r="A1432" t="s">
        <v>72</v>
      </c>
      <c r="B1432" t="s">
        <v>73</v>
      </c>
      <c r="C1432" t="s">
        <v>74</v>
      </c>
      <c r="E1432" t="str">
        <f>"FES1162728284"</f>
        <v>FES1162728284</v>
      </c>
      <c r="F1432" s="3">
        <v>43812</v>
      </c>
      <c r="G1432">
        <v>202006</v>
      </c>
      <c r="H1432" t="s">
        <v>75</v>
      </c>
      <c r="I1432" t="s">
        <v>76</v>
      </c>
      <c r="J1432" t="s">
        <v>77</v>
      </c>
      <c r="K1432" t="s">
        <v>78</v>
      </c>
      <c r="L1432" t="s">
        <v>632</v>
      </c>
      <c r="M1432" t="s">
        <v>633</v>
      </c>
      <c r="N1432" t="s">
        <v>634</v>
      </c>
      <c r="O1432" t="s">
        <v>82</v>
      </c>
      <c r="P1432" t="str">
        <f>"2170716272                    "</f>
        <v xml:space="preserve">2170716272                    </v>
      </c>
      <c r="Q1432">
        <v>0</v>
      </c>
      <c r="R1432">
        <v>0</v>
      </c>
      <c r="S1432">
        <v>0</v>
      </c>
      <c r="T1432">
        <v>0</v>
      </c>
      <c r="U1432">
        <v>0</v>
      </c>
      <c r="V1432">
        <v>0</v>
      </c>
      <c r="W1432">
        <v>0</v>
      </c>
      <c r="X1432">
        <v>0</v>
      </c>
      <c r="Y1432">
        <v>0</v>
      </c>
      <c r="Z1432">
        <v>0</v>
      </c>
      <c r="AA1432">
        <v>0</v>
      </c>
      <c r="AB1432">
        <v>0</v>
      </c>
      <c r="AC1432">
        <v>0</v>
      </c>
      <c r="AD1432">
        <v>0</v>
      </c>
      <c r="AE1432">
        <v>0</v>
      </c>
      <c r="AF1432">
        <v>0</v>
      </c>
      <c r="AG1432">
        <v>0</v>
      </c>
      <c r="AH1432">
        <v>0</v>
      </c>
      <c r="AI1432">
        <v>0</v>
      </c>
      <c r="AJ1432">
        <v>0</v>
      </c>
      <c r="AK1432">
        <v>0</v>
      </c>
      <c r="AL1432">
        <v>0</v>
      </c>
      <c r="AM1432">
        <v>6.71</v>
      </c>
      <c r="AN1432">
        <v>0</v>
      </c>
      <c r="AO1432">
        <v>0</v>
      </c>
      <c r="AP1432">
        <v>0</v>
      </c>
      <c r="AQ1432">
        <v>0</v>
      </c>
      <c r="AR1432">
        <v>0</v>
      </c>
      <c r="AS1432">
        <v>0</v>
      </c>
      <c r="AT1432">
        <v>0</v>
      </c>
      <c r="AU1432">
        <v>0</v>
      </c>
      <c r="AV1432">
        <v>0</v>
      </c>
      <c r="AW1432">
        <v>0</v>
      </c>
      <c r="AX1432">
        <v>0</v>
      </c>
      <c r="AY1432">
        <v>0</v>
      </c>
      <c r="AZ1432">
        <v>0</v>
      </c>
      <c r="BA1432">
        <v>0</v>
      </c>
      <c r="BB1432">
        <v>0</v>
      </c>
      <c r="BC1432">
        <v>0</v>
      </c>
      <c r="BD1432">
        <v>0</v>
      </c>
      <c r="BE1432">
        <v>0</v>
      </c>
      <c r="BF1432">
        <v>0</v>
      </c>
      <c r="BG1432">
        <v>0</v>
      </c>
      <c r="BH1432">
        <v>1</v>
      </c>
      <c r="BI1432">
        <v>1</v>
      </c>
      <c r="BJ1432">
        <v>0.2</v>
      </c>
      <c r="BK1432">
        <v>1</v>
      </c>
      <c r="BL1432" s="4">
        <v>39.42</v>
      </c>
      <c r="BM1432" s="4">
        <v>5.91</v>
      </c>
      <c r="BN1432" s="4">
        <v>45.33</v>
      </c>
      <c r="BO1432" s="4">
        <v>45.33</v>
      </c>
      <c r="BQ1432" t="s">
        <v>147</v>
      </c>
      <c r="BR1432" t="s">
        <v>84</v>
      </c>
      <c r="BS1432" s="3">
        <v>43816</v>
      </c>
      <c r="BT1432" s="5">
        <v>0.37847222222222227</v>
      </c>
      <c r="BU1432" t="s">
        <v>1902</v>
      </c>
      <c r="BV1432" t="s">
        <v>86</v>
      </c>
      <c r="BY1432">
        <v>1200</v>
      </c>
      <c r="CC1432" t="s">
        <v>633</v>
      </c>
      <c r="CD1432">
        <v>1451</v>
      </c>
      <c r="CE1432" t="s">
        <v>88</v>
      </c>
      <c r="CF1432" s="3">
        <v>43817</v>
      </c>
      <c r="CI1432">
        <v>1</v>
      </c>
      <c r="CJ1432">
        <v>2</v>
      </c>
      <c r="CK1432">
        <v>22</v>
      </c>
      <c r="CL1432" t="s">
        <v>89</v>
      </c>
    </row>
    <row r="1433" spans="1:90">
      <c r="A1433" t="s">
        <v>72</v>
      </c>
      <c r="B1433" t="s">
        <v>73</v>
      </c>
      <c r="C1433" t="s">
        <v>74</v>
      </c>
      <c r="E1433" t="str">
        <f>"FES1162728287"</f>
        <v>FES1162728287</v>
      </c>
      <c r="F1433" s="3">
        <v>43812</v>
      </c>
      <c r="G1433">
        <v>202006</v>
      </c>
      <c r="H1433" t="s">
        <v>75</v>
      </c>
      <c r="I1433" t="s">
        <v>76</v>
      </c>
      <c r="J1433" t="s">
        <v>77</v>
      </c>
      <c r="K1433" t="s">
        <v>78</v>
      </c>
      <c r="L1433" t="s">
        <v>169</v>
      </c>
      <c r="M1433" t="s">
        <v>170</v>
      </c>
      <c r="N1433" t="s">
        <v>1432</v>
      </c>
      <c r="O1433" t="s">
        <v>82</v>
      </c>
      <c r="P1433" t="str">
        <f>"21707121630                   "</f>
        <v xml:space="preserve">21707121630                   </v>
      </c>
      <c r="Q1433">
        <v>0</v>
      </c>
      <c r="R1433">
        <v>0</v>
      </c>
      <c r="S1433">
        <v>0</v>
      </c>
      <c r="T1433">
        <v>0</v>
      </c>
      <c r="U1433">
        <v>0</v>
      </c>
      <c r="V1433">
        <v>0</v>
      </c>
      <c r="W1433">
        <v>0</v>
      </c>
      <c r="X1433">
        <v>0</v>
      </c>
      <c r="Y1433">
        <v>0</v>
      </c>
      <c r="Z1433">
        <v>0</v>
      </c>
      <c r="AA1433">
        <v>0</v>
      </c>
      <c r="AB1433">
        <v>0</v>
      </c>
      <c r="AC1433">
        <v>0</v>
      </c>
      <c r="AD1433">
        <v>0</v>
      </c>
      <c r="AE1433">
        <v>0</v>
      </c>
      <c r="AF1433">
        <v>0</v>
      </c>
      <c r="AG1433">
        <v>0</v>
      </c>
      <c r="AH1433">
        <v>0</v>
      </c>
      <c r="AI1433">
        <v>0</v>
      </c>
      <c r="AJ1433">
        <v>0</v>
      </c>
      <c r="AK1433">
        <v>0</v>
      </c>
      <c r="AL1433">
        <v>0</v>
      </c>
      <c r="AM1433">
        <v>6.71</v>
      </c>
      <c r="AN1433">
        <v>0</v>
      </c>
      <c r="AO1433">
        <v>0</v>
      </c>
      <c r="AP1433">
        <v>0</v>
      </c>
      <c r="AQ1433">
        <v>0</v>
      </c>
      <c r="AR1433">
        <v>0</v>
      </c>
      <c r="AS1433">
        <v>0</v>
      </c>
      <c r="AT1433">
        <v>0</v>
      </c>
      <c r="AU1433">
        <v>0</v>
      </c>
      <c r="AV1433">
        <v>0</v>
      </c>
      <c r="AW1433">
        <v>0</v>
      </c>
      <c r="AX1433">
        <v>0</v>
      </c>
      <c r="AY1433">
        <v>0</v>
      </c>
      <c r="AZ1433">
        <v>0</v>
      </c>
      <c r="BA1433">
        <v>0</v>
      </c>
      <c r="BB1433">
        <v>0</v>
      </c>
      <c r="BC1433">
        <v>0</v>
      </c>
      <c r="BD1433">
        <v>0</v>
      </c>
      <c r="BE1433">
        <v>0</v>
      </c>
      <c r="BF1433">
        <v>0</v>
      </c>
      <c r="BG1433">
        <v>0</v>
      </c>
      <c r="BH1433">
        <v>1</v>
      </c>
      <c r="BI1433">
        <v>1</v>
      </c>
      <c r="BJ1433">
        <v>0.2</v>
      </c>
      <c r="BK1433">
        <v>1</v>
      </c>
      <c r="BL1433" s="4">
        <v>39.42</v>
      </c>
      <c r="BM1433" s="4">
        <v>5.91</v>
      </c>
      <c r="BN1433" s="4">
        <v>45.33</v>
      </c>
      <c r="BO1433" s="4">
        <v>45.33</v>
      </c>
      <c r="BQ1433" t="s">
        <v>1433</v>
      </c>
      <c r="BR1433" t="s">
        <v>84</v>
      </c>
      <c r="BS1433" s="3">
        <v>43816</v>
      </c>
      <c r="BT1433" s="5">
        <v>0.36249999999999999</v>
      </c>
      <c r="BU1433" t="s">
        <v>1434</v>
      </c>
      <c r="BV1433" t="s">
        <v>86</v>
      </c>
      <c r="BY1433">
        <v>1200</v>
      </c>
      <c r="CA1433" t="s">
        <v>174</v>
      </c>
      <c r="CC1433" t="s">
        <v>170</v>
      </c>
      <c r="CD1433">
        <v>1459</v>
      </c>
      <c r="CE1433" t="s">
        <v>88</v>
      </c>
      <c r="CF1433" s="3">
        <v>43817</v>
      </c>
      <c r="CI1433">
        <v>1</v>
      </c>
      <c r="CJ1433">
        <v>2</v>
      </c>
      <c r="CK1433">
        <v>22</v>
      </c>
      <c r="CL1433" t="s">
        <v>89</v>
      </c>
    </row>
    <row r="1434" spans="1:90">
      <c r="A1434" t="s">
        <v>72</v>
      </c>
      <c r="B1434" t="s">
        <v>73</v>
      </c>
      <c r="C1434" t="s">
        <v>74</v>
      </c>
      <c r="E1434" t="str">
        <f>"FES1162728295"</f>
        <v>FES1162728295</v>
      </c>
      <c r="F1434" s="3">
        <v>43812</v>
      </c>
      <c r="G1434">
        <v>202006</v>
      </c>
      <c r="H1434" t="s">
        <v>75</v>
      </c>
      <c r="I1434" t="s">
        <v>76</v>
      </c>
      <c r="J1434" t="s">
        <v>77</v>
      </c>
      <c r="K1434" t="s">
        <v>78</v>
      </c>
      <c r="L1434" t="s">
        <v>646</v>
      </c>
      <c r="M1434" t="s">
        <v>647</v>
      </c>
      <c r="N1434" t="s">
        <v>1903</v>
      </c>
      <c r="O1434" t="s">
        <v>82</v>
      </c>
      <c r="P1434" t="str">
        <f>"2170716321                    "</f>
        <v xml:space="preserve">2170716321                    </v>
      </c>
      <c r="Q1434">
        <v>0</v>
      </c>
      <c r="R1434">
        <v>0</v>
      </c>
      <c r="S1434">
        <v>0</v>
      </c>
      <c r="T1434">
        <v>0</v>
      </c>
      <c r="U1434">
        <v>0</v>
      </c>
      <c r="V1434">
        <v>0</v>
      </c>
      <c r="W1434">
        <v>0</v>
      </c>
      <c r="X1434">
        <v>0</v>
      </c>
      <c r="Y1434">
        <v>0</v>
      </c>
      <c r="Z1434">
        <v>0</v>
      </c>
      <c r="AA1434">
        <v>0</v>
      </c>
      <c r="AB1434">
        <v>0</v>
      </c>
      <c r="AC1434">
        <v>0</v>
      </c>
      <c r="AD1434">
        <v>0</v>
      </c>
      <c r="AE1434">
        <v>0</v>
      </c>
      <c r="AF1434">
        <v>0</v>
      </c>
      <c r="AG1434">
        <v>0</v>
      </c>
      <c r="AH1434">
        <v>0</v>
      </c>
      <c r="AI1434">
        <v>0</v>
      </c>
      <c r="AJ1434">
        <v>0</v>
      </c>
      <c r="AK1434">
        <v>0</v>
      </c>
      <c r="AL1434">
        <v>0</v>
      </c>
      <c r="AM1434">
        <v>12.07</v>
      </c>
      <c r="AN1434">
        <v>0</v>
      </c>
      <c r="AO1434">
        <v>0</v>
      </c>
      <c r="AP1434">
        <v>0</v>
      </c>
      <c r="AQ1434">
        <v>0</v>
      </c>
      <c r="AR1434">
        <v>0</v>
      </c>
      <c r="AS1434">
        <v>0</v>
      </c>
      <c r="AT1434">
        <v>0</v>
      </c>
      <c r="AU1434">
        <v>0</v>
      </c>
      <c r="AV1434">
        <v>0</v>
      </c>
      <c r="AW1434">
        <v>0</v>
      </c>
      <c r="AX1434">
        <v>0</v>
      </c>
      <c r="AY1434">
        <v>0</v>
      </c>
      <c r="AZ1434">
        <v>0</v>
      </c>
      <c r="BA1434">
        <v>0</v>
      </c>
      <c r="BB1434">
        <v>0</v>
      </c>
      <c r="BC1434">
        <v>0</v>
      </c>
      <c r="BD1434">
        <v>0</v>
      </c>
      <c r="BE1434">
        <v>0</v>
      </c>
      <c r="BF1434">
        <v>0</v>
      </c>
      <c r="BG1434">
        <v>0</v>
      </c>
      <c r="BH1434">
        <v>1</v>
      </c>
      <c r="BI1434">
        <v>1</v>
      </c>
      <c r="BJ1434">
        <v>0.2</v>
      </c>
      <c r="BK1434">
        <v>1</v>
      </c>
      <c r="BL1434" s="4">
        <v>70.95</v>
      </c>
      <c r="BM1434" s="4">
        <v>10.64</v>
      </c>
      <c r="BN1434" s="4">
        <v>81.59</v>
      </c>
      <c r="BO1434" s="4">
        <v>81.59</v>
      </c>
      <c r="BQ1434" t="s">
        <v>93</v>
      </c>
      <c r="BR1434" t="s">
        <v>84</v>
      </c>
      <c r="BS1434" s="3">
        <v>43816</v>
      </c>
      <c r="BT1434" s="5">
        <v>0.40972222222222227</v>
      </c>
      <c r="BU1434" t="s">
        <v>1904</v>
      </c>
      <c r="BV1434" t="s">
        <v>86</v>
      </c>
      <c r="BY1434">
        <v>1200</v>
      </c>
      <c r="CA1434" t="s">
        <v>434</v>
      </c>
      <c r="CC1434" t="s">
        <v>647</v>
      </c>
      <c r="CD1434">
        <v>299</v>
      </c>
      <c r="CE1434" t="s">
        <v>88</v>
      </c>
      <c r="CF1434" s="3">
        <v>43819</v>
      </c>
      <c r="CI1434">
        <v>1</v>
      </c>
      <c r="CJ1434">
        <v>2</v>
      </c>
      <c r="CK1434">
        <v>24</v>
      </c>
      <c r="CL1434" t="s">
        <v>89</v>
      </c>
    </row>
    <row r="1435" spans="1:90">
      <c r="A1435" t="s">
        <v>72</v>
      </c>
      <c r="B1435" t="s">
        <v>73</v>
      </c>
      <c r="C1435" t="s">
        <v>74</v>
      </c>
      <c r="E1435" t="str">
        <f>"FES1162728321"</f>
        <v>FES1162728321</v>
      </c>
      <c r="F1435" s="3">
        <v>43812</v>
      </c>
      <c r="G1435">
        <v>202006</v>
      </c>
      <c r="H1435" t="s">
        <v>75</v>
      </c>
      <c r="I1435" t="s">
        <v>76</v>
      </c>
      <c r="J1435" t="s">
        <v>77</v>
      </c>
      <c r="K1435" t="s">
        <v>78</v>
      </c>
      <c r="L1435" t="s">
        <v>75</v>
      </c>
      <c r="M1435" t="s">
        <v>76</v>
      </c>
      <c r="N1435" t="s">
        <v>1905</v>
      </c>
      <c r="O1435" t="s">
        <v>82</v>
      </c>
      <c r="P1435" t="str">
        <f>"2170719538                    "</f>
        <v xml:space="preserve">2170719538                    </v>
      </c>
      <c r="Q1435">
        <v>0</v>
      </c>
      <c r="R1435">
        <v>0</v>
      </c>
      <c r="S1435">
        <v>0</v>
      </c>
      <c r="T1435">
        <v>0</v>
      </c>
      <c r="U1435">
        <v>0</v>
      </c>
      <c r="V1435">
        <v>0</v>
      </c>
      <c r="W1435">
        <v>0</v>
      </c>
      <c r="X1435">
        <v>0</v>
      </c>
      <c r="Y1435">
        <v>0</v>
      </c>
      <c r="Z1435">
        <v>0</v>
      </c>
      <c r="AA1435">
        <v>0</v>
      </c>
      <c r="AB1435">
        <v>0</v>
      </c>
      <c r="AC1435">
        <v>0</v>
      </c>
      <c r="AD1435">
        <v>0</v>
      </c>
      <c r="AE1435">
        <v>0</v>
      </c>
      <c r="AF1435">
        <v>0</v>
      </c>
      <c r="AG1435">
        <v>0</v>
      </c>
      <c r="AH1435">
        <v>0</v>
      </c>
      <c r="AI1435">
        <v>0</v>
      </c>
      <c r="AJ1435">
        <v>0</v>
      </c>
      <c r="AK1435">
        <v>0</v>
      </c>
      <c r="AL1435">
        <v>0</v>
      </c>
      <c r="AM1435">
        <v>6.71</v>
      </c>
      <c r="AN1435">
        <v>0</v>
      </c>
      <c r="AO1435">
        <v>0</v>
      </c>
      <c r="AP1435">
        <v>0</v>
      </c>
      <c r="AQ1435">
        <v>0</v>
      </c>
      <c r="AR1435">
        <v>0</v>
      </c>
      <c r="AS1435">
        <v>0</v>
      </c>
      <c r="AT1435">
        <v>0</v>
      </c>
      <c r="AU1435">
        <v>0</v>
      </c>
      <c r="AV1435">
        <v>0</v>
      </c>
      <c r="AW1435">
        <v>0</v>
      </c>
      <c r="AX1435">
        <v>0</v>
      </c>
      <c r="AY1435">
        <v>0</v>
      </c>
      <c r="AZ1435">
        <v>0</v>
      </c>
      <c r="BA1435">
        <v>0</v>
      </c>
      <c r="BB1435">
        <v>0</v>
      </c>
      <c r="BC1435">
        <v>0</v>
      </c>
      <c r="BD1435">
        <v>0</v>
      </c>
      <c r="BE1435">
        <v>0</v>
      </c>
      <c r="BF1435">
        <v>0</v>
      </c>
      <c r="BG1435">
        <v>0</v>
      </c>
      <c r="BH1435">
        <v>1</v>
      </c>
      <c r="BI1435">
        <v>1</v>
      </c>
      <c r="BJ1435">
        <v>0.2</v>
      </c>
      <c r="BK1435">
        <v>1</v>
      </c>
      <c r="BL1435" s="4">
        <v>39.42</v>
      </c>
      <c r="BM1435" s="4">
        <v>5.91</v>
      </c>
      <c r="BN1435" s="4">
        <v>45.33</v>
      </c>
      <c r="BO1435" s="4">
        <v>45.33</v>
      </c>
      <c r="BQ1435" t="s">
        <v>135</v>
      </c>
      <c r="BR1435" t="s">
        <v>84</v>
      </c>
      <c r="BS1435" s="3">
        <v>43817</v>
      </c>
      <c r="BT1435" s="5">
        <v>0.4375</v>
      </c>
      <c r="BU1435" t="s">
        <v>1906</v>
      </c>
      <c r="BV1435" t="s">
        <v>89</v>
      </c>
      <c r="BW1435" t="s">
        <v>149</v>
      </c>
      <c r="BX1435" t="s">
        <v>1066</v>
      </c>
      <c r="BY1435">
        <v>1200</v>
      </c>
      <c r="CA1435" t="s">
        <v>307</v>
      </c>
      <c r="CC1435" t="s">
        <v>76</v>
      </c>
      <c r="CD1435">
        <v>1610</v>
      </c>
      <c r="CE1435" t="s">
        <v>88</v>
      </c>
      <c r="CF1435" s="3">
        <v>43818</v>
      </c>
      <c r="CI1435">
        <v>1</v>
      </c>
      <c r="CJ1435">
        <v>3</v>
      </c>
      <c r="CK1435">
        <v>22</v>
      </c>
      <c r="CL1435" t="s">
        <v>89</v>
      </c>
    </row>
    <row r="1436" spans="1:90">
      <c r="A1436" t="s">
        <v>72</v>
      </c>
      <c r="B1436" t="s">
        <v>73</v>
      </c>
      <c r="C1436" t="s">
        <v>74</v>
      </c>
      <c r="E1436" t="str">
        <f>"FES1162728449"</f>
        <v>FES1162728449</v>
      </c>
      <c r="F1436" s="3">
        <v>43812</v>
      </c>
      <c r="G1436">
        <v>202006</v>
      </c>
      <c r="H1436" t="s">
        <v>75</v>
      </c>
      <c r="I1436" t="s">
        <v>76</v>
      </c>
      <c r="J1436" t="s">
        <v>77</v>
      </c>
      <c r="K1436" t="s">
        <v>78</v>
      </c>
      <c r="L1436" t="s">
        <v>169</v>
      </c>
      <c r="M1436" t="s">
        <v>170</v>
      </c>
      <c r="N1436" t="s">
        <v>1907</v>
      </c>
      <c r="O1436" t="s">
        <v>82</v>
      </c>
      <c r="P1436" t="str">
        <f>"2170712106                    "</f>
        <v xml:space="preserve">2170712106                    </v>
      </c>
      <c r="Q1436">
        <v>0</v>
      </c>
      <c r="R1436">
        <v>0</v>
      </c>
      <c r="S1436">
        <v>0</v>
      </c>
      <c r="T1436">
        <v>0</v>
      </c>
      <c r="U1436">
        <v>0</v>
      </c>
      <c r="V1436">
        <v>0</v>
      </c>
      <c r="W1436">
        <v>0</v>
      </c>
      <c r="X1436">
        <v>0</v>
      </c>
      <c r="Y1436">
        <v>0</v>
      </c>
      <c r="Z1436">
        <v>0</v>
      </c>
      <c r="AA1436">
        <v>0</v>
      </c>
      <c r="AB1436">
        <v>0</v>
      </c>
      <c r="AC1436">
        <v>0</v>
      </c>
      <c r="AD1436">
        <v>0</v>
      </c>
      <c r="AE1436">
        <v>0</v>
      </c>
      <c r="AF1436">
        <v>0</v>
      </c>
      <c r="AG1436">
        <v>0</v>
      </c>
      <c r="AH1436">
        <v>0</v>
      </c>
      <c r="AI1436">
        <v>0</v>
      </c>
      <c r="AJ1436">
        <v>0</v>
      </c>
      <c r="AK1436">
        <v>0</v>
      </c>
      <c r="AL1436">
        <v>0</v>
      </c>
      <c r="AM1436">
        <v>6.71</v>
      </c>
      <c r="AN1436">
        <v>0</v>
      </c>
      <c r="AO1436">
        <v>0</v>
      </c>
      <c r="AP1436">
        <v>0</v>
      </c>
      <c r="AQ1436">
        <v>0</v>
      </c>
      <c r="AR1436">
        <v>0</v>
      </c>
      <c r="AS1436">
        <v>0</v>
      </c>
      <c r="AT1436">
        <v>0</v>
      </c>
      <c r="AU1436">
        <v>0</v>
      </c>
      <c r="AV1436">
        <v>0</v>
      </c>
      <c r="AW1436">
        <v>0</v>
      </c>
      <c r="AX1436">
        <v>0</v>
      </c>
      <c r="AY1436">
        <v>0</v>
      </c>
      <c r="AZ1436">
        <v>0</v>
      </c>
      <c r="BA1436">
        <v>0</v>
      </c>
      <c r="BB1436">
        <v>0</v>
      </c>
      <c r="BC1436">
        <v>0</v>
      </c>
      <c r="BD1436">
        <v>0</v>
      </c>
      <c r="BE1436">
        <v>0</v>
      </c>
      <c r="BF1436">
        <v>0</v>
      </c>
      <c r="BG1436">
        <v>0</v>
      </c>
      <c r="BH1436">
        <v>1</v>
      </c>
      <c r="BI1436">
        <v>1</v>
      </c>
      <c r="BJ1436">
        <v>0.2</v>
      </c>
      <c r="BK1436">
        <v>1</v>
      </c>
      <c r="BL1436" s="4">
        <v>39.42</v>
      </c>
      <c r="BM1436" s="4">
        <v>5.91</v>
      </c>
      <c r="BN1436" s="4">
        <v>45.33</v>
      </c>
      <c r="BO1436" s="4">
        <v>45.33</v>
      </c>
      <c r="BQ1436" t="s">
        <v>1908</v>
      </c>
      <c r="BR1436" t="s">
        <v>84</v>
      </c>
      <c r="BS1436" s="3">
        <v>43816</v>
      </c>
      <c r="BT1436" s="5">
        <v>0.37222222222222223</v>
      </c>
      <c r="BU1436" t="s">
        <v>1909</v>
      </c>
      <c r="BV1436" t="s">
        <v>86</v>
      </c>
      <c r="BY1436">
        <v>1200</v>
      </c>
      <c r="CA1436" t="s">
        <v>250</v>
      </c>
      <c r="CC1436" t="s">
        <v>170</v>
      </c>
      <c r="CD1436">
        <v>1459</v>
      </c>
      <c r="CE1436" t="s">
        <v>88</v>
      </c>
      <c r="CF1436" s="3">
        <v>43817</v>
      </c>
      <c r="CI1436">
        <v>1</v>
      </c>
      <c r="CJ1436">
        <v>2</v>
      </c>
      <c r="CK1436">
        <v>22</v>
      </c>
      <c r="CL1436" t="s">
        <v>89</v>
      </c>
    </row>
    <row r="1437" spans="1:90">
      <c r="A1437" t="s">
        <v>72</v>
      </c>
      <c r="B1437" t="s">
        <v>73</v>
      </c>
      <c r="C1437" t="s">
        <v>74</v>
      </c>
      <c r="E1437" t="str">
        <f>"FES1162728303"</f>
        <v>FES1162728303</v>
      </c>
      <c r="F1437" s="3">
        <v>43812</v>
      </c>
      <c r="G1437">
        <v>202006</v>
      </c>
      <c r="H1437" t="s">
        <v>75</v>
      </c>
      <c r="I1437" t="s">
        <v>76</v>
      </c>
      <c r="J1437" t="s">
        <v>77</v>
      </c>
      <c r="K1437" t="s">
        <v>78</v>
      </c>
      <c r="L1437" t="s">
        <v>671</v>
      </c>
      <c r="M1437" t="s">
        <v>672</v>
      </c>
      <c r="N1437" t="s">
        <v>639</v>
      </c>
      <c r="O1437" t="s">
        <v>82</v>
      </c>
      <c r="P1437" t="str">
        <f>"2170719001                    "</f>
        <v xml:space="preserve">2170719001                    </v>
      </c>
      <c r="Q1437">
        <v>0</v>
      </c>
      <c r="R1437">
        <v>0</v>
      </c>
      <c r="S1437">
        <v>0</v>
      </c>
      <c r="T1437">
        <v>0</v>
      </c>
      <c r="U1437">
        <v>0</v>
      </c>
      <c r="V1437">
        <v>0</v>
      </c>
      <c r="W1437">
        <v>0</v>
      </c>
      <c r="X1437">
        <v>0</v>
      </c>
      <c r="Y1437">
        <v>0</v>
      </c>
      <c r="Z1437">
        <v>0</v>
      </c>
      <c r="AA1437">
        <v>0</v>
      </c>
      <c r="AB1437">
        <v>0</v>
      </c>
      <c r="AC1437">
        <v>0</v>
      </c>
      <c r="AD1437">
        <v>0</v>
      </c>
      <c r="AE1437">
        <v>0</v>
      </c>
      <c r="AF1437">
        <v>0</v>
      </c>
      <c r="AG1437">
        <v>0</v>
      </c>
      <c r="AH1437">
        <v>0</v>
      </c>
      <c r="AI1437">
        <v>0</v>
      </c>
      <c r="AJ1437">
        <v>0</v>
      </c>
      <c r="AK1437">
        <v>0</v>
      </c>
      <c r="AL1437">
        <v>0</v>
      </c>
      <c r="AM1437">
        <v>16.63</v>
      </c>
      <c r="AN1437">
        <v>0</v>
      </c>
      <c r="AO1437">
        <v>0</v>
      </c>
      <c r="AP1437">
        <v>0</v>
      </c>
      <c r="AQ1437">
        <v>0</v>
      </c>
      <c r="AR1437">
        <v>0</v>
      </c>
      <c r="AS1437">
        <v>0</v>
      </c>
      <c r="AT1437">
        <v>0</v>
      </c>
      <c r="AU1437">
        <v>0</v>
      </c>
      <c r="AV1437">
        <v>0</v>
      </c>
      <c r="AW1437">
        <v>0</v>
      </c>
      <c r="AX1437">
        <v>0</v>
      </c>
      <c r="AY1437">
        <v>0</v>
      </c>
      <c r="AZ1437">
        <v>0</v>
      </c>
      <c r="BA1437">
        <v>0</v>
      </c>
      <c r="BB1437">
        <v>0</v>
      </c>
      <c r="BC1437">
        <v>0</v>
      </c>
      <c r="BD1437">
        <v>0</v>
      </c>
      <c r="BE1437">
        <v>0</v>
      </c>
      <c r="BF1437">
        <v>0</v>
      </c>
      <c r="BG1437">
        <v>0</v>
      </c>
      <c r="BH1437">
        <v>1</v>
      </c>
      <c r="BI1437">
        <v>1</v>
      </c>
      <c r="BJ1437">
        <v>0.2</v>
      </c>
      <c r="BK1437">
        <v>1</v>
      </c>
      <c r="BL1437" s="4">
        <v>97.75</v>
      </c>
      <c r="BM1437" s="4">
        <v>14.66</v>
      </c>
      <c r="BN1437" s="4">
        <v>112.41</v>
      </c>
      <c r="BO1437" s="4">
        <v>112.41</v>
      </c>
      <c r="BQ1437" t="s">
        <v>93</v>
      </c>
      <c r="BR1437" t="s">
        <v>84</v>
      </c>
      <c r="BS1437" s="3">
        <v>43816</v>
      </c>
      <c r="BT1437" s="5">
        <v>0.375</v>
      </c>
      <c r="BU1437" t="s">
        <v>1910</v>
      </c>
      <c r="BV1437" t="s">
        <v>86</v>
      </c>
      <c r="BY1437">
        <v>1200</v>
      </c>
      <c r="CA1437" t="s">
        <v>1233</v>
      </c>
      <c r="CC1437" t="s">
        <v>672</v>
      </c>
      <c r="CD1437">
        <v>1911</v>
      </c>
      <c r="CE1437" t="s">
        <v>88</v>
      </c>
      <c r="CF1437" s="3">
        <v>43817</v>
      </c>
      <c r="CI1437">
        <v>1</v>
      </c>
      <c r="CJ1437">
        <v>2</v>
      </c>
      <c r="CK1437">
        <v>23</v>
      </c>
      <c r="CL1437" t="s">
        <v>89</v>
      </c>
    </row>
    <row r="1438" spans="1:90">
      <c r="A1438" t="s">
        <v>72</v>
      </c>
      <c r="B1438" t="s">
        <v>73</v>
      </c>
      <c r="C1438" t="s">
        <v>74</v>
      </c>
      <c r="E1438" t="str">
        <f>"FES1162728277"</f>
        <v>FES1162728277</v>
      </c>
      <c r="F1438" s="3">
        <v>43812</v>
      </c>
      <c r="G1438">
        <v>202006</v>
      </c>
      <c r="H1438" t="s">
        <v>75</v>
      </c>
      <c r="I1438" t="s">
        <v>76</v>
      </c>
      <c r="J1438" t="s">
        <v>77</v>
      </c>
      <c r="K1438" t="s">
        <v>78</v>
      </c>
      <c r="L1438" t="s">
        <v>169</v>
      </c>
      <c r="M1438" t="s">
        <v>170</v>
      </c>
      <c r="N1438" t="s">
        <v>878</v>
      </c>
      <c r="O1438" t="s">
        <v>82</v>
      </c>
      <c r="P1438" t="str">
        <f>"21707161271                   "</f>
        <v xml:space="preserve">21707161271                   </v>
      </c>
      <c r="Q1438">
        <v>0</v>
      </c>
      <c r="R1438">
        <v>0</v>
      </c>
      <c r="S1438">
        <v>0</v>
      </c>
      <c r="T1438">
        <v>0</v>
      </c>
      <c r="U1438">
        <v>0</v>
      </c>
      <c r="V1438">
        <v>0</v>
      </c>
      <c r="W1438">
        <v>0</v>
      </c>
      <c r="X1438">
        <v>0</v>
      </c>
      <c r="Y1438">
        <v>0</v>
      </c>
      <c r="Z1438">
        <v>0</v>
      </c>
      <c r="AA1438">
        <v>0</v>
      </c>
      <c r="AB1438">
        <v>0</v>
      </c>
      <c r="AC1438">
        <v>0</v>
      </c>
      <c r="AD1438">
        <v>0</v>
      </c>
      <c r="AE1438">
        <v>0</v>
      </c>
      <c r="AF1438">
        <v>0</v>
      </c>
      <c r="AG1438">
        <v>0</v>
      </c>
      <c r="AH1438">
        <v>0</v>
      </c>
      <c r="AI1438">
        <v>0</v>
      </c>
      <c r="AJ1438">
        <v>0</v>
      </c>
      <c r="AK1438">
        <v>0</v>
      </c>
      <c r="AL1438">
        <v>0</v>
      </c>
      <c r="AM1438">
        <v>6.71</v>
      </c>
      <c r="AN1438">
        <v>0</v>
      </c>
      <c r="AO1438">
        <v>0</v>
      </c>
      <c r="AP1438">
        <v>0</v>
      </c>
      <c r="AQ1438">
        <v>0</v>
      </c>
      <c r="AR1438">
        <v>0</v>
      </c>
      <c r="AS1438">
        <v>0</v>
      </c>
      <c r="AT1438">
        <v>0</v>
      </c>
      <c r="AU1438">
        <v>0</v>
      </c>
      <c r="AV1438">
        <v>0</v>
      </c>
      <c r="AW1438">
        <v>0</v>
      </c>
      <c r="AX1438">
        <v>0</v>
      </c>
      <c r="AY1438">
        <v>0</v>
      </c>
      <c r="AZ1438">
        <v>0</v>
      </c>
      <c r="BA1438">
        <v>0</v>
      </c>
      <c r="BB1438">
        <v>0</v>
      </c>
      <c r="BC1438">
        <v>0</v>
      </c>
      <c r="BD1438">
        <v>0</v>
      </c>
      <c r="BE1438">
        <v>0</v>
      </c>
      <c r="BF1438">
        <v>0</v>
      </c>
      <c r="BG1438">
        <v>0</v>
      </c>
      <c r="BH1438">
        <v>1</v>
      </c>
      <c r="BI1438">
        <v>1</v>
      </c>
      <c r="BJ1438">
        <v>0.2</v>
      </c>
      <c r="BK1438">
        <v>1</v>
      </c>
      <c r="BL1438" s="4">
        <v>39.42</v>
      </c>
      <c r="BM1438" s="4">
        <v>5.91</v>
      </c>
      <c r="BN1438" s="4">
        <v>45.33</v>
      </c>
      <c r="BO1438" s="4">
        <v>45.33</v>
      </c>
      <c r="BR1438" t="s">
        <v>84</v>
      </c>
      <c r="BS1438" s="3">
        <v>43816</v>
      </c>
      <c r="BT1438" s="5">
        <v>0.37291666666666662</v>
      </c>
      <c r="BU1438" t="s">
        <v>1677</v>
      </c>
      <c r="BV1438" t="s">
        <v>86</v>
      </c>
      <c r="BY1438">
        <v>1200</v>
      </c>
      <c r="CA1438" t="s">
        <v>174</v>
      </c>
      <c r="CC1438" t="s">
        <v>170</v>
      </c>
      <c r="CD1438">
        <v>1460</v>
      </c>
      <c r="CE1438" t="s">
        <v>88</v>
      </c>
      <c r="CF1438" s="3">
        <v>43817</v>
      </c>
      <c r="CI1438">
        <v>1</v>
      </c>
      <c r="CJ1438">
        <v>2</v>
      </c>
      <c r="CK1438">
        <v>22</v>
      </c>
      <c r="CL1438" t="s">
        <v>89</v>
      </c>
    </row>
    <row r="1439" spans="1:90">
      <c r="A1439" t="s">
        <v>72</v>
      </c>
      <c r="B1439" t="s">
        <v>73</v>
      </c>
      <c r="C1439" t="s">
        <v>74</v>
      </c>
      <c r="E1439" t="str">
        <f>"FES010997745705"</f>
        <v>FES010997745705</v>
      </c>
      <c r="F1439" s="3">
        <v>43812</v>
      </c>
      <c r="G1439">
        <v>202006</v>
      </c>
      <c r="H1439" t="s">
        <v>75</v>
      </c>
      <c r="I1439" t="s">
        <v>76</v>
      </c>
      <c r="J1439" t="s">
        <v>77</v>
      </c>
      <c r="K1439" t="s">
        <v>78</v>
      </c>
      <c r="L1439" t="s">
        <v>75</v>
      </c>
      <c r="M1439" t="s">
        <v>76</v>
      </c>
      <c r="N1439" t="s">
        <v>289</v>
      </c>
      <c r="O1439" t="s">
        <v>82</v>
      </c>
      <c r="P1439" t="str">
        <f>"21707210851                   "</f>
        <v xml:space="preserve">21707210851                   </v>
      </c>
      <c r="Q1439">
        <v>0</v>
      </c>
      <c r="R1439">
        <v>0</v>
      </c>
      <c r="S1439">
        <v>0</v>
      </c>
      <c r="T1439">
        <v>0</v>
      </c>
      <c r="U1439">
        <v>0</v>
      </c>
      <c r="V1439">
        <v>0</v>
      </c>
      <c r="W1439">
        <v>0</v>
      </c>
      <c r="X1439">
        <v>0</v>
      </c>
      <c r="Y1439">
        <v>0</v>
      </c>
      <c r="Z1439">
        <v>0</v>
      </c>
      <c r="AA1439">
        <v>0</v>
      </c>
      <c r="AB1439">
        <v>0</v>
      </c>
      <c r="AC1439">
        <v>0</v>
      </c>
      <c r="AD1439">
        <v>0</v>
      </c>
      <c r="AE1439">
        <v>0</v>
      </c>
      <c r="AF1439">
        <v>0</v>
      </c>
      <c r="AG1439">
        <v>0</v>
      </c>
      <c r="AH1439">
        <v>0</v>
      </c>
      <c r="AI1439">
        <v>0</v>
      </c>
      <c r="AJ1439">
        <v>0</v>
      </c>
      <c r="AK1439">
        <v>0</v>
      </c>
      <c r="AL1439">
        <v>0</v>
      </c>
      <c r="AM1439">
        <v>6.71</v>
      </c>
      <c r="AN1439">
        <v>0</v>
      </c>
      <c r="AO1439">
        <v>0</v>
      </c>
      <c r="AP1439">
        <v>0</v>
      </c>
      <c r="AQ1439">
        <v>0</v>
      </c>
      <c r="AR1439">
        <v>0</v>
      </c>
      <c r="AS1439">
        <v>0</v>
      </c>
      <c r="AT1439">
        <v>0</v>
      </c>
      <c r="AU1439">
        <v>0</v>
      </c>
      <c r="AV1439">
        <v>0</v>
      </c>
      <c r="AW1439">
        <v>0</v>
      </c>
      <c r="AX1439">
        <v>0</v>
      </c>
      <c r="AY1439">
        <v>0</v>
      </c>
      <c r="AZ1439">
        <v>0</v>
      </c>
      <c r="BA1439">
        <v>0</v>
      </c>
      <c r="BB1439">
        <v>0</v>
      </c>
      <c r="BC1439">
        <v>0</v>
      </c>
      <c r="BD1439">
        <v>0</v>
      </c>
      <c r="BE1439">
        <v>0</v>
      </c>
      <c r="BF1439">
        <v>0</v>
      </c>
      <c r="BG1439">
        <v>0</v>
      </c>
      <c r="BH1439">
        <v>1</v>
      </c>
      <c r="BI1439">
        <v>1</v>
      </c>
      <c r="BJ1439">
        <v>0.2</v>
      </c>
      <c r="BK1439">
        <v>1</v>
      </c>
      <c r="BL1439" s="4">
        <v>39.42</v>
      </c>
      <c r="BM1439" s="4">
        <v>5.91</v>
      </c>
      <c r="BN1439" s="4">
        <v>45.33</v>
      </c>
      <c r="BO1439" s="4">
        <v>45.33</v>
      </c>
      <c r="BQ1439" t="s">
        <v>290</v>
      </c>
      <c r="BR1439" t="s">
        <v>84</v>
      </c>
      <c r="BS1439" t="s">
        <v>717</v>
      </c>
      <c r="BY1439">
        <v>1200</v>
      </c>
      <c r="CC1439" t="s">
        <v>76</v>
      </c>
      <c r="CD1439">
        <v>1601</v>
      </c>
      <c r="CE1439" t="s">
        <v>88</v>
      </c>
      <c r="CI1439">
        <v>1</v>
      </c>
      <c r="CJ1439" t="s">
        <v>717</v>
      </c>
      <c r="CK1439">
        <v>22</v>
      </c>
      <c r="CL1439" t="s">
        <v>89</v>
      </c>
    </row>
    <row r="1440" spans="1:90">
      <c r="A1440" t="s">
        <v>72</v>
      </c>
      <c r="B1440" t="s">
        <v>73</v>
      </c>
      <c r="C1440" t="s">
        <v>74</v>
      </c>
      <c r="E1440" t="str">
        <f>"FES1162728439"</f>
        <v>FES1162728439</v>
      </c>
      <c r="F1440" s="3">
        <v>43812</v>
      </c>
      <c r="G1440">
        <v>202006</v>
      </c>
      <c r="H1440" t="s">
        <v>75</v>
      </c>
      <c r="I1440" t="s">
        <v>76</v>
      </c>
      <c r="J1440" t="s">
        <v>77</v>
      </c>
      <c r="K1440" t="s">
        <v>78</v>
      </c>
      <c r="L1440" t="s">
        <v>138</v>
      </c>
      <c r="M1440" t="s">
        <v>139</v>
      </c>
      <c r="N1440" t="s">
        <v>1426</v>
      </c>
      <c r="O1440" t="s">
        <v>82</v>
      </c>
      <c r="P1440" t="str">
        <f>"2170720959                    "</f>
        <v xml:space="preserve">2170720959                    </v>
      </c>
      <c r="Q1440">
        <v>0</v>
      </c>
      <c r="R1440">
        <v>0</v>
      </c>
      <c r="S1440">
        <v>0</v>
      </c>
      <c r="T1440">
        <v>0</v>
      </c>
      <c r="U1440">
        <v>0</v>
      </c>
      <c r="V1440">
        <v>0</v>
      </c>
      <c r="W1440">
        <v>0</v>
      </c>
      <c r="X1440">
        <v>0</v>
      </c>
      <c r="Y1440">
        <v>0</v>
      </c>
      <c r="Z1440">
        <v>0</v>
      </c>
      <c r="AA1440">
        <v>0</v>
      </c>
      <c r="AB1440">
        <v>0</v>
      </c>
      <c r="AC1440">
        <v>0</v>
      </c>
      <c r="AD1440">
        <v>0</v>
      </c>
      <c r="AE1440">
        <v>0</v>
      </c>
      <c r="AF1440">
        <v>0</v>
      </c>
      <c r="AG1440">
        <v>0</v>
      </c>
      <c r="AH1440">
        <v>0</v>
      </c>
      <c r="AI1440">
        <v>0</v>
      </c>
      <c r="AJ1440">
        <v>0</v>
      </c>
      <c r="AK1440">
        <v>0</v>
      </c>
      <c r="AL1440">
        <v>0</v>
      </c>
      <c r="AM1440">
        <v>6.71</v>
      </c>
      <c r="AN1440">
        <v>0</v>
      </c>
      <c r="AO1440">
        <v>0</v>
      </c>
      <c r="AP1440">
        <v>0</v>
      </c>
      <c r="AQ1440">
        <v>0</v>
      </c>
      <c r="AR1440">
        <v>0</v>
      </c>
      <c r="AS1440">
        <v>0</v>
      </c>
      <c r="AT1440">
        <v>0</v>
      </c>
      <c r="AU1440">
        <v>0</v>
      </c>
      <c r="AV1440">
        <v>0</v>
      </c>
      <c r="AW1440">
        <v>0</v>
      </c>
      <c r="AX1440">
        <v>0</v>
      </c>
      <c r="AY1440">
        <v>0</v>
      </c>
      <c r="AZ1440">
        <v>0</v>
      </c>
      <c r="BA1440">
        <v>0</v>
      </c>
      <c r="BB1440">
        <v>0</v>
      </c>
      <c r="BC1440">
        <v>0</v>
      </c>
      <c r="BD1440">
        <v>0</v>
      </c>
      <c r="BE1440">
        <v>0</v>
      </c>
      <c r="BF1440">
        <v>0</v>
      </c>
      <c r="BG1440">
        <v>0</v>
      </c>
      <c r="BH1440">
        <v>1</v>
      </c>
      <c r="BI1440">
        <v>1</v>
      </c>
      <c r="BJ1440">
        <v>0.2</v>
      </c>
      <c r="BK1440">
        <v>1</v>
      </c>
      <c r="BL1440" s="4">
        <v>39.42</v>
      </c>
      <c r="BM1440" s="4">
        <v>5.91</v>
      </c>
      <c r="BN1440" s="4">
        <v>45.33</v>
      </c>
      <c r="BO1440" s="4">
        <v>45.33</v>
      </c>
      <c r="BQ1440" t="s">
        <v>1427</v>
      </c>
      <c r="BR1440" t="s">
        <v>84</v>
      </c>
      <c r="BS1440" s="3">
        <v>43818</v>
      </c>
      <c r="BT1440" s="5">
        <v>0.46875</v>
      </c>
      <c r="BU1440" t="s">
        <v>1911</v>
      </c>
      <c r="BV1440" t="s">
        <v>89</v>
      </c>
      <c r="BW1440" t="s">
        <v>228</v>
      </c>
      <c r="BX1440" t="s">
        <v>1066</v>
      </c>
      <c r="BY1440">
        <v>1200</v>
      </c>
      <c r="CC1440" t="s">
        <v>139</v>
      </c>
      <c r="CD1440">
        <v>1428</v>
      </c>
      <c r="CE1440" t="s">
        <v>88</v>
      </c>
      <c r="CF1440" s="3">
        <v>43819</v>
      </c>
      <c r="CI1440">
        <v>1</v>
      </c>
      <c r="CJ1440">
        <v>4</v>
      </c>
      <c r="CK1440">
        <v>22</v>
      </c>
      <c r="CL1440" t="s">
        <v>89</v>
      </c>
    </row>
    <row r="1441" spans="1:90">
      <c r="A1441" t="s">
        <v>72</v>
      </c>
      <c r="B1441" t="s">
        <v>73</v>
      </c>
      <c r="C1441" t="s">
        <v>74</v>
      </c>
      <c r="E1441" t="str">
        <f>"FES1162728424"</f>
        <v>FES1162728424</v>
      </c>
      <c r="F1441" s="3">
        <v>43812</v>
      </c>
      <c r="G1441">
        <v>202006</v>
      </c>
      <c r="H1441" t="s">
        <v>75</v>
      </c>
      <c r="I1441" t="s">
        <v>76</v>
      </c>
      <c r="J1441" t="s">
        <v>77</v>
      </c>
      <c r="K1441" t="s">
        <v>78</v>
      </c>
      <c r="L1441" t="s">
        <v>79</v>
      </c>
      <c r="M1441" t="s">
        <v>80</v>
      </c>
      <c r="N1441" t="s">
        <v>1912</v>
      </c>
      <c r="O1441" t="s">
        <v>82</v>
      </c>
      <c r="P1441" t="str">
        <f>"2170718961                    "</f>
        <v xml:space="preserve">2170718961                    </v>
      </c>
      <c r="Q1441">
        <v>0</v>
      </c>
      <c r="R1441">
        <v>0</v>
      </c>
      <c r="S1441">
        <v>0</v>
      </c>
      <c r="T1441">
        <v>0</v>
      </c>
      <c r="U1441">
        <v>0</v>
      </c>
      <c r="V1441">
        <v>0</v>
      </c>
      <c r="W1441">
        <v>0</v>
      </c>
      <c r="X1441">
        <v>0</v>
      </c>
      <c r="Y1441">
        <v>0</v>
      </c>
      <c r="Z1441">
        <v>0</v>
      </c>
      <c r="AA1441">
        <v>0</v>
      </c>
      <c r="AB1441">
        <v>0</v>
      </c>
      <c r="AC1441">
        <v>0</v>
      </c>
      <c r="AD1441">
        <v>0</v>
      </c>
      <c r="AE1441">
        <v>0</v>
      </c>
      <c r="AF1441">
        <v>0</v>
      </c>
      <c r="AG1441">
        <v>0</v>
      </c>
      <c r="AH1441">
        <v>0</v>
      </c>
      <c r="AI1441">
        <v>0</v>
      </c>
      <c r="AJ1441">
        <v>0</v>
      </c>
      <c r="AK1441">
        <v>0</v>
      </c>
      <c r="AL1441">
        <v>0</v>
      </c>
      <c r="AM1441">
        <v>8.58</v>
      </c>
      <c r="AN1441">
        <v>0</v>
      </c>
      <c r="AO1441">
        <v>0</v>
      </c>
      <c r="AP1441">
        <v>0</v>
      </c>
      <c r="AQ1441">
        <v>0</v>
      </c>
      <c r="AR1441">
        <v>0</v>
      </c>
      <c r="AS1441">
        <v>0</v>
      </c>
      <c r="AT1441">
        <v>0</v>
      </c>
      <c r="AU1441">
        <v>0</v>
      </c>
      <c r="AV1441">
        <v>0</v>
      </c>
      <c r="AW1441">
        <v>0</v>
      </c>
      <c r="AX1441">
        <v>0</v>
      </c>
      <c r="AY1441">
        <v>0</v>
      </c>
      <c r="AZ1441">
        <v>0</v>
      </c>
      <c r="BA1441">
        <v>0</v>
      </c>
      <c r="BB1441">
        <v>0</v>
      </c>
      <c r="BC1441">
        <v>0</v>
      </c>
      <c r="BD1441">
        <v>0</v>
      </c>
      <c r="BE1441">
        <v>0</v>
      </c>
      <c r="BF1441">
        <v>0</v>
      </c>
      <c r="BG1441">
        <v>0</v>
      </c>
      <c r="BH1441">
        <v>1</v>
      </c>
      <c r="BI1441">
        <v>1</v>
      </c>
      <c r="BJ1441">
        <v>0.2</v>
      </c>
      <c r="BK1441">
        <v>1</v>
      </c>
      <c r="BL1441" s="4">
        <v>50.45</v>
      </c>
      <c r="BM1441" s="4">
        <v>7.57</v>
      </c>
      <c r="BN1441" s="4">
        <v>58.02</v>
      </c>
      <c r="BO1441" s="4">
        <v>58.02</v>
      </c>
      <c r="BQ1441" t="s">
        <v>1913</v>
      </c>
      <c r="BR1441" t="s">
        <v>84</v>
      </c>
      <c r="BS1441" s="3">
        <v>43816</v>
      </c>
      <c r="BT1441" s="5">
        <v>0.41666666666666669</v>
      </c>
      <c r="BU1441" t="s">
        <v>1914</v>
      </c>
      <c r="BV1441" t="s">
        <v>86</v>
      </c>
      <c r="BY1441">
        <v>1200</v>
      </c>
      <c r="CA1441" t="s">
        <v>1915</v>
      </c>
      <c r="CC1441" t="s">
        <v>80</v>
      </c>
      <c r="CD1441">
        <v>6100</v>
      </c>
      <c r="CE1441" t="s">
        <v>88</v>
      </c>
      <c r="CF1441" s="3">
        <v>43817</v>
      </c>
      <c r="CI1441">
        <v>1</v>
      </c>
      <c r="CJ1441">
        <v>2</v>
      </c>
      <c r="CK1441">
        <v>21</v>
      </c>
      <c r="CL1441" t="s">
        <v>89</v>
      </c>
    </row>
    <row r="1442" spans="1:90">
      <c r="A1442" t="s">
        <v>72</v>
      </c>
      <c r="B1442" t="s">
        <v>73</v>
      </c>
      <c r="C1442" t="s">
        <v>74</v>
      </c>
      <c r="E1442" t="str">
        <f>"FES1162728311"</f>
        <v>FES1162728311</v>
      </c>
      <c r="F1442" s="3">
        <v>43812</v>
      </c>
      <c r="G1442">
        <v>202006</v>
      </c>
      <c r="H1442" t="s">
        <v>75</v>
      </c>
      <c r="I1442" t="s">
        <v>76</v>
      </c>
      <c r="J1442" t="s">
        <v>77</v>
      </c>
      <c r="K1442" t="s">
        <v>78</v>
      </c>
      <c r="L1442" t="s">
        <v>404</v>
      </c>
      <c r="M1442" t="s">
        <v>405</v>
      </c>
      <c r="N1442" t="s">
        <v>612</v>
      </c>
      <c r="O1442" t="s">
        <v>82</v>
      </c>
      <c r="P1442" t="str">
        <f>"2170719268                    "</f>
        <v xml:space="preserve">2170719268                    </v>
      </c>
      <c r="Q1442">
        <v>0</v>
      </c>
      <c r="R1442">
        <v>0</v>
      </c>
      <c r="S1442">
        <v>0</v>
      </c>
      <c r="T1442">
        <v>0</v>
      </c>
      <c r="U1442">
        <v>0</v>
      </c>
      <c r="V1442">
        <v>0</v>
      </c>
      <c r="W1442">
        <v>0</v>
      </c>
      <c r="X1442">
        <v>0</v>
      </c>
      <c r="Y1442">
        <v>0</v>
      </c>
      <c r="Z1442">
        <v>0</v>
      </c>
      <c r="AA1442">
        <v>0</v>
      </c>
      <c r="AB1442">
        <v>0</v>
      </c>
      <c r="AC1442">
        <v>0</v>
      </c>
      <c r="AD1442">
        <v>0</v>
      </c>
      <c r="AE1442">
        <v>0</v>
      </c>
      <c r="AF1442">
        <v>0</v>
      </c>
      <c r="AG1442">
        <v>0</v>
      </c>
      <c r="AH1442">
        <v>0</v>
      </c>
      <c r="AI1442">
        <v>0</v>
      </c>
      <c r="AJ1442">
        <v>0</v>
      </c>
      <c r="AK1442">
        <v>0</v>
      </c>
      <c r="AL1442">
        <v>0</v>
      </c>
      <c r="AM1442">
        <v>8.58</v>
      </c>
      <c r="AN1442">
        <v>0</v>
      </c>
      <c r="AO1442">
        <v>0</v>
      </c>
      <c r="AP1442">
        <v>0</v>
      </c>
      <c r="AQ1442">
        <v>0</v>
      </c>
      <c r="AR1442">
        <v>0</v>
      </c>
      <c r="AS1442">
        <v>0</v>
      </c>
      <c r="AT1442">
        <v>0</v>
      </c>
      <c r="AU1442">
        <v>0</v>
      </c>
      <c r="AV1442">
        <v>0</v>
      </c>
      <c r="AW1442">
        <v>0</v>
      </c>
      <c r="AX1442">
        <v>0</v>
      </c>
      <c r="AY1442">
        <v>0</v>
      </c>
      <c r="AZ1442">
        <v>0</v>
      </c>
      <c r="BA1442">
        <v>0</v>
      </c>
      <c r="BB1442">
        <v>0</v>
      </c>
      <c r="BC1442">
        <v>0</v>
      </c>
      <c r="BD1442">
        <v>0</v>
      </c>
      <c r="BE1442">
        <v>0</v>
      </c>
      <c r="BF1442">
        <v>0</v>
      </c>
      <c r="BG1442">
        <v>0</v>
      </c>
      <c r="BH1442">
        <v>1</v>
      </c>
      <c r="BI1442">
        <v>1</v>
      </c>
      <c r="BJ1442">
        <v>0.2</v>
      </c>
      <c r="BK1442">
        <v>1</v>
      </c>
      <c r="BL1442" s="4">
        <v>50.45</v>
      </c>
      <c r="BM1442" s="4">
        <v>7.57</v>
      </c>
      <c r="BN1442" s="4">
        <v>58.02</v>
      </c>
      <c r="BO1442" s="4">
        <v>58.02</v>
      </c>
      <c r="BQ1442" t="s">
        <v>93</v>
      </c>
      <c r="BR1442" t="s">
        <v>84</v>
      </c>
      <c r="BS1442" s="3">
        <v>43816</v>
      </c>
      <c r="BT1442" s="5">
        <v>0.39374999999999999</v>
      </c>
      <c r="BU1442" t="s">
        <v>958</v>
      </c>
      <c r="BV1442" t="s">
        <v>86</v>
      </c>
      <c r="BY1442">
        <v>1200</v>
      </c>
      <c r="CA1442" t="s">
        <v>212</v>
      </c>
      <c r="CC1442" t="s">
        <v>405</v>
      </c>
      <c r="CD1442">
        <v>4026</v>
      </c>
      <c r="CE1442" t="s">
        <v>88</v>
      </c>
      <c r="CF1442" s="3">
        <v>43817</v>
      </c>
      <c r="CI1442">
        <v>1</v>
      </c>
      <c r="CJ1442">
        <v>2</v>
      </c>
      <c r="CK1442">
        <v>21</v>
      </c>
      <c r="CL1442" t="s">
        <v>89</v>
      </c>
    </row>
    <row r="1443" spans="1:90">
      <c r="A1443" t="s">
        <v>72</v>
      </c>
      <c r="B1443" t="s">
        <v>73</v>
      </c>
      <c r="C1443" t="s">
        <v>74</v>
      </c>
      <c r="E1443" t="str">
        <f>"FES1162728387"</f>
        <v>FES1162728387</v>
      </c>
      <c r="F1443" s="3">
        <v>43812</v>
      </c>
      <c r="G1443">
        <v>202006</v>
      </c>
      <c r="H1443" t="s">
        <v>75</v>
      </c>
      <c r="I1443" t="s">
        <v>76</v>
      </c>
      <c r="J1443" t="s">
        <v>77</v>
      </c>
      <c r="K1443" t="s">
        <v>78</v>
      </c>
      <c r="L1443" t="s">
        <v>90</v>
      </c>
      <c r="M1443" t="s">
        <v>91</v>
      </c>
      <c r="N1443" t="s">
        <v>1582</v>
      </c>
      <c r="O1443" t="s">
        <v>82</v>
      </c>
      <c r="P1443" t="str">
        <f>"2170716505                    "</f>
        <v xml:space="preserve">2170716505                    </v>
      </c>
      <c r="Q1443">
        <v>0</v>
      </c>
      <c r="R1443">
        <v>0</v>
      </c>
      <c r="S1443">
        <v>0</v>
      </c>
      <c r="T1443">
        <v>0</v>
      </c>
      <c r="U1443">
        <v>0</v>
      </c>
      <c r="V1443">
        <v>0</v>
      </c>
      <c r="W1443">
        <v>0</v>
      </c>
      <c r="X1443">
        <v>0</v>
      </c>
      <c r="Y1443">
        <v>0</v>
      </c>
      <c r="Z1443">
        <v>0</v>
      </c>
      <c r="AA1443">
        <v>0</v>
      </c>
      <c r="AB1443">
        <v>0</v>
      </c>
      <c r="AC1443">
        <v>0</v>
      </c>
      <c r="AD1443">
        <v>0</v>
      </c>
      <c r="AE1443">
        <v>0</v>
      </c>
      <c r="AF1443">
        <v>0</v>
      </c>
      <c r="AG1443">
        <v>0</v>
      </c>
      <c r="AH1443">
        <v>0</v>
      </c>
      <c r="AI1443">
        <v>0</v>
      </c>
      <c r="AJ1443">
        <v>0</v>
      </c>
      <c r="AK1443">
        <v>0</v>
      </c>
      <c r="AL1443">
        <v>0</v>
      </c>
      <c r="AM1443">
        <v>8.58</v>
      </c>
      <c r="AN1443">
        <v>0</v>
      </c>
      <c r="AO1443">
        <v>0</v>
      </c>
      <c r="AP1443">
        <v>0</v>
      </c>
      <c r="AQ1443">
        <v>0</v>
      </c>
      <c r="AR1443">
        <v>0</v>
      </c>
      <c r="AS1443">
        <v>0</v>
      </c>
      <c r="AT1443">
        <v>0</v>
      </c>
      <c r="AU1443">
        <v>0</v>
      </c>
      <c r="AV1443">
        <v>0</v>
      </c>
      <c r="AW1443">
        <v>0</v>
      </c>
      <c r="AX1443">
        <v>0</v>
      </c>
      <c r="AY1443">
        <v>0</v>
      </c>
      <c r="AZ1443">
        <v>0</v>
      </c>
      <c r="BA1443">
        <v>0</v>
      </c>
      <c r="BB1443">
        <v>0</v>
      </c>
      <c r="BC1443">
        <v>0</v>
      </c>
      <c r="BD1443">
        <v>0</v>
      </c>
      <c r="BE1443">
        <v>0</v>
      </c>
      <c r="BF1443">
        <v>0</v>
      </c>
      <c r="BG1443">
        <v>0</v>
      </c>
      <c r="BH1443">
        <v>1</v>
      </c>
      <c r="BI1443">
        <v>1</v>
      </c>
      <c r="BJ1443">
        <v>0.2</v>
      </c>
      <c r="BK1443">
        <v>1</v>
      </c>
      <c r="BL1443" s="4">
        <v>50.45</v>
      </c>
      <c r="BM1443" s="4">
        <v>7.57</v>
      </c>
      <c r="BN1443" s="4">
        <v>58.02</v>
      </c>
      <c r="BO1443" s="4">
        <v>58.02</v>
      </c>
      <c r="BQ1443" t="s">
        <v>256</v>
      </c>
      <c r="BR1443" t="s">
        <v>84</v>
      </c>
      <c r="BS1443" s="3">
        <v>43816</v>
      </c>
      <c r="BT1443" s="5">
        <v>0.40972222222222227</v>
      </c>
      <c r="BU1443" t="s">
        <v>1583</v>
      </c>
      <c r="BV1443" t="s">
        <v>86</v>
      </c>
      <c r="BY1443">
        <v>1200</v>
      </c>
      <c r="CA1443" t="s">
        <v>539</v>
      </c>
      <c r="CC1443" t="s">
        <v>91</v>
      </c>
      <c r="CD1443">
        <v>7580</v>
      </c>
      <c r="CE1443" t="s">
        <v>88</v>
      </c>
      <c r="CF1443" s="3">
        <v>43817</v>
      </c>
      <c r="CI1443">
        <v>1</v>
      </c>
      <c r="CJ1443">
        <v>2</v>
      </c>
      <c r="CK1443">
        <v>21</v>
      </c>
      <c r="CL1443" t="s">
        <v>89</v>
      </c>
    </row>
    <row r="1444" spans="1:90">
      <c r="A1444" t="s">
        <v>72</v>
      </c>
      <c r="B1444" t="s">
        <v>73</v>
      </c>
      <c r="C1444" t="s">
        <v>74</v>
      </c>
      <c r="E1444" t="str">
        <f>"FES1162728412"</f>
        <v>FES1162728412</v>
      </c>
      <c r="F1444" s="3">
        <v>43812</v>
      </c>
      <c r="G1444">
        <v>202006</v>
      </c>
      <c r="H1444" t="s">
        <v>75</v>
      </c>
      <c r="I1444" t="s">
        <v>76</v>
      </c>
      <c r="J1444" t="s">
        <v>77</v>
      </c>
      <c r="K1444" t="s">
        <v>78</v>
      </c>
      <c r="L1444" t="s">
        <v>90</v>
      </c>
      <c r="M1444" t="s">
        <v>91</v>
      </c>
      <c r="N1444" t="s">
        <v>315</v>
      </c>
      <c r="O1444" t="s">
        <v>82</v>
      </c>
      <c r="P1444" t="str">
        <f>"2170718653                    "</f>
        <v xml:space="preserve">2170718653                    </v>
      </c>
      <c r="Q1444">
        <v>0</v>
      </c>
      <c r="R1444">
        <v>0</v>
      </c>
      <c r="S1444">
        <v>0</v>
      </c>
      <c r="T1444">
        <v>0</v>
      </c>
      <c r="U1444">
        <v>0</v>
      </c>
      <c r="V1444">
        <v>0</v>
      </c>
      <c r="W1444">
        <v>0</v>
      </c>
      <c r="X1444">
        <v>0</v>
      </c>
      <c r="Y1444">
        <v>0</v>
      </c>
      <c r="Z1444">
        <v>0</v>
      </c>
      <c r="AA1444">
        <v>0</v>
      </c>
      <c r="AB1444">
        <v>0</v>
      </c>
      <c r="AC1444">
        <v>0</v>
      </c>
      <c r="AD1444">
        <v>0</v>
      </c>
      <c r="AE1444">
        <v>0</v>
      </c>
      <c r="AF1444">
        <v>0</v>
      </c>
      <c r="AG1444">
        <v>0</v>
      </c>
      <c r="AH1444">
        <v>0</v>
      </c>
      <c r="AI1444">
        <v>0</v>
      </c>
      <c r="AJ1444">
        <v>0</v>
      </c>
      <c r="AK1444">
        <v>0</v>
      </c>
      <c r="AL1444">
        <v>0</v>
      </c>
      <c r="AM1444">
        <v>8.58</v>
      </c>
      <c r="AN1444">
        <v>0</v>
      </c>
      <c r="AO1444">
        <v>0</v>
      </c>
      <c r="AP1444">
        <v>0</v>
      </c>
      <c r="AQ1444">
        <v>0</v>
      </c>
      <c r="AR1444">
        <v>0</v>
      </c>
      <c r="AS1444">
        <v>0</v>
      </c>
      <c r="AT1444">
        <v>0</v>
      </c>
      <c r="AU1444">
        <v>0</v>
      </c>
      <c r="AV1444">
        <v>0</v>
      </c>
      <c r="AW1444">
        <v>0</v>
      </c>
      <c r="AX1444">
        <v>0</v>
      </c>
      <c r="AY1444">
        <v>0</v>
      </c>
      <c r="AZ1444">
        <v>0</v>
      </c>
      <c r="BA1444">
        <v>0</v>
      </c>
      <c r="BB1444">
        <v>0</v>
      </c>
      <c r="BC1444">
        <v>0</v>
      </c>
      <c r="BD1444">
        <v>0</v>
      </c>
      <c r="BE1444">
        <v>0</v>
      </c>
      <c r="BF1444">
        <v>0</v>
      </c>
      <c r="BG1444">
        <v>0</v>
      </c>
      <c r="BH1444">
        <v>1</v>
      </c>
      <c r="BI1444">
        <v>1</v>
      </c>
      <c r="BJ1444">
        <v>0.2</v>
      </c>
      <c r="BK1444">
        <v>1</v>
      </c>
      <c r="BL1444" s="4">
        <v>50.45</v>
      </c>
      <c r="BM1444" s="4">
        <v>7.57</v>
      </c>
      <c r="BN1444" s="4">
        <v>58.02</v>
      </c>
      <c r="BO1444" s="4">
        <v>58.02</v>
      </c>
      <c r="BQ1444" t="s">
        <v>135</v>
      </c>
      <c r="BR1444" t="s">
        <v>84</v>
      </c>
      <c r="BS1444" s="3">
        <v>43816</v>
      </c>
      <c r="BT1444" s="5">
        <v>0.3527777777777778</v>
      </c>
      <c r="BU1444" t="s">
        <v>316</v>
      </c>
      <c r="BV1444" t="s">
        <v>86</v>
      </c>
      <c r="BY1444">
        <v>1200</v>
      </c>
      <c r="CA1444" t="s">
        <v>273</v>
      </c>
      <c r="CC1444" t="s">
        <v>91</v>
      </c>
      <c r="CD1444">
        <v>7800</v>
      </c>
      <c r="CE1444" t="s">
        <v>88</v>
      </c>
      <c r="CF1444" s="3">
        <v>43817</v>
      </c>
      <c r="CI1444">
        <v>1</v>
      </c>
      <c r="CJ1444">
        <v>2</v>
      </c>
      <c r="CK1444">
        <v>21</v>
      </c>
      <c r="CL1444" t="s">
        <v>89</v>
      </c>
    </row>
    <row r="1445" spans="1:90">
      <c r="A1445" t="s">
        <v>72</v>
      </c>
      <c r="B1445" t="s">
        <v>73</v>
      </c>
      <c r="C1445" t="s">
        <v>74</v>
      </c>
      <c r="E1445" t="str">
        <f>"FES1162728359"</f>
        <v>FES1162728359</v>
      </c>
      <c r="F1445" s="3">
        <v>43812</v>
      </c>
      <c r="G1445">
        <v>202006</v>
      </c>
      <c r="H1445" t="s">
        <v>75</v>
      </c>
      <c r="I1445" t="s">
        <v>76</v>
      </c>
      <c r="J1445" t="s">
        <v>77</v>
      </c>
      <c r="K1445" t="s">
        <v>78</v>
      </c>
      <c r="L1445" t="s">
        <v>90</v>
      </c>
      <c r="M1445" t="s">
        <v>91</v>
      </c>
      <c r="N1445" t="s">
        <v>110</v>
      </c>
      <c r="O1445" t="s">
        <v>82</v>
      </c>
      <c r="P1445" t="str">
        <f>"217071655                     "</f>
        <v xml:space="preserve">217071655                     </v>
      </c>
      <c r="Q1445">
        <v>0</v>
      </c>
      <c r="R1445">
        <v>0</v>
      </c>
      <c r="S1445">
        <v>0</v>
      </c>
      <c r="T1445">
        <v>0</v>
      </c>
      <c r="U1445">
        <v>0</v>
      </c>
      <c r="V1445">
        <v>0</v>
      </c>
      <c r="W1445">
        <v>0</v>
      </c>
      <c r="X1445">
        <v>0</v>
      </c>
      <c r="Y1445">
        <v>0</v>
      </c>
      <c r="Z1445">
        <v>0</v>
      </c>
      <c r="AA1445">
        <v>0</v>
      </c>
      <c r="AB1445">
        <v>0</v>
      </c>
      <c r="AC1445">
        <v>0</v>
      </c>
      <c r="AD1445">
        <v>0</v>
      </c>
      <c r="AE1445">
        <v>0</v>
      </c>
      <c r="AF1445">
        <v>0</v>
      </c>
      <c r="AG1445">
        <v>0</v>
      </c>
      <c r="AH1445">
        <v>0</v>
      </c>
      <c r="AI1445">
        <v>0</v>
      </c>
      <c r="AJ1445">
        <v>0</v>
      </c>
      <c r="AK1445">
        <v>0</v>
      </c>
      <c r="AL1445">
        <v>0</v>
      </c>
      <c r="AM1445">
        <v>17.16</v>
      </c>
      <c r="AN1445">
        <v>0</v>
      </c>
      <c r="AO1445">
        <v>0</v>
      </c>
      <c r="AP1445">
        <v>0</v>
      </c>
      <c r="AQ1445">
        <v>0</v>
      </c>
      <c r="AR1445">
        <v>0</v>
      </c>
      <c r="AS1445">
        <v>0</v>
      </c>
      <c r="AT1445">
        <v>0</v>
      </c>
      <c r="AU1445">
        <v>0</v>
      </c>
      <c r="AV1445">
        <v>0</v>
      </c>
      <c r="AW1445">
        <v>0</v>
      </c>
      <c r="AX1445">
        <v>0</v>
      </c>
      <c r="AY1445">
        <v>0</v>
      </c>
      <c r="AZ1445">
        <v>0</v>
      </c>
      <c r="BA1445">
        <v>0</v>
      </c>
      <c r="BB1445">
        <v>0</v>
      </c>
      <c r="BC1445">
        <v>0</v>
      </c>
      <c r="BD1445">
        <v>0</v>
      </c>
      <c r="BE1445">
        <v>0</v>
      </c>
      <c r="BF1445">
        <v>0</v>
      </c>
      <c r="BG1445">
        <v>0</v>
      </c>
      <c r="BH1445">
        <v>1</v>
      </c>
      <c r="BI1445">
        <v>1.3</v>
      </c>
      <c r="BJ1445">
        <v>3.7</v>
      </c>
      <c r="BK1445">
        <v>4</v>
      </c>
      <c r="BL1445" s="4">
        <v>100.87</v>
      </c>
      <c r="BM1445" s="4">
        <v>15.13</v>
      </c>
      <c r="BN1445" s="4">
        <v>116</v>
      </c>
      <c r="BO1445" s="4">
        <v>116</v>
      </c>
      <c r="BQ1445" t="s">
        <v>147</v>
      </c>
      <c r="BR1445" t="s">
        <v>84</v>
      </c>
      <c r="BS1445" s="3">
        <v>43816</v>
      </c>
      <c r="BT1445" s="5">
        <v>0.30972222222222223</v>
      </c>
      <c r="BU1445" t="s">
        <v>111</v>
      </c>
      <c r="BV1445" t="s">
        <v>86</v>
      </c>
      <c r="BY1445">
        <v>18288.189999999999</v>
      </c>
      <c r="CA1445" t="s">
        <v>112</v>
      </c>
      <c r="CC1445" t="s">
        <v>91</v>
      </c>
      <c r="CD1445">
        <v>7405</v>
      </c>
      <c r="CE1445" t="s">
        <v>116</v>
      </c>
      <c r="CF1445" s="3">
        <v>43817</v>
      </c>
      <c r="CI1445">
        <v>1</v>
      </c>
      <c r="CJ1445">
        <v>2</v>
      </c>
      <c r="CK1445">
        <v>21</v>
      </c>
      <c r="CL1445" t="s">
        <v>89</v>
      </c>
    </row>
    <row r="1446" spans="1:90">
      <c r="A1446" t="s">
        <v>72</v>
      </c>
      <c r="B1446" t="s">
        <v>73</v>
      </c>
      <c r="C1446" t="s">
        <v>74</v>
      </c>
      <c r="E1446" t="str">
        <f>"FES1162728378"</f>
        <v>FES1162728378</v>
      </c>
      <c r="F1446" s="3">
        <v>43812</v>
      </c>
      <c r="G1446">
        <v>202006</v>
      </c>
      <c r="H1446" t="s">
        <v>75</v>
      </c>
      <c r="I1446" t="s">
        <v>76</v>
      </c>
      <c r="J1446" t="s">
        <v>77</v>
      </c>
      <c r="K1446" t="s">
        <v>78</v>
      </c>
      <c r="L1446" t="s">
        <v>332</v>
      </c>
      <c r="M1446" t="s">
        <v>333</v>
      </c>
      <c r="N1446" t="s">
        <v>767</v>
      </c>
      <c r="O1446" t="s">
        <v>82</v>
      </c>
      <c r="P1446" t="str">
        <f>"217071671                     "</f>
        <v xml:space="preserve">217071671                     </v>
      </c>
      <c r="Q1446">
        <v>0</v>
      </c>
      <c r="R1446">
        <v>0</v>
      </c>
      <c r="S1446">
        <v>0</v>
      </c>
      <c r="T1446">
        <v>0</v>
      </c>
      <c r="U1446">
        <v>0</v>
      </c>
      <c r="V1446">
        <v>0</v>
      </c>
      <c r="W1446">
        <v>0</v>
      </c>
      <c r="X1446">
        <v>0</v>
      </c>
      <c r="Y1446">
        <v>0</v>
      </c>
      <c r="Z1446">
        <v>0</v>
      </c>
      <c r="AA1446">
        <v>0</v>
      </c>
      <c r="AB1446">
        <v>0</v>
      </c>
      <c r="AC1446">
        <v>0</v>
      </c>
      <c r="AD1446">
        <v>0</v>
      </c>
      <c r="AE1446">
        <v>0</v>
      </c>
      <c r="AF1446">
        <v>0</v>
      </c>
      <c r="AG1446">
        <v>0</v>
      </c>
      <c r="AH1446">
        <v>0</v>
      </c>
      <c r="AI1446">
        <v>0</v>
      </c>
      <c r="AJ1446">
        <v>0</v>
      </c>
      <c r="AK1446">
        <v>0</v>
      </c>
      <c r="AL1446">
        <v>0</v>
      </c>
      <c r="AM1446">
        <v>17.149999999999999</v>
      </c>
      <c r="AN1446">
        <v>0</v>
      </c>
      <c r="AO1446">
        <v>0</v>
      </c>
      <c r="AP1446">
        <v>0</v>
      </c>
      <c r="AQ1446">
        <v>0</v>
      </c>
      <c r="AR1446">
        <v>0</v>
      </c>
      <c r="AS1446">
        <v>0</v>
      </c>
      <c r="AT1446">
        <v>0</v>
      </c>
      <c r="AU1446">
        <v>0</v>
      </c>
      <c r="AV1446">
        <v>0</v>
      </c>
      <c r="AW1446">
        <v>0</v>
      </c>
      <c r="AX1446">
        <v>0</v>
      </c>
      <c r="AY1446">
        <v>0</v>
      </c>
      <c r="AZ1446">
        <v>0</v>
      </c>
      <c r="BA1446">
        <v>0</v>
      </c>
      <c r="BB1446">
        <v>0</v>
      </c>
      <c r="BC1446">
        <v>0</v>
      </c>
      <c r="BD1446">
        <v>0</v>
      </c>
      <c r="BE1446">
        <v>0</v>
      </c>
      <c r="BF1446">
        <v>0</v>
      </c>
      <c r="BG1446">
        <v>0</v>
      </c>
      <c r="BH1446">
        <v>1</v>
      </c>
      <c r="BI1446">
        <v>4.4000000000000004</v>
      </c>
      <c r="BJ1446">
        <v>8.1</v>
      </c>
      <c r="BK1446">
        <v>8.5</v>
      </c>
      <c r="BL1446" s="4">
        <v>100.82</v>
      </c>
      <c r="BM1446" s="4">
        <v>15.12</v>
      </c>
      <c r="BN1446" s="4">
        <v>115.94</v>
      </c>
      <c r="BO1446" s="4">
        <v>115.94</v>
      </c>
      <c r="BQ1446" t="s">
        <v>147</v>
      </c>
      <c r="BR1446" t="s">
        <v>84</v>
      </c>
      <c r="BS1446" s="3">
        <v>43816</v>
      </c>
      <c r="BT1446" s="5">
        <v>0.40972222222222227</v>
      </c>
      <c r="BU1446" t="s">
        <v>442</v>
      </c>
      <c r="BV1446" t="s">
        <v>86</v>
      </c>
      <c r="BY1446">
        <v>40495.68</v>
      </c>
      <c r="CA1446" t="s">
        <v>1689</v>
      </c>
      <c r="CC1446" t="s">
        <v>333</v>
      </c>
      <c r="CD1446">
        <v>2040</v>
      </c>
      <c r="CE1446" t="s">
        <v>96</v>
      </c>
      <c r="CF1446" s="3">
        <v>43817</v>
      </c>
      <c r="CI1446">
        <v>1</v>
      </c>
      <c r="CJ1446">
        <v>2</v>
      </c>
      <c r="CK1446">
        <v>22</v>
      </c>
      <c r="CL1446" t="s">
        <v>89</v>
      </c>
    </row>
    <row r="1447" spans="1:90">
      <c r="A1447" t="s">
        <v>72</v>
      </c>
      <c r="B1447" t="s">
        <v>73</v>
      </c>
      <c r="C1447" t="s">
        <v>74</v>
      </c>
      <c r="E1447" t="str">
        <f>"FES1162728266"</f>
        <v>FES1162728266</v>
      </c>
      <c r="F1447" s="3">
        <v>43812</v>
      </c>
      <c r="G1447">
        <v>202006</v>
      </c>
      <c r="H1447" t="s">
        <v>75</v>
      </c>
      <c r="I1447" t="s">
        <v>76</v>
      </c>
      <c r="J1447" t="s">
        <v>77</v>
      </c>
      <c r="K1447" t="s">
        <v>78</v>
      </c>
      <c r="L1447" t="s">
        <v>164</v>
      </c>
      <c r="M1447" t="s">
        <v>165</v>
      </c>
      <c r="N1447" t="s">
        <v>369</v>
      </c>
      <c r="O1447" t="s">
        <v>82</v>
      </c>
      <c r="P1447" t="str">
        <f>"217071544                     "</f>
        <v xml:space="preserve">217071544                     </v>
      </c>
      <c r="Q1447">
        <v>0</v>
      </c>
      <c r="R1447">
        <v>0</v>
      </c>
      <c r="S1447">
        <v>0</v>
      </c>
      <c r="T1447">
        <v>0</v>
      </c>
      <c r="U1447">
        <v>0</v>
      </c>
      <c r="V1447">
        <v>0</v>
      </c>
      <c r="W1447">
        <v>0</v>
      </c>
      <c r="X1447">
        <v>0</v>
      </c>
      <c r="Y1447">
        <v>0</v>
      </c>
      <c r="Z1447">
        <v>0</v>
      </c>
      <c r="AA1447">
        <v>0</v>
      </c>
      <c r="AB1447">
        <v>0</v>
      </c>
      <c r="AC1447">
        <v>0</v>
      </c>
      <c r="AD1447">
        <v>0</v>
      </c>
      <c r="AE1447">
        <v>0</v>
      </c>
      <c r="AF1447">
        <v>0</v>
      </c>
      <c r="AG1447">
        <v>0</v>
      </c>
      <c r="AH1447">
        <v>0</v>
      </c>
      <c r="AI1447">
        <v>0</v>
      </c>
      <c r="AJ1447">
        <v>0</v>
      </c>
      <c r="AK1447">
        <v>0</v>
      </c>
      <c r="AL1447">
        <v>0</v>
      </c>
      <c r="AM1447">
        <v>38.6</v>
      </c>
      <c r="AN1447">
        <v>0</v>
      </c>
      <c r="AO1447">
        <v>0</v>
      </c>
      <c r="AP1447">
        <v>0</v>
      </c>
      <c r="AQ1447">
        <v>0</v>
      </c>
      <c r="AR1447">
        <v>0</v>
      </c>
      <c r="AS1447">
        <v>0</v>
      </c>
      <c r="AT1447">
        <v>0</v>
      </c>
      <c r="AU1447">
        <v>0</v>
      </c>
      <c r="AV1447">
        <v>0</v>
      </c>
      <c r="AW1447">
        <v>0</v>
      </c>
      <c r="AX1447">
        <v>0</v>
      </c>
      <c r="AY1447">
        <v>0</v>
      </c>
      <c r="AZ1447">
        <v>0</v>
      </c>
      <c r="BA1447">
        <v>0</v>
      </c>
      <c r="BB1447">
        <v>0</v>
      </c>
      <c r="BC1447">
        <v>0</v>
      </c>
      <c r="BD1447">
        <v>0</v>
      </c>
      <c r="BE1447">
        <v>0</v>
      </c>
      <c r="BF1447">
        <v>0</v>
      </c>
      <c r="BG1447">
        <v>0</v>
      </c>
      <c r="BH1447">
        <v>1</v>
      </c>
      <c r="BI1447">
        <v>8.6</v>
      </c>
      <c r="BJ1447">
        <v>8.1999999999999993</v>
      </c>
      <c r="BK1447">
        <v>9</v>
      </c>
      <c r="BL1447" s="4">
        <v>226.91</v>
      </c>
      <c r="BM1447" s="4">
        <v>34.04</v>
      </c>
      <c r="BN1447" s="4">
        <v>260.95</v>
      </c>
      <c r="BO1447" s="4">
        <v>260.95</v>
      </c>
      <c r="BQ1447" t="s">
        <v>93</v>
      </c>
      <c r="BR1447" t="s">
        <v>84</v>
      </c>
      <c r="BS1447" s="3">
        <v>43816</v>
      </c>
      <c r="BT1447" s="5">
        <v>0.37847222222222227</v>
      </c>
      <c r="BU1447" t="s">
        <v>1916</v>
      </c>
      <c r="BV1447" t="s">
        <v>86</v>
      </c>
      <c r="BY1447">
        <v>41019.53</v>
      </c>
      <c r="CA1447" t="s">
        <v>371</v>
      </c>
      <c r="CC1447" t="s">
        <v>165</v>
      </c>
      <c r="CD1447">
        <v>5201</v>
      </c>
      <c r="CE1447" t="s">
        <v>96</v>
      </c>
      <c r="CF1447" s="3">
        <v>43817</v>
      </c>
      <c r="CI1447">
        <v>1</v>
      </c>
      <c r="CJ1447">
        <v>2</v>
      </c>
      <c r="CK1447">
        <v>21</v>
      </c>
      <c r="CL1447" t="s">
        <v>89</v>
      </c>
    </row>
    <row r="1448" spans="1:90">
      <c r="A1448" t="s">
        <v>72</v>
      </c>
      <c r="B1448" t="s">
        <v>73</v>
      </c>
      <c r="C1448" t="s">
        <v>74</v>
      </c>
      <c r="E1448" t="str">
        <f>"FES1162728082"</f>
        <v>FES1162728082</v>
      </c>
      <c r="F1448" s="3">
        <v>43812</v>
      </c>
      <c r="G1448">
        <v>202006</v>
      </c>
      <c r="H1448" t="s">
        <v>75</v>
      </c>
      <c r="I1448" t="s">
        <v>76</v>
      </c>
      <c r="J1448" t="s">
        <v>77</v>
      </c>
      <c r="K1448" t="s">
        <v>78</v>
      </c>
      <c r="L1448" t="s">
        <v>714</v>
      </c>
      <c r="M1448" t="s">
        <v>715</v>
      </c>
      <c r="N1448" t="s">
        <v>1018</v>
      </c>
      <c r="O1448" t="s">
        <v>82</v>
      </c>
      <c r="P1448" t="str">
        <f>"2170718366                    "</f>
        <v xml:space="preserve">2170718366                    </v>
      </c>
      <c r="Q1448">
        <v>0</v>
      </c>
      <c r="R1448">
        <v>0</v>
      </c>
      <c r="S1448">
        <v>0</v>
      </c>
      <c r="T1448">
        <v>0</v>
      </c>
      <c r="U1448">
        <v>0</v>
      </c>
      <c r="V1448">
        <v>0</v>
      </c>
      <c r="W1448">
        <v>0</v>
      </c>
      <c r="X1448">
        <v>0</v>
      </c>
      <c r="Y1448">
        <v>0</v>
      </c>
      <c r="Z1448">
        <v>0</v>
      </c>
      <c r="AA1448">
        <v>0</v>
      </c>
      <c r="AB1448">
        <v>0</v>
      </c>
      <c r="AC1448">
        <v>0</v>
      </c>
      <c r="AD1448">
        <v>0</v>
      </c>
      <c r="AE1448">
        <v>0</v>
      </c>
      <c r="AF1448">
        <v>0</v>
      </c>
      <c r="AG1448">
        <v>0</v>
      </c>
      <c r="AH1448">
        <v>0</v>
      </c>
      <c r="AI1448">
        <v>0</v>
      </c>
      <c r="AJ1448">
        <v>0</v>
      </c>
      <c r="AK1448">
        <v>0</v>
      </c>
      <c r="AL1448">
        <v>0</v>
      </c>
      <c r="AM1448">
        <v>22.78</v>
      </c>
      <c r="AN1448">
        <v>0</v>
      </c>
      <c r="AO1448">
        <v>0</v>
      </c>
      <c r="AP1448">
        <v>0</v>
      </c>
      <c r="AQ1448">
        <v>0</v>
      </c>
      <c r="AR1448">
        <v>0</v>
      </c>
      <c r="AS1448">
        <v>0</v>
      </c>
      <c r="AT1448">
        <v>0</v>
      </c>
      <c r="AU1448">
        <v>0</v>
      </c>
      <c r="AV1448">
        <v>0</v>
      </c>
      <c r="AW1448">
        <v>0</v>
      </c>
      <c r="AX1448">
        <v>0</v>
      </c>
      <c r="AY1448">
        <v>0</v>
      </c>
      <c r="AZ1448">
        <v>0</v>
      </c>
      <c r="BA1448">
        <v>0</v>
      </c>
      <c r="BB1448">
        <v>0</v>
      </c>
      <c r="BC1448">
        <v>0</v>
      </c>
      <c r="BD1448">
        <v>0</v>
      </c>
      <c r="BE1448">
        <v>0</v>
      </c>
      <c r="BF1448">
        <v>0</v>
      </c>
      <c r="BG1448">
        <v>0</v>
      </c>
      <c r="BH1448">
        <v>1</v>
      </c>
      <c r="BI1448">
        <v>8.1</v>
      </c>
      <c r="BJ1448">
        <v>11.6</v>
      </c>
      <c r="BK1448">
        <v>12</v>
      </c>
      <c r="BL1448" s="4">
        <v>133.88999999999999</v>
      </c>
      <c r="BM1448" s="4">
        <v>20.079999999999998</v>
      </c>
      <c r="BN1448" s="4">
        <v>153.97</v>
      </c>
      <c r="BO1448" s="4">
        <v>153.97</v>
      </c>
      <c r="BQ1448" t="s">
        <v>147</v>
      </c>
      <c r="BR1448" t="s">
        <v>84</v>
      </c>
      <c r="BS1448" s="3">
        <v>43816</v>
      </c>
      <c r="BT1448" s="5">
        <v>0.33333333333333331</v>
      </c>
      <c r="BU1448" t="s">
        <v>1917</v>
      </c>
      <c r="BV1448" t="s">
        <v>86</v>
      </c>
      <c r="BY1448">
        <v>57858.84</v>
      </c>
      <c r="CC1448" t="s">
        <v>715</v>
      </c>
      <c r="CD1448">
        <v>1559</v>
      </c>
      <c r="CE1448" t="s">
        <v>116</v>
      </c>
      <c r="CF1448" s="3">
        <v>43817</v>
      </c>
      <c r="CI1448">
        <v>1</v>
      </c>
      <c r="CJ1448">
        <v>2</v>
      </c>
      <c r="CK1448">
        <v>22</v>
      </c>
      <c r="CL1448" t="s">
        <v>89</v>
      </c>
    </row>
    <row r="1449" spans="1:90">
      <c r="A1449" t="s">
        <v>72</v>
      </c>
      <c r="B1449" t="s">
        <v>73</v>
      </c>
      <c r="C1449" t="s">
        <v>74</v>
      </c>
      <c r="E1449" t="str">
        <f>"FES1162728290"</f>
        <v>FES1162728290</v>
      </c>
      <c r="F1449" s="3">
        <v>43812</v>
      </c>
      <c r="G1449">
        <v>202006</v>
      </c>
      <c r="H1449" t="s">
        <v>75</v>
      </c>
      <c r="I1449" t="s">
        <v>76</v>
      </c>
      <c r="J1449" t="s">
        <v>77</v>
      </c>
      <c r="K1449" t="s">
        <v>78</v>
      </c>
      <c r="L1449" t="s">
        <v>350</v>
      </c>
      <c r="M1449" t="s">
        <v>351</v>
      </c>
      <c r="N1449" t="s">
        <v>1414</v>
      </c>
      <c r="O1449" t="s">
        <v>82</v>
      </c>
      <c r="P1449" t="str">
        <f>"217071632                     "</f>
        <v xml:space="preserve">217071632                     </v>
      </c>
      <c r="Q1449">
        <v>0</v>
      </c>
      <c r="R1449">
        <v>0</v>
      </c>
      <c r="S1449">
        <v>0</v>
      </c>
      <c r="T1449">
        <v>0</v>
      </c>
      <c r="U1449">
        <v>0</v>
      </c>
      <c r="V1449">
        <v>0</v>
      </c>
      <c r="W1449">
        <v>0</v>
      </c>
      <c r="X1449">
        <v>0</v>
      </c>
      <c r="Y1449">
        <v>0</v>
      </c>
      <c r="Z1449">
        <v>0</v>
      </c>
      <c r="AA1449">
        <v>0</v>
      </c>
      <c r="AB1449">
        <v>0</v>
      </c>
      <c r="AC1449">
        <v>0</v>
      </c>
      <c r="AD1449">
        <v>0</v>
      </c>
      <c r="AE1449">
        <v>0</v>
      </c>
      <c r="AF1449">
        <v>0</v>
      </c>
      <c r="AG1449">
        <v>0</v>
      </c>
      <c r="AH1449">
        <v>0</v>
      </c>
      <c r="AI1449">
        <v>0</v>
      </c>
      <c r="AJ1449">
        <v>0</v>
      </c>
      <c r="AK1449">
        <v>0</v>
      </c>
      <c r="AL1449">
        <v>0</v>
      </c>
      <c r="AM1449">
        <v>6.71</v>
      </c>
      <c r="AN1449">
        <v>0</v>
      </c>
      <c r="AO1449">
        <v>0</v>
      </c>
      <c r="AP1449">
        <v>0</v>
      </c>
      <c r="AQ1449">
        <v>0</v>
      </c>
      <c r="AR1449">
        <v>0</v>
      </c>
      <c r="AS1449">
        <v>0</v>
      </c>
      <c r="AT1449">
        <v>0</v>
      </c>
      <c r="AU1449">
        <v>0</v>
      </c>
      <c r="AV1449">
        <v>0</v>
      </c>
      <c r="AW1449">
        <v>0</v>
      </c>
      <c r="AX1449">
        <v>0</v>
      </c>
      <c r="AY1449">
        <v>0</v>
      </c>
      <c r="AZ1449">
        <v>0</v>
      </c>
      <c r="BA1449">
        <v>0</v>
      </c>
      <c r="BB1449">
        <v>0</v>
      </c>
      <c r="BC1449">
        <v>0</v>
      </c>
      <c r="BD1449">
        <v>0</v>
      </c>
      <c r="BE1449">
        <v>0</v>
      </c>
      <c r="BF1449">
        <v>0</v>
      </c>
      <c r="BG1449">
        <v>0</v>
      </c>
      <c r="BH1449">
        <v>1</v>
      </c>
      <c r="BI1449">
        <v>1.3</v>
      </c>
      <c r="BJ1449">
        <v>2</v>
      </c>
      <c r="BK1449">
        <v>2</v>
      </c>
      <c r="BL1449" s="4">
        <v>39.42</v>
      </c>
      <c r="BM1449" s="4">
        <v>5.91</v>
      </c>
      <c r="BN1449" s="4">
        <v>45.33</v>
      </c>
      <c r="BO1449" s="4">
        <v>45.33</v>
      </c>
      <c r="BR1449" t="s">
        <v>84</v>
      </c>
      <c r="BS1449" s="3">
        <v>43816</v>
      </c>
      <c r="BT1449" s="5">
        <v>0.2902777777777778</v>
      </c>
      <c r="BU1449" t="s">
        <v>1753</v>
      </c>
      <c r="BV1449" t="s">
        <v>86</v>
      </c>
      <c r="BY1449">
        <v>10151.969999999999</v>
      </c>
      <c r="CA1449" t="s">
        <v>729</v>
      </c>
      <c r="CC1449" t="s">
        <v>351</v>
      </c>
      <c r="CD1449">
        <v>1500</v>
      </c>
      <c r="CE1449" t="s">
        <v>116</v>
      </c>
      <c r="CF1449" s="3">
        <v>43817</v>
      </c>
      <c r="CI1449">
        <v>1</v>
      </c>
      <c r="CJ1449">
        <v>2</v>
      </c>
      <c r="CK1449">
        <v>22</v>
      </c>
      <c r="CL1449" t="s">
        <v>89</v>
      </c>
    </row>
    <row r="1450" spans="1:90">
      <c r="A1450" t="s">
        <v>72</v>
      </c>
      <c r="B1450" t="s">
        <v>73</v>
      </c>
      <c r="C1450" t="s">
        <v>74</v>
      </c>
      <c r="E1450" t="str">
        <f>"FES1162728376"</f>
        <v>FES1162728376</v>
      </c>
      <c r="F1450" s="3">
        <v>43812</v>
      </c>
      <c r="G1450">
        <v>202006</v>
      </c>
      <c r="H1450" t="s">
        <v>75</v>
      </c>
      <c r="I1450" t="s">
        <v>76</v>
      </c>
      <c r="J1450" t="s">
        <v>77</v>
      </c>
      <c r="K1450" t="s">
        <v>78</v>
      </c>
      <c r="L1450" t="s">
        <v>332</v>
      </c>
      <c r="M1450" t="s">
        <v>333</v>
      </c>
      <c r="N1450" t="s">
        <v>697</v>
      </c>
      <c r="O1450" t="s">
        <v>82</v>
      </c>
      <c r="P1450" t="str">
        <f>"217071659                     "</f>
        <v xml:space="preserve">217071659                     </v>
      </c>
      <c r="Q1450">
        <v>0</v>
      </c>
      <c r="R1450">
        <v>0</v>
      </c>
      <c r="S1450">
        <v>0</v>
      </c>
      <c r="T1450">
        <v>0</v>
      </c>
      <c r="U1450">
        <v>0</v>
      </c>
      <c r="V1450">
        <v>0</v>
      </c>
      <c r="W1450">
        <v>0</v>
      </c>
      <c r="X1450">
        <v>0</v>
      </c>
      <c r="Y1450">
        <v>0</v>
      </c>
      <c r="Z1450">
        <v>0</v>
      </c>
      <c r="AA1450">
        <v>0</v>
      </c>
      <c r="AB1450">
        <v>0</v>
      </c>
      <c r="AC1450">
        <v>0</v>
      </c>
      <c r="AD1450">
        <v>0</v>
      </c>
      <c r="AE1450">
        <v>0</v>
      </c>
      <c r="AF1450">
        <v>0</v>
      </c>
      <c r="AG1450">
        <v>0</v>
      </c>
      <c r="AH1450">
        <v>0</v>
      </c>
      <c r="AI1450">
        <v>0</v>
      </c>
      <c r="AJ1450">
        <v>0</v>
      </c>
      <c r="AK1450">
        <v>0</v>
      </c>
      <c r="AL1450">
        <v>0</v>
      </c>
      <c r="AM1450">
        <v>6.71</v>
      </c>
      <c r="AN1450">
        <v>0</v>
      </c>
      <c r="AO1450">
        <v>0</v>
      </c>
      <c r="AP1450">
        <v>0</v>
      </c>
      <c r="AQ1450">
        <v>0</v>
      </c>
      <c r="AR1450">
        <v>0</v>
      </c>
      <c r="AS1450">
        <v>0</v>
      </c>
      <c r="AT1450">
        <v>0</v>
      </c>
      <c r="AU1450">
        <v>0</v>
      </c>
      <c r="AV1450">
        <v>0</v>
      </c>
      <c r="AW1450">
        <v>0</v>
      </c>
      <c r="AX1450">
        <v>0</v>
      </c>
      <c r="AY1450">
        <v>0</v>
      </c>
      <c r="AZ1450">
        <v>0</v>
      </c>
      <c r="BA1450">
        <v>0</v>
      </c>
      <c r="BB1450">
        <v>0</v>
      </c>
      <c r="BC1450">
        <v>0</v>
      </c>
      <c r="BD1450">
        <v>0</v>
      </c>
      <c r="BE1450">
        <v>0</v>
      </c>
      <c r="BF1450">
        <v>0</v>
      </c>
      <c r="BG1450">
        <v>0</v>
      </c>
      <c r="BH1450">
        <v>1</v>
      </c>
      <c r="BI1450">
        <v>1.2</v>
      </c>
      <c r="BJ1450">
        <v>0.9</v>
      </c>
      <c r="BK1450">
        <v>1.5</v>
      </c>
      <c r="BL1450" s="4">
        <v>39.42</v>
      </c>
      <c r="BM1450" s="4">
        <v>5.91</v>
      </c>
      <c r="BN1450" s="4">
        <v>45.33</v>
      </c>
      <c r="BO1450" s="4">
        <v>45.33</v>
      </c>
      <c r="BQ1450" t="s">
        <v>698</v>
      </c>
      <c r="BR1450" t="s">
        <v>84</v>
      </c>
      <c r="BS1450" s="3">
        <v>43816</v>
      </c>
      <c r="BT1450" s="5">
        <v>0.41597222222222219</v>
      </c>
      <c r="BU1450" t="s">
        <v>211</v>
      </c>
      <c r="BV1450" t="s">
        <v>86</v>
      </c>
      <c r="BY1450">
        <v>4431.3500000000004</v>
      </c>
      <c r="CA1450" t="s">
        <v>700</v>
      </c>
      <c r="CC1450" t="s">
        <v>333</v>
      </c>
      <c r="CD1450">
        <v>2094</v>
      </c>
      <c r="CE1450" t="s">
        <v>96</v>
      </c>
      <c r="CF1450" s="3">
        <v>43817</v>
      </c>
      <c r="CI1450">
        <v>1</v>
      </c>
      <c r="CJ1450">
        <v>2</v>
      </c>
      <c r="CK1450">
        <v>22</v>
      </c>
      <c r="CL1450" t="s">
        <v>89</v>
      </c>
    </row>
    <row r="1451" spans="1:90">
      <c r="A1451" t="s">
        <v>72</v>
      </c>
      <c r="B1451" t="s">
        <v>73</v>
      </c>
      <c r="C1451" t="s">
        <v>74</v>
      </c>
      <c r="E1451" t="str">
        <f>"FES1162728310"</f>
        <v>FES1162728310</v>
      </c>
      <c r="F1451" s="3">
        <v>43812</v>
      </c>
      <c r="G1451">
        <v>202006</v>
      </c>
      <c r="H1451" t="s">
        <v>75</v>
      </c>
      <c r="I1451" t="s">
        <v>76</v>
      </c>
      <c r="J1451" t="s">
        <v>77</v>
      </c>
      <c r="K1451" t="s">
        <v>78</v>
      </c>
      <c r="L1451" t="s">
        <v>308</v>
      </c>
      <c r="M1451" t="s">
        <v>308</v>
      </c>
      <c r="N1451" t="s">
        <v>540</v>
      </c>
      <c r="O1451" t="s">
        <v>82</v>
      </c>
      <c r="P1451" t="str">
        <f>"217071246                     "</f>
        <v xml:space="preserve">217071246                     </v>
      </c>
      <c r="Q1451">
        <v>0</v>
      </c>
      <c r="R1451">
        <v>0</v>
      </c>
      <c r="S1451">
        <v>0</v>
      </c>
      <c r="T1451">
        <v>0</v>
      </c>
      <c r="U1451">
        <v>0</v>
      </c>
      <c r="V1451">
        <v>0</v>
      </c>
      <c r="W1451">
        <v>0</v>
      </c>
      <c r="X1451">
        <v>0</v>
      </c>
      <c r="Y1451">
        <v>0</v>
      </c>
      <c r="Z1451">
        <v>0</v>
      </c>
      <c r="AA1451">
        <v>0</v>
      </c>
      <c r="AB1451">
        <v>0</v>
      </c>
      <c r="AC1451">
        <v>0</v>
      </c>
      <c r="AD1451">
        <v>0</v>
      </c>
      <c r="AE1451">
        <v>0</v>
      </c>
      <c r="AF1451">
        <v>0</v>
      </c>
      <c r="AG1451">
        <v>0</v>
      </c>
      <c r="AH1451">
        <v>0</v>
      </c>
      <c r="AI1451">
        <v>0</v>
      </c>
      <c r="AJ1451">
        <v>0</v>
      </c>
      <c r="AK1451">
        <v>0</v>
      </c>
      <c r="AL1451">
        <v>0</v>
      </c>
      <c r="AM1451">
        <v>54.19</v>
      </c>
      <c r="AN1451">
        <v>0</v>
      </c>
      <c r="AO1451">
        <v>0</v>
      </c>
      <c r="AP1451">
        <v>0</v>
      </c>
      <c r="AQ1451">
        <v>0</v>
      </c>
      <c r="AR1451">
        <v>0</v>
      </c>
      <c r="AS1451">
        <v>0</v>
      </c>
      <c r="AT1451">
        <v>0</v>
      </c>
      <c r="AU1451">
        <v>0</v>
      </c>
      <c r="AV1451">
        <v>0</v>
      </c>
      <c r="AW1451">
        <v>0</v>
      </c>
      <c r="AX1451">
        <v>0</v>
      </c>
      <c r="AY1451">
        <v>0</v>
      </c>
      <c r="AZ1451">
        <v>0</v>
      </c>
      <c r="BA1451">
        <v>0</v>
      </c>
      <c r="BB1451">
        <v>0</v>
      </c>
      <c r="BC1451">
        <v>0</v>
      </c>
      <c r="BD1451">
        <v>0</v>
      </c>
      <c r="BE1451">
        <v>0</v>
      </c>
      <c r="BF1451">
        <v>0</v>
      </c>
      <c r="BG1451">
        <v>0</v>
      </c>
      <c r="BH1451">
        <v>1</v>
      </c>
      <c r="BI1451">
        <v>4.4000000000000004</v>
      </c>
      <c r="BJ1451">
        <v>6.8</v>
      </c>
      <c r="BK1451">
        <v>7</v>
      </c>
      <c r="BL1451" s="4">
        <v>318.51</v>
      </c>
      <c r="BM1451" s="4">
        <v>47.78</v>
      </c>
      <c r="BN1451" s="4">
        <v>366.29</v>
      </c>
      <c r="BO1451" s="4">
        <v>366.29</v>
      </c>
      <c r="BQ1451" t="s">
        <v>147</v>
      </c>
      <c r="BR1451" t="s">
        <v>84</v>
      </c>
      <c r="BS1451" s="3">
        <v>43816</v>
      </c>
      <c r="BT1451" s="5">
        <v>0.44791666666666669</v>
      </c>
      <c r="BU1451" t="s">
        <v>541</v>
      </c>
      <c r="BV1451" t="s">
        <v>86</v>
      </c>
      <c r="BY1451">
        <v>34004.68</v>
      </c>
      <c r="CA1451" t="s">
        <v>311</v>
      </c>
      <c r="CC1451" t="s">
        <v>308</v>
      </c>
      <c r="CD1451">
        <v>7646</v>
      </c>
      <c r="CE1451" t="s">
        <v>116</v>
      </c>
      <c r="CF1451" s="3">
        <v>43817</v>
      </c>
      <c r="CI1451">
        <v>1</v>
      </c>
      <c r="CJ1451">
        <v>2</v>
      </c>
      <c r="CK1451">
        <v>23</v>
      </c>
      <c r="CL1451" t="s">
        <v>89</v>
      </c>
    </row>
    <row r="1452" spans="1:90">
      <c r="A1452" t="s">
        <v>72</v>
      </c>
      <c r="B1452" t="s">
        <v>73</v>
      </c>
      <c r="C1452" t="s">
        <v>74</v>
      </c>
      <c r="E1452" t="str">
        <f>"FES1162728390"</f>
        <v>FES1162728390</v>
      </c>
      <c r="F1452" s="3">
        <v>43812</v>
      </c>
      <c r="G1452">
        <v>202006</v>
      </c>
      <c r="H1452" t="s">
        <v>75</v>
      </c>
      <c r="I1452" t="s">
        <v>76</v>
      </c>
      <c r="J1452" t="s">
        <v>77</v>
      </c>
      <c r="K1452" t="s">
        <v>78</v>
      </c>
      <c r="L1452" t="s">
        <v>90</v>
      </c>
      <c r="M1452" t="s">
        <v>91</v>
      </c>
      <c r="N1452" t="s">
        <v>554</v>
      </c>
      <c r="O1452" t="s">
        <v>82</v>
      </c>
      <c r="P1452" t="str">
        <f>"2170717791                    "</f>
        <v xml:space="preserve">2170717791                    </v>
      </c>
      <c r="Q1452">
        <v>0</v>
      </c>
      <c r="R1452">
        <v>0</v>
      </c>
      <c r="S1452">
        <v>0</v>
      </c>
      <c r="T1452">
        <v>0</v>
      </c>
      <c r="U1452">
        <v>0</v>
      </c>
      <c r="V1452">
        <v>0</v>
      </c>
      <c r="W1452">
        <v>0</v>
      </c>
      <c r="X1452">
        <v>0</v>
      </c>
      <c r="Y1452">
        <v>0</v>
      </c>
      <c r="Z1452">
        <v>0</v>
      </c>
      <c r="AA1452">
        <v>0</v>
      </c>
      <c r="AB1452">
        <v>0</v>
      </c>
      <c r="AC1452">
        <v>0</v>
      </c>
      <c r="AD1452">
        <v>0</v>
      </c>
      <c r="AE1452">
        <v>0</v>
      </c>
      <c r="AF1452">
        <v>0</v>
      </c>
      <c r="AG1452">
        <v>0</v>
      </c>
      <c r="AH1452">
        <v>0</v>
      </c>
      <c r="AI1452">
        <v>0</v>
      </c>
      <c r="AJ1452">
        <v>0</v>
      </c>
      <c r="AK1452">
        <v>0</v>
      </c>
      <c r="AL1452">
        <v>0</v>
      </c>
      <c r="AM1452">
        <v>34.31</v>
      </c>
      <c r="AN1452">
        <v>0</v>
      </c>
      <c r="AO1452">
        <v>0</v>
      </c>
      <c r="AP1452">
        <v>0</v>
      </c>
      <c r="AQ1452">
        <v>0</v>
      </c>
      <c r="AR1452">
        <v>0</v>
      </c>
      <c r="AS1452">
        <v>0</v>
      </c>
      <c r="AT1452">
        <v>0</v>
      </c>
      <c r="AU1452">
        <v>0</v>
      </c>
      <c r="AV1452">
        <v>0</v>
      </c>
      <c r="AW1452">
        <v>0</v>
      </c>
      <c r="AX1452">
        <v>0</v>
      </c>
      <c r="AY1452">
        <v>0</v>
      </c>
      <c r="AZ1452">
        <v>0</v>
      </c>
      <c r="BA1452">
        <v>0</v>
      </c>
      <c r="BB1452">
        <v>0</v>
      </c>
      <c r="BC1452">
        <v>0</v>
      </c>
      <c r="BD1452">
        <v>0</v>
      </c>
      <c r="BE1452">
        <v>0</v>
      </c>
      <c r="BF1452">
        <v>0</v>
      </c>
      <c r="BG1452">
        <v>0</v>
      </c>
      <c r="BH1452">
        <v>2</v>
      </c>
      <c r="BI1452">
        <v>7.9</v>
      </c>
      <c r="BJ1452">
        <v>6.9</v>
      </c>
      <c r="BK1452">
        <v>8</v>
      </c>
      <c r="BL1452" s="4">
        <v>201.7</v>
      </c>
      <c r="BM1452" s="4">
        <v>30.26</v>
      </c>
      <c r="BN1452" s="4">
        <v>231.96</v>
      </c>
      <c r="BO1452" s="4">
        <v>231.96</v>
      </c>
      <c r="BQ1452" t="s">
        <v>147</v>
      </c>
      <c r="BR1452" t="s">
        <v>84</v>
      </c>
      <c r="BS1452" s="3">
        <v>43816</v>
      </c>
      <c r="BT1452" s="5">
        <v>0.39027777777777778</v>
      </c>
      <c r="BU1452" t="s">
        <v>1918</v>
      </c>
      <c r="BV1452" t="s">
        <v>86</v>
      </c>
      <c r="BY1452">
        <v>34546.019999999997</v>
      </c>
      <c r="CA1452" t="s">
        <v>818</v>
      </c>
      <c r="CC1452" t="s">
        <v>91</v>
      </c>
      <c r="CD1452">
        <v>7560</v>
      </c>
      <c r="CE1452" t="s">
        <v>1073</v>
      </c>
      <c r="CF1452" s="3">
        <v>43817</v>
      </c>
      <c r="CI1452">
        <v>1</v>
      </c>
      <c r="CJ1452">
        <v>2</v>
      </c>
      <c r="CK1452">
        <v>21</v>
      </c>
      <c r="CL1452" t="s">
        <v>89</v>
      </c>
    </row>
    <row r="1453" spans="1:90">
      <c r="A1453" t="s">
        <v>72</v>
      </c>
      <c r="B1453" t="s">
        <v>73</v>
      </c>
      <c r="C1453" t="s">
        <v>74</v>
      </c>
      <c r="E1453" t="str">
        <f>"FES1162728396"</f>
        <v>FES1162728396</v>
      </c>
      <c r="F1453" s="3">
        <v>43812</v>
      </c>
      <c r="G1453">
        <v>202006</v>
      </c>
      <c r="H1453" t="s">
        <v>75</v>
      </c>
      <c r="I1453" t="s">
        <v>76</v>
      </c>
      <c r="J1453" t="s">
        <v>77</v>
      </c>
      <c r="K1453" t="s">
        <v>78</v>
      </c>
      <c r="L1453" t="s">
        <v>90</v>
      </c>
      <c r="M1453" t="s">
        <v>91</v>
      </c>
      <c r="N1453" t="s">
        <v>1196</v>
      </c>
      <c r="O1453" t="s">
        <v>82</v>
      </c>
      <c r="P1453" t="str">
        <f>"2170718280                    "</f>
        <v xml:space="preserve">2170718280                    </v>
      </c>
      <c r="Q1453">
        <v>0</v>
      </c>
      <c r="R1453">
        <v>0</v>
      </c>
      <c r="S1453">
        <v>0</v>
      </c>
      <c r="T1453">
        <v>0</v>
      </c>
      <c r="U1453">
        <v>0</v>
      </c>
      <c r="V1453">
        <v>0</v>
      </c>
      <c r="W1453">
        <v>0</v>
      </c>
      <c r="X1453">
        <v>0</v>
      </c>
      <c r="Y1453">
        <v>0</v>
      </c>
      <c r="Z1453">
        <v>0</v>
      </c>
      <c r="AA1453">
        <v>0</v>
      </c>
      <c r="AB1453">
        <v>0</v>
      </c>
      <c r="AC1453">
        <v>0</v>
      </c>
      <c r="AD1453">
        <v>0</v>
      </c>
      <c r="AE1453">
        <v>0</v>
      </c>
      <c r="AF1453">
        <v>0</v>
      </c>
      <c r="AG1453">
        <v>0</v>
      </c>
      <c r="AH1453">
        <v>0</v>
      </c>
      <c r="AI1453">
        <v>0</v>
      </c>
      <c r="AJ1453">
        <v>0</v>
      </c>
      <c r="AK1453">
        <v>0</v>
      </c>
      <c r="AL1453">
        <v>0</v>
      </c>
      <c r="AM1453">
        <v>8.58</v>
      </c>
      <c r="AN1453">
        <v>0</v>
      </c>
      <c r="AO1453">
        <v>0</v>
      </c>
      <c r="AP1453">
        <v>0</v>
      </c>
      <c r="AQ1453">
        <v>0</v>
      </c>
      <c r="AR1453">
        <v>0</v>
      </c>
      <c r="AS1453">
        <v>0</v>
      </c>
      <c r="AT1453">
        <v>0</v>
      </c>
      <c r="AU1453">
        <v>0</v>
      </c>
      <c r="AV1453">
        <v>0</v>
      </c>
      <c r="AW1453">
        <v>0</v>
      </c>
      <c r="AX1453">
        <v>0</v>
      </c>
      <c r="AY1453">
        <v>0</v>
      </c>
      <c r="AZ1453">
        <v>0</v>
      </c>
      <c r="BA1453">
        <v>0</v>
      </c>
      <c r="BB1453">
        <v>0</v>
      </c>
      <c r="BC1453">
        <v>0</v>
      </c>
      <c r="BD1453">
        <v>0</v>
      </c>
      <c r="BE1453">
        <v>0</v>
      </c>
      <c r="BF1453">
        <v>0</v>
      </c>
      <c r="BG1453">
        <v>0</v>
      </c>
      <c r="BH1453">
        <v>1</v>
      </c>
      <c r="BI1453">
        <v>0.8</v>
      </c>
      <c r="BJ1453">
        <v>1.3</v>
      </c>
      <c r="BK1453">
        <v>1.5</v>
      </c>
      <c r="BL1453" s="4">
        <v>50.45</v>
      </c>
      <c r="BM1453" s="4">
        <v>7.57</v>
      </c>
      <c r="BN1453" s="4">
        <v>58.02</v>
      </c>
      <c r="BO1453" s="4">
        <v>58.02</v>
      </c>
      <c r="BQ1453" t="s">
        <v>277</v>
      </c>
      <c r="BR1453" t="s">
        <v>84</v>
      </c>
      <c r="BS1453" s="3">
        <v>43816</v>
      </c>
      <c r="BT1453" s="5">
        <v>0.37708333333333338</v>
      </c>
      <c r="BU1453" t="s">
        <v>1197</v>
      </c>
      <c r="BV1453" t="s">
        <v>86</v>
      </c>
      <c r="BY1453">
        <v>6581.57</v>
      </c>
      <c r="CA1453" t="s">
        <v>145</v>
      </c>
      <c r="CC1453" t="s">
        <v>91</v>
      </c>
      <c r="CD1453">
        <v>7441</v>
      </c>
      <c r="CE1453" t="s">
        <v>96</v>
      </c>
      <c r="CF1453" s="3">
        <v>43817</v>
      </c>
      <c r="CI1453">
        <v>1</v>
      </c>
      <c r="CJ1453">
        <v>2</v>
      </c>
      <c r="CK1453">
        <v>21</v>
      </c>
      <c r="CL1453" t="s">
        <v>89</v>
      </c>
    </row>
    <row r="1454" spans="1:90">
      <c r="A1454" t="s">
        <v>72</v>
      </c>
      <c r="B1454" t="s">
        <v>73</v>
      </c>
      <c r="C1454" t="s">
        <v>74</v>
      </c>
      <c r="E1454" t="str">
        <f>"FES1162728417"</f>
        <v>FES1162728417</v>
      </c>
      <c r="F1454" s="3">
        <v>43812</v>
      </c>
      <c r="G1454">
        <v>202006</v>
      </c>
      <c r="H1454" t="s">
        <v>75</v>
      </c>
      <c r="I1454" t="s">
        <v>76</v>
      </c>
      <c r="J1454" t="s">
        <v>77</v>
      </c>
      <c r="K1454" t="s">
        <v>78</v>
      </c>
      <c r="L1454" t="s">
        <v>90</v>
      </c>
      <c r="M1454" t="s">
        <v>91</v>
      </c>
      <c r="N1454" t="s">
        <v>1582</v>
      </c>
      <c r="O1454" t="s">
        <v>82</v>
      </c>
      <c r="P1454" t="str">
        <f>"2170718764                    "</f>
        <v xml:space="preserve">2170718764                    </v>
      </c>
      <c r="Q1454">
        <v>0</v>
      </c>
      <c r="R1454">
        <v>0</v>
      </c>
      <c r="S1454">
        <v>0</v>
      </c>
      <c r="T1454">
        <v>0</v>
      </c>
      <c r="U1454">
        <v>0</v>
      </c>
      <c r="V1454">
        <v>0</v>
      </c>
      <c r="W1454">
        <v>0</v>
      </c>
      <c r="X1454">
        <v>0</v>
      </c>
      <c r="Y1454">
        <v>0</v>
      </c>
      <c r="Z1454">
        <v>0</v>
      </c>
      <c r="AA1454">
        <v>0</v>
      </c>
      <c r="AB1454">
        <v>0</v>
      </c>
      <c r="AC1454">
        <v>0</v>
      </c>
      <c r="AD1454">
        <v>0</v>
      </c>
      <c r="AE1454">
        <v>0</v>
      </c>
      <c r="AF1454">
        <v>0</v>
      </c>
      <c r="AG1454">
        <v>0</v>
      </c>
      <c r="AH1454">
        <v>0</v>
      </c>
      <c r="AI1454">
        <v>0</v>
      </c>
      <c r="AJ1454">
        <v>0</v>
      </c>
      <c r="AK1454">
        <v>0</v>
      </c>
      <c r="AL1454">
        <v>0</v>
      </c>
      <c r="AM1454">
        <v>17.16</v>
      </c>
      <c r="AN1454">
        <v>0</v>
      </c>
      <c r="AO1454">
        <v>0</v>
      </c>
      <c r="AP1454">
        <v>0</v>
      </c>
      <c r="AQ1454">
        <v>0</v>
      </c>
      <c r="AR1454">
        <v>0</v>
      </c>
      <c r="AS1454">
        <v>0</v>
      </c>
      <c r="AT1454">
        <v>0</v>
      </c>
      <c r="AU1454">
        <v>0</v>
      </c>
      <c r="AV1454">
        <v>0</v>
      </c>
      <c r="AW1454">
        <v>0</v>
      </c>
      <c r="AX1454">
        <v>0</v>
      </c>
      <c r="AY1454">
        <v>0</v>
      </c>
      <c r="AZ1454">
        <v>0</v>
      </c>
      <c r="BA1454">
        <v>0</v>
      </c>
      <c r="BB1454">
        <v>0</v>
      </c>
      <c r="BC1454">
        <v>0</v>
      </c>
      <c r="BD1454">
        <v>0</v>
      </c>
      <c r="BE1454">
        <v>0</v>
      </c>
      <c r="BF1454">
        <v>0</v>
      </c>
      <c r="BG1454">
        <v>0</v>
      </c>
      <c r="BH1454">
        <v>1</v>
      </c>
      <c r="BI1454">
        <v>3.6</v>
      </c>
      <c r="BJ1454">
        <v>1.5</v>
      </c>
      <c r="BK1454">
        <v>4</v>
      </c>
      <c r="BL1454" s="4">
        <v>100.87</v>
      </c>
      <c r="BM1454" s="4">
        <v>15.13</v>
      </c>
      <c r="BN1454" s="4">
        <v>116</v>
      </c>
      <c r="BO1454" s="4">
        <v>116</v>
      </c>
      <c r="BQ1454" t="s">
        <v>256</v>
      </c>
      <c r="BR1454" t="s">
        <v>84</v>
      </c>
      <c r="BS1454" s="3">
        <v>43816</v>
      </c>
      <c r="BT1454" s="5">
        <v>0.41319444444444442</v>
      </c>
      <c r="BU1454" t="s">
        <v>1583</v>
      </c>
      <c r="BV1454" t="s">
        <v>86</v>
      </c>
      <c r="BY1454">
        <v>7696.96</v>
      </c>
      <c r="CA1454" t="s">
        <v>539</v>
      </c>
      <c r="CC1454" t="s">
        <v>91</v>
      </c>
      <c r="CD1454">
        <v>7580</v>
      </c>
      <c r="CE1454" t="s">
        <v>96</v>
      </c>
      <c r="CF1454" s="3">
        <v>43817</v>
      </c>
      <c r="CI1454">
        <v>1</v>
      </c>
      <c r="CJ1454">
        <v>2</v>
      </c>
      <c r="CK1454">
        <v>21</v>
      </c>
      <c r="CL1454" t="s">
        <v>89</v>
      </c>
    </row>
    <row r="1455" spans="1:90">
      <c r="A1455" t="s">
        <v>72</v>
      </c>
      <c r="B1455" t="s">
        <v>73</v>
      </c>
      <c r="C1455" t="s">
        <v>74</v>
      </c>
      <c r="E1455" t="str">
        <f>"FES1162728485"</f>
        <v>FES1162728485</v>
      </c>
      <c r="F1455" s="3">
        <v>43812</v>
      </c>
      <c r="G1455">
        <v>202006</v>
      </c>
      <c r="H1455" t="s">
        <v>75</v>
      </c>
      <c r="I1455" t="s">
        <v>76</v>
      </c>
      <c r="J1455" t="s">
        <v>77</v>
      </c>
      <c r="K1455" t="s">
        <v>78</v>
      </c>
      <c r="L1455" t="s">
        <v>198</v>
      </c>
      <c r="M1455" t="s">
        <v>199</v>
      </c>
      <c r="N1455" t="s">
        <v>557</v>
      </c>
      <c r="O1455" t="s">
        <v>82</v>
      </c>
      <c r="P1455" t="str">
        <f>"2170718096                    "</f>
        <v xml:space="preserve">2170718096                    </v>
      </c>
      <c r="Q1455">
        <v>0</v>
      </c>
      <c r="R1455">
        <v>0</v>
      </c>
      <c r="S1455">
        <v>0</v>
      </c>
      <c r="T1455">
        <v>0</v>
      </c>
      <c r="U1455">
        <v>0</v>
      </c>
      <c r="V1455">
        <v>0</v>
      </c>
      <c r="W1455">
        <v>0</v>
      </c>
      <c r="X1455">
        <v>0</v>
      </c>
      <c r="Y1455">
        <v>0</v>
      </c>
      <c r="Z1455">
        <v>0</v>
      </c>
      <c r="AA1455">
        <v>0</v>
      </c>
      <c r="AB1455">
        <v>0</v>
      </c>
      <c r="AC1455">
        <v>0</v>
      </c>
      <c r="AD1455">
        <v>0</v>
      </c>
      <c r="AE1455">
        <v>0</v>
      </c>
      <c r="AF1455">
        <v>0</v>
      </c>
      <c r="AG1455">
        <v>0</v>
      </c>
      <c r="AH1455">
        <v>0</v>
      </c>
      <c r="AI1455">
        <v>0</v>
      </c>
      <c r="AJ1455">
        <v>0</v>
      </c>
      <c r="AK1455">
        <v>0</v>
      </c>
      <c r="AL1455">
        <v>0</v>
      </c>
      <c r="AM1455">
        <v>8.58</v>
      </c>
      <c r="AN1455">
        <v>0</v>
      </c>
      <c r="AO1455">
        <v>0</v>
      </c>
      <c r="AP1455">
        <v>0</v>
      </c>
      <c r="AQ1455">
        <v>0</v>
      </c>
      <c r="AR1455">
        <v>0</v>
      </c>
      <c r="AS1455">
        <v>0</v>
      </c>
      <c r="AT1455">
        <v>0</v>
      </c>
      <c r="AU1455">
        <v>0</v>
      </c>
      <c r="AV1455">
        <v>0</v>
      </c>
      <c r="AW1455">
        <v>0</v>
      </c>
      <c r="AX1455">
        <v>0</v>
      </c>
      <c r="AY1455">
        <v>0</v>
      </c>
      <c r="AZ1455">
        <v>0</v>
      </c>
      <c r="BA1455">
        <v>0</v>
      </c>
      <c r="BB1455">
        <v>0</v>
      </c>
      <c r="BC1455">
        <v>0</v>
      </c>
      <c r="BD1455">
        <v>0</v>
      </c>
      <c r="BE1455">
        <v>0</v>
      </c>
      <c r="BF1455">
        <v>0</v>
      </c>
      <c r="BG1455">
        <v>0</v>
      </c>
      <c r="BH1455">
        <v>1</v>
      </c>
      <c r="BI1455">
        <v>2</v>
      </c>
      <c r="BJ1455">
        <v>2</v>
      </c>
      <c r="BK1455">
        <v>2</v>
      </c>
      <c r="BL1455" s="4">
        <v>50.45</v>
      </c>
      <c r="BM1455" s="4">
        <v>7.57</v>
      </c>
      <c r="BN1455" s="4">
        <v>58.02</v>
      </c>
      <c r="BO1455" s="4">
        <v>58.02</v>
      </c>
      <c r="BQ1455" t="s">
        <v>93</v>
      </c>
      <c r="BR1455" t="s">
        <v>84</v>
      </c>
      <c r="BS1455" s="3">
        <v>43816</v>
      </c>
      <c r="BT1455" s="5">
        <v>0.34722222222222227</v>
      </c>
      <c r="BU1455" t="s">
        <v>1919</v>
      </c>
      <c r="BV1455" t="s">
        <v>86</v>
      </c>
      <c r="BY1455">
        <v>9918</v>
      </c>
      <c r="CA1455" t="s">
        <v>212</v>
      </c>
      <c r="CC1455" t="s">
        <v>199</v>
      </c>
      <c r="CD1455">
        <v>4052</v>
      </c>
      <c r="CE1455" t="s">
        <v>96</v>
      </c>
      <c r="CF1455" s="3">
        <v>43817</v>
      </c>
      <c r="CI1455">
        <v>1</v>
      </c>
      <c r="CJ1455">
        <v>2</v>
      </c>
      <c r="CK1455">
        <v>21</v>
      </c>
      <c r="CL1455" t="s">
        <v>89</v>
      </c>
    </row>
    <row r="1456" spans="1:90">
      <c r="A1456" t="s">
        <v>72</v>
      </c>
      <c r="B1456" t="s">
        <v>73</v>
      </c>
      <c r="C1456" t="s">
        <v>74</v>
      </c>
      <c r="E1456" t="str">
        <f>"FES1162728320"</f>
        <v>FES1162728320</v>
      </c>
      <c r="F1456" s="3">
        <v>43812</v>
      </c>
      <c r="G1456">
        <v>202006</v>
      </c>
      <c r="H1456" t="s">
        <v>75</v>
      </c>
      <c r="I1456" t="s">
        <v>76</v>
      </c>
      <c r="J1456" t="s">
        <v>77</v>
      </c>
      <c r="K1456" t="s">
        <v>78</v>
      </c>
      <c r="L1456" t="s">
        <v>361</v>
      </c>
      <c r="M1456" t="s">
        <v>362</v>
      </c>
      <c r="N1456" t="s">
        <v>363</v>
      </c>
      <c r="O1456" t="s">
        <v>82</v>
      </c>
      <c r="P1456" t="str">
        <f>"2170719512                    "</f>
        <v xml:space="preserve">2170719512                    </v>
      </c>
      <c r="Q1456">
        <v>0</v>
      </c>
      <c r="R1456">
        <v>0</v>
      </c>
      <c r="S1456">
        <v>0</v>
      </c>
      <c r="T1456">
        <v>0</v>
      </c>
      <c r="U1456">
        <v>0</v>
      </c>
      <c r="V1456">
        <v>0</v>
      </c>
      <c r="W1456">
        <v>0</v>
      </c>
      <c r="X1456">
        <v>0</v>
      </c>
      <c r="Y1456">
        <v>0</v>
      </c>
      <c r="Z1456">
        <v>0</v>
      </c>
      <c r="AA1456">
        <v>0</v>
      </c>
      <c r="AB1456">
        <v>0</v>
      </c>
      <c r="AC1456">
        <v>0</v>
      </c>
      <c r="AD1456">
        <v>0</v>
      </c>
      <c r="AE1456">
        <v>0</v>
      </c>
      <c r="AF1456">
        <v>0</v>
      </c>
      <c r="AG1456">
        <v>0</v>
      </c>
      <c r="AH1456">
        <v>0</v>
      </c>
      <c r="AI1456">
        <v>0</v>
      </c>
      <c r="AJ1456">
        <v>0</v>
      </c>
      <c r="AK1456">
        <v>0</v>
      </c>
      <c r="AL1456">
        <v>0</v>
      </c>
      <c r="AM1456">
        <v>10.73</v>
      </c>
      <c r="AN1456">
        <v>0</v>
      </c>
      <c r="AO1456">
        <v>0</v>
      </c>
      <c r="AP1456">
        <v>0</v>
      </c>
      <c r="AQ1456">
        <v>0</v>
      </c>
      <c r="AR1456">
        <v>0</v>
      </c>
      <c r="AS1456">
        <v>0</v>
      </c>
      <c r="AT1456">
        <v>0</v>
      </c>
      <c r="AU1456">
        <v>0</v>
      </c>
      <c r="AV1456">
        <v>0</v>
      </c>
      <c r="AW1456">
        <v>0</v>
      </c>
      <c r="AX1456">
        <v>0</v>
      </c>
      <c r="AY1456">
        <v>0</v>
      </c>
      <c r="AZ1456">
        <v>0</v>
      </c>
      <c r="BA1456">
        <v>0</v>
      </c>
      <c r="BB1456">
        <v>0</v>
      </c>
      <c r="BC1456">
        <v>0</v>
      </c>
      <c r="BD1456">
        <v>0</v>
      </c>
      <c r="BE1456">
        <v>0</v>
      </c>
      <c r="BF1456">
        <v>0</v>
      </c>
      <c r="BG1456">
        <v>0</v>
      </c>
      <c r="BH1456">
        <v>1</v>
      </c>
      <c r="BI1456">
        <v>2.2000000000000002</v>
      </c>
      <c r="BJ1456">
        <v>1.7</v>
      </c>
      <c r="BK1456">
        <v>2.5</v>
      </c>
      <c r="BL1456" s="4">
        <v>63.06</v>
      </c>
      <c r="BM1456" s="4">
        <v>9.4600000000000009</v>
      </c>
      <c r="BN1456" s="4">
        <v>72.52</v>
      </c>
      <c r="BO1456" s="4">
        <v>72.52</v>
      </c>
      <c r="BQ1456" t="s">
        <v>93</v>
      </c>
      <c r="BR1456" t="s">
        <v>84</v>
      </c>
      <c r="BS1456" s="3">
        <v>43816</v>
      </c>
      <c r="BT1456" s="5">
        <v>0.4055555555555555</v>
      </c>
      <c r="BU1456" t="s">
        <v>1920</v>
      </c>
      <c r="BV1456" t="s">
        <v>86</v>
      </c>
      <c r="BY1456">
        <v>8605.48</v>
      </c>
      <c r="CA1456" t="s">
        <v>1915</v>
      </c>
      <c r="CC1456" t="s">
        <v>362</v>
      </c>
      <c r="CD1456">
        <v>6220</v>
      </c>
      <c r="CE1456" t="s">
        <v>96</v>
      </c>
      <c r="CF1456" s="3">
        <v>43817</v>
      </c>
      <c r="CI1456">
        <v>1</v>
      </c>
      <c r="CJ1456">
        <v>2</v>
      </c>
      <c r="CK1456">
        <v>21</v>
      </c>
      <c r="CL1456" t="s">
        <v>89</v>
      </c>
    </row>
    <row r="1457" spans="1:90">
      <c r="A1457" t="s">
        <v>72</v>
      </c>
      <c r="B1457" t="s">
        <v>73</v>
      </c>
      <c r="C1457" t="s">
        <v>74</v>
      </c>
      <c r="E1457" t="str">
        <f>"FES1162728393"</f>
        <v>FES1162728393</v>
      </c>
      <c r="F1457" s="3">
        <v>43812</v>
      </c>
      <c r="G1457">
        <v>202006</v>
      </c>
      <c r="H1457" t="s">
        <v>75</v>
      </c>
      <c r="I1457" t="s">
        <v>76</v>
      </c>
      <c r="J1457" t="s">
        <v>77</v>
      </c>
      <c r="K1457" t="s">
        <v>78</v>
      </c>
      <c r="L1457" t="s">
        <v>213</v>
      </c>
      <c r="M1457" t="s">
        <v>214</v>
      </c>
      <c r="N1457" t="s">
        <v>1921</v>
      </c>
      <c r="O1457" t="s">
        <v>82</v>
      </c>
      <c r="P1457" t="str">
        <f>"2170712586                    "</f>
        <v xml:space="preserve">2170712586                    </v>
      </c>
      <c r="Q1457">
        <v>0</v>
      </c>
      <c r="R1457">
        <v>0</v>
      </c>
      <c r="S1457">
        <v>0</v>
      </c>
      <c r="T1457">
        <v>0</v>
      </c>
      <c r="U1457">
        <v>0</v>
      </c>
      <c r="V1457">
        <v>0</v>
      </c>
      <c r="W1457">
        <v>0</v>
      </c>
      <c r="X1457">
        <v>0</v>
      </c>
      <c r="Y1457">
        <v>0</v>
      </c>
      <c r="Z1457">
        <v>0</v>
      </c>
      <c r="AA1457">
        <v>0</v>
      </c>
      <c r="AB1457">
        <v>0</v>
      </c>
      <c r="AC1457">
        <v>0</v>
      </c>
      <c r="AD1457">
        <v>0</v>
      </c>
      <c r="AE1457">
        <v>0</v>
      </c>
      <c r="AF1457">
        <v>0</v>
      </c>
      <c r="AG1457">
        <v>0</v>
      </c>
      <c r="AH1457">
        <v>0</v>
      </c>
      <c r="AI1457">
        <v>0</v>
      </c>
      <c r="AJ1457">
        <v>0</v>
      </c>
      <c r="AK1457">
        <v>0</v>
      </c>
      <c r="AL1457">
        <v>0</v>
      </c>
      <c r="AM1457">
        <v>38.6</v>
      </c>
      <c r="AN1457">
        <v>0</v>
      </c>
      <c r="AO1457">
        <v>0</v>
      </c>
      <c r="AP1457">
        <v>0</v>
      </c>
      <c r="AQ1457">
        <v>0</v>
      </c>
      <c r="AR1457">
        <v>0</v>
      </c>
      <c r="AS1457">
        <v>0</v>
      </c>
      <c r="AT1457">
        <v>0</v>
      </c>
      <c r="AU1457">
        <v>0</v>
      </c>
      <c r="AV1457">
        <v>0</v>
      </c>
      <c r="AW1457">
        <v>0</v>
      </c>
      <c r="AX1457">
        <v>0</v>
      </c>
      <c r="AY1457">
        <v>0</v>
      </c>
      <c r="AZ1457">
        <v>0</v>
      </c>
      <c r="BA1457">
        <v>0</v>
      </c>
      <c r="BB1457">
        <v>0</v>
      </c>
      <c r="BC1457">
        <v>0</v>
      </c>
      <c r="BD1457">
        <v>0</v>
      </c>
      <c r="BE1457">
        <v>0</v>
      </c>
      <c r="BF1457">
        <v>0</v>
      </c>
      <c r="BG1457">
        <v>0</v>
      </c>
      <c r="BH1457">
        <v>1</v>
      </c>
      <c r="BI1457">
        <v>8.6999999999999993</v>
      </c>
      <c r="BJ1457">
        <v>1.8</v>
      </c>
      <c r="BK1457">
        <v>9</v>
      </c>
      <c r="BL1457" s="4">
        <v>226.91</v>
      </c>
      <c r="BM1457" s="4">
        <v>34.04</v>
      </c>
      <c r="BN1457" s="4">
        <v>260.95</v>
      </c>
      <c r="BO1457" s="4">
        <v>260.95</v>
      </c>
      <c r="BQ1457" t="s">
        <v>147</v>
      </c>
      <c r="BR1457" t="s">
        <v>84</v>
      </c>
      <c r="BS1457" s="3">
        <v>43816</v>
      </c>
      <c r="BT1457" s="5">
        <v>0.3611111111111111</v>
      </c>
      <c r="BU1457" t="s">
        <v>1922</v>
      </c>
      <c r="BV1457" t="s">
        <v>86</v>
      </c>
      <c r="BY1457">
        <v>8987.7099999999991</v>
      </c>
      <c r="CA1457" t="s">
        <v>99</v>
      </c>
      <c r="CC1457" t="s">
        <v>214</v>
      </c>
      <c r="CD1457">
        <v>6230</v>
      </c>
      <c r="CE1457" t="s">
        <v>96</v>
      </c>
      <c r="CF1457" s="3">
        <v>43817</v>
      </c>
      <c r="CI1457">
        <v>1</v>
      </c>
      <c r="CJ1457">
        <v>2</v>
      </c>
      <c r="CK1457">
        <v>21</v>
      </c>
      <c r="CL1457" t="s">
        <v>89</v>
      </c>
    </row>
    <row r="1458" spans="1:90">
      <c r="A1458" t="s">
        <v>72</v>
      </c>
      <c r="B1458" t="s">
        <v>73</v>
      </c>
      <c r="C1458" t="s">
        <v>74</v>
      </c>
      <c r="E1458" t="str">
        <f>"FES1162728316"</f>
        <v>FES1162728316</v>
      </c>
      <c r="F1458" s="3">
        <v>43812</v>
      </c>
      <c r="G1458">
        <v>202006</v>
      </c>
      <c r="H1458" t="s">
        <v>75</v>
      </c>
      <c r="I1458" t="s">
        <v>76</v>
      </c>
      <c r="J1458" t="s">
        <v>77</v>
      </c>
      <c r="K1458" t="s">
        <v>78</v>
      </c>
      <c r="L1458" t="s">
        <v>164</v>
      </c>
      <c r="M1458" t="s">
        <v>165</v>
      </c>
      <c r="N1458" t="s">
        <v>263</v>
      </c>
      <c r="O1458" t="s">
        <v>82</v>
      </c>
      <c r="P1458" t="str">
        <f>"2170719414                    "</f>
        <v xml:space="preserve">2170719414                    </v>
      </c>
      <c r="Q1458">
        <v>0</v>
      </c>
      <c r="R1458">
        <v>0</v>
      </c>
      <c r="S1458">
        <v>0</v>
      </c>
      <c r="T1458">
        <v>0</v>
      </c>
      <c r="U1458">
        <v>0</v>
      </c>
      <c r="V1458">
        <v>0</v>
      </c>
      <c r="W1458">
        <v>0</v>
      </c>
      <c r="X1458">
        <v>0</v>
      </c>
      <c r="Y1458">
        <v>0</v>
      </c>
      <c r="Z1458">
        <v>0</v>
      </c>
      <c r="AA1458">
        <v>0</v>
      </c>
      <c r="AB1458">
        <v>0</v>
      </c>
      <c r="AC1458">
        <v>0</v>
      </c>
      <c r="AD1458">
        <v>0</v>
      </c>
      <c r="AE1458">
        <v>0</v>
      </c>
      <c r="AF1458">
        <v>0</v>
      </c>
      <c r="AG1458">
        <v>0</v>
      </c>
      <c r="AH1458">
        <v>0</v>
      </c>
      <c r="AI1458">
        <v>0</v>
      </c>
      <c r="AJ1458">
        <v>0</v>
      </c>
      <c r="AK1458">
        <v>0</v>
      </c>
      <c r="AL1458">
        <v>0</v>
      </c>
      <c r="AM1458">
        <v>23.59</v>
      </c>
      <c r="AN1458">
        <v>0</v>
      </c>
      <c r="AO1458">
        <v>0</v>
      </c>
      <c r="AP1458">
        <v>0</v>
      </c>
      <c r="AQ1458">
        <v>0</v>
      </c>
      <c r="AR1458">
        <v>0</v>
      </c>
      <c r="AS1458">
        <v>0</v>
      </c>
      <c r="AT1458">
        <v>0</v>
      </c>
      <c r="AU1458">
        <v>0</v>
      </c>
      <c r="AV1458">
        <v>0</v>
      </c>
      <c r="AW1458">
        <v>0</v>
      </c>
      <c r="AX1458">
        <v>0</v>
      </c>
      <c r="AY1458">
        <v>0</v>
      </c>
      <c r="AZ1458">
        <v>0</v>
      </c>
      <c r="BA1458">
        <v>0</v>
      </c>
      <c r="BB1458">
        <v>0</v>
      </c>
      <c r="BC1458">
        <v>0</v>
      </c>
      <c r="BD1458">
        <v>0</v>
      </c>
      <c r="BE1458">
        <v>0</v>
      </c>
      <c r="BF1458">
        <v>0</v>
      </c>
      <c r="BG1458">
        <v>0</v>
      </c>
      <c r="BH1458">
        <v>1</v>
      </c>
      <c r="BI1458">
        <v>5.4</v>
      </c>
      <c r="BJ1458">
        <v>1.6</v>
      </c>
      <c r="BK1458">
        <v>5.5</v>
      </c>
      <c r="BL1458" s="4">
        <v>138.68</v>
      </c>
      <c r="BM1458" s="4">
        <v>20.8</v>
      </c>
      <c r="BN1458" s="4">
        <v>159.47999999999999</v>
      </c>
      <c r="BO1458" s="4">
        <v>159.47999999999999</v>
      </c>
      <c r="BQ1458" t="s">
        <v>147</v>
      </c>
      <c r="BR1458" t="s">
        <v>84</v>
      </c>
      <c r="BS1458" s="3">
        <v>43816</v>
      </c>
      <c r="BT1458" s="5">
        <v>0.375</v>
      </c>
      <c r="BU1458" t="s">
        <v>1923</v>
      </c>
      <c r="BV1458" t="s">
        <v>86</v>
      </c>
      <c r="BY1458">
        <v>7770.24</v>
      </c>
      <c r="CA1458" t="s">
        <v>371</v>
      </c>
      <c r="CC1458" t="s">
        <v>165</v>
      </c>
      <c r="CD1458">
        <v>5201</v>
      </c>
      <c r="CE1458" t="s">
        <v>96</v>
      </c>
      <c r="CF1458" s="3">
        <v>43817</v>
      </c>
      <c r="CI1458">
        <v>1</v>
      </c>
      <c r="CJ1458">
        <v>2</v>
      </c>
      <c r="CK1458">
        <v>21</v>
      </c>
      <c r="CL1458" t="s">
        <v>89</v>
      </c>
    </row>
    <row r="1459" spans="1:90">
      <c r="A1459" t="s">
        <v>72</v>
      </c>
      <c r="B1459" t="s">
        <v>73</v>
      </c>
      <c r="C1459" t="s">
        <v>74</v>
      </c>
      <c r="E1459" t="str">
        <f>"FES1162728292"</f>
        <v>FES1162728292</v>
      </c>
      <c r="F1459" s="3">
        <v>43812</v>
      </c>
      <c r="G1459">
        <v>202006</v>
      </c>
      <c r="H1459" t="s">
        <v>75</v>
      </c>
      <c r="I1459" t="s">
        <v>76</v>
      </c>
      <c r="J1459" t="s">
        <v>77</v>
      </c>
      <c r="K1459" t="s">
        <v>78</v>
      </c>
      <c r="L1459" t="s">
        <v>79</v>
      </c>
      <c r="M1459" t="s">
        <v>80</v>
      </c>
      <c r="N1459" t="s">
        <v>97</v>
      </c>
      <c r="O1459" t="s">
        <v>82</v>
      </c>
      <c r="P1459" t="str">
        <f>"217071097                     "</f>
        <v xml:space="preserve">217071097                     </v>
      </c>
      <c r="Q1459">
        <v>0</v>
      </c>
      <c r="R1459">
        <v>0</v>
      </c>
      <c r="S1459">
        <v>0</v>
      </c>
      <c r="T1459">
        <v>0</v>
      </c>
      <c r="U1459">
        <v>0</v>
      </c>
      <c r="V1459">
        <v>0</v>
      </c>
      <c r="W1459">
        <v>0</v>
      </c>
      <c r="X1459">
        <v>0</v>
      </c>
      <c r="Y1459">
        <v>0</v>
      </c>
      <c r="Z1459">
        <v>0</v>
      </c>
      <c r="AA1459">
        <v>0</v>
      </c>
      <c r="AB1459">
        <v>0</v>
      </c>
      <c r="AC1459">
        <v>0</v>
      </c>
      <c r="AD1459">
        <v>0</v>
      </c>
      <c r="AE1459">
        <v>0</v>
      </c>
      <c r="AF1459">
        <v>0</v>
      </c>
      <c r="AG1459">
        <v>0</v>
      </c>
      <c r="AH1459">
        <v>0</v>
      </c>
      <c r="AI1459">
        <v>0</v>
      </c>
      <c r="AJ1459">
        <v>0</v>
      </c>
      <c r="AK1459">
        <v>0</v>
      </c>
      <c r="AL1459">
        <v>0</v>
      </c>
      <c r="AM1459">
        <v>30.03</v>
      </c>
      <c r="AN1459">
        <v>0</v>
      </c>
      <c r="AO1459">
        <v>0</v>
      </c>
      <c r="AP1459">
        <v>0</v>
      </c>
      <c r="AQ1459">
        <v>0</v>
      </c>
      <c r="AR1459">
        <v>0</v>
      </c>
      <c r="AS1459">
        <v>0</v>
      </c>
      <c r="AT1459">
        <v>0</v>
      </c>
      <c r="AU1459">
        <v>0</v>
      </c>
      <c r="AV1459">
        <v>0</v>
      </c>
      <c r="AW1459">
        <v>0</v>
      </c>
      <c r="AX1459">
        <v>0</v>
      </c>
      <c r="AY1459">
        <v>0</v>
      </c>
      <c r="AZ1459">
        <v>0</v>
      </c>
      <c r="BA1459">
        <v>0</v>
      </c>
      <c r="BB1459">
        <v>0</v>
      </c>
      <c r="BC1459">
        <v>0</v>
      </c>
      <c r="BD1459">
        <v>0</v>
      </c>
      <c r="BE1459">
        <v>0</v>
      </c>
      <c r="BF1459">
        <v>0</v>
      </c>
      <c r="BG1459">
        <v>0</v>
      </c>
      <c r="BH1459">
        <v>2</v>
      </c>
      <c r="BI1459">
        <v>6.6</v>
      </c>
      <c r="BJ1459">
        <v>6.2</v>
      </c>
      <c r="BK1459">
        <v>7</v>
      </c>
      <c r="BL1459" s="4">
        <v>176.5</v>
      </c>
      <c r="BM1459" s="4">
        <v>26.48</v>
      </c>
      <c r="BN1459" s="4">
        <v>202.98</v>
      </c>
      <c r="BO1459" s="4">
        <v>202.98</v>
      </c>
      <c r="BQ1459" t="s">
        <v>93</v>
      </c>
      <c r="BR1459" t="s">
        <v>84</v>
      </c>
      <c r="BS1459" s="3">
        <v>43816</v>
      </c>
      <c r="BT1459" s="5">
        <v>0.33333333333333331</v>
      </c>
      <c r="BU1459" t="s">
        <v>98</v>
      </c>
      <c r="BV1459" t="s">
        <v>86</v>
      </c>
      <c r="BY1459">
        <v>31001.31</v>
      </c>
      <c r="CA1459" t="s">
        <v>99</v>
      </c>
      <c r="CC1459" t="s">
        <v>80</v>
      </c>
      <c r="CD1459">
        <v>6001</v>
      </c>
      <c r="CE1459" t="s">
        <v>1073</v>
      </c>
      <c r="CF1459" s="3">
        <v>43817</v>
      </c>
      <c r="CI1459">
        <v>1</v>
      </c>
      <c r="CJ1459">
        <v>2</v>
      </c>
      <c r="CK1459">
        <v>21</v>
      </c>
      <c r="CL1459" t="s">
        <v>89</v>
      </c>
    </row>
    <row r="1460" spans="1:90">
      <c r="A1460" t="s">
        <v>72</v>
      </c>
      <c r="B1460" t="s">
        <v>73</v>
      </c>
      <c r="C1460" t="s">
        <v>74</v>
      </c>
      <c r="E1460" t="str">
        <f>"FES1162728411"</f>
        <v>FES1162728411</v>
      </c>
      <c r="F1460" s="3">
        <v>43812</v>
      </c>
      <c r="G1460">
        <v>202006</v>
      </c>
      <c r="H1460" t="s">
        <v>75</v>
      </c>
      <c r="I1460" t="s">
        <v>76</v>
      </c>
      <c r="J1460" t="s">
        <v>77</v>
      </c>
      <c r="K1460" t="s">
        <v>78</v>
      </c>
      <c r="L1460" t="s">
        <v>79</v>
      </c>
      <c r="M1460" t="s">
        <v>80</v>
      </c>
      <c r="N1460" t="s">
        <v>1650</v>
      </c>
      <c r="O1460" t="s">
        <v>82</v>
      </c>
      <c r="P1460" t="str">
        <f>"2170718647                    "</f>
        <v xml:space="preserve">2170718647                    </v>
      </c>
      <c r="Q1460">
        <v>0</v>
      </c>
      <c r="R1460">
        <v>0</v>
      </c>
      <c r="S1460">
        <v>0</v>
      </c>
      <c r="T1460">
        <v>0</v>
      </c>
      <c r="U1460">
        <v>0</v>
      </c>
      <c r="V1460">
        <v>0</v>
      </c>
      <c r="W1460">
        <v>0</v>
      </c>
      <c r="X1460">
        <v>0</v>
      </c>
      <c r="Y1460">
        <v>0</v>
      </c>
      <c r="Z1460">
        <v>0</v>
      </c>
      <c r="AA1460">
        <v>0</v>
      </c>
      <c r="AB1460">
        <v>0</v>
      </c>
      <c r="AC1460">
        <v>0</v>
      </c>
      <c r="AD1460">
        <v>0</v>
      </c>
      <c r="AE1460">
        <v>0</v>
      </c>
      <c r="AF1460">
        <v>0</v>
      </c>
      <c r="AG1460">
        <v>0</v>
      </c>
      <c r="AH1460">
        <v>0</v>
      </c>
      <c r="AI1460">
        <v>0</v>
      </c>
      <c r="AJ1460">
        <v>0</v>
      </c>
      <c r="AK1460">
        <v>0</v>
      </c>
      <c r="AL1460">
        <v>0</v>
      </c>
      <c r="AM1460">
        <v>17.16</v>
      </c>
      <c r="AN1460">
        <v>0</v>
      </c>
      <c r="AO1460">
        <v>0</v>
      </c>
      <c r="AP1460">
        <v>0</v>
      </c>
      <c r="AQ1460">
        <v>0</v>
      </c>
      <c r="AR1460">
        <v>0</v>
      </c>
      <c r="AS1460">
        <v>0</v>
      </c>
      <c r="AT1460">
        <v>0</v>
      </c>
      <c r="AU1460">
        <v>0</v>
      </c>
      <c r="AV1460">
        <v>0</v>
      </c>
      <c r="AW1460">
        <v>0</v>
      </c>
      <c r="AX1460">
        <v>0</v>
      </c>
      <c r="AY1460">
        <v>0</v>
      </c>
      <c r="AZ1460">
        <v>0</v>
      </c>
      <c r="BA1460">
        <v>0</v>
      </c>
      <c r="BB1460">
        <v>0</v>
      </c>
      <c r="BC1460">
        <v>0</v>
      </c>
      <c r="BD1460">
        <v>0</v>
      </c>
      <c r="BE1460">
        <v>0</v>
      </c>
      <c r="BF1460">
        <v>0</v>
      </c>
      <c r="BG1460">
        <v>0</v>
      </c>
      <c r="BH1460">
        <v>1</v>
      </c>
      <c r="BI1460">
        <v>3.9</v>
      </c>
      <c r="BJ1460">
        <v>3.6</v>
      </c>
      <c r="BK1460">
        <v>4</v>
      </c>
      <c r="BL1460" s="4">
        <v>100.87</v>
      </c>
      <c r="BM1460" s="4">
        <v>15.13</v>
      </c>
      <c r="BN1460" s="4">
        <v>116</v>
      </c>
      <c r="BO1460" s="4">
        <v>116</v>
      </c>
      <c r="BQ1460" t="s">
        <v>135</v>
      </c>
      <c r="BR1460" t="s">
        <v>84</v>
      </c>
      <c r="BS1460" s="3">
        <v>43822</v>
      </c>
      <c r="BT1460" s="5">
        <v>0.5625</v>
      </c>
      <c r="BU1460" t="s">
        <v>1924</v>
      </c>
      <c r="BV1460" t="s">
        <v>89</v>
      </c>
      <c r="BW1460" t="s">
        <v>1162</v>
      </c>
      <c r="BX1460" t="s">
        <v>1925</v>
      </c>
      <c r="BY1460">
        <v>18054.53</v>
      </c>
      <c r="CA1460" t="s">
        <v>1926</v>
      </c>
      <c r="CC1460" t="s">
        <v>80</v>
      </c>
      <c r="CD1460">
        <v>6012</v>
      </c>
      <c r="CE1460" t="s">
        <v>96</v>
      </c>
      <c r="CF1460" s="3">
        <v>43823</v>
      </c>
      <c r="CI1460">
        <v>1</v>
      </c>
      <c r="CJ1460">
        <v>6</v>
      </c>
      <c r="CK1460">
        <v>21</v>
      </c>
      <c r="CL1460" t="s">
        <v>89</v>
      </c>
    </row>
    <row r="1461" spans="1:90">
      <c r="A1461" t="s">
        <v>72</v>
      </c>
      <c r="B1461" t="s">
        <v>73</v>
      </c>
      <c r="C1461" t="s">
        <v>74</v>
      </c>
      <c r="E1461" t="str">
        <f>"FES1162728346"</f>
        <v>FES1162728346</v>
      </c>
      <c r="F1461" s="3">
        <v>43812</v>
      </c>
      <c r="G1461">
        <v>202006</v>
      </c>
      <c r="H1461" t="s">
        <v>75</v>
      </c>
      <c r="I1461" t="s">
        <v>76</v>
      </c>
      <c r="J1461" t="s">
        <v>77</v>
      </c>
      <c r="K1461" t="s">
        <v>78</v>
      </c>
      <c r="L1461" t="s">
        <v>1170</v>
      </c>
      <c r="M1461" t="s">
        <v>1170</v>
      </c>
      <c r="N1461" t="s">
        <v>1927</v>
      </c>
      <c r="O1461" t="s">
        <v>82</v>
      </c>
      <c r="P1461" t="str">
        <f>"2170711071                    "</f>
        <v xml:space="preserve">2170711071                    </v>
      </c>
      <c r="Q1461">
        <v>0</v>
      </c>
      <c r="R1461">
        <v>0</v>
      </c>
      <c r="S1461">
        <v>0</v>
      </c>
      <c r="T1461">
        <v>0</v>
      </c>
      <c r="U1461">
        <v>0</v>
      </c>
      <c r="V1461">
        <v>0</v>
      </c>
      <c r="W1461">
        <v>0</v>
      </c>
      <c r="X1461">
        <v>0</v>
      </c>
      <c r="Y1461">
        <v>0</v>
      </c>
      <c r="Z1461">
        <v>0</v>
      </c>
      <c r="AA1461">
        <v>0</v>
      </c>
      <c r="AB1461">
        <v>0</v>
      </c>
      <c r="AC1461">
        <v>0</v>
      </c>
      <c r="AD1461">
        <v>0</v>
      </c>
      <c r="AE1461">
        <v>0</v>
      </c>
      <c r="AF1461">
        <v>0</v>
      </c>
      <c r="AG1461">
        <v>0</v>
      </c>
      <c r="AH1461">
        <v>0</v>
      </c>
      <c r="AI1461">
        <v>0</v>
      </c>
      <c r="AJ1461">
        <v>0</v>
      </c>
      <c r="AK1461">
        <v>0</v>
      </c>
      <c r="AL1461">
        <v>0</v>
      </c>
      <c r="AM1461">
        <v>12.07</v>
      </c>
      <c r="AN1461">
        <v>0</v>
      </c>
      <c r="AO1461">
        <v>0</v>
      </c>
      <c r="AP1461">
        <v>0</v>
      </c>
      <c r="AQ1461">
        <v>0</v>
      </c>
      <c r="AR1461">
        <v>0</v>
      </c>
      <c r="AS1461">
        <v>0</v>
      </c>
      <c r="AT1461">
        <v>0</v>
      </c>
      <c r="AU1461">
        <v>0</v>
      </c>
      <c r="AV1461">
        <v>0</v>
      </c>
      <c r="AW1461">
        <v>0</v>
      </c>
      <c r="AX1461">
        <v>0</v>
      </c>
      <c r="AY1461">
        <v>0</v>
      </c>
      <c r="AZ1461">
        <v>0</v>
      </c>
      <c r="BA1461">
        <v>0</v>
      </c>
      <c r="BB1461">
        <v>0</v>
      </c>
      <c r="BC1461">
        <v>0</v>
      </c>
      <c r="BD1461">
        <v>0</v>
      </c>
      <c r="BE1461">
        <v>0</v>
      </c>
      <c r="BF1461">
        <v>0</v>
      </c>
      <c r="BG1461">
        <v>0</v>
      </c>
      <c r="BH1461">
        <v>1</v>
      </c>
      <c r="BI1461">
        <v>1</v>
      </c>
      <c r="BJ1461">
        <v>0.2</v>
      </c>
      <c r="BK1461">
        <v>1</v>
      </c>
      <c r="BL1461" s="4">
        <v>70.95</v>
      </c>
      <c r="BM1461" s="4">
        <v>10.64</v>
      </c>
      <c r="BN1461" s="4">
        <v>81.59</v>
      </c>
      <c r="BO1461" s="4">
        <v>81.59</v>
      </c>
      <c r="BR1461" t="s">
        <v>84</v>
      </c>
      <c r="BS1461" s="3">
        <v>43816</v>
      </c>
      <c r="BT1461" s="5">
        <v>0.375</v>
      </c>
      <c r="BU1461" t="s">
        <v>1928</v>
      </c>
      <c r="BV1461" t="s">
        <v>86</v>
      </c>
      <c r="BY1461">
        <v>1200</v>
      </c>
      <c r="CA1461" t="s">
        <v>344</v>
      </c>
      <c r="CC1461" t="s">
        <v>1170</v>
      </c>
      <c r="CD1461">
        <v>1490</v>
      </c>
      <c r="CE1461" t="s">
        <v>88</v>
      </c>
      <c r="CF1461" s="3">
        <v>43817</v>
      </c>
      <c r="CI1461">
        <v>1</v>
      </c>
      <c r="CJ1461">
        <v>2</v>
      </c>
      <c r="CK1461">
        <v>24</v>
      </c>
      <c r="CL1461" t="s">
        <v>89</v>
      </c>
    </row>
    <row r="1462" spans="1:90">
      <c r="A1462" t="s">
        <v>72</v>
      </c>
      <c r="B1462" t="s">
        <v>73</v>
      </c>
      <c r="C1462" t="s">
        <v>74</v>
      </c>
      <c r="E1462" t="str">
        <f>"FES1162728458"</f>
        <v>FES1162728458</v>
      </c>
      <c r="F1462" s="3">
        <v>43812</v>
      </c>
      <c r="G1462">
        <v>202006</v>
      </c>
      <c r="H1462" t="s">
        <v>75</v>
      </c>
      <c r="I1462" t="s">
        <v>76</v>
      </c>
      <c r="J1462" t="s">
        <v>77</v>
      </c>
      <c r="K1462" t="s">
        <v>78</v>
      </c>
      <c r="L1462" t="s">
        <v>75</v>
      </c>
      <c r="M1462" t="s">
        <v>76</v>
      </c>
      <c r="N1462" t="s">
        <v>1929</v>
      </c>
      <c r="O1462" t="s">
        <v>82</v>
      </c>
      <c r="P1462" t="str">
        <f>"2170721961                    "</f>
        <v xml:space="preserve">2170721961                    </v>
      </c>
      <c r="Q1462">
        <v>0</v>
      </c>
      <c r="R1462">
        <v>0</v>
      </c>
      <c r="S1462">
        <v>0</v>
      </c>
      <c r="T1462">
        <v>0</v>
      </c>
      <c r="U1462">
        <v>0</v>
      </c>
      <c r="V1462">
        <v>0</v>
      </c>
      <c r="W1462">
        <v>0</v>
      </c>
      <c r="X1462">
        <v>0</v>
      </c>
      <c r="Y1462">
        <v>0</v>
      </c>
      <c r="Z1462">
        <v>0</v>
      </c>
      <c r="AA1462">
        <v>0</v>
      </c>
      <c r="AB1462">
        <v>0</v>
      </c>
      <c r="AC1462">
        <v>0</v>
      </c>
      <c r="AD1462">
        <v>0</v>
      </c>
      <c r="AE1462">
        <v>0</v>
      </c>
      <c r="AF1462">
        <v>0</v>
      </c>
      <c r="AG1462">
        <v>0</v>
      </c>
      <c r="AH1462">
        <v>0</v>
      </c>
      <c r="AI1462">
        <v>0</v>
      </c>
      <c r="AJ1462">
        <v>0</v>
      </c>
      <c r="AK1462">
        <v>0</v>
      </c>
      <c r="AL1462">
        <v>0</v>
      </c>
      <c r="AM1462">
        <v>6.71</v>
      </c>
      <c r="AN1462">
        <v>0</v>
      </c>
      <c r="AO1462">
        <v>0</v>
      </c>
      <c r="AP1462">
        <v>0</v>
      </c>
      <c r="AQ1462">
        <v>0</v>
      </c>
      <c r="AR1462">
        <v>0</v>
      </c>
      <c r="AS1462">
        <v>0</v>
      </c>
      <c r="AT1462">
        <v>0</v>
      </c>
      <c r="AU1462">
        <v>0</v>
      </c>
      <c r="AV1462">
        <v>0</v>
      </c>
      <c r="AW1462">
        <v>0</v>
      </c>
      <c r="AX1462">
        <v>0</v>
      </c>
      <c r="AY1462">
        <v>0</v>
      </c>
      <c r="AZ1462">
        <v>0</v>
      </c>
      <c r="BA1462">
        <v>0</v>
      </c>
      <c r="BB1462">
        <v>0</v>
      </c>
      <c r="BC1462">
        <v>0</v>
      </c>
      <c r="BD1462">
        <v>0</v>
      </c>
      <c r="BE1462">
        <v>0</v>
      </c>
      <c r="BF1462">
        <v>0</v>
      </c>
      <c r="BG1462">
        <v>0</v>
      </c>
      <c r="BH1462">
        <v>1</v>
      </c>
      <c r="BI1462">
        <v>1</v>
      </c>
      <c r="BJ1462">
        <v>0.2</v>
      </c>
      <c r="BK1462">
        <v>1</v>
      </c>
      <c r="BL1462" s="4">
        <v>39.42</v>
      </c>
      <c r="BM1462" s="4">
        <v>5.91</v>
      </c>
      <c r="BN1462" s="4">
        <v>45.33</v>
      </c>
      <c r="BO1462" s="4">
        <v>45.33</v>
      </c>
      <c r="BQ1462" t="s">
        <v>1930</v>
      </c>
      <c r="BR1462" t="s">
        <v>84</v>
      </c>
      <c r="BS1462" s="3">
        <v>43816</v>
      </c>
      <c r="BT1462" s="5">
        <v>0.41388888888888892</v>
      </c>
      <c r="BU1462" t="s">
        <v>1931</v>
      </c>
      <c r="BV1462" t="s">
        <v>86</v>
      </c>
      <c r="BY1462">
        <v>1200</v>
      </c>
      <c r="CA1462" t="s">
        <v>155</v>
      </c>
      <c r="CC1462" t="s">
        <v>76</v>
      </c>
      <c r="CD1462">
        <v>1600</v>
      </c>
      <c r="CE1462" t="s">
        <v>88</v>
      </c>
      <c r="CF1462" s="3">
        <v>43817</v>
      </c>
      <c r="CI1462">
        <v>1</v>
      </c>
      <c r="CJ1462">
        <v>2</v>
      </c>
      <c r="CK1462">
        <v>22</v>
      </c>
      <c r="CL1462" t="s">
        <v>89</v>
      </c>
    </row>
    <row r="1463" spans="1:90">
      <c r="A1463" t="s">
        <v>72</v>
      </c>
      <c r="B1463" t="s">
        <v>73</v>
      </c>
      <c r="C1463" t="s">
        <v>74</v>
      </c>
      <c r="E1463" t="str">
        <f>"FES1162728488"</f>
        <v>FES1162728488</v>
      </c>
      <c r="F1463" s="3">
        <v>43812</v>
      </c>
      <c r="G1463">
        <v>202006</v>
      </c>
      <c r="H1463" t="s">
        <v>75</v>
      </c>
      <c r="I1463" t="s">
        <v>76</v>
      </c>
      <c r="J1463" t="s">
        <v>77</v>
      </c>
      <c r="K1463" t="s">
        <v>78</v>
      </c>
      <c r="L1463" t="s">
        <v>198</v>
      </c>
      <c r="M1463" t="s">
        <v>199</v>
      </c>
      <c r="N1463" t="s">
        <v>1932</v>
      </c>
      <c r="O1463" t="s">
        <v>82</v>
      </c>
      <c r="P1463" t="str">
        <f>"2170721711                    "</f>
        <v xml:space="preserve">2170721711                    </v>
      </c>
      <c r="Q1463">
        <v>0</v>
      </c>
      <c r="R1463">
        <v>0</v>
      </c>
      <c r="S1463">
        <v>0</v>
      </c>
      <c r="T1463">
        <v>0</v>
      </c>
      <c r="U1463">
        <v>0</v>
      </c>
      <c r="V1463">
        <v>0</v>
      </c>
      <c r="W1463">
        <v>0</v>
      </c>
      <c r="X1463">
        <v>0</v>
      </c>
      <c r="Y1463">
        <v>0</v>
      </c>
      <c r="Z1463">
        <v>0</v>
      </c>
      <c r="AA1463">
        <v>0</v>
      </c>
      <c r="AB1463">
        <v>0</v>
      </c>
      <c r="AC1463">
        <v>0</v>
      </c>
      <c r="AD1463">
        <v>0</v>
      </c>
      <c r="AE1463">
        <v>0</v>
      </c>
      <c r="AF1463">
        <v>0</v>
      </c>
      <c r="AG1463">
        <v>0</v>
      </c>
      <c r="AH1463">
        <v>0</v>
      </c>
      <c r="AI1463">
        <v>0</v>
      </c>
      <c r="AJ1463">
        <v>0</v>
      </c>
      <c r="AK1463">
        <v>0</v>
      </c>
      <c r="AL1463">
        <v>0</v>
      </c>
      <c r="AM1463">
        <v>8.58</v>
      </c>
      <c r="AN1463">
        <v>0</v>
      </c>
      <c r="AO1463">
        <v>0</v>
      </c>
      <c r="AP1463">
        <v>0</v>
      </c>
      <c r="AQ1463">
        <v>0</v>
      </c>
      <c r="AR1463">
        <v>0</v>
      </c>
      <c r="AS1463">
        <v>0</v>
      </c>
      <c r="AT1463">
        <v>0</v>
      </c>
      <c r="AU1463">
        <v>0</v>
      </c>
      <c r="AV1463">
        <v>0</v>
      </c>
      <c r="AW1463">
        <v>0</v>
      </c>
      <c r="AX1463">
        <v>0</v>
      </c>
      <c r="AY1463">
        <v>0</v>
      </c>
      <c r="AZ1463">
        <v>0</v>
      </c>
      <c r="BA1463">
        <v>0</v>
      </c>
      <c r="BB1463">
        <v>0</v>
      </c>
      <c r="BC1463">
        <v>0</v>
      </c>
      <c r="BD1463">
        <v>0</v>
      </c>
      <c r="BE1463">
        <v>0</v>
      </c>
      <c r="BF1463">
        <v>0</v>
      </c>
      <c r="BG1463">
        <v>0</v>
      </c>
      <c r="BH1463">
        <v>1</v>
      </c>
      <c r="BI1463">
        <v>0.6</v>
      </c>
      <c r="BJ1463">
        <v>2</v>
      </c>
      <c r="BK1463">
        <v>2</v>
      </c>
      <c r="BL1463" s="4">
        <v>50.45</v>
      </c>
      <c r="BM1463" s="4">
        <v>7.57</v>
      </c>
      <c r="BN1463" s="4">
        <v>58.02</v>
      </c>
      <c r="BO1463" s="4">
        <v>58.02</v>
      </c>
      <c r="BQ1463" t="s">
        <v>93</v>
      </c>
      <c r="BR1463" t="s">
        <v>84</v>
      </c>
      <c r="BS1463" s="3">
        <v>43818</v>
      </c>
      <c r="BT1463" s="5">
        <v>0.61111111111111105</v>
      </c>
      <c r="BU1463" t="s">
        <v>617</v>
      </c>
      <c r="BV1463" t="s">
        <v>89</v>
      </c>
      <c r="BW1463" t="s">
        <v>1335</v>
      </c>
      <c r="BX1463" t="s">
        <v>619</v>
      </c>
      <c r="BY1463">
        <v>10055.24</v>
      </c>
      <c r="CA1463" t="s">
        <v>620</v>
      </c>
      <c r="CC1463" t="s">
        <v>199</v>
      </c>
      <c r="CD1463">
        <v>4013</v>
      </c>
      <c r="CE1463" t="s">
        <v>88</v>
      </c>
      <c r="CI1463">
        <v>1</v>
      </c>
      <c r="CJ1463">
        <v>4</v>
      </c>
      <c r="CK1463">
        <v>21</v>
      </c>
      <c r="CL1463" t="s">
        <v>89</v>
      </c>
    </row>
    <row r="1464" spans="1:90">
      <c r="A1464" t="s">
        <v>72</v>
      </c>
      <c r="B1464" t="s">
        <v>73</v>
      </c>
      <c r="C1464" t="s">
        <v>74</v>
      </c>
      <c r="E1464" t="str">
        <f>"FES1162728478"</f>
        <v>FES1162728478</v>
      </c>
      <c r="F1464" s="3">
        <v>43812</v>
      </c>
      <c r="G1464">
        <v>202006</v>
      </c>
      <c r="H1464" t="s">
        <v>75</v>
      </c>
      <c r="I1464" t="s">
        <v>76</v>
      </c>
      <c r="J1464" t="s">
        <v>77</v>
      </c>
      <c r="K1464" t="s">
        <v>78</v>
      </c>
      <c r="L1464" t="s">
        <v>491</v>
      </c>
      <c r="M1464" t="s">
        <v>492</v>
      </c>
      <c r="N1464" t="s">
        <v>880</v>
      </c>
      <c r="O1464" t="s">
        <v>82</v>
      </c>
      <c r="P1464" t="str">
        <f>"2170721717                    "</f>
        <v xml:space="preserve">2170721717                    </v>
      </c>
      <c r="Q1464">
        <v>0</v>
      </c>
      <c r="R1464">
        <v>0</v>
      </c>
      <c r="S1464">
        <v>0</v>
      </c>
      <c r="T1464">
        <v>0</v>
      </c>
      <c r="U1464">
        <v>0</v>
      </c>
      <c r="V1464">
        <v>0</v>
      </c>
      <c r="W1464">
        <v>0</v>
      </c>
      <c r="X1464">
        <v>0</v>
      </c>
      <c r="Y1464">
        <v>0</v>
      </c>
      <c r="Z1464">
        <v>0</v>
      </c>
      <c r="AA1464">
        <v>0</v>
      </c>
      <c r="AB1464">
        <v>0</v>
      </c>
      <c r="AC1464">
        <v>0</v>
      </c>
      <c r="AD1464">
        <v>0</v>
      </c>
      <c r="AE1464">
        <v>0</v>
      </c>
      <c r="AF1464">
        <v>0</v>
      </c>
      <c r="AG1464">
        <v>0</v>
      </c>
      <c r="AH1464">
        <v>0</v>
      </c>
      <c r="AI1464">
        <v>0</v>
      </c>
      <c r="AJ1464">
        <v>0</v>
      </c>
      <c r="AK1464">
        <v>0</v>
      </c>
      <c r="AL1464">
        <v>0</v>
      </c>
      <c r="AM1464">
        <v>6.71</v>
      </c>
      <c r="AN1464">
        <v>0</v>
      </c>
      <c r="AO1464">
        <v>0</v>
      </c>
      <c r="AP1464">
        <v>0</v>
      </c>
      <c r="AQ1464">
        <v>0</v>
      </c>
      <c r="AR1464">
        <v>0</v>
      </c>
      <c r="AS1464">
        <v>0</v>
      </c>
      <c r="AT1464">
        <v>0</v>
      </c>
      <c r="AU1464">
        <v>0</v>
      </c>
      <c r="AV1464">
        <v>0</v>
      </c>
      <c r="AW1464">
        <v>0</v>
      </c>
      <c r="AX1464">
        <v>0</v>
      </c>
      <c r="AY1464">
        <v>0</v>
      </c>
      <c r="AZ1464">
        <v>0</v>
      </c>
      <c r="BA1464">
        <v>0</v>
      </c>
      <c r="BB1464">
        <v>0</v>
      </c>
      <c r="BC1464">
        <v>0</v>
      </c>
      <c r="BD1464">
        <v>0</v>
      </c>
      <c r="BE1464">
        <v>0</v>
      </c>
      <c r="BF1464">
        <v>0</v>
      </c>
      <c r="BG1464">
        <v>0</v>
      </c>
      <c r="BH1464">
        <v>1</v>
      </c>
      <c r="BI1464">
        <v>1</v>
      </c>
      <c r="BJ1464">
        <v>0.2</v>
      </c>
      <c r="BK1464">
        <v>1</v>
      </c>
      <c r="BL1464" s="4">
        <v>39.42</v>
      </c>
      <c r="BM1464" s="4">
        <v>5.91</v>
      </c>
      <c r="BN1464" s="4">
        <v>45.33</v>
      </c>
      <c r="BO1464" s="4">
        <v>45.33</v>
      </c>
      <c r="BQ1464" t="s">
        <v>93</v>
      </c>
      <c r="BR1464" t="s">
        <v>84</v>
      </c>
      <c r="BS1464" s="3">
        <v>43816</v>
      </c>
      <c r="BT1464" s="5">
        <v>0.34375</v>
      </c>
      <c r="BU1464" t="s">
        <v>1933</v>
      </c>
      <c r="BV1464" t="s">
        <v>86</v>
      </c>
      <c r="BY1464">
        <v>1200</v>
      </c>
      <c r="CA1464" t="s">
        <v>1521</v>
      </c>
      <c r="CC1464" t="s">
        <v>492</v>
      </c>
      <c r="CD1464">
        <v>1709</v>
      </c>
      <c r="CE1464" t="s">
        <v>88</v>
      </c>
      <c r="CF1464" s="3">
        <v>43817</v>
      </c>
      <c r="CI1464">
        <v>1</v>
      </c>
      <c r="CJ1464">
        <v>2</v>
      </c>
      <c r="CK1464">
        <v>22</v>
      </c>
      <c r="CL1464" t="s">
        <v>89</v>
      </c>
    </row>
    <row r="1465" spans="1:90">
      <c r="A1465" t="s">
        <v>72</v>
      </c>
      <c r="B1465" t="s">
        <v>73</v>
      </c>
      <c r="C1465" t="s">
        <v>74</v>
      </c>
      <c r="E1465" t="str">
        <f>"FES1162728511"</f>
        <v>FES1162728511</v>
      </c>
      <c r="F1465" s="3">
        <v>43812</v>
      </c>
      <c r="G1465">
        <v>202006</v>
      </c>
      <c r="H1465" t="s">
        <v>75</v>
      </c>
      <c r="I1465" t="s">
        <v>76</v>
      </c>
      <c r="J1465" t="s">
        <v>77</v>
      </c>
      <c r="K1465" t="s">
        <v>78</v>
      </c>
      <c r="L1465" t="s">
        <v>1934</v>
      </c>
      <c r="M1465" t="s">
        <v>1935</v>
      </c>
      <c r="N1465" t="s">
        <v>1936</v>
      </c>
      <c r="O1465" t="s">
        <v>82</v>
      </c>
      <c r="P1465" t="str">
        <f>"2170712137                    "</f>
        <v xml:space="preserve">2170712137                    </v>
      </c>
      <c r="Q1465">
        <v>0</v>
      </c>
      <c r="R1465">
        <v>0</v>
      </c>
      <c r="S1465">
        <v>0</v>
      </c>
      <c r="T1465">
        <v>0</v>
      </c>
      <c r="U1465">
        <v>0</v>
      </c>
      <c r="V1465">
        <v>0</v>
      </c>
      <c r="W1465">
        <v>0</v>
      </c>
      <c r="X1465">
        <v>0</v>
      </c>
      <c r="Y1465">
        <v>0</v>
      </c>
      <c r="Z1465">
        <v>0</v>
      </c>
      <c r="AA1465">
        <v>0</v>
      </c>
      <c r="AB1465">
        <v>0</v>
      </c>
      <c r="AC1465">
        <v>0</v>
      </c>
      <c r="AD1465">
        <v>0</v>
      </c>
      <c r="AE1465">
        <v>0</v>
      </c>
      <c r="AF1465">
        <v>0</v>
      </c>
      <c r="AG1465">
        <v>0</v>
      </c>
      <c r="AH1465">
        <v>0</v>
      </c>
      <c r="AI1465">
        <v>0</v>
      </c>
      <c r="AJ1465">
        <v>0</v>
      </c>
      <c r="AK1465">
        <v>0</v>
      </c>
      <c r="AL1465">
        <v>0</v>
      </c>
      <c r="AM1465">
        <v>12.07</v>
      </c>
      <c r="AN1465">
        <v>0</v>
      </c>
      <c r="AO1465">
        <v>0</v>
      </c>
      <c r="AP1465">
        <v>0</v>
      </c>
      <c r="AQ1465">
        <v>0</v>
      </c>
      <c r="AR1465">
        <v>0</v>
      </c>
      <c r="AS1465">
        <v>0</v>
      </c>
      <c r="AT1465">
        <v>0</v>
      </c>
      <c r="AU1465">
        <v>0</v>
      </c>
      <c r="AV1465">
        <v>0</v>
      </c>
      <c r="AW1465">
        <v>0</v>
      </c>
      <c r="AX1465">
        <v>0</v>
      </c>
      <c r="AY1465">
        <v>0</v>
      </c>
      <c r="AZ1465">
        <v>0</v>
      </c>
      <c r="BA1465">
        <v>0</v>
      </c>
      <c r="BB1465">
        <v>0</v>
      </c>
      <c r="BC1465">
        <v>0</v>
      </c>
      <c r="BD1465">
        <v>0</v>
      </c>
      <c r="BE1465">
        <v>0</v>
      </c>
      <c r="BF1465">
        <v>0</v>
      </c>
      <c r="BG1465">
        <v>0</v>
      </c>
      <c r="BH1465">
        <v>1</v>
      </c>
      <c r="BI1465">
        <v>1</v>
      </c>
      <c r="BJ1465">
        <v>0.2</v>
      </c>
      <c r="BK1465">
        <v>1</v>
      </c>
      <c r="BL1465" s="4">
        <v>70.95</v>
      </c>
      <c r="BM1465" s="4">
        <v>10.64</v>
      </c>
      <c r="BN1465" s="4">
        <v>81.59</v>
      </c>
      <c r="BO1465" s="4">
        <v>81.59</v>
      </c>
      <c r="BR1465" t="s">
        <v>84</v>
      </c>
      <c r="BS1465" s="3">
        <v>43819</v>
      </c>
      <c r="BT1465" s="5">
        <v>0.85555555555555562</v>
      </c>
      <c r="BU1465" t="s">
        <v>675</v>
      </c>
      <c r="BV1465" t="s">
        <v>89</v>
      </c>
      <c r="BW1465" t="s">
        <v>1627</v>
      </c>
      <c r="BX1465" t="s">
        <v>619</v>
      </c>
      <c r="BY1465">
        <v>1200</v>
      </c>
      <c r="CA1465" t="s">
        <v>620</v>
      </c>
      <c r="CC1465" t="s">
        <v>1935</v>
      </c>
      <c r="CD1465">
        <v>2430</v>
      </c>
      <c r="CE1465" t="s">
        <v>88</v>
      </c>
      <c r="CI1465">
        <v>1</v>
      </c>
      <c r="CJ1465">
        <v>5</v>
      </c>
      <c r="CK1465">
        <v>24</v>
      </c>
      <c r="CL1465" t="s">
        <v>89</v>
      </c>
    </row>
    <row r="1466" spans="1:90">
      <c r="A1466" t="s">
        <v>72</v>
      </c>
      <c r="B1466" t="s">
        <v>73</v>
      </c>
      <c r="C1466" t="s">
        <v>74</v>
      </c>
      <c r="E1466" t="str">
        <f>"FES1162728512"</f>
        <v>FES1162728512</v>
      </c>
      <c r="F1466" s="3">
        <v>43812</v>
      </c>
      <c r="G1466">
        <v>202006</v>
      </c>
      <c r="H1466" t="s">
        <v>75</v>
      </c>
      <c r="I1466" t="s">
        <v>76</v>
      </c>
      <c r="J1466" t="s">
        <v>77</v>
      </c>
      <c r="K1466" t="s">
        <v>78</v>
      </c>
      <c r="L1466" t="s">
        <v>90</v>
      </c>
      <c r="M1466" t="s">
        <v>91</v>
      </c>
      <c r="N1466" t="s">
        <v>959</v>
      </c>
      <c r="O1466" t="s">
        <v>82</v>
      </c>
      <c r="P1466" t="str">
        <f>"217071746                     "</f>
        <v xml:space="preserve">217071746                     </v>
      </c>
      <c r="Q1466">
        <v>0</v>
      </c>
      <c r="R1466">
        <v>0</v>
      </c>
      <c r="S1466">
        <v>0</v>
      </c>
      <c r="T1466">
        <v>0</v>
      </c>
      <c r="U1466">
        <v>0</v>
      </c>
      <c r="V1466">
        <v>0</v>
      </c>
      <c r="W1466">
        <v>0</v>
      </c>
      <c r="X1466">
        <v>0</v>
      </c>
      <c r="Y1466">
        <v>0</v>
      </c>
      <c r="Z1466">
        <v>0</v>
      </c>
      <c r="AA1466">
        <v>0</v>
      </c>
      <c r="AB1466">
        <v>0</v>
      </c>
      <c r="AC1466">
        <v>0</v>
      </c>
      <c r="AD1466">
        <v>0</v>
      </c>
      <c r="AE1466">
        <v>0</v>
      </c>
      <c r="AF1466">
        <v>0</v>
      </c>
      <c r="AG1466">
        <v>0</v>
      </c>
      <c r="AH1466">
        <v>0</v>
      </c>
      <c r="AI1466">
        <v>0</v>
      </c>
      <c r="AJ1466">
        <v>0</v>
      </c>
      <c r="AK1466">
        <v>0</v>
      </c>
      <c r="AL1466">
        <v>0</v>
      </c>
      <c r="AM1466">
        <v>8.58</v>
      </c>
      <c r="AN1466">
        <v>0</v>
      </c>
      <c r="AO1466">
        <v>0</v>
      </c>
      <c r="AP1466">
        <v>0</v>
      </c>
      <c r="AQ1466">
        <v>0</v>
      </c>
      <c r="AR1466">
        <v>0</v>
      </c>
      <c r="AS1466">
        <v>0</v>
      </c>
      <c r="AT1466">
        <v>0</v>
      </c>
      <c r="AU1466">
        <v>0</v>
      </c>
      <c r="AV1466">
        <v>0</v>
      </c>
      <c r="AW1466">
        <v>0</v>
      </c>
      <c r="AX1466">
        <v>0</v>
      </c>
      <c r="AY1466">
        <v>0</v>
      </c>
      <c r="AZ1466">
        <v>0</v>
      </c>
      <c r="BA1466">
        <v>0</v>
      </c>
      <c r="BB1466">
        <v>0</v>
      </c>
      <c r="BC1466">
        <v>0</v>
      </c>
      <c r="BD1466">
        <v>0</v>
      </c>
      <c r="BE1466">
        <v>0</v>
      </c>
      <c r="BF1466">
        <v>0</v>
      </c>
      <c r="BG1466">
        <v>0</v>
      </c>
      <c r="BH1466">
        <v>1</v>
      </c>
      <c r="BI1466">
        <v>1</v>
      </c>
      <c r="BJ1466">
        <v>0.2</v>
      </c>
      <c r="BK1466">
        <v>1</v>
      </c>
      <c r="BL1466" s="4">
        <v>50.45</v>
      </c>
      <c r="BM1466" s="4">
        <v>7.57</v>
      </c>
      <c r="BN1466" s="4">
        <v>58.02</v>
      </c>
      <c r="BO1466" s="4">
        <v>58.02</v>
      </c>
      <c r="BQ1466" t="s">
        <v>256</v>
      </c>
      <c r="BR1466" t="s">
        <v>84</v>
      </c>
      <c r="BS1466" s="3">
        <v>43816</v>
      </c>
      <c r="BT1466" s="5">
        <v>0.4375</v>
      </c>
      <c r="BU1466" t="s">
        <v>960</v>
      </c>
      <c r="BV1466" t="s">
        <v>86</v>
      </c>
      <c r="BY1466">
        <v>1200</v>
      </c>
      <c r="CA1466" t="s">
        <v>273</v>
      </c>
      <c r="CC1466" t="s">
        <v>91</v>
      </c>
      <c r="CD1466">
        <v>7945</v>
      </c>
      <c r="CE1466" t="s">
        <v>88</v>
      </c>
      <c r="CF1466" s="3">
        <v>43817</v>
      </c>
      <c r="CI1466">
        <v>1</v>
      </c>
      <c r="CJ1466">
        <v>2</v>
      </c>
      <c r="CK1466">
        <v>21</v>
      </c>
      <c r="CL1466" t="s">
        <v>89</v>
      </c>
    </row>
    <row r="1467" spans="1:90">
      <c r="A1467" t="s">
        <v>72</v>
      </c>
      <c r="B1467" t="s">
        <v>73</v>
      </c>
      <c r="C1467" t="s">
        <v>74</v>
      </c>
      <c r="E1467" t="str">
        <f>"FES1162728434"</f>
        <v>FES1162728434</v>
      </c>
      <c r="F1467" s="3">
        <v>43812</v>
      </c>
      <c r="G1467">
        <v>202006</v>
      </c>
      <c r="H1467" t="s">
        <v>75</v>
      </c>
      <c r="I1467" t="s">
        <v>76</v>
      </c>
      <c r="J1467" t="s">
        <v>77</v>
      </c>
      <c r="K1467" t="s">
        <v>78</v>
      </c>
      <c r="L1467" t="s">
        <v>79</v>
      </c>
      <c r="M1467" t="s">
        <v>80</v>
      </c>
      <c r="N1467" t="s">
        <v>300</v>
      </c>
      <c r="O1467" t="s">
        <v>82</v>
      </c>
      <c r="P1467" t="str">
        <f>"2170719952                    "</f>
        <v xml:space="preserve">2170719952                    </v>
      </c>
      <c r="Q1467">
        <v>0</v>
      </c>
      <c r="R1467">
        <v>0</v>
      </c>
      <c r="S1467">
        <v>0</v>
      </c>
      <c r="T1467">
        <v>0</v>
      </c>
      <c r="U1467">
        <v>0</v>
      </c>
      <c r="V1467">
        <v>0</v>
      </c>
      <c r="W1467">
        <v>0</v>
      </c>
      <c r="X1467">
        <v>0</v>
      </c>
      <c r="Y1467">
        <v>0</v>
      </c>
      <c r="Z1467">
        <v>0</v>
      </c>
      <c r="AA1467">
        <v>0</v>
      </c>
      <c r="AB1467">
        <v>0</v>
      </c>
      <c r="AC1467">
        <v>0</v>
      </c>
      <c r="AD1467">
        <v>0</v>
      </c>
      <c r="AE1467">
        <v>0</v>
      </c>
      <c r="AF1467">
        <v>0</v>
      </c>
      <c r="AG1467">
        <v>0</v>
      </c>
      <c r="AH1467">
        <v>0</v>
      </c>
      <c r="AI1467">
        <v>0</v>
      </c>
      <c r="AJ1467">
        <v>0</v>
      </c>
      <c r="AK1467">
        <v>0</v>
      </c>
      <c r="AL1467">
        <v>0</v>
      </c>
      <c r="AM1467">
        <v>8.58</v>
      </c>
      <c r="AN1467">
        <v>0</v>
      </c>
      <c r="AO1467">
        <v>0</v>
      </c>
      <c r="AP1467">
        <v>0</v>
      </c>
      <c r="AQ1467">
        <v>0</v>
      </c>
      <c r="AR1467">
        <v>0</v>
      </c>
      <c r="AS1467">
        <v>0</v>
      </c>
      <c r="AT1467">
        <v>0</v>
      </c>
      <c r="AU1467">
        <v>0</v>
      </c>
      <c r="AV1467">
        <v>0</v>
      </c>
      <c r="AW1467">
        <v>0</v>
      </c>
      <c r="AX1467">
        <v>0</v>
      </c>
      <c r="AY1467">
        <v>0</v>
      </c>
      <c r="AZ1467">
        <v>0</v>
      </c>
      <c r="BA1467">
        <v>0</v>
      </c>
      <c r="BB1467">
        <v>0</v>
      </c>
      <c r="BC1467">
        <v>0</v>
      </c>
      <c r="BD1467">
        <v>0</v>
      </c>
      <c r="BE1467">
        <v>0</v>
      </c>
      <c r="BF1467">
        <v>0</v>
      </c>
      <c r="BG1467">
        <v>0</v>
      </c>
      <c r="BH1467">
        <v>1</v>
      </c>
      <c r="BI1467">
        <v>1</v>
      </c>
      <c r="BJ1467">
        <v>0.2</v>
      </c>
      <c r="BK1467">
        <v>1</v>
      </c>
      <c r="BL1467" s="4">
        <v>50.45</v>
      </c>
      <c r="BM1467" s="4">
        <v>7.57</v>
      </c>
      <c r="BN1467" s="4">
        <v>58.02</v>
      </c>
      <c r="BO1467" s="4">
        <v>58.02</v>
      </c>
      <c r="BQ1467" t="s">
        <v>147</v>
      </c>
      <c r="BR1467" t="s">
        <v>84</v>
      </c>
      <c r="BS1467" s="3">
        <v>43816</v>
      </c>
      <c r="BT1467" s="5">
        <v>0.5</v>
      </c>
      <c r="BU1467" t="s">
        <v>562</v>
      </c>
      <c r="BV1467" t="s">
        <v>89</v>
      </c>
      <c r="BW1467" t="s">
        <v>1254</v>
      </c>
      <c r="BX1467" t="s">
        <v>594</v>
      </c>
      <c r="BY1467">
        <v>1200</v>
      </c>
      <c r="CC1467" t="s">
        <v>80</v>
      </c>
      <c r="CD1467">
        <v>6001</v>
      </c>
      <c r="CE1467" t="s">
        <v>88</v>
      </c>
      <c r="CF1467" s="3">
        <v>43818</v>
      </c>
      <c r="CI1467">
        <v>1</v>
      </c>
      <c r="CJ1467">
        <v>2</v>
      </c>
      <c r="CK1467">
        <v>21</v>
      </c>
      <c r="CL1467" t="s">
        <v>89</v>
      </c>
    </row>
    <row r="1468" spans="1:90">
      <c r="A1468" t="s">
        <v>72</v>
      </c>
      <c r="B1468" t="s">
        <v>73</v>
      </c>
      <c r="C1468" t="s">
        <v>74</v>
      </c>
      <c r="E1468" t="str">
        <f>"FES1162728392"</f>
        <v>FES1162728392</v>
      </c>
      <c r="F1468" s="3">
        <v>43812</v>
      </c>
      <c r="G1468">
        <v>202006</v>
      </c>
      <c r="H1468" t="s">
        <v>75</v>
      </c>
      <c r="I1468" t="s">
        <v>76</v>
      </c>
      <c r="J1468" t="s">
        <v>77</v>
      </c>
      <c r="K1468" t="s">
        <v>78</v>
      </c>
      <c r="L1468" t="s">
        <v>177</v>
      </c>
      <c r="M1468" t="s">
        <v>178</v>
      </c>
      <c r="N1468" t="s">
        <v>179</v>
      </c>
      <c r="O1468" t="s">
        <v>82</v>
      </c>
      <c r="P1468" t="str">
        <f>"2170718148                    "</f>
        <v xml:space="preserve">2170718148                    </v>
      </c>
      <c r="Q1468">
        <v>0</v>
      </c>
      <c r="R1468">
        <v>0</v>
      </c>
      <c r="S1468">
        <v>0</v>
      </c>
      <c r="T1468">
        <v>0</v>
      </c>
      <c r="U1468">
        <v>0</v>
      </c>
      <c r="V1468">
        <v>0</v>
      </c>
      <c r="W1468">
        <v>0</v>
      </c>
      <c r="X1468">
        <v>0</v>
      </c>
      <c r="Y1468">
        <v>0</v>
      </c>
      <c r="Z1468">
        <v>0</v>
      </c>
      <c r="AA1468">
        <v>0</v>
      </c>
      <c r="AB1468">
        <v>0</v>
      </c>
      <c r="AC1468">
        <v>0</v>
      </c>
      <c r="AD1468">
        <v>0</v>
      </c>
      <c r="AE1468">
        <v>0</v>
      </c>
      <c r="AF1468">
        <v>0</v>
      </c>
      <c r="AG1468">
        <v>0</v>
      </c>
      <c r="AH1468">
        <v>0</v>
      </c>
      <c r="AI1468">
        <v>0</v>
      </c>
      <c r="AJ1468">
        <v>0</v>
      </c>
      <c r="AK1468">
        <v>0</v>
      </c>
      <c r="AL1468">
        <v>0</v>
      </c>
      <c r="AM1468">
        <v>12.07</v>
      </c>
      <c r="AN1468">
        <v>0</v>
      </c>
      <c r="AO1468">
        <v>0</v>
      </c>
      <c r="AP1468">
        <v>0</v>
      </c>
      <c r="AQ1468">
        <v>0</v>
      </c>
      <c r="AR1468">
        <v>0</v>
      </c>
      <c r="AS1468">
        <v>0</v>
      </c>
      <c r="AT1468">
        <v>0</v>
      </c>
      <c r="AU1468">
        <v>0</v>
      </c>
      <c r="AV1468">
        <v>0</v>
      </c>
      <c r="AW1468">
        <v>0</v>
      </c>
      <c r="AX1468">
        <v>0</v>
      </c>
      <c r="AY1468">
        <v>0</v>
      </c>
      <c r="AZ1468">
        <v>0</v>
      </c>
      <c r="BA1468">
        <v>0</v>
      </c>
      <c r="BB1468">
        <v>0</v>
      </c>
      <c r="BC1468">
        <v>0</v>
      </c>
      <c r="BD1468">
        <v>0</v>
      </c>
      <c r="BE1468">
        <v>0</v>
      </c>
      <c r="BF1468">
        <v>0</v>
      </c>
      <c r="BG1468">
        <v>0</v>
      </c>
      <c r="BH1468">
        <v>1</v>
      </c>
      <c r="BI1468">
        <v>1</v>
      </c>
      <c r="BJ1468">
        <v>0.2</v>
      </c>
      <c r="BK1468">
        <v>1</v>
      </c>
      <c r="BL1468" s="4">
        <v>70.95</v>
      </c>
      <c r="BM1468" s="4">
        <v>10.64</v>
      </c>
      <c r="BN1468" s="4">
        <v>81.59</v>
      </c>
      <c r="BO1468" s="4">
        <v>81.59</v>
      </c>
      <c r="BQ1468" t="s">
        <v>147</v>
      </c>
      <c r="BR1468" t="s">
        <v>84</v>
      </c>
      <c r="BS1468" s="3">
        <v>43816</v>
      </c>
      <c r="BT1468" s="5">
        <v>0.64930555555555558</v>
      </c>
      <c r="BU1468" t="s">
        <v>731</v>
      </c>
      <c r="BV1468" t="s">
        <v>86</v>
      </c>
      <c r="BY1468">
        <v>1200</v>
      </c>
      <c r="CA1468" t="s">
        <v>182</v>
      </c>
      <c r="CC1468" t="s">
        <v>178</v>
      </c>
      <c r="CD1468">
        <v>1028</v>
      </c>
      <c r="CE1468" t="s">
        <v>88</v>
      </c>
      <c r="CF1468" s="3">
        <v>43818</v>
      </c>
      <c r="CI1468">
        <v>1</v>
      </c>
      <c r="CJ1468">
        <v>2</v>
      </c>
      <c r="CK1468">
        <v>24</v>
      </c>
      <c r="CL1468" t="s">
        <v>89</v>
      </c>
    </row>
    <row r="1469" spans="1:90">
      <c r="A1469" t="s">
        <v>72</v>
      </c>
      <c r="B1469" t="s">
        <v>73</v>
      </c>
      <c r="C1469" t="s">
        <v>74</v>
      </c>
      <c r="E1469" t="str">
        <f>"FES1162728340"</f>
        <v>FES1162728340</v>
      </c>
      <c r="F1469" s="3">
        <v>43812</v>
      </c>
      <c r="G1469">
        <v>202006</v>
      </c>
      <c r="H1469" t="s">
        <v>75</v>
      </c>
      <c r="I1469" t="s">
        <v>76</v>
      </c>
      <c r="J1469" t="s">
        <v>77</v>
      </c>
      <c r="K1469" t="s">
        <v>78</v>
      </c>
      <c r="L1469" t="s">
        <v>79</v>
      </c>
      <c r="M1469" t="s">
        <v>80</v>
      </c>
      <c r="N1469" t="s">
        <v>129</v>
      </c>
      <c r="O1469" t="s">
        <v>82</v>
      </c>
      <c r="P1469" t="str">
        <f>"217071794                     "</f>
        <v xml:space="preserve">217071794                     </v>
      </c>
      <c r="Q1469">
        <v>0</v>
      </c>
      <c r="R1469">
        <v>0</v>
      </c>
      <c r="S1469">
        <v>0</v>
      </c>
      <c r="T1469">
        <v>0</v>
      </c>
      <c r="U1469">
        <v>0</v>
      </c>
      <c r="V1469">
        <v>0</v>
      </c>
      <c r="W1469">
        <v>0</v>
      </c>
      <c r="X1469">
        <v>0</v>
      </c>
      <c r="Y1469">
        <v>0</v>
      </c>
      <c r="Z1469">
        <v>0</v>
      </c>
      <c r="AA1469">
        <v>0</v>
      </c>
      <c r="AB1469">
        <v>0</v>
      </c>
      <c r="AC1469">
        <v>0</v>
      </c>
      <c r="AD1469">
        <v>0</v>
      </c>
      <c r="AE1469">
        <v>0</v>
      </c>
      <c r="AF1469">
        <v>0</v>
      </c>
      <c r="AG1469">
        <v>0</v>
      </c>
      <c r="AH1469">
        <v>0</v>
      </c>
      <c r="AI1469">
        <v>0</v>
      </c>
      <c r="AJ1469">
        <v>0</v>
      </c>
      <c r="AK1469">
        <v>0</v>
      </c>
      <c r="AL1469">
        <v>0</v>
      </c>
      <c r="AM1469">
        <v>8.58</v>
      </c>
      <c r="AN1469">
        <v>0</v>
      </c>
      <c r="AO1469">
        <v>0</v>
      </c>
      <c r="AP1469">
        <v>0</v>
      </c>
      <c r="AQ1469">
        <v>0</v>
      </c>
      <c r="AR1469">
        <v>0</v>
      </c>
      <c r="AS1469">
        <v>0</v>
      </c>
      <c r="AT1469">
        <v>0</v>
      </c>
      <c r="AU1469">
        <v>0</v>
      </c>
      <c r="AV1469">
        <v>0</v>
      </c>
      <c r="AW1469">
        <v>0</v>
      </c>
      <c r="AX1469">
        <v>0</v>
      </c>
      <c r="AY1469">
        <v>0</v>
      </c>
      <c r="AZ1469">
        <v>0</v>
      </c>
      <c r="BA1469">
        <v>0</v>
      </c>
      <c r="BB1469">
        <v>0</v>
      </c>
      <c r="BC1469">
        <v>0</v>
      </c>
      <c r="BD1469">
        <v>0</v>
      </c>
      <c r="BE1469">
        <v>0</v>
      </c>
      <c r="BF1469">
        <v>0</v>
      </c>
      <c r="BG1469">
        <v>0</v>
      </c>
      <c r="BH1469">
        <v>1</v>
      </c>
      <c r="BI1469">
        <v>1</v>
      </c>
      <c r="BJ1469">
        <v>0.2</v>
      </c>
      <c r="BK1469">
        <v>1</v>
      </c>
      <c r="BL1469" s="4">
        <v>50.45</v>
      </c>
      <c r="BM1469" s="4">
        <v>7.57</v>
      </c>
      <c r="BN1469" s="4">
        <v>58.02</v>
      </c>
      <c r="BO1469" s="4">
        <v>58.02</v>
      </c>
      <c r="BQ1469" t="s">
        <v>147</v>
      </c>
      <c r="BR1469" t="s">
        <v>84</v>
      </c>
      <c r="BS1469" s="3">
        <v>43816</v>
      </c>
      <c r="BT1469" s="5">
        <v>0.37777777777777777</v>
      </c>
      <c r="BU1469" t="s">
        <v>130</v>
      </c>
      <c r="BV1469" t="s">
        <v>86</v>
      </c>
      <c r="BY1469">
        <v>1200</v>
      </c>
      <c r="CA1469" t="s">
        <v>131</v>
      </c>
      <c r="CC1469" t="s">
        <v>80</v>
      </c>
      <c r="CD1469">
        <v>6001</v>
      </c>
      <c r="CE1469" t="s">
        <v>88</v>
      </c>
      <c r="CF1469" s="3">
        <v>43817</v>
      </c>
      <c r="CI1469">
        <v>1</v>
      </c>
      <c r="CJ1469">
        <v>2</v>
      </c>
      <c r="CK1469">
        <v>21</v>
      </c>
      <c r="CL1469" t="s">
        <v>89</v>
      </c>
    </row>
    <row r="1470" spans="1:90">
      <c r="A1470" t="s">
        <v>72</v>
      </c>
      <c r="B1470" t="s">
        <v>73</v>
      </c>
      <c r="C1470" t="s">
        <v>74</v>
      </c>
      <c r="E1470" t="str">
        <f>"FES1162728490"</f>
        <v>FES1162728490</v>
      </c>
      <c r="F1470" s="3">
        <v>43812</v>
      </c>
      <c r="G1470">
        <v>202006</v>
      </c>
      <c r="H1470" t="s">
        <v>75</v>
      </c>
      <c r="I1470" t="s">
        <v>76</v>
      </c>
      <c r="J1470" t="s">
        <v>77</v>
      </c>
      <c r="K1470" t="s">
        <v>78</v>
      </c>
      <c r="L1470" t="s">
        <v>404</v>
      </c>
      <c r="M1470" t="s">
        <v>405</v>
      </c>
      <c r="N1470" t="s">
        <v>406</v>
      </c>
      <c r="O1470" t="s">
        <v>82</v>
      </c>
      <c r="P1470" t="str">
        <f>"21707212721                   "</f>
        <v xml:space="preserve">21707212721                   </v>
      </c>
      <c r="Q1470">
        <v>0</v>
      </c>
      <c r="R1470">
        <v>0</v>
      </c>
      <c r="S1470">
        <v>0</v>
      </c>
      <c r="T1470">
        <v>0</v>
      </c>
      <c r="U1470">
        <v>0</v>
      </c>
      <c r="V1470">
        <v>0</v>
      </c>
      <c r="W1470">
        <v>0</v>
      </c>
      <c r="X1470">
        <v>0</v>
      </c>
      <c r="Y1470">
        <v>0</v>
      </c>
      <c r="Z1470">
        <v>0</v>
      </c>
      <c r="AA1470">
        <v>0</v>
      </c>
      <c r="AB1470">
        <v>0</v>
      </c>
      <c r="AC1470">
        <v>0</v>
      </c>
      <c r="AD1470">
        <v>0</v>
      </c>
      <c r="AE1470">
        <v>0</v>
      </c>
      <c r="AF1470">
        <v>0</v>
      </c>
      <c r="AG1470">
        <v>0</v>
      </c>
      <c r="AH1470">
        <v>0</v>
      </c>
      <c r="AI1470">
        <v>0</v>
      </c>
      <c r="AJ1470">
        <v>0</v>
      </c>
      <c r="AK1470">
        <v>0</v>
      </c>
      <c r="AL1470">
        <v>0</v>
      </c>
      <c r="AM1470">
        <v>8.58</v>
      </c>
      <c r="AN1470">
        <v>0</v>
      </c>
      <c r="AO1470">
        <v>0</v>
      </c>
      <c r="AP1470">
        <v>0</v>
      </c>
      <c r="AQ1470">
        <v>0</v>
      </c>
      <c r="AR1470">
        <v>0</v>
      </c>
      <c r="AS1470">
        <v>0</v>
      </c>
      <c r="AT1470">
        <v>0</v>
      </c>
      <c r="AU1470">
        <v>0</v>
      </c>
      <c r="AV1470">
        <v>0</v>
      </c>
      <c r="AW1470">
        <v>0</v>
      </c>
      <c r="AX1470">
        <v>0</v>
      </c>
      <c r="AY1470">
        <v>0</v>
      </c>
      <c r="AZ1470">
        <v>0</v>
      </c>
      <c r="BA1470">
        <v>0</v>
      </c>
      <c r="BB1470">
        <v>0</v>
      </c>
      <c r="BC1470">
        <v>0</v>
      </c>
      <c r="BD1470">
        <v>0</v>
      </c>
      <c r="BE1470">
        <v>0</v>
      </c>
      <c r="BF1470">
        <v>0</v>
      </c>
      <c r="BG1470">
        <v>0</v>
      </c>
      <c r="BH1470">
        <v>1</v>
      </c>
      <c r="BI1470">
        <v>1</v>
      </c>
      <c r="BJ1470">
        <v>0.2</v>
      </c>
      <c r="BK1470">
        <v>1</v>
      </c>
      <c r="BL1470" s="4">
        <v>50.45</v>
      </c>
      <c r="BM1470" s="4">
        <v>7.57</v>
      </c>
      <c r="BN1470" s="4">
        <v>58.02</v>
      </c>
      <c r="BO1470" s="4">
        <v>58.02</v>
      </c>
      <c r="BQ1470" t="s">
        <v>93</v>
      </c>
      <c r="BR1470" t="s">
        <v>84</v>
      </c>
      <c r="BS1470" s="3">
        <v>43816</v>
      </c>
      <c r="BT1470" s="5">
        <v>0.3576388888888889</v>
      </c>
      <c r="BU1470" t="s">
        <v>748</v>
      </c>
      <c r="BV1470" t="s">
        <v>86</v>
      </c>
      <c r="BY1470">
        <v>1200</v>
      </c>
      <c r="CA1470" t="s">
        <v>408</v>
      </c>
      <c r="CC1470" t="s">
        <v>405</v>
      </c>
      <c r="CD1470">
        <v>4026</v>
      </c>
      <c r="CE1470" t="s">
        <v>88</v>
      </c>
      <c r="CF1470" s="3">
        <v>43817</v>
      </c>
      <c r="CI1470">
        <v>1</v>
      </c>
      <c r="CJ1470">
        <v>2</v>
      </c>
      <c r="CK1470">
        <v>21</v>
      </c>
      <c r="CL1470" t="s">
        <v>89</v>
      </c>
    </row>
    <row r="1471" spans="1:90">
      <c r="A1471" t="s">
        <v>72</v>
      </c>
      <c r="B1471" t="s">
        <v>73</v>
      </c>
      <c r="C1471" t="s">
        <v>74</v>
      </c>
      <c r="E1471" t="str">
        <f>"FES1162728476"</f>
        <v>FES1162728476</v>
      </c>
      <c r="F1471" s="3">
        <v>43812</v>
      </c>
      <c r="G1471">
        <v>202006</v>
      </c>
      <c r="H1471" t="s">
        <v>75</v>
      </c>
      <c r="I1471" t="s">
        <v>76</v>
      </c>
      <c r="J1471" t="s">
        <v>77</v>
      </c>
      <c r="K1471" t="s">
        <v>78</v>
      </c>
      <c r="L1471" t="s">
        <v>198</v>
      </c>
      <c r="M1471" t="s">
        <v>199</v>
      </c>
      <c r="N1471" t="s">
        <v>1937</v>
      </c>
      <c r="O1471" t="s">
        <v>82</v>
      </c>
      <c r="P1471" t="str">
        <f>"2170721715                    "</f>
        <v xml:space="preserve">2170721715                    </v>
      </c>
      <c r="Q1471">
        <v>0</v>
      </c>
      <c r="R1471">
        <v>0</v>
      </c>
      <c r="S1471">
        <v>0</v>
      </c>
      <c r="T1471">
        <v>0</v>
      </c>
      <c r="U1471">
        <v>0</v>
      </c>
      <c r="V1471">
        <v>0</v>
      </c>
      <c r="W1471">
        <v>0</v>
      </c>
      <c r="X1471">
        <v>0</v>
      </c>
      <c r="Y1471">
        <v>0</v>
      </c>
      <c r="Z1471">
        <v>0</v>
      </c>
      <c r="AA1471">
        <v>0</v>
      </c>
      <c r="AB1471">
        <v>0</v>
      </c>
      <c r="AC1471">
        <v>0</v>
      </c>
      <c r="AD1471">
        <v>0</v>
      </c>
      <c r="AE1471">
        <v>0</v>
      </c>
      <c r="AF1471">
        <v>0</v>
      </c>
      <c r="AG1471">
        <v>0</v>
      </c>
      <c r="AH1471">
        <v>0</v>
      </c>
      <c r="AI1471">
        <v>0</v>
      </c>
      <c r="AJ1471">
        <v>0</v>
      </c>
      <c r="AK1471">
        <v>0</v>
      </c>
      <c r="AL1471">
        <v>0</v>
      </c>
      <c r="AM1471">
        <v>8.58</v>
      </c>
      <c r="AN1471">
        <v>0</v>
      </c>
      <c r="AO1471">
        <v>0</v>
      </c>
      <c r="AP1471">
        <v>0</v>
      </c>
      <c r="AQ1471">
        <v>0</v>
      </c>
      <c r="AR1471">
        <v>0</v>
      </c>
      <c r="AS1471">
        <v>0</v>
      </c>
      <c r="AT1471">
        <v>0</v>
      </c>
      <c r="AU1471">
        <v>0</v>
      </c>
      <c r="AV1471">
        <v>0</v>
      </c>
      <c r="AW1471">
        <v>0</v>
      </c>
      <c r="AX1471">
        <v>0</v>
      </c>
      <c r="AY1471">
        <v>0</v>
      </c>
      <c r="AZ1471">
        <v>0</v>
      </c>
      <c r="BA1471">
        <v>0</v>
      </c>
      <c r="BB1471">
        <v>0</v>
      </c>
      <c r="BC1471">
        <v>0</v>
      </c>
      <c r="BD1471">
        <v>0</v>
      </c>
      <c r="BE1471">
        <v>0</v>
      </c>
      <c r="BF1471">
        <v>0</v>
      </c>
      <c r="BG1471">
        <v>0</v>
      </c>
      <c r="BH1471">
        <v>1</v>
      </c>
      <c r="BI1471">
        <v>1</v>
      </c>
      <c r="BJ1471">
        <v>0.2</v>
      </c>
      <c r="BK1471">
        <v>1</v>
      </c>
      <c r="BL1471" s="4">
        <v>50.45</v>
      </c>
      <c r="BM1471" s="4">
        <v>7.57</v>
      </c>
      <c r="BN1471" s="4">
        <v>58.02</v>
      </c>
      <c r="BO1471" s="4">
        <v>58.02</v>
      </c>
      <c r="BR1471" t="s">
        <v>84</v>
      </c>
      <c r="BS1471" s="3">
        <v>43816</v>
      </c>
      <c r="BT1471" s="5">
        <v>0.49513888888888885</v>
      </c>
      <c r="BU1471" t="s">
        <v>1938</v>
      </c>
      <c r="BV1471" t="s">
        <v>89</v>
      </c>
      <c r="BW1471" t="s">
        <v>506</v>
      </c>
      <c r="BX1471" t="s">
        <v>1879</v>
      </c>
      <c r="BY1471">
        <v>1200</v>
      </c>
      <c r="CA1471" t="s">
        <v>344</v>
      </c>
      <c r="CC1471" t="s">
        <v>199</v>
      </c>
      <c r="CD1471">
        <v>4000</v>
      </c>
      <c r="CE1471" t="s">
        <v>88</v>
      </c>
      <c r="CF1471" s="3">
        <v>43817</v>
      </c>
      <c r="CI1471">
        <v>1</v>
      </c>
      <c r="CJ1471">
        <v>2</v>
      </c>
      <c r="CK1471">
        <v>21</v>
      </c>
      <c r="CL1471" t="s">
        <v>89</v>
      </c>
    </row>
    <row r="1472" spans="1:90">
      <c r="A1472" t="s">
        <v>72</v>
      </c>
      <c r="B1472" t="s">
        <v>73</v>
      </c>
      <c r="C1472" t="s">
        <v>74</v>
      </c>
      <c r="E1472" t="str">
        <f>"FES1162728503"</f>
        <v>FES1162728503</v>
      </c>
      <c r="F1472" s="3">
        <v>43812</v>
      </c>
      <c r="G1472">
        <v>202006</v>
      </c>
      <c r="H1472" t="s">
        <v>75</v>
      </c>
      <c r="I1472" t="s">
        <v>76</v>
      </c>
      <c r="J1472" t="s">
        <v>77</v>
      </c>
      <c r="K1472" t="s">
        <v>78</v>
      </c>
      <c r="L1472" t="s">
        <v>198</v>
      </c>
      <c r="M1472" t="s">
        <v>199</v>
      </c>
      <c r="N1472" t="s">
        <v>297</v>
      </c>
      <c r="O1472" t="s">
        <v>82</v>
      </c>
      <c r="P1472" t="str">
        <f>"217071736                     "</f>
        <v xml:space="preserve">217071736                     </v>
      </c>
      <c r="Q1472">
        <v>0</v>
      </c>
      <c r="R1472">
        <v>0</v>
      </c>
      <c r="S1472">
        <v>0</v>
      </c>
      <c r="T1472">
        <v>0</v>
      </c>
      <c r="U1472">
        <v>0</v>
      </c>
      <c r="V1472">
        <v>0</v>
      </c>
      <c r="W1472">
        <v>0</v>
      </c>
      <c r="X1472">
        <v>0</v>
      </c>
      <c r="Y1472">
        <v>0</v>
      </c>
      <c r="Z1472">
        <v>0</v>
      </c>
      <c r="AA1472">
        <v>0</v>
      </c>
      <c r="AB1472">
        <v>0</v>
      </c>
      <c r="AC1472">
        <v>0</v>
      </c>
      <c r="AD1472">
        <v>0</v>
      </c>
      <c r="AE1472">
        <v>0</v>
      </c>
      <c r="AF1472">
        <v>0</v>
      </c>
      <c r="AG1472">
        <v>0</v>
      </c>
      <c r="AH1472">
        <v>0</v>
      </c>
      <c r="AI1472">
        <v>0</v>
      </c>
      <c r="AJ1472">
        <v>0</v>
      </c>
      <c r="AK1472">
        <v>0</v>
      </c>
      <c r="AL1472">
        <v>0</v>
      </c>
      <c r="AM1472">
        <v>8.58</v>
      </c>
      <c r="AN1472">
        <v>0</v>
      </c>
      <c r="AO1472">
        <v>0</v>
      </c>
      <c r="AP1472">
        <v>0</v>
      </c>
      <c r="AQ1472">
        <v>0</v>
      </c>
      <c r="AR1472">
        <v>0</v>
      </c>
      <c r="AS1472">
        <v>0</v>
      </c>
      <c r="AT1472">
        <v>0</v>
      </c>
      <c r="AU1472">
        <v>0</v>
      </c>
      <c r="AV1472">
        <v>0</v>
      </c>
      <c r="AW1472">
        <v>0</v>
      </c>
      <c r="AX1472">
        <v>0</v>
      </c>
      <c r="AY1472">
        <v>0</v>
      </c>
      <c r="AZ1472">
        <v>0</v>
      </c>
      <c r="BA1472">
        <v>0</v>
      </c>
      <c r="BB1472">
        <v>0</v>
      </c>
      <c r="BC1472">
        <v>0</v>
      </c>
      <c r="BD1472">
        <v>0</v>
      </c>
      <c r="BE1472">
        <v>0</v>
      </c>
      <c r="BF1472">
        <v>0</v>
      </c>
      <c r="BG1472">
        <v>0</v>
      </c>
      <c r="BH1472">
        <v>1</v>
      </c>
      <c r="BI1472">
        <v>1</v>
      </c>
      <c r="BJ1472">
        <v>0.2</v>
      </c>
      <c r="BK1472">
        <v>1</v>
      </c>
      <c r="BL1472" s="4">
        <v>50.45</v>
      </c>
      <c r="BM1472" s="4">
        <v>7.57</v>
      </c>
      <c r="BN1472" s="4">
        <v>58.02</v>
      </c>
      <c r="BO1472" s="4">
        <v>58.02</v>
      </c>
      <c r="BQ1472" t="s">
        <v>172</v>
      </c>
      <c r="BR1472" t="s">
        <v>84</v>
      </c>
      <c r="BS1472" s="3">
        <v>43816</v>
      </c>
      <c r="BT1472" s="5">
        <v>0.34583333333333338</v>
      </c>
      <c r="BU1472" t="s">
        <v>542</v>
      </c>
      <c r="BV1472" t="s">
        <v>86</v>
      </c>
      <c r="BY1472">
        <v>1200</v>
      </c>
      <c r="CA1472" t="s">
        <v>299</v>
      </c>
      <c r="CC1472" t="s">
        <v>199</v>
      </c>
      <c r="CD1472">
        <v>4000</v>
      </c>
      <c r="CE1472" t="s">
        <v>88</v>
      </c>
      <c r="CF1472" s="3">
        <v>43817</v>
      </c>
      <c r="CI1472">
        <v>1</v>
      </c>
      <c r="CJ1472">
        <v>2</v>
      </c>
      <c r="CK1472">
        <v>21</v>
      </c>
      <c r="CL1472" t="s">
        <v>89</v>
      </c>
    </row>
    <row r="1473" spans="1:90">
      <c r="A1473" t="s">
        <v>72</v>
      </c>
      <c r="B1473" t="s">
        <v>73</v>
      </c>
      <c r="C1473" t="s">
        <v>74</v>
      </c>
      <c r="E1473" t="str">
        <f>"FES1162728475"</f>
        <v>FES1162728475</v>
      </c>
      <c r="F1473" s="3">
        <v>43812</v>
      </c>
      <c r="G1473">
        <v>202006</v>
      </c>
      <c r="H1473" t="s">
        <v>75</v>
      </c>
      <c r="I1473" t="s">
        <v>76</v>
      </c>
      <c r="J1473" t="s">
        <v>77</v>
      </c>
      <c r="K1473" t="s">
        <v>78</v>
      </c>
      <c r="L1473" t="s">
        <v>491</v>
      </c>
      <c r="M1473" t="s">
        <v>492</v>
      </c>
      <c r="N1473" t="s">
        <v>880</v>
      </c>
      <c r="O1473" t="s">
        <v>82</v>
      </c>
      <c r="P1473" t="str">
        <f>"2170717132                    "</f>
        <v xml:space="preserve">2170717132                    </v>
      </c>
      <c r="Q1473">
        <v>0</v>
      </c>
      <c r="R1473">
        <v>0</v>
      </c>
      <c r="S1473">
        <v>0</v>
      </c>
      <c r="T1473">
        <v>0</v>
      </c>
      <c r="U1473">
        <v>0</v>
      </c>
      <c r="V1473">
        <v>0</v>
      </c>
      <c r="W1473">
        <v>0</v>
      </c>
      <c r="X1473">
        <v>0</v>
      </c>
      <c r="Y1473">
        <v>0</v>
      </c>
      <c r="Z1473">
        <v>0</v>
      </c>
      <c r="AA1473">
        <v>0</v>
      </c>
      <c r="AB1473">
        <v>0</v>
      </c>
      <c r="AC1473">
        <v>0</v>
      </c>
      <c r="AD1473">
        <v>0</v>
      </c>
      <c r="AE1473">
        <v>0</v>
      </c>
      <c r="AF1473">
        <v>0</v>
      </c>
      <c r="AG1473">
        <v>0</v>
      </c>
      <c r="AH1473">
        <v>0</v>
      </c>
      <c r="AI1473">
        <v>0</v>
      </c>
      <c r="AJ1473">
        <v>0</v>
      </c>
      <c r="AK1473">
        <v>0</v>
      </c>
      <c r="AL1473">
        <v>0</v>
      </c>
      <c r="AM1473">
        <v>7.51</v>
      </c>
      <c r="AN1473">
        <v>0</v>
      </c>
      <c r="AO1473">
        <v>0</v>
      </c>
      <c r="AP1473">
        <v>0</v>
      </c>
      <c r="AQ1473">
        <v>0</v>
      </c>
      <c r="AR1473">
        <v>0</v>
      </c>
      <c r="AS1473">
        <v>0</v>
      </c>
      <c r="AT1473">
        <v>0</v>
      </c>
      <c r="AU1473">
        <v>0</v>
      </c>
      <c r="AV1473">
        <v>0</v>
      </c>
      <c r="AW1473">
        <v>0</v>
      </c>
      <c r="AX1473">
        <v>0</v>
      </c>
      <c r="AY1473">
        <v>0</v>
      </c>
      <c r="AZ1473">
        <v>0</v>
      </c>
      <c r="BA1473">
        <v>0</v>
      </c>
      <c r="BB1473">
        <v>0</v>
      </c>
      <c r="BC1473">
        <v>0</v>
      </c>
      <c r="BD1473">
        <v>0</v>
      </c>
      <c r="BE1473">
        <v>0</v>
      </c>
      <c r="BF1473">
        <v>0</v>
      </c>
      <c r="BG1473">
        <v>0</v>
      </c>
      <c r="BH1473">
        <v>1</v>
      </c>
      <c r="BI1473">
        <v>2.5</v>
      </c>
      <c r="BJ1473">
        <v>1</v>
      </c>
      <c r="BK1473">
        <v>2.5</v>
      </c>
      <c r="BL1473" s="4">
        <v>44.14</v>
      </c>
      <c r="BM1473" s="4">
        <v>6.62</v>
      </c>
      <c r="BN1473" s="4">
        <v>50.76</v>
      </c>
      <c r="BO1473" s="4">
        <v>50.76</v>
      </c>
      <c r="BQ1473" t="s">
        <v>93</v>
      </c>
      <c r="BR1473" t="s">
        <v>84</v>
      </c>
      <c r="BS1473" s="3">
        <v>43816</v>
      </c>
      <c r="BT1473" s="5">
        <v>0.34375</v>
      </c>
      <c r="BU1473" t="s">
        <v>1933</v>
      </c>
      <c r="BV1473" t="s">
        <v>86</v>
      </c>
      <c r="BY1473">
        <v>4918.3599999999997</v>
      </c>
      <c r="CA1473" t="s">
        <v>1521</v>
      </c>
      <c r="CC1473" t="s">
        <v>492</v>
      </c>
      <c r="CD1473">
        <v>1709</v>
      </c>
      <c r="CE1473" t="s">
        <v>96</v>
      </c>
      <c r="CF1473" s="3">
        <v>43817</v>
      </c>
      <c r="CI1473">
        <v>1</v>
      </c>
      <c r="CJ1473">
        <v>2</v>
      </c>
      <c r="CK1473">
        <v>22</v>
      </c>
      <c r="CL1473" t="s">
        <v>89</v>
      </c>
    </row>
    <row r="1474" spans="1:90">
      <c r="A1474" t="s">
        <v>72</v>
      </c>
      <c r="B1474" t="s">
        <v>73</v>
      </c>
      <c r="C1474" t="s">
        <v>74</v>
      </c>
      <c r="E1474" t="str">
        <f>"FES1162728451"</f>
        <v>FES1162728451</v>
      </c>
      <c r="F1474" s="3">
        <v>43812</v>
      </c>
      <c r="G1474">
        <v>202006</v>
      </c>
      <c r="H1474" t="s">
        <v>75</v>
      </c>
      <c r="I1474" t="s">
        <v>76</v>
      </c>
      <c r="J1474" t="s">
        <v>77</v>
      </c>
      <c r="K1474" t="s">
        <v>78</v>
      </c>
      <c r="L1474" t="s">
        <v>332</v>
      </c>
      <c r="M1474" t="s">
        <v>333</v>
      </c>
      <c r="N1474" t="s">
        <v>790</v>
      </c>
      <c r="O1474" t="s">
        <v>82</v>
      </c>
      <c r="P1474" t="str">
        <f>"2170718712                    "</f>
        <v xml:space="preserve">2170718712                    </v>
      </c>
      <c r="Q1474">
        <v>0</v>
      </c>
      <c r="R1474">
        <v>0</v>
      </c>
      <c r="S1474">
        <v>0</v>
      </c>
      <c r="T1474">
        <v>0</v>
      </c>
      <c r="U1474">
        <v>0</v>
      </c>
      <c r="V1474">
        <v>0</v>
      </c>
      <c r="W1474">
        <v>0</v>
      </c>
      <c r="X1474">
        <v>0</v>
      </c>
      <c r="Y1474">
        <v>0</v>
      </c>
      <c r="Z1474">
        <v>0</v>
      </c>
      <c r="AA1474">
        <v>0</v>
      </c>
      <c r="AB1474">
        <v>0</v>
      </c>
      <c r="AC1474">
        <v>0</v>
      </c>
      <c r="AD1474">
        <v>0</v>
      </c>
      <c r="AE1474">
        <v>0</v>
      </c>
      <c r="AF1474">
        <v>0</v>
      </c>
      <c r="AG1474">
        <v>0</v>
      </c>
      <c r="AH1474">
        <v>0</v>
      </c>
      <c r="AI1474">
        <v>0</v>
      </c>
      <c r="AJ1474">
        <v>0</v>
      </c>
      <c r="AK1474">
        <v>0</v>
      </c>
      <c r="AL1474">
        <v>0</v>
      </c>
      <c r="AM1474">
        <v>6.71</v>
      </c>
      <c r="AN1474">
        <v>0</v>
      </c>
      <c r="AO1474">
        <v>0</v>
      </c>
      <c r="AP1474">
        <v>0</v>
      </c>
      <c r="AQ1474">
        <v>0</v>
      </c>
      <c r="AR1474">
        <v>0</v>
      </c>
      <c r="AS1474">
        <v>0</v>
      </c>
      <c r="AT1474">
        <v>0</v>
      </c>
      <c r="AU1474">
        <v>0</v>
      </c>
      <c r="AV1474">
        <v>0</v>
      </c>
      <c r="AW1474">
        <v>0</v>
      </c>
      <c r="AX1474">
        <v>0</v>
      </c>
      <c r="AY1474">
        <v>0</v>
      </c>
      <c r="AZ1474">
        <v>0</v>
      </c>
      <c r="BA1474">
        <v>0</v>
      </c>
      <c r="BB1474">
        <v>0</v>
      </c>
      <c r="BC1474">
        <v>0</v>
      </c>
      <c r="BD1474">
        <v>0</v>
      </c>
      <c r="BE1474">
        <v>0</v>
      </c>
      <c r="BF1474">
        <v>0</v>
      </c>
      <c r="BG1474">
        <v>0</v>
      </c>
      <c r="BH1474">
        <v>1</v>
      </c>
      <c r="BI1474">
        <v>0.8</v>
      </c>
      <c r="BJ1474">
        <v>0.6</v>
      </c>
      <c r="BK1474">
        <v>1</v>
      </c>
      <c r="BL1474" s="4">
        <v>39.42</v>
      </c>
      <c r="BM1474" s="4">
        <v>5.91</v>
      </c>
      <c r="BN1474" s="4">
        <v>45.33</v>
      </c>
      <c r="BO1474" s="4">
        <v>45.33</v>
      </c>
      <c r="BQ1474" t="s">
        <v>147</v>
      </c>
      <c r="BR1474" t="s">
        <v>84</v>
      </c>
      <c r="BS1474" s="3">
        <v>43816</v>
      </c>
      <c r="BT1474" s="5">
        <v>0.42708333333333331</v>
      </c>
      <c r="BU1474" t="s">
        <v>1398</v>
      </c>
      <c r="BV1474" t="s">
        <v>86</v>
      </c>
      <c r="BY1474">
        <v>3111.37</v>
      </c>
      <c r="CA1474" t="s">
        <v>1008</v>
      </c>
      <c r="CC1474" t="s">
        <v>333</v>
      </c>
      <c r="CD1474">
        <v>2091</v>
      </c>
      <c r="CE1474" t="s">
        <v>116</v>
      </c>
      <c r="CF1474" s="3">
        <v>43817</v>
      </c>
      <c r="CI1474">
        <v>1</v>
      </c>
      <c r="CJ1474">
        <v>2</v>
      </c>
      <c r="CK1474">
        <v>22</v>
      </c>
      <c r="CL1474" t="s">
        <v>89</v>
      </c>
    </row>
    <row r="1475" spans="1:90">
      <c r="A1475" t="s">
        <v>72</v>
      </c>
      <c r="B1475" t="s">
        <v>73</v>
      </c>
      <c r="C1475" t="s">
        <v>74</v>
      </c>
      <c r="E1475" t="str">
        <f>"FES1162728489"</f>
        <v>FES1162728489</v>
      </c>
      <c r="F1475" s="3">
        <v>43812</v>
      </c>
      <c r="G1475">
        <v>202006</v>
      </c>
      <c r="H1475" t="s">
        <v>75</v>
      </c>
      <c r="I1475" t="s">
        <v>76</v>
      </c>
      <c r="J1475" t="s">
        <v>77</v>
      </c>
      <c r="K1475" t="s">
        <v>78</v>
      </c>
      <c r="L1475" t="s">
        <v>1271</v>
      </c>
      <c r="M1475" t="s">
        <v>1272</v>
      </c>
      <c r="N1475" t="s">
        <v>1273</v>
      </c>
      <c r="O1475" t="s">
        <v>82</v>
      </c>
      <c r="P1475" t="str">
        <f>"217071726                     "</f>
        <v xml:space="preserve">217071726                     </v>
      </c>
      <c r="Q1475">
        <v>0</v>
      </c>
      <c r="R1475">
        <v>0</v>
      </c>
      <c r="S1475">
        <v>0</v>
      </c>
      <c r="T1475">
        <v>0</v>
      </c>
      <c r="U1475">
        <v>0</v>
      </c>
      <c r="V1475">
        <v>0</v>
      </c>
      <c r="W1475">
        <v>0</v>
      </c>
      <c r="X1475">
        <v>0</v>
      </c>
      <c r="Y1475">
        <v>0</v>
      </c>
      <c r="Z1475">
        <v>0</v>
      </c>
      <c r="AA1475">
        <v>0</v>
      </c>
      <c r="AB1475">
        <v>0</v>
      </c>
      <c r="AC1475">
        <v>0</v>
      </c>
      <c r="AD1475">
        <v>0</v>
      </c>
      <c r="AE1475">
        <v>0</v>
      </c>
      <c r="AF1475">
        <v>0</v>
      </c>
      <c r="AG1475">
        <v>0</v>
      </c>
      <c r="AH1475">
        <v>0</v>
      </c>
      <c r="AI1475">
        <v>0</v>
      </c>
      <c r="AJ1475">
        <v>0</v>
      </c>
      <c r="AK1475">
        <v>0</v>
      </c>
      <c r="AL1475">
        <v>0</v>
      </c>
      <c r="AM1475">
        <v>6.71</v>
      </c>
      <c r="AN1475">
        <v>0</v>
      </c>
      <c r="AO1475">
        <v>0</v>
      </c>
      <c r="AP1475">
        <v>0</v>
      </c>
      <c r="AQ1475">
        <v>0</v>
      </c>
      <c r="AR1475">
        <v>0</v>
      </c>
      <c r="AS1475">
        <v>0</v>
      </c>
      <c r="AT1475">
        <v>0</v>
      </c>
      <c r="AU1475">
        <v>0</v>
      </c>
      <c r="AV1475">
        <v>0</v>
      </c>
      <c r="AW1475">
        <v>0</v>
      </c>
      <c r="AX1475">
        <v>0</v>
      </c>
      <c r="AY1475">
        <v>0</v>
      </c>
      <c r="AZ1475">
        <v>0</v>
      </c>
      <c r="BA1475">
        <v>0</v>
      </c>
      <c r="BB1475">
        <v>0</v>
      </c>
      <c r="BC1475">
        <v>0</v>
      </c>
      <c r="BD1475">
        <v>0</v>
      </c>
      <c r="BE1475">
        <v>0</v>
      </c>
      <c r="BF1475">
        <v>0</v>
      </c>
      <c r="BG1475">
        <v>0</v>
      </c>
      <c r="BH1475">
        <v>1</v>
      </c>
      <c r="BI1475">
        <v>1.1000000000000001</v>
      </c>
      <c r="BJ1475">
        <v>0.9</v>
      </c>
      <c r="BK1475">
        <v>1.5</v>
      </c>
      <c r="BL1475" s="4">
        <v>39.42</v>
      </c>
      <c r="BM1475" s="4">
        <v>5.91</v>
      </c>
      <c r="BN1475" s="4">
        <v>45.33</v>
      </c>
      <c r="BO1475" s="4">
        <v>45.33</v>
      </c>
      <c r="BQ1475" t="s">
        <v>1274</v>
      </c>
      <c r="BR1475" t="s">
        <v>84</v>
      </c>
      <c r="BS1475" s="3">
        <v>43816</v>
      </c>
      <c r="BT1475" s="5">
        <v>0.41041666666666665</v>
      </c>
      <c r="BU1475" t="s">
        <v>1939</v>
      </c>
      <c r="BV1475" t="s">
        <v>86</v>
      </c>
      <c r="BY1475">
        <v>4700.57</v>
      </c>
      <c r="CA1475" t="s">
        <v>1940</v>
      </c>
      <c r="CC1475" t="s">
        <v>1272</v>
      </c>
      <c r="CD1475">
        <v>1684</v>
      </c>
      <c r="CE1475" t="s">
        <v>96</v>
      </c>
      <c r="CF1475" s="3">
        <v>43817</v>
      </c>
      <c r="CI1475">
        <v>1</v>
      </c>
      <c r="CJ1475">
        <v>2</v>
      </c>
      <c r="CK1475">
        <v>22</v>
      </c>
      <c r="CL1475" t="s">
        <v>89</v>
      </c>
    </row>
    <row r="1476" spans="1:90">
      <c r="A1476" t="s">
        <v>72</v>
      </c>
      <c r="B1476" t="s">
        <v>73</v>
      </c>
      <c r="C1476" t="s">
        <v>74</v>
      </c>
      <c r="E1476" t="str">
        <f>"FES1162728367"</f>
        <v>FES1162728367</v>
      </c>
      <c r="F1476" s="3">
        <v>43812</v>
      </c>
      <c r="G1476">
        <v>202006</v>
      </c>
      <c r="H1476" t="s">
        <v>75</v>
      </c>
      <c r="I1476" t="s">
        <v>76</v>
      </c>
      <c r="J1476" t="s">
        <v>77</v>
      </c>
      <c r="K1476" t="s">
        <v>78</v>
      </c>
      <c r="L1476" t="s">
        <v>138</v>
      </c>
      <c r="M1476" t="s">
        <v>139</v>
      </c>
      <c r="N1476" t="s">
        <v>146</v>
      </c>
      <c r="O1476" t="s">
        <v>82</v>
      </c>
      <c r="P1476" t="str">
        <f>"217071664                     "</f>
        <v xml:space="preserve">217071664                     </v>
      </c>
      <c r="Q1476">
        <v>0</v>
      </c>
      <c r="R1476">
        <v>0</v>
      </c>
      <c r="S1476">
        <v>0</v>
      </c>
      <c r="T1476">
        <v>0</v>
      </c>
      <c r="U1476">
        <v>0</v>
      </c>
      <c r="V1476">
        <v>0</v>
      </c>
      <c r="W1476">
        <v>0</v>
      </c>
      <c r="X1476">
        <v>0</v>
      </c>
      <c r="Y1476">
        <v>0</v>
      </c>
      <c r="Z1476">
        <v>0</v>
      </c>
      <c r="AA1476">
        <v>0</v>
      </c>
      <c r="AB1476">
        <v>0</v>
      </c>
      <c r="AC1476">
        <v>0</v>
      </c>
      <c r="AD1476">
        <v>0</v>
      </c>
      <c r="AE1476">
        <v>0</v>
      </c>
      <c r="AF1476">
        <v>0</v>
      </c>
      <c r="AG1476">
        <v>0</v>
      </c>
      <c r="AH1476">
        <v>0</v>
      </c>
      <c r="AI1476">
        <v>0</v>
      </c>
      <c r="AJ1476">
        <v>0</v>
      </c>
      <c r="AK1476">
        <v>0</v>
      </c>
      <c r="AL1476">
        <v>0</v>
      </c>
      <c r="AM1476">
        <v>9.1199999999999992</v>
      </c>
      <c r="AN1476">
        <v>0</v>
      </c>
      <c r="AO1476">
        <v>0</v>
      </c>
      <c r="AP1476">
        <v>0</v>
      </c>
      <c r="AQ1476">
        <v>0</v>
      </c>
      <c r="AR1476">
        <v>0</v>
      </c>
      <c r="AS1476">
        <v>0</v>
      </c>
      <c r="AT1476">
        <v>0</v>
      </c>
      <c r="AU1476">
        <v>0</v>
      </c>
      <c r="AV1476">
        <v>0</v>
      </c>
      <c r="AW1476">
        <v>0</v>
      </c>
      <c r="AX1476">
        <v>0</v>
      </c>
      <c r="AY1476">
        <v>0</v>
      </c>
      <c r="AZ1476">
        <v>0</v>
      </c>
      <c r="BA1476">
        <v>0</v>
      </c>
      <c r="BB1476">
        <v>0</v>
      </c>
      <c r="BC1476">
        <v>0</v>
      </c>
      <c r="BD1476">
        <v>0</v>
      </c>
      <c r="BE1476">
        <v>0</v>
      </c>
      <c r="BF1476">
        <v>0</v>
      </c>
      <c r="BG1476">
        <v>0</v>
      </c>
      <c r="BH1476">
        <v>2</v>
      </c>
      <c r="BI1476">
        <v>3.3</v>
      </c>
      <c r="BJ1476">
        <v>0.9</v>
      </c>
      <c r="BK1476">
        <v>3.5</v>
      </c>
      <c r="BL1476" s="4">
        <v>53.59</v>
      </c>
      <c r="BM1476" s="4">
        <v>8.0399999999999991</v>
      </c>
      <c r="BN1476" s="4">
        <v>61.63</v>
      </c>
      <c r="BO1476" s="4">
        <v>61.63</v>
      </c>
      <c r="BQ1476" t="s">
        <v>147</v>
      </c>
      <c r="BR1476" t="s">
        <v>84</v>
      </c>
      <c r="BS1476" s="3">
        <v>43816</v>
      </c>
      <c r="BT1476" s="5">
        <v>0.4375</v>
      </c>
      <c r="BU1476" t="s">
        <v>1398</v>
      </c>
      <c r="BV1476" t="s">
        <v>86</v>
      </c>
      <c r="BY1476">
        <v>4587.91</v>
      </c>
      <c r="CC1476" t="s">
        <v>139</v>
      </c>
      <c r="CD1476">
        <v>1428</v>
      </c>
      <c r="CE1476" t="s">
        <v>1634</v>
      </c>
      <c r="CF1476" s="3">
        <v>43817</v>
      </c>
      <c r="CI1476">
        <v>1</v>
      </c>
      <c r="CJ1476">
        <v>2</v>
      </c>
      <c r="CK1476">
        <v>22</v>
      </c>
      <c r="CL1476" t="s">
        <v>89</v>
      </c>
    </row>
    <row r="1477" spans="1:90">
      <c r="A1477" t="s">
        <v>72</v>
      </c>
      <c r="B1477" t="s">
        <v>73</v>
      </c>
      <c r="C1477" t="s">
        <v>74</v>
      </c>
      <c r="E1477" t="str">
        <f>"FES1162728515"</f>
        <v>FES1162728515</v>
      </c>
      <c r="F1477" s="3">
        <v>43812</v>
      </c>
      <c r="G1477">
        <v>202006</v>
      </c>
      <c r="H1477" t="s">
        <v>75</v>
      </c>
      <c r="I1477" t="s">
        <v>76</v>
      </c>
      <c r="J1477" t="s">
        <v>77</v>
      </c>
      <c r="K1477" t="s">
        <v>78</v>
      </c>
      <c r="L1477" t="s">
        <v>404</v>
      </c>
      <c r="M1477" t="s">
        <v>405</v>
      </c>
      <c r="N1477" t="s">
        <v>435</v>
      </c>
      <c r="O1477" t="s">
        <v>82</v>
      </c>
      <c r="P1477" t="str">
        <f>"217071749                     "</f>
        <v xml:space="preserve">217071749                     </v>
      </c>
      <c r="Q1477">
        <v>0</v>
      </c>
      <c r="R1477">
        <v>0</v>
      </c>
      <c r="S1477">
        <v>0</v>
      </c>
      <c r="T1477">
        <v>0</v>
      </c>
      <c r="U1477">
        <v>0</v>
      </c>
      <c r="V1477">
        <v>0</v>
      </c>
      <c r="W1477">
        <v>0</v>
      </c>
      <c r="X1477">
        <v>0</v>
      </c>
      <c r="Y1477">
        <v>0</v>
      </c>
      <c r="Z1477">
        <v>0</v>
      </c>
      <c r="AA1477">
        <v>0</v>
      </c>
      <c r="AB1477">
        <v>0</v>
      </c>
      <c r="AC1477">
        <v>0</v>
      </c>
      <c r="AD1477">
        <v>0</v>
      </c>
      <c r="AE1477">
        <v>0</v>
      </c>
      <c r="AF1477">
        <v>0</v>
      </c>
      <c r="AG1477">
        <v>0</v>
      </c>
      <c r="AH1477">
        <v>0</v>
      </c>
      <c r="AI1477">
        <v>0</v>
      </c>
      <c r="AJ1477">
        <v>0</v>
      </c>
      <c r="AK1477">
        <v>0</v>
      </c>
      <c r="AL1477">
        <v>0</v>
      </c>
      <c r="AM1477">
        <v>17.16</v>
      </c>
      <c r="AN1477">
        <v>0</v>
      </c>
      <c r="AO1477">
        <v>0</v>
      </c>
      <c r="AP1477">
        <v>0</v>
      </c>
      <c r="AQ1477">
        <v>0</v>
      </c>
      <c r="AR1477">
        <v>0</v>
      </c>
      <c r="AS1477">
        <v>0</v>
      </c>
      <c r="AT1477">
        <v>0</v>
      </c>
      <c r="AU1477">
        <v>0</v>
      </c>
      <c r="AV1477">
        <v>0</v>
      </c>
      <c r="AW1477">
        <v>0</v>
      </c>
      <c r="AX1477">
        <v>0</v>
      </c>
      <c r="AY1477">
        <v>0</v>
      </c>
      <c r="AZ1477">
        <v>0</v>
      </c>
      <c r="BA1477">
        <v>0</v>
      </c>
      <c r="BB1477">
        <v>0</v>
      </c>
      <c r="BC1477">
        <v>0</v>
      </c>
      <c r="BD1477">
        <v>0</v>
      </c>
      <c r="BE1477">
        <v>0</v>
      </c>
      <c r="BF1477">
        <v>0</v>
      </c>
      <c r="BG1477">
        <v>0</v>
      </c>
      <c r="BH1477">
        <v>1</v>
      </c>
      <c r="BI1477">
        <v>3.6</v>
      </c>
      <c r="BJ1477">
        <v>3.7</v>
      </c>
      <c r="BK1477">
        <v>4</v>
      </c>
      <c r="BL1477" s="4">
        <v>100.87</v>
      </c>
      <c r="BM1477" s="4">
        <v>15.13</v>
      </c>
      <c r="BN1477" s="4">
        <v>116</v>
      </c>
      <c r="BO1477" s="4">
        <v>116</v>
      </c>
      <c r="BQ1477" t="s">
        <v>436</v>
      </c>
      <c r="BR1477" t="s">
        <v>84</v>
      </c>
      <c r="BS1477" s="3">
        <v>43816</v>
      </c>
      <c r="BT1477" s="5">
        <v>0.38055555555555554</v>
      </c>
      <c r="BU1477" t="s">
        <v>1941</v>
      </c>
      <c r="BV1477" t="s">
        <v>86</v>
      </c>
      <c r="BY1477">
        <v>18645.169999999998</v>
      </c>
      <c r="CA1477" t="s">
        <v>212</v>
      </c>
      <c r="CC1477" t="s">
        <v>405</v>
      </c>
      <c r="CD1477">
        <v>4026</v>
      </c>
      <c r="CE1477" t="s">
        <v>96</v>
      </c>
      <c r="CF1477" s="3">
        <v>43817</v>
      </c>
      <c r="CI1477">
        <v>1</v>
      </c>
      <c r="CJ1477">
        <v>2</v>
      </c>
      <c r="CK1477">
        <v>21</v>
      </c>
      <c r="CL1477" t="s">
        <v>89</v>
      </c>
    </row>
    <row r="1478" spans="1:90">
      <c r="A1478" t="s">
        <v>72</v>
      </c>
      <c r="B1478" t="s">
        <v>73</v>
      </c>
      <c r="C1478" t="s">
        <v>74</v>
      </c>
      <c r="E1478" t="str">
        <f>"FES1162728315"</f>
        <v>FES1162728315</v>
      </c>
      <c r="F1478" s="3">
        <v>43812</v>
      </c>
      <c r="G1478">
        <v>202006</v>
      </c>
      <c r="H1478" t="s">
        <v>75</v>
      </c>
      <c r="I1478" t="s">
        <v>76</v>
      </c>
      <c r="J1478" t="s">
        <v>77</v>
      </c>
      <c r="K1478" t="s">
        <v>78</v>
      </c>
      <c r="L1478" t="s">
        <v>79</v>
      </c>
      <c r="M1478" t="s">
        <v>80</v>
      </c>
      <c r="N1478" t="s">
        <v>1942</v>
      </c>
      <c r="O1478" t="s">
        <v>82</v>
      </c>
      <c r="P1478" t="str">
        <f>"2170719393                    "</f>
        <v xml:space="preserve">2170719393                    </v>
      </c>
      <c r="Q1478">
        <v>0</v>
      </c>
      <c r="R1478">
        <v>0</v>
      </c>
      <c r="S1478">
        <v>0</v>
      </c>
      <c r="T1478">
        <v>0</v>
      </c>
      <c r="U1478">
        <v>0</v>
      </c>
      <c r="V1478">
        <v>0</v>
      </c>
      <c r="W1478">
        <v>0</v>
      </c>
      <c r="X1478">
        <v>0</v>
      </c>
      <c r="Y1478">
        <v>0</v>
      </c>
      <c r="Z1478">
        <v>0</v>
      </c>
      <c r="AA1478">
        <v>0</v>
      </c>
      <c r="AB1478">
        <v>0</v>
      </c>
      <c r="AC1478">
        <v>0</v>
      </c>
      <c r="AD1478">
        <v>0</v>
      </c>
      <c r="AE1478">
        <v>0</v>
      </c>
      <c r="AF1478">
        <v>0</v>
      </c>
      <c r="AG1478">
        <v>0</v>
      </c>
      <c r="AH1478">
        <v>0</v>
      </c>
      <c r="AI1478">
        <v>0</v>
      </c>
      <c r="AJ1478">
        <v>0</v>
      </c>
      <c r="AK1478">
        <v>0</v>
      </c>
      <c r="AL1478">
        <v>0</v>
      </c>
      <c r="AM1478">
        <v>75.06</v>
      </c>
      <c r="AN1478">
        <v>0</v>
      </c>
      <c r="AO1478">
        <v>0</v>
      </c>
      <c r="AP1478">
        <v>0</v>
      </c>
      <c r="AQ1478">
        <v>0</v>
      </c>
      <c r="AR1478">
        <v>0</v>
      </c>
      <c r="AS1478">
        <v>0</v>
      </c>
      <c r="AT1478">
        <v>0</v>
      </c>
      <c r="AU1478">
        <v>0</v>
      </c>
      <c r="AV1478">
        <v>0</v>
      </c>
      <c r="AW1478">
        <v>0</v>
      </c>
      <c r="AX1478">
        <v>0</v>
      </c>
      <c r="AY1478">
        <v>0</v>
      </c>
      <c r="AZ1478">
        <v>0</v>
      </c>
      <c r="BA1478">
        <v>0</v>
      </c>
      <c r="BB1478">
        <v>0</v>
      </c>
      <c r="BC1478">
        <v>0</v>
      </c>
      <c r="BD1478">
        <v>0</v>
      </c>
      <c r="BE1478">
        <v>0</v>
      </c>
      <c r="BF1478">
        <v>0</v>
      </c>
      <c r="BG1478">
        <v>0</v>
      </c>
      <c r="BH1478">
        <v>1</v>
      </c>
      <c r="BI1478">
        <v>6.3</v>
      </c>
      <c r="BJ1478">
        <v>17.100000000000001</v>
      </c>
      <c r="BK1478">
        <v>17.5</v>
      </c>
      <c r="BL1478" s="4">
        <v>441.19</v>
      </c>
      <c r="BM1478" s="4">
        <v>66.180000000000007</v>
      </c>
      <c r="BN1478" s="4">
        <v>507.37</v>
      </c>
      <c r="BO1478" s="4">
        <v>507.37</v>
      </c>
      <c r="BQ1478" t="s">
        <v>277</v>
      </c>
      <c r="BR1478" t="s">
        <v>84</v>
      </c>
      <c r="BS1478" s="3">
        <v>43816</v>
      </c>
      <c r="BT1478" s="5">
        <v>0.5</v>
      </c>
      <c r="BU1478" t="s">
        <v>562</v>
      </c>
      <c r="BV1478" t="s">
        <v>89</v>
      </c>
      <c r="BW1478" t="s">
        <v>1254</v>
      </c>
      <c r="BX1478" t="s">
        <v>594</v>
      </c>
      <c r="BY1478">
        <v>85393.72</v>
      </c>
      <c r="CC1478" t="s">
        <v>80</v>
      </c>
      <c r="CD1478">
        <v>6014</v>
      </c>
      <c r="CE1478" t="s">
        <v>96</v>
      </c>
      <c r="CF1478" s="3">
        <v>43818</v>
      </c>
      <c r="CI1478">
        <v>1</v>
      </c>
      <c r="CJ1478">
        <v>2</v>
      </c>
      <c r="CK1478">
        <v>21</v>
      </c>
      <c r="CL1478" t="s">
        <v>89</v>
      </c>
    </row>
    <row r="1479" spans="1:90">
      <c r="A1479" t="s">
        <v>72</v>
      </c>
      <c r="B1479" t="s">
        <v>73</v>
      </c>
      <c r="C1479" t="s">
        <v>74</v>
      </c>
      <c r="E1479" t="str">
        <f>"FES1162728474"</f>
        <v>FES1162728474</v>
      </c>
      <c r="F1479" s="3">
        <v>43812</v>
      </c>
      <c r="G1479">
        <v>202006</v>
      </c>
      <c r="H1479" t="s">
        <v>75</v>
      </c>
      <c r="I1479" t="s">
        <v>76</v>
      </c>
      <c r="J1479" t="s">
        <v>77</v>
      </c>
      <c r="K1479" t="s">
        <v>78</v>
      </c>
      <c r="L1479" t="s">
        <v>75</v>
      </c>
      <c r="M1479" t="s">
        <v>76</v>
      </c>
      <c r="N1479" t="s">
        <v>312</v>
      </c>
      <c r="O1479" t="s">
        <v>82</v>
      </c>
      <c r="P1479" t="str">
        <f>"217071712                     "</f>
        <v xml:space="preserve">217071712                     </v>
      </c>
      <c r="Q1479">
        <v>0</v>
      </c>
      <c r="R1479">
        <v>0</v>
      </c>
      <c r="S1479">
        <v>0</v>
      </c>
      <c r="T1479">
        <v>0</v>
      </c>
      <c r="U1479">
        <v>0</v>
      </c>
      <c r="V1479">
        <v>0</v>
      </c>
      <c r="W1479">
        <v>0</v>
      </c>
      <c r="X1479">
        <v>0</v>
      </c>
      <c r="Y1479">
        <v>0</v>
      </c>
      <c r="Z1479">
        <v>0</v>
      </c>
      <c r="AA1479">
        <v>0</v>
      </c>
      <c r="AB1479">
        <v>0</v>
      </c>
      <c r="AC1479">
        <v>0</v>
      </c>
      <c r="AD1479">
        <v>0</v>
      </c>
      <c r="AE1479">
        <v>0</v>
      </c>
      <c r="AF1479">
        <v>0</v>
      </c>
      <c r="AG1479">
        <v>0</v>
      </c>
      <c r="AH1479">
        <v>0</v>
      </c>
      <c r="AI1479">
        <v>0</v>
      </c>
      <c r="AJ1479">
        <v>0</v>
      </c>
      <c r="AK1479">
        <v>0</v>
      </c>
      <c r="AL1479">
        <v>0</v>
      </c>
      <c r="AM1479">
        <v>6.71</v>
      </c>
      <c r="AN1479">
        <v>0</v>
      </c>
      <c r="AO1479">
        <v>0</v>
      </c>
      <c r="AP1479">
        <v>0</v>
      </c>
      <c r="AQ1479">
        <v>0</v>
      </c>
      <c r="AR1479">
        <v>0</v>
      </c>
      <c r="AS1479">
        <v>0</v>
      </c>
      <c r="AT1479">
        <v>0</v>
      </c>
      <c r="AU1479">
        <v>0</v>
      </c>
      <c r="AV1479">
        <v>0</v>
      </c>
      <c r="AW1479">
        <v>0</v>
      </c>
      <c r="AX1479">
        <v>0</v>
      </c>
      <c r="AY1479">
        <v>0</v>
      </c>
      <c r="AZ1479">
        <v>0</v>
      </c>
      <c r="BA1479">
        <v>0</v>
      </c>
      <c r="BB1479">
        <v>0</v>
      </c>
      <c r="BC1479">
        <v>0</v>
      </c>
      <c r="BD1479">
        <v>0</v>
      </c>
      <c r="BE1479">
        <v>0</v>
      </c>
      <c r="BF1479">
        <v>0</v>
      </c>
      <c r="BG1479">
        <v>0</v>
      </c>
      <c r="BH1479">
        <v>1</v>
      </c>
      <c r="BI1479">
        <v>1.3</v>
      </c>
      <c r="BJ1479">
        <v>1.1000000000000001</v>
      </c>
      <c r="BK1479">
        <v>1.5</v>
      </c>
      <c r="BL1479" s="4">
        <v>39.42</v>
      </c>
      <c r="BM1479" s="4">
        <v>5.91</v>
      </c>
      <c r="BN1479" s="4">
        <v>45.33</v>
      </c>
      <c r="BO1479" s="4">
        <v>45.33</v>
      </c>
      <c r="BQ1479" t="s">
        <v>147</v>
      </c>
      <c r="BR1479" t="s">
        <v>84</v>
      </c>
      <c r="BS1479" s="3">
        <v>43816</v>
      </c>
      <c r="BT1479" s="5">
        <v>0.39583333333333331</v>
      </c>
      <c r="BU1479" t="s">
        <v>1784</v>
      </c>
      <c r="BV1479" t="s">
        <v>86</v>
      </c>
      <c r="BY1479">
        <v>5444.83</v>
      </c>
      <c r="CA1479" t="s">
        <v>314</v>
      </c>
      <c r="CC1479" t="s">
        <v>76</v>
      </c>
      <c r="CD1479">
        <v>1609</v>
      </c>
      <c r="CE1479" t="s">
        <v>96</v>
      </c>
      <c r="CF1479" s="3">
        <v>43817</v>
      </c>
      <c r="CI1479">
        <v>1</v>
      </c>
      <c r="CJ1479">
        <v>2</v>
      </c>
      <c r="CK1479">
        <v>22</v>
      </c>
      <c r="CL1479" t="s">
        <v>89</v>
      </c>
    </row>
    <row r="1480" spans="1:90">
      <c r="A1480" t="s">
        <v>72</v>
      </c>
      <c r="B1480" t="s">
        <v>73</v>
      </c>
      <c r="C1480" t="s">
        <v>74</v>
      </c>
      <c r="E1480" t="str">
        <f>"FES1162728499"</f>
        <v>FES1162728499</v>
      </c>
      <c r="F1480" s="3">
        <v>43812</v>
      </c>
      <c r="G1480">
        <v>202006</v>
      </c>
      <c r="H1480" t="s">
        <v>75</v>
      </c>
      <c r="I1480" t="s">
        <v>76</v>
      </c>
      <c r="J1480" t="s">
        <v>77</v>
      </c>
      <c r="K1480" t="s">
        <v>78</v>
      </c>
      <c r="L1480" t="s">
        <v>151</v>
      </c>
      <c r="M1480" t="s">
        <v>102</v>
      </c>
      <c r="N1480" t="s">
        <v>634</v>
      </c>
      <c r="O1480" t="s">
        <v>82</v>
      </c>
      <c r="P1480" t="str">
        <f>"2170721732                    "</f>
        <v xml:space="preserve">2170721732                    </v>
      </c>
      <c r="Q1480">
        <v>0</v>
      </c>
      <c r="R1480">
        <v>0</v>
      </c>
      <c r="S1480">
        <v>0</v>
      </c>
      <c r="T1480">
        <v>0</v>
      </c>
      <c r="U1480">
        <v>0</v>
      </c>
      <c r="V1480">
        <v>0</v>
      </c>
      <c r="W1480">
        <v>0</v>
      </c>
      <c r="X1480">
        <v>0</v>
      </c>
      <c r="Y1480">
        <v>0</v>
      </c>
      <c r="Z1480">
        <v>0</v>
      </c>
      <c r="AA1480">
        <v>0</v>
      </c>
      <c r="AB1480">
        <v>0</v>
      </c>
      <c r="AC1480">
        <v>0</v>
      </c>
      <c r="AD1480">
        <v>0</v>
      </c>
      <c r="AE1480">
        <v>0</v>
      </c>
      <c r="AF1480">
        <v>0</v>
      </c>
      <c r="AG1480">
        <v>0</v>
      </c>
      <c r="AH1480">
        <v>0</v>
      </c>
      <c r="AI1480">
        <v>0</v>
      </c>
      <c r="AJ1480">
        <v>0</v>
      </c>
      <c r="AK1480">
        <v>0</v>
      </c>
      <c r="AL1480">
        <v>0</v>
      </c>
      <c r="AM1480">
        <v>10.73</v>
      </c>
      <c r="AN1480">
        <v>0</v>
      </c>
      <c r="AO1480">
        <v>0</v>
      </c>
      <c r="AP1480">
        <v>0</v>
      </c>
      <c r="AQ1480">
        <v>0</v>
      </c>
      <c r="AR1480">
        <v>0</v>
      </c>
      <c r="AS1480">
        <v>0</v>
      </c>
      <c r="AT1480">
        <v>0</v>
      </c>
      <c r="AU1480">
        <v>0</v>
      </c>
      <c r="AV1480">
        <v>0</v>
      </c>
      <c r="AW1480">
        <v>0</v>
      </c>
      <c r="AX1480">
        <v>0</v>
      </c>
      <c r="AY1480">
        <v>0</v>
      </c>
      <c r="AZ1480">
        <v>0</v>
      </c>
      <c r="BA1480">
        <v>0</v>
      </c>
      <c r="BB1480">
        <v>0</v>
      </c>
      <c r="BC1480">
        <v>0</v>
      </c>
      <c r="BD1480">
        <v>0</v>
      </c>
      <c r="BE1480">
        <v>0</v>
      </c>
      <c r="BF1480">
        <v>0</v>
      </c>
      <c r="BG1480">
        <v>0</v>
      </c>
      <c r="BH1480">
        <v>1</v>
      </c>
      <c r="BI1480">
        <v>2.1</v>
      </c>
      <c r="BJ1480">
        <v>0.9</v>
      </c>
      <c r="BK1480">
        <v>2.5</v>
      </c>
      <c r="BL1480" s="4">
        <v>63.06</v>
      </c>
      <c r="BM1480" s="4">
        <v>9.4600000000000009</v>
      </c>
      <c r="BN1480" s="4">
        <v>72.52</v>
      </c>
      <c r="BO1480" s="4">
        <v>72.52</v>
      </c>
      <c r="BQ1480" t="s">
        <v>147</v>
      </c>
      <c r="BR1480" t="s">
        <v>84</v>
      </c>
      <c r="BS1480" s="3">
        <v>43816</v>
      </c>
      <c r="BT1480" s="5">
        <v>0.3923611111111111</v>
      </c>
      <c r="BU1480" t="s">
        <v>1943</v>
      </c>
      <c r="BV1480" t="s">
        <v>86</v>
      </c>
      <c r="BY1480">
        <v>4633.96</v>
      </c>
      <c r="CC1480" t="s">
        <v>102</v>
      </c>
      <c r="CD1480">
        <v>200</v>
      </c>
      <c r="CE1480" t="s">
        <v>96</v>
      </c>
      <c r="CF1480" s="3">
        <v>43817</v>
      </c>
      <c r="CI1480">
        <v>1</v>
      </c>
      <c r="CJ1480">
        <v>2</v>
      </c>
      <c r="CK1480">
        <v>21</v>
      </c>
      <c r="CL1480" t="s">
        <v>89</v>
      </c>
    </row>
    <row r="1481" spans="1:90">
      <c r="A1481" t="s">
        <v>72</v>
      </c>
      <c r="B1481" t="s">
        <v>73</v>
      </c>
      <c r="C1481" t="s">
        <v>74</v>
      </c>
      <c r="E1481" t="str">
        <f>"FES1162728351"</f>
        <v>FES1162728351</v>
      </c>
      <c r="F1481" s="3">
        <v>43812</v>
      </c>
      <c r="G1481">
        <v>202006</v>
      </c>
      <c r="H1481" t="s">
        <v>75</v>
      </c>
      <c r="I1481" t="s">
        <v>76</v>
      </c>
      <c r="J1481" t="s">
        <v>77</v>
      </c>
      <c r="K1481" t="s">
        <v>78</v>
      </c>
      <c r="L1481" t="s">
        <v>79</v>
      </c>
      <c r="M1481" t="s">
        <v>80</v>
      </c>
      <c r="N1481" t="s">
        <v>129</v>
      </c>
      <c r="O1481" t="s">
        <v>82</v>
      </c>
      <c r="P1481" t="str">
        <f>"217071645                     "</f>
        <v xml:space="preserve">217071645                     </v>
      </c>
      <c r="Q1481">
        <v>0</v>
      </c>
      <c r="R1481">
        <v>0</v>
      </c>
      <c r="S1481">
        <v>0</v>
      </c>
      <c r="T1481">
        <v>0</v>
      </c>
      <c r="U1481">
        <v>0</v>
      </c>
      <c r="V1481">
        <v>0</v>
      </c>
      <c r="W1481">
        <v>0</v>
      </c>
      <c r="X1481">
        <v>0</v>
      </c>
      <c r="Y1481">
        <v>0</v>
      </c>
      <c r="Z1481">
        <v>0</v>
      </c>
      <c r="AA1481">
        <v>0</v>
      </c>
      <c r="AB1481">
        <v>0</v>
      </c>
      <c r="AC1481">
        <v>0</v>
      </c>
      <c r="AD1481">
        <v>0</v>
      </c>
      <c r="AE1481">
        <v>0</v>
      </c>
      <c r="AF1481">
        <v>0</v>
      </c>
      <c r="AG1481">
        <v>0</v>
      </c>
      <c r="AH1481">
        <v>0</v>
      </c>
      <c r="AI1481">
        <v>0</v>
      </c>
      <c r="AJ1481">
        <v>0</v>
      </c>
      <c r="AK1481">
        <v>0</v>
      </c>
      <c r="AL1481">
        <v>0</v>
      </c>
      <c r="AM1481">
        <v>8.58</v>
      </c>
      <c r="AN1481">
        <v>0</v>
      </c>
      <c r="AO1481">
        <v>0</v>
      </c>
      <c r="AP1481">
        <v>0</v>
      </c>
      <c r="AQ1481">
        <v>0</v>
      </c>
      <c r="AR1481">
        <v>0</v>
      </c>
      <c r="AS1481">
        <v>0</v>
      </c>
      <c r="AT1481">
        <v>0</v>
      </c>
      <c r="AU1481">
        <v>0</v>
      </c>
      <c r="AV1481">
        <v>0</v>
      </c>
      <c r="AW1481">
        <v>0</v>
      </c>
      <c r="AX1481">
        <v>0</v>
      </c>
      <c r="AY1481">
        <v>0</v>
      </c>
      <c r="AZ1481">
        <v>0</v>
      </c>
      <c r="BA1481">
        <v>0</v>
      </c>
      <c r="BB1481">
        <v>0</v>
      </c>
      <c r="BC1481">
        <v>0</v>
      </c>
      <c r="BD1481">
        <v>0</v>
      </c>
      <c r="BE1481">
        <v>0</v>
      </c>
      <c r="BF1481">
        <v>0</v>
      </c>
      <c r="BG1481">
        <v>0</v>
      </c>
      <c r="BH1481">
        <v>1</v>
      </c>
      <c r="BI1481">
        <v>1.9</v>
      </c>
      <c r="BJ1481">
        <v>1.2</v>
      </c>
      <c r="BK1481">
        <v>2</v>
      </c>
      <c r="BL1481" s="4">
        <v>50.45</v>
      </c>
      <c r="BM1481" s="4">
        <v>7.57</v>
      </c>
      <c r="BN1481" s="4">
        <v>58.02</v>
      </c>
      <c r="BO1481" s="4">
        <v>58.02</v>
      </c>
      <c r="BQ1481" t="s">
        <v>147</v>
      </c>
      <c r="BR1481" t="s">
        <v>84</v>
      </c>
      <c r="BS1481" s="3">
        <v>43816</v>
      </c>
      <c r="BT1481" s="5">
        <v>0.37777777777777777</v>
      </c>
      <c r="BU1481" t="s">
        <v>130</v>
      </c>
      <c r="BV1481" t="s">
        <v>86</v>
      </c>
      <c r="BY1481">
        <v>6045.95</v>
      </c>
      <c r="CA1481" t="s">
        <v>131</v>
      </c>
      <c r="CC1481" t="s">
        <v>80</v>
      </c>
      <c r="CD1481">
        <v>6001</v>
      </c>
      <c r="CE1481" t="s">
        <v>96</v>
      </c>
      <c r="CF1481" s="3">
        <v>43817</v>
      </c>
      <c r="CI1481">
        <v>1</v>
      </c>
      <c r="CJ1481">
        <v>2</v>
      </c>
      <c r="CK1481">
        <v>21</v>
      </c>
      <c r="CL1481" t="s">
        <v>89</v>
      </c>
    </row>
    <row r="1482" spans="1:90">
      <c r="A1482" t="s">
        <v>72</v>
      </c>
      <c r="B1482" t="s">
        <v>73</v>
      </c>
      <c r="C1482" t="s">
        <v>74</v>
      </c>
      <c r="E1482" t="str">
        <f>"FES1162728350"</f>
        <v>FES1162728350</v>
      </c>
      <c r="F1482" s="3">
        <v>43812</v>
      </c>
      <c r="G1482">
        <v>202006</v>
      </c>
      <c r="H1482" t="s">
        <v>75</v>
      </c>
      <c r="I1482" t="s">
        <v>76</v>
      </c>
      <c r="J1482" t="s">
        <v>77</v>
      </c>
      <c r="K1482" t="s">
        <v>78</v>
      </c>
      <c r="L1482" t="s">
        <v>213</v>
      </c>
      <c r="M1482" t="s">
        <v>214</v>
      </c>
      <c r="N1482" t="s">
        <v>598</v>
      </c>
      <c r="O1482" t="s">
        <v>82</v>
      </c>
      <c r="P1482" t="str">
        <f>"217071638                     "</f>
        <v xml:space="preserve">217071638                     </v>
      </c>
      <c r="Q1482">
        <v>0</v>
      </c>
      <c r="R1482">
        <v>0</v>
      </c>
      <c r="S1482">
        <v>0</v>
      </c>
      <c r="T1482">
        <v>0</v>
      </c>
      <c r="U1482">
        <v>0</v>
      </c>
      <c r="V1482">
        <v>0</v>
      </c>
      <c r="W1482">
        <v>0</v>
      </c>
      <c r="X1482">
        <v>0</v>
      </c>
      <c r="Y1482">
        <v>0</v>
      </c>
      <c r="Z1482">
        <v>0</v>
      </c>
      <c r="AA1482">
        <v>0</v>
      </c>
      <c r="AB1482">
        <v>0</v>
      </c>
      <c r="AC1482">
        <v>0</v>
      </c>
      <c r="AD1482">
        <v>0</v>
      </c>
      <c r="AE1482">
        <v>0</v>
      </c>
      <c r="AF1482">
        <v>0</v>
      </c>
      <c r="AG1482">
        <v>0</v>
      </c>
      <c r="AH1482">
        <v>0</v>
      </c>
      <c r="AI1482">
        <v>0</v>
      </c>
      <c r="AJ1482">
        <v>0</v>
      </c>
      <c r="AK1482">
        <v>0</v>
      </c>
      <c r="AL1482">
        <v>0</v>
      </c>
      <c r="AM1482">
        <v>38.6</v>
      </c>
      <c r="AN1482">
        <v>0</v>
      </c>
      <c r="AO1482">
        <v>0</v>
      </c>
      <c r="AP1482">
        <v>0</v>
      </c>
      <c r="AQ1482">
        <v>0</v>
      </c>
      <c r="AR1482">
        <v>0</v>
      </c>
      <c r="AS1482">
        <v>0</v>
      </c>
      <c r="AT1482">
        <v>0</v>
      </c>
      <c r="AU1482">
        <v>0</v>
      </c>
      <c r="AV1482">
        <v>0</v>
      </c>
      <c r="AW1482">
        <v>0</v>
      </c>
      <c r="AX1482">
        <v>0</v>
      </c>
      <c r="AY1482">
        <v>0</v>
      </c>
      <c r="AZ1482">
        <v>0</v>
      </c>
      <c r="BA1482">
        <v>0</v>
      </c>
      <c r="BB1482">
        <v>0</v>
      </c>
      <c r="BC1482">
        <v>0</v>
      </c>
      <c r="BD1482">
        <v>0</v>
      </c>
      <c r="BE1482">
        <v>0</v>
      </c>
      <c r="BF1482">
        <v>0</v>
      </c>
      <c r="BG1482">
        <v>0</v>
      </c>
      <c r="BH1482">
        <v>1</v>
      </c>
      <c r="BI1482">
        <v>8.6</v>
      </c>
      <c r="BJ1482">
        <v>1.5</v>
      </c>
      <c r="BK1482">
        <v>9</v>
      </c>
      <c r="BL1482" s="4">
        <v>226.91</v>
      </c>
      <c r="BM1482" s="4">
        <v>34.04</v>
      </c>
      <c r="BN1482" s="4">
        <v>260.95</v>
      </c>
      <c r="BO1482" s="4">
        <v>260.95</v>
      </c>
      <c r="BQ1482" t="s">
        <v>147</v>
      </c>
      <c r="BR1482" t="s">
        <v>84</v>
      </c>
      <c r="BS1482" s="3">
        <v>43816</v>
      </c>
      <c r="BT1482" s="5">
        <v>0.3576388888888889</v>
      </c>
      <c r="BU1482" t="s">
        <v>1944</v>
      </c>
      <c r="BV1482" t="s">
        <v>86</v>
      </c>
      <c r="BY1482">
        <v>7428.56</v>
      </c>
      <c r="CA1482" t="s">
        <v>99</v>
      </c>
      <c r="CC1482" t="s">
        <v>214</v>
      </c>
      <c r="CD1482">
        <v>6229</v>
      </c>
      <c r="CE1482" t="s">
        <v>96</v>
      </c>
      <c r="CF1482" s="3">
        <v>43817</v>
      </c>
      <c r="CI1482">
        <v>1</v>
      </c>
      <c r="CJ1482">
        <v>2</v>
      </c>
      <c r="CK1482">
        <v>21</v>
      </c>
      <c r="CL1482" t="s">
        <v>89</v>
      </c>
    </row>
    <row r="1483" spans="1:90">
      <c r="A1483" t="s">
        <v>72</v>
      </c>
      <c r="B1483" t="s">
        <v>73</v>
      </c>
      <c r="C1483" t="s">
        <v>74</v>
      </c>
      <c r="E1483" t="str">
        <f>"FES1162728370"</f>
        <v>FES1162728370</v>
      </c>
      <c r="F1483" s="3">
        <v>43812</v>
      </c>
      <c r="G1483">
        <v>202006</v>
      </c>
      <c r="H1483" t="s">
        <v>75</v>
      </c>
      <c r="I1483" t="s">
        <v>76</v>
      </c>
      <c r="J1483" t="s">
        <v>77</v>
      </c>
      <c r="K1483" t="s">
        <v>78</v>
      </c>
      <c r="L1483" t="s">
        <v>332</v>
      </c>
      <c r="M1483" t="s">
        <v>333</v>
      </c>
      <c r="N1483" t="s">
        <v>790</v>
      </c>
      <c r="O1483" t="s">
        <v>82</v>
      </c>
      <c r="P1483" t="str">
        <f>"2170714476                    "</f>
        <v xml:space="preserve">2170714476                    </v>
      </c>
      <c r="Q1483">
        <v>0</v>
      </c>
      <c r="R1483">
        <v>0</v>
      </c>
      <c r="S1483">
        <v>0</v>
      </c>
      <c r="T1483">
        <v>0</v>
      </c>
      <c r="U1483">
        <v>0</v>
      </c>
      <c r="V1483">
        <v>0</v>
      </c>
      <c r="W1483">
        <v>0</v>
      </c>
      <c r="X1483">
        <v>0</v>
      </c>
      <c r="Y1483">
        <v>0</v>
      </c>
      <c r="Z1483">
        <v>0</v>
      </c>
      <c r="AA1483">
        <v>0</v>
      </c>
      <c r="AB1483">
        <v>0</v>
      </c>
      <c r="AC1483">
        <v>0</v>
      </c>
      <c r="AD1483">
        <v>0</v>
      </c>
      <c r="AE1483">
        <v>0</v>
      </c>
      <c r="AF1483">
        <v>0</v>
      </c>
      <c r="AG1483">
        <v>0</v>
      </c>
      <c r="AH1483">
        <v>0</v>
      </c>
      <c r="AI1483">
        <v>0</v>
      </c>
      <c r="AJ1483">
        <v>0</v>
      </c>
      <c r="AK1483">
        <v>0</v>
      </c>
      <c r="AL1483">
        <v>0</v>
      </c>
      <c r="AM1483">
        <v>6.71</v>
      </c>
      <c r="AN1483">
        <v>0</v>
      </c>
      <c r="AO1483">
        <v>0</v>
      </c>
      <c r="AP1483">
        <v>0</v>
      </c>
      <c r="AQ1483">
        <v>0</v>
      </c>
      <c r="AR1483">
        <v>0</v>
      </c>
      <c r="AS1483">
        <v>0</v>
      </c>
      <c r="AT1483">
        <v>0</v>
      </c>
      <c r="AU1483">
        <v>0</v>
      </c>
      <c r="AV1483">
        <v>0</v>
      </c>
      <c r="AW1483">
        <v>0</v>
      </c>
      <c r="AX1483">
        <v>0</v>
      </c>
      <c r="AY1483">
        <v>0</v>
      </c>
      <c r="AZ1483">
        <v>0</v>
      </c>
      <c r="BA1483">
        <v>0</v>
      </c>
      <c r="BB1483">
        <v>0</v>
      </c>
      <c r="BC1483">
        <v>0</v>
      </c>
      <c r="BD1483">
        <v>0</v>
      </c>
      <c r="BE1483">
        <v>0</v>
      </c>
      <c r="BF1483">
        <v>0</v>
      </c>
      <c r="BG1483">
        <v>0</v>
      </c>
      <c r="BH1483">
        <v>1</v>
      </c>
      <c r="BI1483">
        <v>2</v>
      </c>
      <c r="BJ1483">
        <v>1.1000000000000001</v>
      </c>
      <c r="BK1483">
        <v>2</v>
      </c>
      <c r="BL1483" s="4">
        <v>39.42</v>
      </c>
      <c r="BM1483" s="4">
        <v>5.91</v>
      </c>
      <c r="BN1483" s="4">
        <v>45.33</v>
      </c>
      <c r="BO1483" s="4">
        <v>45.33</v>
      </c>
      <c r="BQ1483" t="s">
        <v>147</v>
      </c>
      <c r="BR1483" t="s">
        <v>84</v>
      </c>
      <c r="BS1483" s="3">
        <v>43816</v>
      </c>
      <c r="BT1483" s="5">
        <v>0.42708333333333331</v>
      </c>
      <c r="BU1483" t="s">
        <v>1398</v>
      </c>
      <c r="BV1483" t="s">
        <v>86</v>
      </c>
      <c r="BY1483">
        <v>5320</v>
      </c>
      <c r="CA1483" t="s">
        <v>1008</v>
      </c>
      <c r="CC1483" t="s">
        <v>333</v>
      </c>
      <c r="CD1483">
        <v>2091</v>
      </c>
      <c r="CE1483" t="s">
        <v>96</v>
      </c>
      <c r="CF1483" s="3">
        <v>43817</v>
      </c>
      <c r="CI1483">
        <v>1</v>
      </c>
      <c r="CJ1483">
        <v>2</v>
      </c>
      <c r="CK1483">
        <v>22</v>
      </c>
      <c r="CL1483" t="s">
        <v>89</v>
      </c>
    </row>
    <row r="1484" spans="1:90">
      <c r="A1484" t="s">
        <v>72</v>
      </c>
      <c r="B1484" t="s">
        <v>73</v>
      </c>
      <c r="C1484" t="s">
        <v>74</v>
      </c>
      <c r="E1484" t="str">
        <f>"FES1162727941"</f>
        <v>FES1162727941</v>
      </c>
      <c r="F1484" s="3">
        <v>43812</v>
      </c>
      <c r="G1484">
        <v>202006</v>
      </c>
      <c r="H1484" t="s">
        <v>75</v>
      </c>
      <c r="I1484" t="s">
        <v>76</v>
      </c>
      <c r="J1484" t="s">
        <v>77</v>
      </c>
      <c r="K1484" t="s">
        <v>78</v>
      </c>
      <c r="L1484" t="s">
        <v>709</v>
      </c>
      <c r="M1484" t="s">
        <v>710</v>
      </c>
      <c r="N1484" t="s">
        <v>1945</v>
      </c>
      <c r="O1484" t="s">
        <v>82</v>
      </c>
      <c r="P1484" t="str">
        <f>"2170721423                    "</f>
        <v xml:space="preserve">2170721423                    </v>
      </c>
      <c r="Q1484">
        <v>0</v>
      </c>
      <c r="R1484">
        <v>0</v>
      </c>
      <c r="S1484">
        <v>0</v>
      </c>
      <c r="T1484">
        <v>0</v>
      </c>
      <c r="U1484">
        <v>0</v>
      </c>
      <c r="V1484">
        <v>0</v>
      </c>
      <c r="W1484">
        <v>0</v>
      </c>
      <c r="X1484">
        <v>0</v>
      </c>
      <c r="Y1484">
        <v>0</v>
      </c>
      <c r="Z1484">
        <v>0</v>
      </c>
      <c r="AA1484">
        <v>0</v>
      </c>
      <c r="AB1484">
        <v>0</v>
      </c>
      <c r="AC1484">
        <v>0</v>
      </c>
      <c r="AD1484">
        <v>0</v>
      </c>
      <c r="AE1484">
        <v>0</v>
      </c>
      <c r="AF1484">
        <v>0</v>
      </c>
      <c r="AG1484">
        <v>0</v>
      </c>
      <c r="AH1484">
        <v>0</v>
      </c>
      <c r="AI1484">
        <v>0</v>
      </c>
      <c r="AJ1484">
        <v>0</v>
      </c>
      <c r="AK1484">
        <v>0</v>
      </c>
      <c r="AL1484">
        <v>0</v>
      </c>
      <c r="AM1484">
        <v>12.07</v>
      </c>
      <c r="AN1484">
        <v>0</v>
      </c>
      <c r="AO1484">
        <v>0</v>
      </c>
      <c r="AP1484">
        <v>0</v>
      </c>
      <c r="AQ1484">
        <v>0</v>
      </c>
      <c r="AR1484">
        <v>0</v>
      </c>
      <c r="AS1484">
        <v>0</v>
      </c>
      <c r="AT1484">
        <v>0</v>
      </c>
      <c r="AU1484">
        <v>0</v>
      </c>
      <c r="AV1484">
        <v>0</v>
      </c>
      <c r="AW1484">
        <v>0</v>
      </c>
      <c r="AX1484">
        <v>0</v>
      </c>
      <c r="AY1484">
        <v>0</v>
      </c>
      <c r="AZ1484">
        <v>0</v>
      </c>
      <c r="BA1484">
        <v>0</v>
      </c>
      <c r="BB1484">
        <v>0</v>
      </c>
      <c r="BC1484">
        <v>0</v>
      </c>
      <c r="BD1484">
        <v>0</v>
      </c>
      <c r="BE1484">
        <v>0</v>
      </c>
      <c r="BF1484">
        <v>0</v>
      </c>
      <c r="BG1484">
        <v>0</v>
      </c>
      <c r="BH1484">
        <v>1</v>
      </c>
      <c r="BI1484">
        <v>1</v>
      </c>
      <c r="BJ1484">
        <v>0.2</v>
      </c>
      <c r="BK1484">
        <v>1</v>
      </c>
      <c r="BL1484" s="4">
        <v>70.95</v>
      </c>
      <c r="BM1484" s="4">
        <v>10.64</v>
      </c>
      <c r="BN1484" s="4">
        <v>81.59</v>
      </c>
      <c r="BO1484" s="4">
        <v>81.59</v>
      </c>
      <c r="BR1484" t="s">
        <v>84</v>
      </c>
      <c r="BS1484" s="3">
        <v>43816</v>
      </c>
      <c r="BT1484" s="5">
        <v>0.43055555555555558</v>
      </c>
      <c r="BU1484" t="s">
        <v>1946</v>
      </c>
      <c r="BV1484" t="s">
        <v>86</v>
      </c>
      <c r="BY1484">
        <v>1200</v>
      </c>
      <c r="CC1484" t="s">
        <v>710</v>
      </c>
      <c r="CD1484">
        <v>1930</v>
      </c>
      <c r="CE1484" t="s">
        <v>88</v>
      </c>
      <c r="CF1484" s="3">
        <v>43817</v>
      </c>
      <c r="CI1484">
        <v>1</v>
      </c>
      <c r="CJ1484">
        <v>2</v>
      </c>
      <c r="CK1484">
        <v>24</v>
      </c>
      <c r="CL1484" t="s">
        <v>89</v>
      </c>
    </row>
    <row r="1485" spans="1:90">
      <c r="A1485" t="s">
        <v>72</v>
      </c>
      <c r="B1485" t="s">
        <v>73</v>
      </c>
      <c r="C1485" t="s">
        <v>74</v>
      </c>
      <c r="E1485" t="str">
        <f>"FES1162728300"</f>
        <v>FES1162728300</v>
      </c>
      <c r="F1485" s="3">
        <v>43812</v>
      </c>
      <c r="G1485">
        <v>202006</v>
      </c>
      <c r="H1485" t="s">
        <v>75</v>
      </c>
      <c r="I1485" t="s">
        <v>76</v>
      </c>
      <c r="J1485" t="s">
        <v>77</v>
      </c>
      <c r="K1485" t="s">
        <v>78</v>
      </c>
      <c r="L1485" t="s">
        <v>90</v>
      </c>
      <c r="M1485" t="s">
        <v>91</v>
      </c>
      <c r="N1485" t="s">
        <v>1582</v>
      </c>
      <c r="O1485" t="s">
        <v>82</v>
      </c>
      <c r="P1485" t="str">
        <f>"2170718770                    "</f>
        <v xml:space="preserve">2170718770                    </v>
      </c>
      <c r="Q1485">
        <v>0</v>
      </c>
      <c r="R1485">
        <v>0</v>
      </c>
      <c r="S1485">
        <v>0</v>
      </c>
      <c r="T1485">
        <v>0</v>
      </c>
      <c r="U1485">
        <v>0</v>
      </c>
      <c r="V1485">
        <v>0</v>
      </c>
      <c r="W1485">
        <v>0</v>
      </c>
      <c r="X1485">
        <v>0</v>
      </c>
      <c r="Y1485">
        <v>0</v>
      </c>
      <c r="Z1485">
        <v>0</v>
      </c>
      <c r="AA1485">
        <v>0</v>
      </c>
      <c r="AB1485">
        <v>0</v>
      </c>
      <c r="AC1485">
        <v>0</v>
      </c>
      <c r="AD1485">
        <v>0</v>
      </c>
      <c r="AE1485">
        <v>0</v>
      </c>
      <c r="AF1485">
        <v>0</v>
      </c>
      <c r="AG1485">
        <v>0</v>
      </c>
      <c r="AH1485">
        <v>0</v>
      </c>
      <c r="AI1485">
        <v>0</v>
      </c>
      <c r="AJ1485">
        <v>0</v>
      </c>
      <c r="AK1485">
        <v>0</v>
      </c>
      <c r="AL1485">
        <v>0</v>
      </c>
      <c r="AM1485">
        <v>57.9</v>
      </c>
      <c r="AN1485">
        <v>0</v>
      </c>
      <c r="AO1485">
        <v>0</v>
      </c>
      <c r="AP1485">
        <v>0</v>
      </c>
      <c r="AQ1485">
        <v>0</v>
      </c>
      <c r="AR1485">
        <v>0</v>
      </c>
      <c r="AS1485">
        <v>0</v>
      </c>
      <c r="AT1485">
        <v>0</v>
      </c>
      <c r="AU1485">
        <v>0</v>
      </c>
      <c r="AV1485">
        <v>0</v>
      </c>
      <c r="AW1485">
        <v>0</v>
      </c>
      <c r="AX1485">
        <v>0</v>
      </c>
      <c r="AY1485">
        <v>0</v>
      </c>
      <c r="AZ1485">
        <v>0</v>
      </c>
      <c r="BA1485">
        <v>0</v>
      </c>
      <c r="BB1485">
        <v>0</v>
      </c>
      <c r="BC1485">
        <v>0</v>
      </c>
      <c r="BD1485">
        <v>0</v>
      </c>
      <c r="BE1485">
        <v>0</v>
      </c>
      <c r="BF1485">
        <v>0</v>
      </c>
      <c r="BG1485">
        <v>0</v>
      </c>
      <c r="BH1485">
        <v>1</v>
      </c>
      <c r="BI1485">
        <v>13.3</v>
      </c>
      <c r="BJ1485">
        <v>3.1</v>
      </c>
      <c r="BK1485">
        <v>13.5</v>
      </c>
      <c r="BL1485" s="4">
        <v>340.35</v>
      </c>
      <c r="BM1485" s="4">
        <v>51.05</v>
      </c>
      <c r="BN1485" s="4">
        <v>391.4</v>
      </c>
      <c r="BO1485" s="4">
        <v>391.4</v>
      </c>
      <c r="BQ1485" t="s">
        <v>256</v>
      </c>
      <c r="BR1485" t="s">
        <v>84</v>
      </c>
      <c r="BS1485" s="3">
        <v>43816</v>
      </c>
      <c r="BT1485" s="5">
        <v>0.41319444444444442</v>
      </c>
      <c r="BU1485" t="s">
        <v>1583</v>
      </c>
      <c r="BV1485" t="s">
        <v>86</v>
      </c>
      <c r="BY1485">
        <v>15364.92</v>
      </c>
      <c r="CA1485" t="s">
        <v>539</v>
      </c>
      <c r="CC1485" t="s">
        <v>91</v>
      </c>
      <c r="CD1485">
        <v>7580</v>
      </c>
      <c r="CE1485" t="s">
        <v>116</v>
      </c>
      <c r="CF1485" s="3">
        <v>43817</v>
      </c>
      <c r="CI1485">
        <v>1</v>
      </c>
      <c r="CJ1485">
        <v>2</v>
      </c>
      <c r="CK1485">
        <v>21</v>
      </c>
      <c r="CL1485" t="s">
        <v>89</v>
      </c>
    </row>
    <row r="1486" spans="1:90">
      <c r="A1486" t="s">
        <v>72</v>
      </c>
      <c r="B1486" t="s">
        <v>73</v>
      </c>
      <c r="C1486" t="s">
        <v>74</v>
      </c>
      <c r="E1486" t="str">
        <f>"FES1162728341"</f>
        <v>FES1162728341</v>
      </c>
      <c r="F1486" s="3">
        <v>43812</v>
      </c>
      <c r="G1486">
        <v>202006</v>
      </c>
      <c r="H1486" t="s">
        <v>75</v>
      </c>
      <c r="I1486" t="s">
        <v>76</v>
      </c>
      <c r="J1486" t="s">
        <v>77</v>
      </c>
      <c r="K1486" t="s">
        <v>78</v>
      </c>
      <c r="L1486" t="s">
        <v>90</v>
      </c>
      <c r="M1486" t="s">
        <v>91</v>
      </c>
      <c r="N1486" t="s">
        <v>110</v>
      </c>
      <c r="O1486" t="s">
        <v>82</v>
      </c>
      <c r="P1486" t="str">
        <f>"2170718020                    "</f>
        <v xml:space="preserve">2170718020                    </v>
      </c>
      <c r="Q1486">
        <v>0</v>
      </c>
      <c r="R1486">
        <v>0</v>
      </c>
      <c r="S1486">
        <v>0</v>
      </c>
      <c r="T1486">
        <v>0</v>
      </c>
      <c r="U1486">
        <v>0</v>
      </c>
      <c r="V1486">
        <v>0</v>
      </c>
      <c r="W1486">
        <v>0</v>
      </c>
      <c r="X1486">
        <v>0</v>
      </c>
      <c r="Y1486">
        <v>0</v>
      </c>
      <c r="Z1486">
        <v>0</v>
      </c>
      <c r="AA1486">
        <v>0</v>
      </c>
      <c r="AB1486">
        <v>0</v>
      </c>
      <c r="AC1486">
        <v>0</v>
      </c>
      <c r="AD1486">
        <v>0</v>
      </c>
      <c r="AE1486">
        <v>0</v>
      </c>
      <c r="AF1486">
        <v>0</v>
      </c>
      <c r="AG1486">
        <v>0</v>
      </c>
      <c r="AH1486">
        <v>0</v>
      </c>
      <c r="AI1486">
        <v>0</v>
      </c>
      <c r="AJ1486">
        <v>0</v>
      </c>
      <c r="AK1486">
        <v>0</v>
      </c>
      <c r="AL1486">
        <v>0</v>
      </c>
      <c r="AM1486">
        <v>8.58</v>
      </c>
      <c r="AN1486">
        <v>0</v>
      </c>
      <c r="AO1486">
        <v>0</v>
      </c>
      <c r="AP1486">
        <v>0</v>
      </c>
      <c r="AQ1486">
        <v>0</v>
      </c>
      <c r="AR1486">
        <v>0</v>
      </c>
      <c r="AS1486">
        <v>0</v>
      </c>
      <c r="AT1486">
        <v>0</v>
      </c>
      <c r="AU1486">
        <v>0</v>
      </c>
      <c r="AV1486">
        <v>0</v>
      </c>
      <c r="AW1486">
        <v>0</v>
      </c>
      <c r="AX1486">
        <v>0</v>
      </c>
      <c r="AY1486">
        <v>0</v>
      </c>
      <c r="AZ1486">
        <v>0</v>
      </c>
      <c r="BA1486">
        <v>0</v>
      </c>
      <c r="BB1486">
        <v>0</v>
      </c>
      <c r="BC1486">
        <v>0</v>
      </c>
      <c r="BD1486">
        <v>0</v>
      </c>
      <c r="BE1486">
        <v>0</v>
      </c>
      <c r="BF1486">
        <v>0</v>
      </c>
      <c r="BG1486">
        <v>0</v>
      </c>
      <c r="BH1486">
        <v>1</v>
      </c>
      <c r="BI1486">
        <v>1</v>
      </c>
      <c r="BJ1486">
        <v>0.2</v>
      </c>
      <c r="BK1486">
        <v>1</v>
      </c>
      <c r="BL1486" s="4">
        <v>50.45</v>
      </c>
      <c r="BM1486" s="4">
        <v>7.57</v>
      </c>
      <c r="BN1486" s="4">
        <v>58.02</v>
      </c>
      <c r="BO1486" s="4">
        <v>58.02</v>
      </c>
      <c r="BQ1486" t="s">
        <v>147</v>
      </c>
      <c r="BR1486" t="s">
        <v>84</v>
      </c>
      <c r="BS1486" s="3">
        <v>43816</v>
      </c>
      <c r="BT1486" s="5">
        <v>0.31041666666666667</v>
      </c>
      <c r="BU1486" t="s">
        <v>111</v>
      </c>
      <c r="BV1486" t="s">
        <v>86</v>
      </c>
      <c r="BY1486">
        <v>1200</v>
      </c>
      <c r="CA1486" t="s">
        <v>112</v>
      </c>
      <c r="CC1486" t="s">
        <v>91</v>
      </c>
      <c r="CD1486">
        <v>7405</v>
      </c>
      <c r="CE1486" t="s">
        <v>88</v>
      </c>
      <c r="CF1486" s="3">
        <v>43817</v>
      </c>
      <c r="CI1486">
        <v>1</v>
      </c>
      <c r="CJ1486">
        <v>2</v>
      </c>
      <c r="CK1486">
        <v>21</v>
      </c>
      <c r="CL1486" t="s">
        <v>89</v>
      </c>
    </row>
    <row r="1487" spans="1:90">
      <c r="A1487" t="s">
        <v>72</v>
      </c>
      <c r="B1487" t="s">
        <v>73</v>
      </c>
      <c r="C1487" t="s">
        <v>74</v>
      </c>
      <c r="E1487" t="str">
        <f>"FES1162728377"</f>
        <v>FES1162728377</v>
      </c>
      <c r="F1487" s="3">
        <v>43812</v>
      </c>
      <c r="G1487">
        <v>202006</v>
      </c>
      <c r="H1487" t="s">
        <v>75</v>
      </c>
      <c r="I1487" t="s">
        <v>76</v>
      </c>
      <c r="J1487" t="s">
        <v>77</v>
      </c>
      <c r="K1487" t="s">
        <v>78</v>
      </c>
      <c r="L1487" t="s">
        <v>308</v>
      </c>
      <c r="M1487" t="s">
        <v>308</v>
      </c>
      <c r="N1487" t="s">
        <v>309</v>
      </c>
      <c r="O1487" t="s">
        <v>82</v>
      </c>
      <c r="P1487" t="str">
        <f>"21707127860                   "</f>
        <v xml:space="preserve">21707127860                   </v>
      </c>
      <c r="Q1487">
        <v>0</v>
      </c>
      <c r="R1487">
        <v>0</v>
      </c>
      <c r="S1487">
        <v>0</v>
      </c>
      <c r="T1487">
        <v>0</v>
      </c>
      <c r="U1487">
        <v>0</v>
      </c>
      <c r="V1487">
        <v>0</v>
      </c>
      <c r="W1487">
        <v>0</v>
      </c>
      <c r="X1487">
        <v>0</v>
      </c>
      <c r="Y1487">
        <v>0</v>
      </c>
      <c r="Z1487">
        <v>0</v>
      </c>
      <c r="AA1487">
        <v>0</v>
      </c>
      <c r="AB1487">
        <v>0</v>
      </c>
      <c r="AC1487">
        <v>0</v>
      </c>
      <c r="AD1487">
        <v>0</v>
      </c>
      <c r="AE1487">
        <v>0</v>
      </c>
      <c r="AF1487">
        <v>0</v>
      </c>
      <c r="AG1487">
        <v>0</v>
      </c>
      <c r="AH1487">
        <v>0</v>
      </c>
      <c r="AI1487">
        <v>0</v>
      </c>
      <c r="AJ1487">
        <v>0</v>
      </c>
      <c r="AK1487">
        <v>0</v>
      </c>
      <c r="AL1487">
        <v>0</v>
      </c>
      <c r="AM1487">
        <v>16.63</v>
      </c>
      <c r="AN1487">
        <v>0</v>
      </c>
      <c r="AO1487">
        <v>0</v>
      </c>
      <c r="AP1487">
        <v>0</v>
      </c>
      <c r="AQ1487">
        <v>0</v>
      </c>
      <c r="AR1487">
        <v>0</v>
      </c>
      <c r="AS1487">
        <v>0</v>
      </c>
      <c r="AT1487">
        <v>0</v>
      </c>
      <c r="AU1487">
        <v>0</v>
      </c>
      <c r="AV1487">
        <v>0</v>
      </c>
      <c r="AW1487">
        <v>0</v>
      </c>
      <c r="AX1487">
        <v>0</v>
      </c>
      <c r="AY1487">
        <v>0</v>
      </c>
      <c r="AZ1487">
        <v>0</v>
      </c>
      <c r="BA1487">
        <v>0</v>
      </c>
      <c r="BB1487">
        <v>0</v>
      </c>
      <c r="BC1487">
        <v>0</v>
      </c>
      <c r="BD1487">
        <v>0</v>
      </c>
      <c r="BE1487">
        <v>0</v>
      </c>
      <c r="BF1487">
        <v>0</v>
      </c>
      <c r="BG1487">
        <v>0</v>
      </c>
      <c r="BH1487">
        <v>1</v>
      </c>
      <c r="BI1487">
        <v>1</v>
      </c>
      <c r="BJ1487">
        <v>0.2</v>
      </c>
      <c r="BK1487">
        <v>1</v>
      </c>
      <c r="BL1487" s="4">
        <v>97.75</v>
      </c>
      <c r="BM1487" s="4">
        <v>14.66</v>
      </c>
      <c r="BN1487" s="4">
        <v>112.41</v>
      </c>
      <c r="BO1487" s="4">
        <v>112.41</v>
      </c>
      <c r="BQ1487" t="s">
        <v>93</v>
      </c>
      <c r="BR1487" t="s">
        <v>84</v>
      </c>
      <c r="BS1487" s="3">
        <v>43816</v>
      </c>
      <c r="BT1487" s="5">
        <v>0.45208333333333334</v>
      </c>
      <c r="BU1487" t="s">
        <v>731</v>
      </c>
      <c r="BV1487" t="s">
        <v>86</v>
      </c>
      <c r="BY1487">
        <v>1200</v>
      </c>
      <c r="CA1487" t="s">
        <v>311</v>
      </c>
      <c r="CC1487" t="s">
        <v>308</v>
      </c>
      <c r="CD1487">
        <v>7646</v>
      </c>
      <c r="CE1487" t="s">
        <v>88</v>
      </c>
      <c r="CF1487" s="3">
        <v>43817</v>
      </c>
      <c r="CI1487">
        <v>1</v>
      </c>
      <c r="CJ1487">
        <v>2</v>
      </c>
      <c r="CK1487">
        <v>23</v>
      </c>
      <c r="CL1487" t="s">
        <v>89</v>
      </c>
    </row>
    <row r="1488" spans="1:90">
      <c r="A1488" t="s">
        <v>72</v>
      </c>
      <c r="B1488" t="s">
        <v>73</v>
      </c>
      <c r="C1488" t="s">
        <v>74</v>
      </c>
      <c r="E1488" t="str">
        <f>"FES1162728397"</f>
        <v>FES1162728397</v>
      </c>
      <c r="F1488" s="3">
        <v>43812</v>
      </c>
      <c r="G1488">
        <v>202006</v>
      </c>
      <c r="H1488" t="s">
        <v>75</v>
      </c>
      <c r="I1488" t="s">
        <v>76</v>
      </c>
      <c r="J1488" t="s">
        <v>77</v>
      </c>
      <c r="K1488" t="s">
        <v>78</v>
      </c>
      <c r="L1488" t="s">
        <v>90</v>
      </c>
      <c r="M1488" t="s">
        <v>91</v>
      </c>
      <c r="N1488" t="s">
        <v>535</v>
      </c>
      <c r="O1488" t="s">
        <v>82</v>
      </c>
      <c r="P1488" t="str">
        <f>"2170718320                    "</f>
        <v xml:space="preserve">2170718320                    </v>
      </c>
      <c r="Q1488">
        <v>0</v>
      </c>
      <c r="R1488">
        <v>0</v>
      </c>
      <c r="S1488">
        <v>0</v>
      </c>
      <c r="T1488">
        <v>0</v>
      </c>
      <c r="U1488">
        <v>0</v>
      </c>
      <c r="V1488">
        <v>0</v>
      </c>
      <c r="W1488">
        <v>0</v>
      </c>
      <c r="X1488">
        <v>0</v>
      </c>
      <c r="Y1488">
        <v>0</v>
      </c>
      <c r="Z1488">
        <v>0</v>
      </c>
      <c r="AA1488">
        <v>0</v>
      </c>
      <c r="AB1488">
        <v>0</v>
      </c>
      <c r="AC1488">
        <v>0</v>
      </c>
      <c r="AD1488">
        <v>0</v>
      </c>
      <c r="AE1488">
        <v>0</v>
      </c>
      <c r="AF1488">
        <v>0</v>
      </c>
      <c r="AG1488">
        <v>0</v>
      </c>
      <c r="AH1488">
        <v>0</v>
      </c>
      <c r="AI1488">
        <v>0</v>
      </c>
      <c r="AJ1488">
        <v>0</v>
      </c>
      <c r="AK1488">
        <v>0</v>
      </c>
      <c r="AL1488">
        <v>0</v>
      </c>
      <c r="AM1488">
        <v>8.58</v>
      </c>
      <c r="AN1488">
        <v>0</v>
      </c>
      <c r="AO1488">
        <v>0</v>
      </c>
      <c r="AP1488">
        <v>0</v>
      </c>
      <c r="AQ1488">
        <v>0</v>
      </c>
      <c r="AR1488">
        <v>0</v>
      </c>
      <c r="AS1488">
        <v>0</v>
      </c>
      <c r="AT1488">
        <v>0</v>
      </c>
      <c r="AU1488">
        <v>0</v>
      </c>
      <c r="AV1488">
        <v>0</v>
      </c>
      <c r="AW1488">
        <v>0</v>
      </c>
      <c r="AX1488">
        <v>0</v>
      </c>
      <c r="AY1488">
        <v>0</v>
      </c>
      <c r="AZ1488">
        <v>0</v>
      </c>
      <c r="BA1488">
        <v>0</v>
      </c>
      <c r="BB1488">
        <v>0</v>
      </c>
      <c r="BC1488">
        <v>0</v>
      </c>
      <c r="BD1488">
        <v>0</v>
      </c>
      <c r="BE1488">
        <v>0</v>
      </c>
      <c r="BF1488">
        <v>0</v>
      </c>
      <c r="BG1488">
        <v>0</v>
      </c>
      <c r="BH1488">
        <v>1</v>
      </c>
      <c r="BI1488">
        <v>1</v>
      </c>
      <c r="BJ1488">
        <v>0.2</v>
      </c>
      <c r="BK1488">
        <v>1</v>
      </c>
      <c r="BL1488" s="4">
        <v>50.45</v>
      </c>
      <c r="BM1488" s="4">
        <v>7.57</v>
      </c>
      <c r="BN1488" s="4">
        <v>58.02</v>
      </c>
      <c r="BO1488" s="4">
        <v>58.02</v>
      </c>
      <c r="BQ1488" t="s">
        <v>147</v>
      </c>
      <c r="BR1488" t="s">
        <v>84</v>
      </c>
      <c r="BS1488" s="3">
        <v>43816</v>
      </c>
      <c r="BT1488" s="5">
        <v>0.37847222222222227</v>
      </c>
      <c r="BU1488" t="s">
        <v>1947</v>
      </c>
      <c r="BV1488" t="s">
        <v>86</v>
      </c>
      <c r="BY1488">
        <v>1200</v>
      </c>
      <c r="CA1488" t="s">
        <v>209</v>
      </c>
      <c r="CC1488" t="s">
        <v>91</v>
      </c>
      <c r="CD1488">
        <v>7441</v>
      </c>
      <c r="CE1488" t="s">
        <v>88</v>
      </c>
      <c r="CF1488" s="3">
        <v>43817</v>
      </c>
      <c r="CI1488">
        <v>1</v>
      </c>
      <c r="CJ1488">
        <v>2</v>
      </c>
      <c r="CK1488">
        <v>21</v>
      </c>
      <c r="CL1488" t="s">
        <v>89</v>
      </c>
    </row>
    <row r="1489" spans="1:90">
      <c r="A1489" t="s">
        <v>72</v>
      </c>
      <c r="B1489" t="s">
        <v>73</v>
      </c>
      <c r="C1489" t="s">
        <v>74</v>
      </c>
      <c r="E1489" t="str">
        <f>"FES1162728371"</f>
        <v>FES1162728371</v>
      </c>
      <c r="F1489" s="3">
        <v>43812</v>
      </c>
      <c r="G1489">
        <v>202006</v>
      </c>
      <c r="H1489" t="s">
        <v>75</v>
      </c>
      <c r="I1489" t="s">
        <v>76</v>
      </c>
      <c r="J1489" t="s">
        <v>77</v>
      </c>
      <c r="K1489" t="s">
        <v>78</v>
      </c>
      <c r="L1489" t="s">
        <v>213</v>
      </c>
      <c r="M1489" t="s">
        <v>214</v>
      </c>
      <c r="N1489" t="s">
        <v>303</v>
      </c>
      <c r="O1489" t="s">
        <v>82</v>
      </c>
      <c r="P1489" t="str">
        <f>"2170721280                    "</f>
        <v xml:space="preserve">2170721280                    </v>
      </c>
      <c r="Q1489">
        <v>0</v>
      </c>
      <c r="R1489">
        <v>0</v>
      </c>
      <c r="S1489">
        <v>0</v>
      </c>
      <c r="T1489">
        <v>0</v>
      </c>
      <c r="U1489">
        <v>0</v>
      </c>
      <c r="V1489">
        <v>0</v>
      </c>
      <c r="W1489">
        <v>0</v>
      </c>
      <c r="X1489">
        <v>0</v>
      </c>
      <c r="Y1489">
        <v>0</v>
      </c>
      <c r="Z1489">
        <v>0</v>
      </c>
      <c r="AA1489">
        <v>0</v>
      </c>
      <c r="AB1489">
        <v>0</v>
      </c>
      <c r="AC1489">
        <v>0</v>
      </c>
      <c r="AD1489">
        <v>0</v>
      </c>
      <c r="AE1489">
        <v>0</v>
      </c>
      <c r="AF1489">
        <v>0</v>
      </c>
      <c r="AG1489">
        <v>0</v>
      </c>
      <c r="AH1489">
        <v>0</v>
      </c>
      <c r="AI1489">
        <v>0</v>
      </c>
      <c r="AJ1489">
        <v>0</v>
      </c>
      <c r="AK1489">
        <v>0</v>
      </c>
      <c r="AL1489">
        <v>0</v>
      </c>
      <c r="AM1489">
        <v>8.58</v>
      </c>
      <c r="AN1489">
        <v>0</v>
      </c>
      <c r="AO1489">
        <v>0</v>
      </c>
      <c r="AP1489">
        <v>0</v>
      </c>
      <c r="AQ1489">
        <v>0</v>
      </c>
      <c r="AR1489">
        <v>0</v>
      </c>
      <c r="AS1489">
        <v>0</v>
      </c>
      <c r="AT1489">
        <v>0</v>
      </c>
      <c r="AU1489">
        <v>0</v>
      </c>
      <c r="AV1489">
        <v>0</v>
      </c>
      <c r="AW1489">
        <v>0</v>
      </c>
      <c r="AX1489">
        <v>0</v>
      </c>
      <c r="AY1489">
        <v>0</v>
      </c>
      <c r="AZ1489">
        <v>0</v>
      </c>
      <c r="BA1489">
        <v>0</v>
      </c>
      <c r="BB1489">
        <v>0</v>
      </c>
      <c r="BC1489">
        <v>0</v>
      </c>
      <c r="BD1489">
        <v>0</v>
      </c>
      <c r="BE1489">
        <v>0</v>
      </c>
      <c r="BF1489">
        <v>0</v>
      </c>
      <c r="BG1489">
        <v>0</v>
      </c>
      <c r="BH1489">
        <v>1</v>
      </c>
      <c r="BI1489">
        <v>1</v>
      </c>
      <c r="BJ1489">
        <v>0.2</v>
      </c>
      <c r="BK1489">
        <v>1</v>
      </c>
      <c r="BL1489" s="4">
        <v>50.45</v>
      </c>
      <c r="BM1489" s="4">
        <v>7.57</v>
      </c>
      <c r="BN1489" s="4">
        <v>58.02</v>
      </c>
      <c r="BO1489" s="4">
        <v>58.02</v>
      </c>
      <c r="BQ1489" t="s">
        <v>147</v>
      </c>
      <c r="BR1489" t="s">
        <v>84</v>
      </c>
      <c r="BS1489" s="3">
        <v>43816</v>
      </c>
      <c r="BT1489" s="5">
        <v>0.33958333333333335</v>
      </c>
      <c r="BU1489" t="s">
        <v>1796</v>
      </c>
      <c r="BV1489" t="s">
        <v>86</v>
      </c>
      <c r="BY1489">
        <v>1200</v>
      </c>
      <c r="CA1489" t="s">
        <v>99</v>
      </c>
      <c r="CC1489" t="s">
        <v>214</v>
      </c>
      <c r="CD1489">
        <v>6230</v>
      </c>
      <c r="CE1489" t="s">
        <v>88</v>
      </c>
      <c r="CF1489" s="3">
        <v>43817</v>
      </c>
      <c r="CI1489">
        <v>1</v>
      </c>
      <c r="CJ1489">
        <v>2</v>
      </c>
      <c r="CK1489">
        <v>21</v>
      </c>
      <c r="CL1489" t="s">
        <v>89</v>
      </c>
    </row>
    <row r="1490" spans="1:90">
      <c r="A1490" t="s">
        <v>72</v>
      </c>
      <c r="B1490" t="s">
        <v>73</v>
      </c>
      <c r="C1490" t="s">
        <v>74</v>
      </c>
      <c r="E1490" t="str">
        <f>"FES1162728256"</f>
        <v>FES1162728256</v>
      </c>
      <c r="F1490" s="3">
        <v>43812</v>
      </c>
      <c r="G1490">
        <v>202006</v>
      </c>
      <c r="H1490" t="s">
        <v>75</v>
      </c>
      <c r="I1490" t="s">
        <v>76</v>
      </c>
      <c r="J1490" t="s">
        <v>77</v>
      </c>
      <c r="K1490" t="s">
        <v>78</v>
      </c>
      <c r="L1490" t="s">
        <v>79</v>
      </c>
      <c r="M1490" t="s">
        <v>80</v>
      </c>
      <c r="N1490" t="s">
        <v>1597</v>
      </c>
      <c r="O1490" t="s">
        <v>82</v>
      </c>
      <c r="P1490" t="str">
        <f>"21707121081                   "</f>
        <v xml:space="preserve">21707121081                   </v>
      </c>
      <c r="Q1490">
        <v>0</v>
      </c>
      <c r="R1490">
        <v>0</v>
      </c>
      <c r="S1490">
        <v>0</v>
      </c>
      <c r="T1490">
        <v>0</v>
      </c>
      <c r="U1490">
        <v>0</v>
      </c>
      <c r="V1490">
        <v>0</v>
      </c>
      <c r="W1490">
        <v>0</v>
      </c>
      <c r="X1490">
        <v>0</v>
      </c>
      <c r="Y1490">
        <v>0</v>
      </c>
      <c r="Z1490">
        <v>0</v>
      </c>
      <c r="AA1490">
        <v>0</v>
      </c>
      <c r="AB1490">
        <v>0</v>
      </c>
      <c r="AC1490">
        <v>0</v>
      </c>
      <c r="AD1490">
        <v>0</v>
      </c>
      <c r="AE1490">
        <v>0</v>
      </c>
      <c r="AF1490">
        <v>0</v>
      </c>
      <c r="AG1490">
        <v>0</v>
      </c>
      <c r="AH1490">
        <v>0</v>
      </c>
      <c r="AI1490">
        <v>0</v>
      </c>
      <c r="AJ1490">
        <v>0</v>
      </c>
      <c r="AK1490">
        <v>0</v>
      </c>
      <c r="AL1490">
        <v>0</v>
      </c>
      <c r="AM1490">
        <v>12.87</v>
      </c>
      <c r="AN1490">
        <v>0</v>
      </c>
      <c r="AO1490">
        <v>0</v>
      </c>
      <c r="AP1490">
        <v>0</v>
      </c>
      <c r="AQ1490">
        <v>0</v>
      </c>
      <c r="AR1490">
        <v>0</v>
      </c>
      <c r="AS1490">
        <v>0</v>
      </c>
      <c r="AT1490">
        <v>0</v>
      </c>
      <c r="AU1490">
        <v>0</v>
      </c>
      <c r="AV1490">
        <v>0</v>
      </c>
      <c r="AW1490">
        <v>0</v>
      </c>
      <c r="AX1490">
        <v>0</v>
      </c>
      <c r="AY1490">
        <v>0</v>
      </c>
      <c r="AZ1490">
        <v>0</v>
      </c>
      <c r="BA1490">
        <v>0</v>
      </c>
      <c r="BB1490">
        <v>0</v>
      </c>
      <c r="BC1490">
        <v>0</v>
      </c>
      <c r="BD1490">
        <v>0</v>
      </c>
      <c r="BE1490">
        <v>0</v>
      </c>
      <c r="BF1490">
        <v>0</v>
      </c>
      <c r="BG1490">
        <v>0</v>
      </c>
      <c r="BH1490">
        <v>1</v>
      </c>
      <c r="BI1490">
        <v>2.7</v>
      </c>
      <c r="BJ1490">
        <v>1.5</v>
      </c>
      <c r="BK1490">
        <v>3</v>
      </c>
      <c r="BL1490" s="4">
        <v>75.66</v>
      </c>
      <c r="BM1490" s="4">
        <v>11.35</v>
      </c>
      <c r="BN1490" s="4">
        <v>87.01</v>
      </c>
      <c r="BO1490" s="4">
        <v>87.01</v>
      </c>
      <c r="BQ1490" t="s">
        <v>1598</v>
      </c>
      <c r="BR1490" t="s">
        <v>84</v>
      </c>
      <c r="BS1490" s="3">
        <v>43816</v>
      </c>
      <c r="BT1490" s="5">
        <v>0.37222222222222223</v>
      </c>
      <c r="BU1490" t="s">
        <v>1948</v>
      </c>
      <c r="BV1490" t="s">
        <v>86</v>
      </c>
      <c r="BY1490">
        <v>7514.96</v>
      </c>
      <c r="CA1490" t="s">
        <v>131</v>
      </c>
      <c r="CC1490" t="s">
        <v>80</v>
      </c>
      <c r="CD1490">
        <v>6001</v>
      </c>
      <c r="CE1490" t="s">
        <v>96</v>
      </c>
      <c r="CF1490" s="3">
        <v>43817</v>
      </c>
      <c r="CI1490">
        <v>1</v>
      </c>
      <c r="CJ1490">
        <v>2</v>
      </c>
      <c r="CK1490">
        <v>21</v>
      </c>
      <c r="CL1490" t="s">
        <v>89</v>
      </c>
    </row>
    <row r="1491" spans="1:90">
      <c r="A1491" t="s">
        <v>72</v>
      </c>
      <c r="B1491" t="s">
        <v>73</v>
      </c>
      <c r="C1491" t="s">
        <v>74</v>
      </c>
      <c r="E1491" t="str">
        <f>"FES1162728222"</f>
        <v>FES1162728222</v>
      </c>
      <c r="F1491" s="3">
        <v>43812</v>
      </c>
      <c r="G1491">
        <v>202006</v>
      </c>
      <c r="H1491" t="s">
        <v>75</v>
      </c>
      <c r="I1491" t="s">
        <v>76</v>
      </c>
      <c r="J1491" t="s">
        <v>77</v>
      </c>
      <c r="K1491" t="s">
        <v>78</v>
      </c>
      <c r="L1491" t="s">
        <v>79</v>
      </c>
      <c r="M1491" t="s">
        <v>80</v>
      </c>
      <c r="N1491" t="s">
        <v>1942</v>
      </c>
      <c r="O1491" t="s">
        <v>82</v>
      </c>
      <c r="P1491" t="str">
        <f>"217071574                     "</f>
        <v xml:space="preserve">217071574                     </v>
      </c>
      <c r="Q1491">
        <v>0</v>
      </c>
      <c r="R1491">
        <v>0</v>
      </c>
      <c r="S1491">
        <v>0</v>
      </c>
      <c r="T1491">
        <v>0</v>
      </c>
      <c r="U1491">
        <v>0</v>
      </c>
      <c r="V1491">
        <v>0</v>
      </c>
      <c r="W1491">
        <v>0</v>
      </c>
      <c r="X1491">
        <v>0</v>
      </c>
      <c r="Y1491">
        <v>0</v>
      </c>
      <c r="Z1491">
        <v>0</v>
      </c>
      <c r="AA1491">
        <v>0</v>
      </c>
      <c r="AB1491">
        <v>0</v>
      </c>
      <c r="AC1491">
        <v>0</v>
      </c>
      <c r="AD1491">
        <v>0</v>
      </c>
      <c r="AE1491">
        <v>0</v>
      </c>
      <c r="AF1491">
        <v>0</v>
      </c>
      <c r="AG1491">
        <v>0</v>
      </c>
      <c r="AH1491">
        <v>0</v>
      </c>
      <c r="AI1491">
        <v>0</v>
      </c>
      <c r="AJ1491">
        <v>0</v>
      </c>
      <c r="AK1491">
        <v>0</v>
      </c>
      <c r="AL1491">
        <v>0</v>
      </c>
      <c r="AM1491">
        <v>79.349999999999994</v>
      </c>
      <c r="AN1491">
        <v>0</v>
      </c>
      <c r="AO1491">
        <v>0</v>
      </c>
      <c r="AP1491">
        <v>0</v>
      </c>
      <c r="AQ1491">
        <v>0</v>
      </c>
      <c r="AR1491">
        <v>0</v>
      </c>
      <c r="AS1491">
        <v>0</v>
      </c>
      <c r="AT1491">
        <v>0</v>
      </c>
      <c r="AU1491">
        <v>0</v>
      </c>
      <c r="AV1491">
        <v>0</v>
      </c>
      <c r="AW1491">
        <v>0</v>
      </c>
      <c r="AX1491">
        <v>0</v>
      </c>
      <c r="AY1491">
        <v>0</v>
      </c>
      <c r="AZ1491">
        <v>0</v>
      </c>
      <c r="BA1491">
        <v>0</v>
      </c>
      <c r="BB1491">
        <v>0</v>
      </c>
      <c r="BC1491">
        <v>0</v>
      </c>
      <c r="BD1491">
        <v>0</v>
      </c>
      <c r="BE1491">
        <v>0</v>
      </c>
      <c r="BF1491">
        <v>0</v>
      </c>
      <c r="BG1491">
        <v>0</v>
      </c>
      <c r="BH1491">
        <v>1</v>
      </c>
      <c r="BI1491">
        <v>10</v>
      </c>
      <c r="BJ1491">
        <v>18.2</v>
      </c>
      <c r="BK1491">
        <v>18.5</v>
      </c>
      <c r="BL1491" s="4">
        <v>466.4</v>
      </c>
      <c r="BM1491" s="4">
        <v>69.959999999999994</v>
      </c>
      <c r="BN1491" s="4">
        <v>536.36</v>
      </c>
      <c r="BO1491" s="4">
        <v>536.36</v>
      </c>
      <c r="BQ1491" t="s">
        <v>277</v>
      </c>
      <c r="BR1491" t="s">
        <v>84</v>
      </c>
      <c r="BS1491" s="3">
        <v>43816</v>
      </c>
      <c r="BT1491" s="5">
        <v>0.59722222222222221</v>
      </c>
      <c r="BU1491" t="s">
        <v>562</v>
      </c>
      <c r="BV1491" t="s">
        <v>89</v>
      </c>
      <c r="BW1491" t="s">
        <v>1254</v>
      </c>
      <c r="BX1491" t="s">
        <v>594</v>
      </c>
      <c r="BY1491">
        <v>90854.76</v>
      </c>
      <c r="CC1491" t="s">
        <v>80</v>
      </c>
      <c r="CD1491">
        <v>6014</v>
      </c>
      <c r="CE1491" t="s">
        <v>96</v>
      </c>
      <c r="CF1491" s="3">
        <v>43818</v>
      </c>
      <c r="CI1491">
        <v>1</v>
      </c>
      <c r="CJ1491">
        <v>2</v>
      </c>
      <c r="CK1491">
        <v>21</v>
      </c>
      <c r="CL1491" t="s">
        <v>89</v>
      </c>
    </row>
    <row r="1492" spans="1:90">
      <c r="A1492" t="s">
        <v>72</v>
      </c>
      <c r="B1492" t="s">
        <v>73</v>
      </c>
      <c r="C1492" t="s">
        <v>74</v>
      </c>
      <c r="E1492" t="str">
        <f>"FES1162728409"</f>
        <v>FES1162728409</v>
      </c>
      <c r="F1492" s="3">
        <v>43812</v>
      </c>
      <c r="G1492">
        <v>202006</v>
      </c>
      <c r="H1492" t="s">
        <v>75</v>
      </c>
      <c r="I1492" t="s">
        <v>76</v>
      </c>
      <c r="J1492" t="s">
        <v>77</v>
      </c>
      <c r="K1492" t="s">
        <v>78</v>
      </c>
      <c r="L1492" t="s">
        <v>90</v>
      </c>
      <c r="M1492" t="s">
        <v>91</v>
      </c>
      <c r="N1492" t="s">
        <v>110</v>
      </c>
      <c r="O1492" t="s">
        <v>82</v>
      </c>
      <c r="P1492" t="str">
        <f>"2170718541                    "</f>
        <v xml:space="preserve">2170718541                    </v>
      </c>
      <c r="Q1492">
        <v>0</v>
      </c>
      <c r="R1492">
        <v>0</v>
      </c>
      <c r="S1492">
        <v>0</v>
      </c>
      <c r="T1492">
        <v>0</v>
      </c>
      <c r="U1492">
        <v>0</v>
      </c>
      <c r="V1492">
        <v>0</v>
      </c>
      <c r="W1492">
        <v>0</v>
      </c>
      <c r="X1492">
        <v>0</v>
      </c>
      <c r="Y1492">
        <v>0</v>
      </c>
      <c r="Z1492">
        <v>0</v>
      </c>
      <c r="AA1492">
        <v>0</v>
      </c>
      <c r="AB1492">
        <v>0</v>
      </c>
      <c r="AC1492">
        <v>0</v>
      </c>
      <c r="AD1492">
        <v>0</v>
      </c>
      <c r="AE1492">
        <v>0</v>
      </c>
      <c r="AF1492">
        <v>0</v>
      </c>
      <c r="AG1492">
        <v>0</v>
      </c>
      <c r="AH1492">
        <v>0</v>
      </c>
      <c r="AI1492">
        <v>0</v>
      </c>
      <c r="AJ1492">
        <v>0</v>
      </c>
      <c r="AK1492">
        <v>0</v>
      </c>
      <c r="AL1492">
        <v>0</v>
      </c>
      <c r="AM1492">
        <v>8.58</v>
      </c>
      <c r="AN1492">
        <v>0</v>
      </c>
      <c r="AO1492">
        <v>0</v>
      </c>
      <c r="AP1492">
        <v>0</v>
      </c>
      <c r="AQ1492">
        <v>0</v>
      </c>
      <c r="AR1492">
        <v>0</v>
      </c>
      <c r="AS1492">
        <v>0</v>
      </c>
      <c r="AT1492">
        <v>0</v>
      </c>
      <c r="AU1492">
        <v>0</v>
      </c>
      <c r="AV1492">
        <v>0</v>
      </c>
      <c r="AW1492">
        <v>0</v>
      </c>
      <c r="AX1492">
        <v>0</v>
      </c>
      <c r="AY1492">
        <v>0</v>
      </c>
      <c r="AZ1492">
        <v>0</v>
      </c>
      <c r="BA1492">
        <v>0</v>
      </c>
      <c r="BB1492">
        <v>0</v>
      </c>
      <c r="BC1492">
        <v>0</v>
      </c>
      <c r="BD1492">
        <v>0</v>
      </c>
      <c r="BE1492">
        <v>0</v>
      </c>
      <c r="BF1492">
        <v>0</v>
      </c>
      <c r="BG1492">
        <v>0</v>
      </c>
      <c r="BH1492">
        <v>1</v>
      </c>
      <c r="BI1492">
        <v>1</v>
      </c>
      <c r="BJ1492">
        <v>0.2</v>
      </c>
      <c r="BK1492">
        <v>1</v>
      </c>
      <c r="BL1492" s="4">
        <v>50.45</v>
      </c>
      <c r="BM1492" s="4">
        <v>7.57</v>
      </c>
      <c r="BN1492" s="4">
        <v>58.02</v>
      </c>
      <c r="BO1492" s="4">
        <v>58.02</v>
      </c>
      <c r="BQ1492" t="s">
        <v>147</v>
      </c>
      <c r="BR1492" t="s">
        <v>84</v>
      </c>
      <c r="BS1492" s="3">
        <v>43816</v>
      </c>
      <c r="BT1492" s="5">
        <v>0.30972222222222223</v>
      </c>
      <c r="BU1492" t="s">
        <v>111</v>
      </c>
      <c r="BV1492" t="s">
        <v>86</v>
      </c>
      <c r="BY1492">
        <v>1200</v>
      </c>
      <c r="CA1492" t="s">
        <v>112</v>
      </c>
      <c r="CC1492" t="s">
        <v>91</v>
      </c>
      <c r="CD1492">
        <v>7405</v>
      </c>
      <c r="CE1492" t="s">
        <v>88</v>
      </c>
      <c r="CF1492" s="3">
        <v>43817</v>
      </c>
      <c r="CI1492">
        <v>1</v>
      </c>
      <c r="CJ1492">
        <v>2</v>
      </c>
      <c r="CK1492">
        <v>21</v>
      </c>
      <c r="CL1492" t="s">
        <v>89</v>
      </c>
    </row>
    <row r="1493" spans="1:90">
      <c r="A1493" t="s">
        <v>72</v>
      </c>
      <c r="B1493" t="s">
        <v>73</v>
      </c>
      <c r="C1493" t="s">
        <v>74</v>
      </c>
      <c r="E1493" t="str">
        <f>"FES1162728307"</f>
        <v>FES1162728307</v>
      </c>
      <c r="F1493" s="3">
        <v>43812</v>
      </c>
      <c r="G1493">
        <v>202006</v>
      </c>
      <c r="H1493" t="s">
        <v>75</v>
      </c>
      <c r="I1493" t="s">
        <v>76</v>
      </c>
      <c r="J1493" t="s">
        <v>77</v>
      </c>
      <c r="K1493" t="s">
        <v>78</v>
      </c>
      <c r="L1493" t="s">
        <v>258</v>
      </c>
      <c r="M1493" t="s">
        <v>259</v>
      </c>
      <c r="N1493" t="s">
        <v>820</v>
      </c>
      <c r="O1493" t="s">
        <v>82</v>
      </c>
      <c r="P1493" t="str">
        <f>"21707198085                   "</f>
        <v xml:space="preserve">21707198085                   </v>
      </c>
      <c r="Q1493">
        <v>0</v>
      </c>
      <c r="R1493">
        <v>0</v>
      </c>
      <c r="S1493">
        <v>0</v>
      </c>
      <c r="T1493">
        <v>0</v>
      </c>
      <c r="U1493">
        <v>0</v>
      </c>
      <c r="V1493">
        <v>0</v>
      </c>
      <c r="W1493">
        <v>0</v>
      </c>
      <c r="X1493">
        <v>0</v>
      </c>
      <c r="Y1493">
        <v>0</v>
      </c>
      <c r="Z1493">
        <v>0</v>
      </c>
      <c r="AA1493">
        <v>0</v>
      </c>
      <c r="AB1493">
        <v>0</v>
      </c>
      <c r="AC1493">
        <v>0</v>
      </c>
      <c r="AD1493">
        <v>0</v>
      </c>
      <c r="AE1493">
        <v>0</v>
      </c>
      <c r="AF1493">
        <v>0</v>
      </c>
      <c r="AG1493">
        <v>0</v>
      </c>
      <c r="AH1493">
        <v>0</v>
      </c>
      <c r="AI1493">
        <v>0</v>
      </c>
      <c r="AJ1493">
        <v>0</v>
      </c>
      <c r="AK1493">
        <v>0</v>
      </c>
      <c r="AL1493">
        <v>0</v>
      </c>
      <c r="AM1493">
        <v>8.58</v>
      </c>
      <c r="AN1493">
        <v>0</v>
      </c>
      <c r="AO1493">
        <v>0</v>
      </c>
      <c r="AP1493">
        <v>0</v>
      </c>
      <c r="AQ1493">
        <v>0</v>
      </c>
      <c r="AR1493">
        <v>0</v>
      </c>
      <c r="AS1493">
        <v>0</v>
      </c>
      <c r="AT1493">
        <v>0</v>
      </c>
      <c r="AU1493">
        <v>0</v>
      </c>
      <c r="AV1493">
        <v>0</v>
      </c>
      <c r="AW1493">
        <v>0</v>
      </c>
      <c r="AX1493">
        <v>0</v>
      </c>
      <c r="AY1493">
        <v>0</v>
      </c>
      <c r="AZ1493">
        <v>0</v>
      </c>
      <c r="BA1493">
        <v>0</v>
      </c>
      <c r="BB1493">
        <v>0</v>
      </c>
      <c r="BC1493">
        <v>0</v>
      </c>
      <c r="BD1493">
        <v>0</v>
      </c>
      <c r="BE1493">
        <v>0</v>
      </c>
      <c r="BF1493">
        <v>0</v>
      </c>
      <c r="BG1493">
        <v>0</v>
      </c>
      <c r="BH1493">
        <v>1</v>
      </c>
      <c r="BI1493">
        <v>1</v>
      </c>
      <c r="BJ1493">
        <v>0.2</v>
      </c>
      <c r="BK1493">
        <v>1</v>
      </c>
      <c r="BL1493" s="4">
        <v>50.45</v>
      </c>
      <c r="BM1493" s="4">
        <v>7.57</v>
      </c>
      <c r="BN1493" s="4">
        <v>58.02</v>
      </c>
      <c r="BO1493" s="4">
        <v>58.02</v>
      </c>
      <c r="BQ1493" t="s">
        <v>93</v>
      </c>
      <c r="BR1493" t="s">
        <v>84</v>
      </c>
      <c r="BS1493" s="3">
        <v>43816</v>
      </c>
      <c r="BT1493" s="5">
        <v>0.39097222222222222</v>
      </c>
      <c r="BU1493" t="s">
        <v>1949</v>
      </c>
      <c r="BV1493" t="s">
        <v>86</v>
      </c>
      <c r="BY1493">
        <v>1200</v>
      </c>
      <c r="CA1493" t="s">
        <v>1950</v>
      </c>
      <c r="CC1493" t="s">
        <v>259</v>
      </c>
      <c r="CD1493">
        <v>7600</v>
      </c>
      <c r="CE1493" t="s">
        <v>88</v>
      </c>
      <c r="CF1493" s="3">
        <v>43817</v>
      </c>
      <c r="CI1493">
        <v>1</v>
      </c>
      <c r="CJ1493">
        <v>2</v>
      </c>
      <c r="CK1493">
        <v>21</v>
      </c>
      <c r="CL1493" t="s">
        <v>89</v>
      </c>
    </row>
    <row r="1494" spans="1:90">
      <c r="A1494" t="s">
        <v>72</v>
      </c>
      <c r="B1494" t="s">
        <v>73</v>
      </c>
      <c r="C1494" t="s">
        <v>74</v>
      </c>
      <c r="E1494" t="str">
        <f>"FES1162728325"</f>
        <v>FES1162728325</v>
      </c>
      <c r="F1494" s="3">
        <v>43812</v>
      </c>
      <c r="G1494">
        <v>202006</v>
      </c>
      <c r="H1494" t="s">
        <v>75</v>
      </c>
      <c r="I1494" t="s">
        <v>76</v>
      </c>
      <c r="J1494" t="s">
        <v>77</v>
      </c>
      <c r="K1494" t="s">
        <v>78</v>
      </c>
      <c r="L1494" t="s">
        <v>90</v>
      </c>
      <c r="M1494" t="s">
        <v>91</v>
      </c>
      <c r="N1494" t="s">
        <v>219</v>
      </c>
      <c r="O1494" t="s">
        <v>82</v>
      </c>
      <c r="P1494" t="str">
        <f>"2170719565                    "</f>
        <v xml:space="preserve">2170719565                    </v>
      </c>
      <c r="Q1494">
        <v>0</v>
      </c>
      <c r="R1494">
        <v>0</v>
      </c>
      <c r="S1494">
        <v>0</v>
      </c>
      <c r="T1494">
        <v>0</v>
      </c>
      <c r="U1494">
        <v>0</v>
      </c>
      <c r="V1494">
        <v>0</v>
      </c>
      <c r="W1494">
        <v>0</v>
      </c>
      <c r="X1494">
        <v>0</v>
      </c>
      <c r="Y1494">
        <v>0</v>
      </c>
      <c r="Z1494">
        <v>0</v>
      </c>
      <c r="AA1494">
        <v>0</v>
      </c>
      <c r="AB1494">
        <v>0</v>
      </c>
      <c r="AC1494">
        <v>0</v>
      </c>
      <c r="AD1494">
        <v>0</v>
      </c>
      <c r="AE1494">
        <v>0</v>
      </c>
      <c r="AF1494">
        <v>0</v>
      </c>
      <c r="AG1494">
        <v>0</v>
      </c>
      <c r="AH1494">
        <v>0</v>
      </c>
      <c r="AI1494">
        <v>0</v>
      </c>
      <c r="AJ1494">
        <v>0</v>
      </c>
      <c r="AK1494">
        <v>0</v>
      </c>
      <c r="AL1494">
        <v>0</v>
      </c>
      <c r="AM1494">
        <v>8.58</v>
      </c>
      <c r="AN1494">
        <v>0</v>
      </c>
      <c r="AO1494">
        <v>0</v>
      </c>
      <c r="AP1494">
        <v>0</v>
      </c>
      <c r="AQ1494">
        <v>0</v>
      </c>
      <c r="AR1494">
        <v>0</v>
      </c>
      <c r="AS1494">
        <v>0</v>
      </c>
      <c r="AT1494">
        <v>0</v>
      </c>
      <c r="AU1494">
        <v>0</v>
      </c>
      <c r="AV1494">
        <v>0</v>
      </c>
      <c r="AW1494">
        <v>0</v>
      </c>
      <c r="AX1494">
        <v>0</v>
      </c>
      <c r="AY1494">
        <v>0</v>
      </c>
      <c r="AZ1494">
        <v>0</v>
      </c>
      <c r="BA1494">
        <v>0</v>
      </c>
      <c r="BB1494">
        <v>0</v>
      </c>
      <c r="BC1494">
        <v>0</v>
      </c>
      <c r="BD1494">
        <v>0</v>
      </c>
      <c r="BE1494">
        <v>0</v>
      </c>
      <c r="BF1494">
        <v>0</v>
      </c>
      <c r="BG1494">
        <v>0</v>
      </c>
      <c r="BH1494">
        <v>1</v>
      </c>
      <c r="BI1494">
        <v>1</v>
      </c>
      <c r="BJ1494">
        <v>0.2</v>
      </c>
      <c r="BK1494">
        <v>1</v>
      </c>
      <c r="BL1494" s="4">
        <v>50.45</v>
      </c>
      <c r="BM1494" s="4">
        <v>7.57</v>
      </c>
      <c r="BN1494" s="4">
        <v>58.02</v>
      </c>
      <c r="BO1494" s="4">
        <v>58.02</v>
      </c>
      <c r="BQ1494" t="s">
        <v>147</v>
      </c>
      <c r="BR1494" t="s">
        <v>84</v>
      </c>
      <c r="BS1494" s="3">
        <v>43816</v>
      </c>
      <c r="BT1494" s="5">
        <v>0.33333333333333331</v>
      </c>
      <c r="BU1494" t="s">
        <v>220</v>
      </c>
      <c r="BV1494" t="s">
        <v>86</v>
      </c>
      <c r="BY1494">
        <v>1200</v>
      </c>
      <c r="CA1494" t="s">
        <v>112</v>
      </c>
      <c r="CC1494" t="s">
        <v>91</v>
      </c>
      <c r="CD1494">
        <v>7441</v>
      </c>
      <c r="CE1494" t="s">
        <v>88</v>
      </c>
      <c r="CF1494" s="3">
        <v>43817</v>
      </c>
      <c r="CI1494">
        <v>1</v>
      </c>
      <c r="CJ1494">
        <v>2</v>
      </c>
      <c r="CK1494">
        <v>21</v>
      </c>
      <c r="CL1494" t="s">
        <v>89</v>
      </c>
    </row>
    <row r="1495" spans="1:90">
      <c r="A1495" t="s">
        <v>72</v>
      </c>
      <c r="B1495" t="s">
        <v>73</v>
      </c>
      <c r="C1495" t="s">
        <v>74</v>
      </c>
      <c r="E1495" t="str">
        <f>"FES1162728053"</f>
        <v>FES1162728053</v>
      </c>
      <c r="F1495" s="3">
        <v>43812</v>
      </c>
      <c r="G1495">
        <v>202006</v>
      </c>
      <c r="H1495" t="s">
        <v>75</v>
      </c>
      <c r="I1495" t="s">
        <v>76</v>
      </c>
      <c r="J1495" t="s">
        <v>77</v>
      </c>
      <c r="K1495" t="s">
        <v>78</v>
      </c>
      <c r="L1495" t="s">
        <v>213</v>
      </c>
      <c r="M1495" t="s">
        <v>214</v>
      </c>
      <c r="N1495" t="s">
        <v>303</v>
      </c>
      <c r="O1495" t="s">
        <v>82</v>
      </c>
      <c r="P1495" t="str">
        <f>"2170717096                    "</f>
        <v xml:space="preserve">2170717096                    </v>
      </c>
      <c r="Q1495">
        <v>0</v>
      </c>
      <c r="R1495">
        <v>0</v>
      </c>
      <c r="S1495">
        <v>0</v>
      </c>
      <c r="T1495">
        <v>0</v>
      </c>
      <c r="U1495">
        <v>0</v>
      </c>
      <c r="V1495">
        <v>0</v>
      </c>
      <c r="W1495">
        <v>0</v>
      </c>
      <c r="X1495">
        <v>0</v>
      </c>
      <c r="Y1495">
        <v>0</v>
      </c>
      <c r="Z1495">
        <v>0</v>
      </c>
      <c r="AA1495">
        <v>0</v>
      </c>
      <c r="AB1495">
        <v>0</v>
      </c>
      <c r="AC1495">
        <v>0</v>
      </c>
      <c r="AD1495">
        <v>0</v>
      </c>
      <c r="AE1495">
        <v>0</v>
      </c>
      <c r="AF1495">
        <v>0</v>
      </c>
      <c r="AG1495">
        <v>0</v>
      </c>
      <c r="AH1495">
        <v>0</v>
      </c>
      <c r="AI1495">
        <v>0</v>
      </c>
      <c r="AJ1495">
        <v>0</v>
      </c>
      <c r="AK1495">
        <v>0</v>
      </c>
      <c r="AL1495">
        <v>0</v>
      </c>
      <c r="AM1495">
        <v>8.58</v>
      </c>
      <c r="AN1495">
        <v>0</v>
      </c>
      <c r="AO1495">
        <v>0</v>
      </c>
      <c r="AP1495">
        <v>0</v>
      </c>
      <c r="AQ1495">
        <v>0</v>
      </c>
      <c r="AR1495">
        <v>0</v>
      </c>
      <c r="AS1495">
        <v>0</v>
      </c>
      <c r="AT1495">
        <v>0</v>
      </c>
      <c r="AU1495">
        <v>0</v>
      </c>
      <c r="AV1495">
        <v>0</v>
      </c>
      <c r="AW1495">
        <v>0</v>
      </c>
      <c r="AX1495">
        <v>0</v>
      </c>
      <c r="AY1495">
        <v>0</v>
      </c>
      <c r="AZ1495">
        <v>0</v>
      </c>
      <c r="BA1495">
        <v>0</v>
      </c>
      <c r="BB1495">
        <v>0</v>
      </c>
      <c r="BC1495">
        <v>0</v>
      </c>
      <c r="BD1495">
        <v>0</v>
      </c>
      <c r="BE1495">
        <v>0</v>
      </c>
      <c r="BF1495">
        <v>0</v>
      </c>
      <c r="BG1495">
        <v>0</v>
      </c>
      <c r="BH1495">
        <v>1</v>
      </c>
      <c r="BI1495">
        <v>1.4</v>
      </c>
      <c r="BJ1495">
        <v>0.8</v>
      </c>
      <c r="BK1495">
        <v>1.5</v>
      </c>
      <c r="BL1495" s="4">
        <v>50.45</v>
      </c>
      <c r="BM1495" s="4">
        <v>7.57</v>
      </c>
      <c r="BN1495" s="4">
        <v>58.02</v>
      </c>
      <c r="BO1495" s="4">
        <v>58.02</v>
      </c>
      <c r="BQ1495" t="s">
        <v>147</v>
      </c>
      <c r="BR1495" t="s">
        <v>84</v>
      </c>
      <c r="BS1495" s="3">
        <v>43816</v>
      </c>
      <c r="BT1495" s="5">
        <v>0.33958333333333335</v>
      </c>
      <c r="BU1495" t="s">
        <v>1796</v>
      </c>
      <c r="BV1495" t="s">
        <v>86</v>
      </c>
      <c r="BY1495">
        <v>4176.7</v>
      </c>
      <c r="CA1495" t="s">
        <v>99</v>
      </c>
      <c r="CC1495" t="s">
        <v>214</v>
      </c>
      <c r="CD1495">
        <v>6230</v>
      </c>
      <c r="CE1495" t="s">
        <v>116</v>
      </c>
      <c r="CF1495" s="3">
        <v>43817</v>
      </c>
      <c r="CI1495">
        <v>1</v>
      </c>
      <c r="CJ1495">
        <v>2</v>
      </c>
      <c r="CK1495">
        <v>21</v>
      </c>
      <c r="CL1495" t="s">
        <v>89</v>
      </c>
    </row>
    <row r="1496" spans="1:90">
      <c r="A1496" t="s">
        <v>72</v>
      </c>
      <c r="B1496" t="s">
        <v>73</v>
      </c>
      <c r="C1496" t="s">
        <v>74</v>
      </c>
      <c r="E1496" t="str">
        <f>"FES1162728453"</f>
        <v>FES1162728453</v>
      </c>
      <c r="F1496" s="3">
        <v>43812</v>
      </c>
      <c r="G1496">
        <v>202006</v>
      </c>
      <c r="H1496" t="s">
        <v>75</v>
      </c>
      <c r="I1496" t="s">
        <v>76</v>
      </c>
      <c r="J1496" t="s">
        <v>77</v>
      </c>
      <c r="K1496" t="s">
        <v>78</v>
      </c>
      <c r="L1496" t="s">
        <v>90</v>
      </c>
      <c r="M1496" t="s">
        <v>91</v>
      </c>
      <c r="N1496" t="s">
        <v>1196</v>
      </c>
      <c r="O1496" t="s">
        <v>82</v>
      </c>
      <c r="P1496" t="str">
        <f>"217071687                     "</f>
        <v xml:space="preserve">217071687                     </v>
      </c>
      <c r="Q1496">
        <v>0</v>
      </c>
      <c r="R1496">
        <v>0</v>
      </c>
      <c r="S1496">
        <v>0</v>
      </c>
      <c r="T1496">
        <v>0</v>
      </c>
      <c r="U1496">
        <v>0</v>
      </c>
      <c r="V1496">
        <v>0</v>
      </c>
      <c r="W1496">
        <v>0</v>
      </c>
      <c r="X1496">
        <v>0</v>
      </c>
      <c r="Y1496">
        <v>0</v>
      </c>
      <c r="Z1496">
        <v>0</v>
      </c>
      <c r="AA1496">
        <v>0</v>
      </c>
      <c r="AB1496">
        <v>0</v>
      </c>
      <c r="AC1496">
        <v>0</v>
      </c>
      <c r="AD1496">
        <v>0</v>
      </c>
      <c r="AE1496">
        <v>0</v>
      </c>
      <c r="AF1496">
        <v>0</v>
      </c>
      <c r="AG1496">
        <v>0</v>
      </c>
      <c r="AH1496">
        <v>0</v>
      </c>
      <c r="AI1496">
        <v>0</v>
      </c>
      <c r="AJ1496">
        <v>0</v>
      </c>
      <c r="AK1496">
        <v>0</v>
      </c>
      <c r="AL1496">
        <v>0</v>
      </c>
      <c r="AM1496">
        <v>15.02</v>
      </c>
      <c r="AN1496">
        <v>0</v>
      </c>
      <c r="AO1496">
        <v>0</v>
      </c>
      <c r="AP1496">
        <v>0</v>
      </c>
      <c r="AQ1496">
        <v>0</v>
      </c>
      <c r="AR1496">
        <v>0</v>
      </c>
      <c r="AS1496">
        <v>0</v>
      </c>
      <c r="AT1496">
        <v>0</v>
      </c>
      <c r="AU1496">
        <v>0</v>
      </c>
      <c r="AV1496">
        <v>0</v>
      </c>
      <c r="AW1496">
        <v>0</v>
      </c>
      <c r="AX1496">
        <v>0</v>
      </c>
      <c r="AY1496">
        <v>0</v>
      </c>
      <c r="AZ1496">
        <v>0</v>
      </c>
      <c r="BA1496">
        <v>0</v>
      </c>
      <c r="BB1496">
        <v>0</v>
      </c>
      <c r="BC1496">
        <v>0</v>
      </c>
      <c r="BD1496">
        <v>0</v>
      </c>
      <c r="BE1496">
        <v>0</v>
      </c>
      <c r="BF1496">
        <v>0</v>
      </c>
      <c r="BG1496">
        <v>0</v>
      </c>
      <c r="BH1496">
        <v>1</v>
      </c>
      <c r="BI1496">
        <v>3.2</v>
      </c>
      <c r="BJ1496">
        <v>1.3</v>
      </c>
      <c r="BK1496">
        <v>3.5</v>
      </c>
      <c r="BL1496" s="4">
        <v>88.27</v>
      </c>
      <c r="BM1496" s="4">
        <v>13.24</v>
      </c>
      <c r="BN1496" s="4">
        <v>101.51</v>
      </c>
      <c r="BO1496" s="4">
        <v>101.51</v>
      </c>
      <c r="BQ1496" t="s">
        <v>277</v>
      </c>
      <c r="BR1496" t="s">
        <v>84</v>
      </c>
      <c r="BS1496" s="3">
        <v>43816</v>
      </c>
      <c r="BT1496" s="5">
        <v>0.37708333333333338</v>
      </c>
      <c r="BU1496" t="s">
        <v>1197</v>
      </c>
      <c r="BV1496" t="s">
        <v>86</v>
      </c>
      <c r="BY1496">
        <v>6485.16</v>
      </c>
      <c r="CA1496" t="s">
        <v>145</v>
      </c>
      <c r="CC1496" t="s">
        <v>91</v>
      </c>
      <c r="CD1496">
        <v>7441</v>
      </c>
      <c r="CE1496" t="s">
        <v>116</v>
      </c>
      <c r="CF1496" s="3">
        <v>43817</v>
      </c>
      <c r="CI1496">
        <v>1</v>
      </c>
      <c r="CJ1496">
        <v>2</v>
      </c>
      <c r="CK1496">
        <v>21</v>
      </c>
      <c r="CL1496" t="s">
        <v>89</v>
      </c>
    </row>
    <row r="1497" spans="1:90">
      <c r="A1497" t="s">
        <v>72</v>
      </c>
      <c r="B1497" t="s">
        <v>73</v>
      </c>
      <c r="C1497" t="s">
        <v>74</v>
      </c>
      <c r="E1497" t="str">
        <f>"FES1162728433"</f>
        <v>FES1162728433</v>
      </c>
      <c r="F1497" s="3">
        <v>43812</v>
      </c>
      <c r="G1497">
        <v>202006</v>
      </c>
      <c r="H1497" t="s">
        <v>75</v>
      </c>
      <c r="I1497" t="s">
        <v>76</v>
      </c>
      <c r="J1497" t="s">
        <v>77</v>
      </c>
      <c r="K1497" t="s">
        <v>78</v>
      </c>
      <c r="L1497" t="s">
        <v>213</v>
      </c>
      <c r="M1497" t="s">
        <v>214</v>
      </c>
      <c r="N1497" t="s">
        <v>303</v>
      </c>
      <c r="O1497" t="s">
        <v>82</v>
      </c>
      <c r="P1497" t="str">
        <f>"2170719594                    "</f>
        <v xml:space="preserve">2170719594                    </v>
      </c>
      <c r="Q1497">
        <v>0</v>
      </c>
      <c r="R1497">
        <v>0</v>
      </c>
      <c r="S1497">
        <v>0</v>
      </c>
      <c r="T1497">
        <v>0</v>
      </c>
      <c r="U1497">
        <v>0</v>
      </c>
      <c r="V1497">
        <v>0</v>
      </c>
      <c r="W1497">
        <v>0</v>
      </c>
      <c r="X1497">
        <v>0</v>
      </c>
      <c r="Y1497">
        <v>0</v>
      </c>
      <c r="Z1497">
        <v>0</v>
      </c>
      <c r="AA1497">
        <v>0</v>
      </c>
      <c r="AB1497">
        <v>0</v>
      </c>
      <c r="AC1497">
        <v>0</v>
      </c>
      <c r="AD1497">
        <v>0</v>
      </c>
      <c r="AE1497">
        <v>0</v>
      </c>
      <c r="AF1497">
        <v>0</v>
      </c>
      <c r="AG1497">
        <v>0</v>
      </c>
      <c r="AH1497">
        <v>0</v>
      </c>
      <c r="AI1497">
        <v>0</v>
      </c>
      <c r="AJ1497">
        <v>0</v>
      </c>
      <c r="AK1497">
        <v>0</v>
      </c>
      <c r="AL1497">
        <v>0</v>
      </c>
      <c r="AM1497">
        <v>8.58</v>
      </c>
      <c r="AN1497">
        <v>0</v>
      </c>
      <c r="AO1497">
        <v>0</v>
      </c>
      <c r="AP1497">
        <v>0</v>
      </c>
      <c r="AQ1497">
        <v>0</v>
      </c>
      <c r="AR1497">
        <v>0</v>
      </c>
      <c r="AS1497">
        <v>0</v>
      </c>
      <c r="AT1497">
        <v>0</v>
      </c>
      <c r="AU1497">
        <v>0</v>
      </c>
      <c r="AV1497">
        <v>0</v>
      </c>
      <c r="AW1497">
        <v>0</v>
      </c>
      <c r="AX1497">
        <v>0</v>
      </c>
      <c r="AY1497">
        <v>0</v>
      </c>
      <c r="AZ1497">
        <v>0</v>
      </c>
      <c r="BA1497">
        <v>0</v>
      </c>
      <c r="BB1497">
        <v>0</v>
      </c>
      <c r="BC1497">
        <v>0</v>
      </c>
      <c r="BD1497">
        <v>0</v>
      </c>
      <c r="BE1497">
        <v>0</v>
      </c>
      <c r="BF1497">
        <v>0</v>
      </c>
      <c r="BG1497">
        <v>0</v>
      </c>
      <c r="BH1497">
        <v>1</v>
      </c>
      <c r="BI1497">
        <v>0.2</v>
      </c>
      <c r="BJ1497">
        <v>1.1000000000000001</v>
      </c>
      <c r="BK1497">
        <v>1.5</v>
      </c>
      <c r="BL1497" s="4">
        <v>50.45</v>
      </c>
      <c r="BM1497" s="4">
        <v>7.57</v>
      </c>
      <c r="BN1497" s="4">
        <v>58.02</v>
      </c>
      <c r="BO1497" s="4">
        <v>58.02</v>
      </c>
      <c r="BQ1497" t="s">
        <v>147</v>
      </c>
      <c r="BR1497" t="s">
        <v>84</v>
      </c>
      <c r="BS1497" s="3">
        <v>43816</v>
      </c>
      <c r="BT1497" s="5">
        <v>0.33958333333333335</v>
      </c>
      <c r="BU1497" t="s">
        <v>1796</v>
      </c>
      <c r="BV1497" t="s">
        <v>86</v>
      </c>
      <c r="BY1497">
        <v>5303.1</v>
      </c>
      <c r="CA1497" t="s">
        <v>99</v>
      </c>
      <c r="CC1497" t="s">
        <v>214</v>
      </c>
      <c r="CD1497">
        <v>6230</v>
      </c>
      <c r="CE1497" t="s">
        <v>88</v>
      </c>
      <c r="CF1497" s="3">
        <v>43817</v>
      </c>
      <c r="CI1497">
        <v>1</v>
      </c>
      <c r="CJ1497">
        <v>2</v>
      </c>
      <c r="CK1497">
        <v>21</v>
      </c>
      <c r="CL1497" t="s">
        <v>89</v>
      </c>
    </row>
    <row r="1498" spans="1:90">
      <c r="A1498" t="s">
        <v>72</v>
      </c>
      <c r="B1498" t="s">
        <v>73</v>
      </c>
      <c r="C1498" t="s">
        <v>74</v>
      </c>
      <c r="E1498" t="str">
        <f>"FES1162728454"</f>
        <v>FES1162728454</v>
      </c>
      <c r="F1498" s="3">
        <v>43812</v>
      </c>
      <c r="G1498">
        <v>202006</v>
      </c>
      <c r="H1498" t="s">
        <v>75</v>
      </c>
      <c r="I1498" t="s">
        <v>76</v>
      </c>
      <c r="J1498" t="s">
        <v>77</v>
      </c>
      <c r="K1498" t="s">
        <v>78</v>
      </c>
      <c r="L1498" t="s">
        <v>90</v>
      </c>
      <c r="M1498" t="s">
        <v>91</v>
      </c>
      <c r="N1498" t="s">
        <v>219</v>
      </c>
      <c r="O1498" t="s">
        <v>82</v>
      </c>
      <c r="P1498" t="str">
        <f>"217071688                     "</f>
        <v xml:space="preserve">217071688                     </v>
      </c>
      <c r="Q1498">
        <v>0</v>
      </c>
      <c r="R1498">
        <v>0</v>
      </c>
      <c r="S1498">
        <v>0</v>
      </c>
      <c r="T1498">
        <v>0</v>
      </c>
      <c r="U1498">
        <v>0</v>
      </c>
      <c r="V1498">
        <v>0</v>
      </c>
      <c r="W1498">
        <v>0</v>
      </c>
      <c r="X1498">
        <v>0</v>
      </c>
      <c r="Y1498">
        <v>0</v>
      </c>
      <c r="Z1498">
        <v>0</v>
      </c>
      <c r="AA1498">
        <v>0</v>
      </c>
      <c r="AB1498">
        <v>0</v>
      </c>
      <c r="AC1498">
        <v>0</v>
      </c>
      <c r="AD1498">
        <v>0</v>
      </c>
      <c r="AE1498">
        <v>0</v>
      </c>
      <c r="AF1498">
        <v>0</v>
      </c>
      <c r="AG1498">
        <v>0</v>
      </c>
      <c r="AH1498">
        <v>0</v>
      </c>
      <c r="AI1498">
        <v>0</v>
      </c>
      <c r="AJ1498">
        <v>0</v>
      </c>
      <c r="AK1498">
        <v>0</v>
      </c>
      <c r="AL1498">
        <v>0</v>
      </c>
      <c r="AM1498">
        <v>15.02</v>
      </c>
      <c r="AN1498">
        <v>0</v>
      </c>
      <c r="AO1498">
        <v>0</v>
      </c>
      <c r="AP1498">
        <v>0</v>
      </c>
      <c r="AQ1498">
        <v>0</v>
      </c>
      <c r="AR1498">
        <v>0</v>
      </c>
      <c r="AS1498">
        <v>0</v>
      </c>
      <c r="AT1498">
        <v>0</v>
      </c>
      <c r="AU1498">
        <v>0</v>
      </c>
      <c r="AV1498">
        <v>0</v>
      </c>
      <c r="AW1498">
        <v>0</v>
      </c>
      <c r="AX1498">
        <v>0</v>
      </c>
      <c r="AY1498">
        <v>0</v>
      </c>
      <c r="AZ1498">
        <v>0</v>
      </c>
      <c r="BA1498">
        <v>0</v>
      </c>
      <c r="BB1498">
        <v>0</v>
      </c>
      <c r="BC1498">
        <v>0</v>
      </c>
      <c r="BD1498">
        <v>0</v>
      </c>
      <c r="BE1498">
        <v>0</v>
      </c>
      <c r="BF1498">
        <v>0</v>
      </c>
      <c r="BG1498">
        <v>0</v>
      </c>
      <c r="BH1498">
        <v>1</v>
      </c>
      <c r="BI1498">
        <v>3.5</v>
      </c>
      <c r="BJ1498">
        <v>1.3</v>
      </c>
      <c r="BK1498">
        <v>3.5</v>
      </c>
      <c r="BL1498" s="4">
        <v>88.27</v>
      </c>
      <c r="BM1498" s="4">
        <v>13.24</v>
      </c>
      <c r="BN1498" s="4">
        <v>101.51</v>
      </c>
      <c r="BO1498" s="4">
        <v>101.51</v>
      </c>
      <c r="BQ1498" t="s">
        <v>147</v>
      </c>
      <c r="BR1498" t="s">
        <v>84</v>
      </c>
      <c r="BS1498" s="3">
        <v>43816</v>
      </c>
      <c r="BT1498" s="5">
        <v>0.33333333333333331</v>
      </c>
      <c r="BU1498" t="s">
        <v>220</v>
      </c>
      <c r="BV1498" t="s">
        <v>86</v>
      </c>
      <c r="BY1498">
        <v>6683.75</v>
      </c>
      <c r="CA1498" t="s">
        <v>112</v>
      </c>
      <c r="CC1498" t="s">
        <v>91</v>
      </c>
      <c r="CD1498">
        <v>7441</v>
      </c>
      <c r="CE1498" t="s">
        <v>96</v>
      </c>
      <c r="CF1498" s="3">
        <v>43817</v>
      </c>
      <c r="CI1498">
        <v>1</v>
      </c>
      <c r="CJ1498">
        <v>2</v>
      </c>
      <c r="CK1498">
        <v>21</v>
      </c>
      <c r="CL1498" t="s">
        <v>89</v>
      </c>
    </row>
    <row r="1499" spans="1:90">
      <c r="A1499" t="s">
        <v>72</v>
      </c>
      <c r="B1499" t="s">
        <v>73</v>
      </c>
      <c r="C1499" t="s">
        <v>74</v>
      </c>
      <c r="E1499" t="str">
        <f>"FES1162728293"</f>
        <v>FES1162728293</v>
      </c>
      <c r="F1499" s="3">
        <v>43812</v>
      </c>
      <c r="G1499">
        <v>202006</v>
      </c>
      <c r="H1499" t="s">
        <v>75</v>
      </c>
      <c r="I1499" t="s">
        <v>76</v>
      </c>
      <c r="J1499" t="s">
        <v>77</v>
      </c>
      <c r="K1499" t="s">
        <v>78</v>
      </c>
      <c r="L1499" t="s">
        <v>79</v>
      </c>
      <c r="M1499" t="s">
        <v>80</v>
      </c>
      <c r="N1499" t="s">
        <v>97</v>
      </c>
      <c r="O1499" t="s">
        <v>82</v>
      </c>
      <c r="P1499" t="str">
        <f>"2170713932                    "</f>
        <v xml:space="preserve">2170713932                    </v>
      </c>
      <c r="Q1499">
        <v>0</v>
      </c>
      <c r="R1499">
        <v>0</v>
      </c>
      <c r="S1499">
        <v>0</v>
      </c>
      <c r="T1499">
        <v>0</v>
      </c>
      <c r="U1499">
        <v>0</v>
      </c>
      <c r="V1499">
        <v>0</v>
      </c>
      <c r="W1499">
        <v>0</v>
      </c>
      <c r="X1499">
        <v>0</v>
      </c>
      <c r="Y1499">
        <v>0</v>
      </c>
      <c r="Z1499">
        <v>0</v>
      </c>
      <c r="AA1499">
        <v>0</v>
      </c>
      <c r="AB1499">
        <v>0</v>
      </c>
      <c r="AC1499">
        <v>0</v>
      </c>
      <c r="AD1499">
        <v>0</v>
      </c>
      <c r="AE1499">
        <v>0</v>
      </c>
      <c r="AF1499">
        <v>0</v>
      </c>
      <c r="AG1499">
        <v>0</v>
      </c>
      <c r="AH1499">
        <v>0</v>
      </c>
      <c r="AI1499">
        <v>0</v>
      </c>
      <c r="AJ1499">
        <v>0</v>
      </c>
      <c r="AK1499">
        <v>0</v>
      </c>
      <c r="AL1499">
        <v>0</v>
      </c>
      <c r="AM1499">
        <v>8.58</v>
      </c>
      <c r="AN1499">
        <v>0</v>
      </c>
      <c r="AO1499">
        <v>0</v>
      </c>
      <c r="AP1499">
        <v>0</v>
      </c>
      <c r="AQ1499">
        <v>0</v>
      </c>
      <c r="AR1499">
        <v>0</v>
      </c>
      <c r="AS1499">
        <v>0</v>
      </c>
      <c r="AT1499">
        <v>0</v>
      </c>
      <c r="AU1499">
        <v>0</v>
      </c>
      <c r="AV1499">
        <v>0</v>
      </c>
      <c r="AW1499">
        <v>0</v>
      </c>
      <c r="AX1499">
        <v>0</v>
      </c>
      <c r="AY1499">
        <v>0</v>
      </c>
      <c r="AZ1499">
        <v>0</v>
      </c>
      <c r="BA1499">
        <v>0</v>
      </c>
      <c r="BB1499">
        <v>0</v>
      </c>
      <c r="BC1499">
        <v>0</v>
      </c>
      <c r="BD1499">
        <v>0</v>
      </c>
      <c r="BE1499">
        <v>0</v>
      </c>
      <c r="BF1499">
        <v>0</v>
      </c>
      <c r="BG1499">
        <v>0</v>
      </c>
      <c r="BH1499">
        <v>1</v>
      </c>
      <c r="BI1499">
        <v>1</v>
      </c>
      <c r="BJ1499">
        <v>0.2</v>
      </c>
      <c r="BK1499">
        <v>1</v>
      </c>
      <c r="BL1499" s="4">
        <v>50.45</v>
      </c>
      <c r="BM1499" s="4">
        <v>7.57</v>
      </c>
      <c r="BN1499" s="4">
        <v>58.02</v>
      </c>
      <c r="BO1499" s="4">
        <v>58.02</v>
      </c>
      <c r="BQ1499" t="s">
        <v>93</v>
      </c>
      <c r="BR1499" t="s">
        <v>84</v>
      </c>
      <c r="BS1499" s="3">
        <v>43816</v>
      </c>
      <c r="BT1499" s="5">
        <v>0.33333333333333331</v>
      </c>
      <c r="BU1499" t="s">
        <v>98</v>
      </c>
      <c r="BV1499" t="s">
        <v>86</v>
      </c>
      <c r="BY1499">
        <v>1200</v>
      </c>
      <c r="CA1499" t="s">
        <v>99</v>
      </c>
      <c r="CC1499" t="s">
        <v>80</v>
      </c>
      <c r="CD1499">
        <v>6001</v>
      </c>
      <c r="CE1499" t="s">
        <v>88</v>
      </c>
      <c r="CF1499" s="3">
        <v>43817</v>
      </c>
      <c r="CI1499">
        <v>1</v>
      </c>
      <c r="CJ1499">
        <v>2</v>
      </c>
      <c r="CK1499">
        <v>21</v>
      </c>
      <c r="CL1499" t="s">
        <v>89</v>
      </c>
    </row>
    <row r="1500" spans="1:90">
      <c r="A1500" t="s">
        <v>72</v>
      </c>
      <c r="B1500" t="s">
        <v>73</v>
      </c>
      <c r="C1500" t="s">
        <v>74</v>
      </c>
      <c r="E1500" t="str">
        <f>"FES1162728328"</f>
        <v>FES1162728328</v>
      </c>
      <c r="F1500" s="3">
        <v>43812</v>
      </c>
      <c r="G1500">
        <v>202006</v>
      </c>
      <c r="H1500" t="s">
        <v>75</v>
      </c>
      <c r="I1500" t="s">
        <v>76</v>
      </c>
      <c r="J1500" t="s">
        <v>77</v>
      </c>
      <c r="K1500" t="s">
        <v>78</v>
      </c>
      <c r="L1500" t="s">
        <v>79</v>
      </c>
      <c r="M1500" t="s">
        <v>80</v>
      </c>
      <c r="N1500" t="s">
        <v>129</v>
      </c>
      <c r="O1500" t="s">
        <v>82</v>
      </c>
      <c r="P1500" t="str">
        <f>"2170719161                    "</f>
        <v xml:space="preserve">2170719161                    </v>
      </c>
      <c r="Q1500">
        <v>0</v>
      </c>
      <c r="R1500">
        <v>0</v>
      </c>
      <c r="S1500">
        <v>0</v>
      </c>
      <c r="T1500">
        <v>0</v>
      </c>
      <c r="U1500">
        <v>0</v>
      </c>
      <c r="V1500">
        <v>0</v>
      </c>
      <c r="W1500">
        <v>0</v>
      </c>
      <c r="X1500">
        <v>0</v>
      </c>
      <c r="Y1500">
        <v>0</v>
      </c>
      <c r="Z1500">
        <v>0</v>
      </c>
      <c r="AA1500">
        <v>0</v>
      </c>
      <c r="AB1500">
        <v>0</v>
      </c>
      <c r="AC1500">
        <v>0</v>
      </c>
      <c r="AD1500">
        <v>0</v>
      </c>
      <c r="AE1500">
        <v>0</v>
      </c>
      <c r="AF1500">
        <v>0</v>
      </c>
      <c r="AG1500">
        <v>0</v>
      </c>
      <c r="AH1500">
        <v>0</v>
      </c>
      <c r="AI1500">
        <v>0</v>
      </c>
      <c r="AJ1500">
        <v>0</v>
      </c>
      <c r="AK1500">
        <v>0</v>
      </c>
      <c r="AL1500">
        <v>0</v>
      </c>
      <c r="AM1500">
        <v>32.17</v>
      </c>
      <c r="AN1500">
        <v>0</v>
      </c>
      <c r="AO1500">
        <v>0</v>
      </c>
      <c r="AP1500">
        <v>0</v>
      </c>
      <c r="AQ1500">
        <v>0</v>
      </c>
      <c r="AR1500">
        <v>0</v>
      </c>
      <c r="AS1500">
        <v>0</v>
      </c>
      <c r="AT1500">
        <v>0</v>
      </c>
      <c r="AU1500">
        <v>0</v>
      </c>
      <c r="AV1500">
        <v>0</v>
      </c>
      <c r="AW1500">
        <v>0</v>
      </c>
      <c r="AX1500">
        <v>0</v>
      </c>
      <c r="AY1500">
        <v>0</v>
      </c>
      <c r="AZ1500">
        <v>0</v>
      </c>
      <c r="BA1500">
        <v>0</v>
      </c>
      <c r="BB1500">
        <v>0</v>
      </c>
      <c r="BC1500">
        <v>0</v>
      </c>
      <c r="BD1500">
        <v>0</v>
      </c>
      <c r="BE1500">
        <v>0</v>
      </c>
      <c r="BF1500">
        <v>0</v>
      </c>
      <c r="BG1500">
        <v>0</v>
      </c>
      <c r="BH1500">
        <v>1</v>
      </c>
      <c r="BI1500">
        <v>7.1</v>
      </c>
      <c r="BJ1500">
        <v>2.8</v>
      </c>
      <c r="BK1500">
        <v>7.5</v>
      </c>
      <c r="BL1500" s="4">
        <v>189.1</v>
      </c>
      <c r="BM1500" s="4">
        <v>28.37</v>
      </c>
      <c r="BN1500" s="4">
        <v>217.47</v>
      </c>
      <c r="BO1500" s="4">
        <v>217.47</v>
      </c>
      <c r="BQ1500" t="s">
        <v>147</v>
      </c>
      <c r="BR1500" t="s">
        <v>84</v>
      </c>
      <c r="BS1500" s="3">
        <v>43816</v>
      </c>
      <c r="BT1500" s="5">
        <v>0.37777777777777777</v>
      </c>
      <c r="BU1500" t="s">
        <v>130</v>
      </c>
      <c r="BV1500" t="s">
        <v>86</v>
      </c>
      <c r="BY1500">
        <v>13863.2</v>
      </c>
      <c r="CA1500" t="s">
        <v>131</v>
      </c>
      <c r="CC1500" t="s">
        <v>80</v>
      </c>
      <c r="CD1500">
        <v>6001</v>
      </c>
      <c r="CE1500" t="s">
        <v>556</v>
      </c>
      <c r="CF1500" s="3">
        <v>43817</v>
      </c>
      <c r="CI1500">
        <v>1</v>
      </c>
      <c r="CJ1500">
        <v>2</v>
      </c>
      <c r="CK1500">
        <v>21</v>
      </c>
      <c r="CL1500" t="s">
        <v>89</v>
      </c>
    </row>
    <row r="1501" spans="1:90">
      <c r="A1501" t="s">
        <v>72</v>
      </c>
      <c r="B1501" t="s">
        <v>73</v>
      </c>
      <c r="C1501" t="s">
        <v>74</v>
      </c>
      <c r="E1501" t="str">
        <f>"FES1162728333"</f>
        <v>FES1162728333</v>
      </c>
      <c r="F1501" s="3">
        <v>43812</v>
      </c>
      <c r="G1501">
        <v>202006</v>
      </c>
      <c r="H1501" t="s">
        <v>75</v>
      </c>
      <c r="I1501" t="s">
        <v>76</v>
      </c>
      <c r="J1501" t="s">
        <v>77</v>
      </c>
      <c r="K1501" t="s">
        <v>78</v>
      </c>
      <c r="L1501" t="s">
        <v>79</v>
      </c>
      <c r="M1501" t="s">
        <v>80</v>
      </c>
      <c r="N1501" t="s">
        <v>347</v>
      </c>
      <c r="O1501" t="s">
        <v>82</v>
      </c>
      <c r="P1501" t="str">
        <f>"21707120005                   "</f>
        <v xml:space="preserve">21707120005                   </v>
      </c>
      <c r="Q1501">
        <v>0</v>
      </c>
      <c r="R1501">
        <v>0</v>
      </c>
      <c r="S1501">
        <v>0</v>
      </c>
      <c r="T1501">
        <v>0</v>
      </c>
      <c r="U1501">
        <v>0</v>
      </c>
      <c r="V1501">
        <v>0</v>
      </c>
      <c r="W1501">
        <v>0</v>
      </c>
      <c r="X1501">
        <v>0</v>
      </c>
      <c r="Y1501">
        <v>0</v>
      </c>
      <c r="Z1501">
        <v>0</v>
      </c>
      <c r="AA1501">
        <v>0</v>
      </c>
      <c r="AB1501">
        <v>0</v>
      </c>
      <c r="AC1501">
        <v>0</v>
      </c>
      <c r="AD1501">
        <v>0</v>
      </c>
      <c r="AE1501">
        <v>0</v>
      </c>
      <c r="AF1501">
        <v>0</v>
      </c>
      <c r="AG1501">
        <v>0</v>
      </c>
      <c r="AH1501">
        <v>0</v>
      </c>
      <c r="AI1501">
        <v>0</v>
      </c>
      <c r="AJ1501">
        <v>0</v>
      </c>
      <c r="AK1501">
        <v>0</v>
      </c>
      <c r="AL1501">
        <v>0</v>
      </c>
      <c r="AM1501">
        <v>8.58</v>
      </c>
      <c r="AN1501">
        <v>0</v>
      </c>
      <c r="AO1501">
        <v>0</v>
      </c>
      <c r="AP1501">
        <v>0</v>
      </c>
      <c r="AQ1501">
        <v>0</v>
      </c>
      <c r="AR1501">
        <v>0</v>
      </c>
      <c r="AS1501">
        <v>0</v>
      </c>
      <c r="AT1501">
        <v>0</v>
      </c>
      <c r="AU1501">
        <v>0</v>
      </c>
      <c r="AV1501">
        <v>0</v>
      </c>
      <c r="AW1501">
        <v>0</v>
      </c>
      <c r="AX1501">
        <v>0</v>
      </c>
      <c r="AY1501">
        <v>0</v>
      </c>
      <c r="AZ1501">
        <v>0</v>
      </c>
      <c r="BA1501">
        <v>0</v>
      </c>
      <c r="BB1501">
        <v>0</v>
      </c>
      <c r="BC1501">
        <v>0</v>
      </c>
      <c r="BD1501">
        <v>0</v>
      </c>
      <c r="BE1501">
        <v>0</v>
      </c>
      <c r="BF1501">
        <v>0</v>
      </c>
      <c r="BG1501">
        <v>0</v>
      </c>
      <c r="BH1501">
        <v>1</v>
      </c>
      <c r="BI1501">
        <v>1</v>
      </c>
      <c r="BJ1501">
        <v>0.2</v>
      </c>
      <c r="BK1501">
        <v>1</v>
      </c>
      <c r="BL1501" s="4">
        <v>50.45</v>
      </c>
      <c r="BM1501" s="4">
        <v>7.57</v>
      </c>
      <c r="BN1501" s="4">
        <v>58.02</v>
      </c>
      <c r="BO1501" s="4">
        <v>58.02</v>
      </c>
      <c r="BQ1501" t="s">
        <v>93</v>
      </c>
      <c r="BR1501" t="s">
        <v>84</v>
      </c>
      <c r="BS1501" s="3">
        <v>43816</v>
      </c>
      <c r="BT1501" s="5">
        <v>0.43124999999999997</v>
      </c>
      <c r="BU1501" t="s">
        <v>1951</v>
      </c>
      <c r="BV1501" t="s">
        <v>86</v>
      </c>
      <c r="BY1501">
        <v>1200</v>
      </c>
      <c r="CA1501" t="s">
        <v>1915</v>
      </c>
      <c r="CC1501" t="s">
        <v>80</v>
      </c>
      <c r="CD1501">
        <v>6000</v>
      </c>
      <c r="CE1501" t="s">
        <v>88</v>
      </c>
      <c r="CF1501" s="3">
        <v>43817</v>
      </c>
      <c r="CI1501">
        <v>1</v>
      </c>
      <c r="CJ1501">
        <v>2</v>
      </c>
      <c r="CK1501">
        <v>21</v>
      </c>
      <c r="CL1501" t="s">
        <v>89</v>
      </c>
    </row>
    <row r="1502" spans="1:90">
      <c r="A1502" t="s">
        <v>72</v>
      </c>
      <c r="B1502" t="s">
        <v>73</v>
      </c>
      <c r="C1502" t="s">
        <v>74</v>
      </c>
      <c r="E1502" t="str">
        <f>"FES1162728336"</f>
        <v>FES1162728336</v>
      </c>
      <c r="F1502" s="3">
        <v>43812</v>
      </c>
      <c r="G1502">
        <v>202006</v>
      </c>
      <c r="H1502" t="s">
        <v>75</v>
      </c>
      <c r="I1502" t="s">
        <v>76</v>
      </c>
      <c r="J1502" t="s">
        <v>77</v>
      </c>
      <c r="K1502" t="s">
        <v>78</v>
      </c>
      <c r="L1502" t="s">
        <v>79</v>
      </c>
      <c r="M1502" t="s">
        <v>80</v>
      </c>
      <c r="N1502" t="s">
        <v>1244</v>
      </c>
      <c r="O1502" t="s">
        <v>82</v>
      </c>
      <c r="P1502" t="str">
        <f>"21707120223                   "</f>
        <v xml:space="preserve">21707120223                   </v>
      </c>
      <c r="Q1502">
        <v>0</v>
      </c>
      <c r="R1502">
        <v>0</v>
      </c>
      <c r="S1502">
        <v>0</v>
      </c>
      <c r="T1502">
        <v>0</v>
      </c>
      <c r="U1502">
        <v>0</v>
      </c>
      <c r="V1502">
        <v>0</v>
      </c>
      <c r="W1502">
        <v>0</v>
      </c>
      <c r="X1502">
        <v>0</v>
      </c>
      <c r="Y1502">
        <v>0</v>
      </c>
      <c r="Z1502">
        <v>0</v>
      </c>
      <c r="AA1502">
        <v>0</v>
      </c>
      <c r="AB1502">
        <v>0</v>
      </c>
      <c r="AC1502">
        <v>0</v>
      </c>
      <c r="AD1502">
        <v>0</v>
      </c>
      <c r="AE1502">
        <v>0</v>
      </c>
      <c r="AF1502">
        <v>0</v>
      </c>
      <c r="AG1502">
        <v>0</v>
      </c>
      <c r="AH1502">
        <v>0</v>
      </c>
      <c r="AI1502">
        <v>0</v>
      </c>
      <c r="AJ1502">
        <v>0</v>
      </c>
      <c r="AK1502">
        <v>0</v>
      </c>
      <c r="AL1502">
        <v>0</v>
      </c>
      <c r="AM1502">
        <v>8.58</v>
      </c>
      <c r="AN1502">
        <v>0</v>
      </c>
      <c r="AO1502">
        <v>0</v>
      </c>
      <c r="AP1502">
        <v>0</v>
      </c>
      <c r="AQ1502">
        <v>0</v>
      </c>
      <c r="AR1502">
        <v>0</v>
      </c>
      <c r="AS1502">
        <v>0</v>
      </c>
      <c r="AT1502">
        <v>0</v>
      </c>
      <c r="AU1502">
        <v>0</v>
      </c>
      <c r="AV1502">
        <v>0</v>
      </c>
      <c r="AW1502">
        <v>0</v>
      </c>
      <c r="AX1502">
        <v>0</v>
      </c>
      <c r="AY1502">
        <v>0</v>
      </c>
      <c r="AZ1502">
        <v>0</v>
      </c>
      <c r="BA1502">
        <v>0</v>
      </c>
      <c r="BB1502">
        <v>0</v>
      </c>
      <c r="BC1502">
        <v>0</v>
      </c>
      <c r="BD1502">
        <v>0</v>
      </c>
      <c r="BE1502">
        <v>0</v>
      </c>
      <c r="BF1502">
        <v>0</v>
      </c>
      <c r="BG1502">
        <v>0</v>
      </c>
      <c r="BH1502">
        <v>1</v>
      </c>
      <c r="BI1502">
        <v>1</v>
      </c>
      <c r="BJ1502">
        <v>0.2</v>
      </c>
      <c r="BK1502">
        <v>1</v>
      </c>
      <c r="BL1502" s="4">
        <v>50.45</v>
      </c>
      <c r="BM1502" s="4">
        <v>7.57</v>
      </c>
      <c r="BN1502" s="4">
        <v>58.02</v>
      </c>
      <c r="BO1502" s="4">
        <v>58.02</v>
      </c>
      <c r="BQ1502" t="s">
        <v>93</v>
      </c>
      <c r="BR1502" t="s">
        <v>84</v>
      </c>
      <c r="BS1502" s="3">
        <v>43816</v>
      </c>
      <c r="BT1502" s="5">
        <v>0.33124999999999999</v>
      </c>
      <c r="BU1502" t="s">
        <v>1952</v>
      </c>
      <c r="BV1502" t="s">
        <v>86</v>
      </c>
      <c r="BY1502">
        <v>1200</v>
      </c>
      <c r="CA1502" t="s">
        <v>1915</v>
      </c>
      <c r="CC1502" t="s">
        <v>80</v>
      </c>
      <c r="CD1502">
        <v>6001</v>
      </c>
      <c r="CE1502" t="s">
        <v>88</v>
      </c>
      <c r="CF1502" s="3">
        <v>43817</v>
      </c>
      <c r="CI1502">
        <v>1</v>
      </c>
      <c r="CJ1502">
        <v>2</v>
      </c>
      <c r="CK1502">
        <v>21</v>
      </c>
      <c r="CL1502" t="s">
        <v>89</v>
      </c>
    </row>
    <row r="1503" spans="1:90">
      <c r="A1503" t="s">
        <v>72</v>
      </c>
      <c r="B1503" t="s">
        <v>73</v>
      </c>
      <c r="C1503" t="s">
        <v>74</v>
      </c>
      <c r="E1503" t="str">
        <f>"FES1162728391"</f>
        <v>FES1162728391</v>
      </c>
      <c r="F1503" s="3">
        <v>43812</v>
      </c>
      <c r="G1503">
        <v>202006</v>
      </c>
      <c r="H1503" t="s">
        <v>75</v>
      </c>
      <c r="I1503" t="s">
        <v>76</v>
      </c>
      <c r="J1503" t="s">
        <v>77</v>
      </c>
      <c r="K1503" t="s">
        <v>78</v>
      </c>
      <c r="L1503" t="s">
        <v>151</v>
      </c>
      <c r="M1503" t="s">
        <v>102</v>
      </c>
      <c r="N1503" t="s">
        <v>736</v>
      </c>
      <c r="O1503" t="s">
        <v>82</v>
      </c>
      <c r="P1503" t="str">
        <f>"2170718005                    "</f>
        <v xml:space="preserve">2170718005                    </v>
      </c>
      <c r="Q1503">
        <v>0</v>
      </c>
      <c r="R1503">
        <v>0</v>
      </c>
      <c r="S1503">
        <v>0</v>
      </c>
      <c r="T1503">
        <v>0</v>
      </c>
      <c r="U1503">
        <v>0</v>
      </c>
      <c r="V1503">
        <v>0</v>
      </c>
      <c r="W1503">
        <v>0</v>
      </c>
      <c r="X1503">
        <v>0</v>
      </c>
      <c r="Y1503">
        <v>0</v>
      </c>
      <c r="Z1503">
        <v>0</v>
      </c>
      <c r="AA1503">
        <v>0</v>
      </c>
      <c r="AB1503">
        <v>0</v>
      </c>
      <c r="AC1503">
        <v>0</v>
      </c>
      <c r="AD1503">
        <v>0</v>
      </c>
      <c r="AE1503">
        <v>0</v>
      </c>
      <c r="AF1503">
        <v>0</v>
      </c>
      <c r="AG1503">
        <v>0</v>
      </c>
      <c r="AH1503">
        <v>0</v>
      </c>
      <c r="AI1503">
        <v>0</v>
      </c>
      <c r="AJ1503">
        <v>0</v>
      </c>
      <c r="AK1503">
        <v>0</v>
      </c>
      <c r="AL1503">
        <v>0</v>
      </c>
      <c r="AM1503">
        <v>8.58</v>
      </c>
      <c r="AN1503">
        <v>0</v>
      </c>
      <c r="AO1503">
        <v>0</v>
      </c>
      <c r="AP1503">
        <v>0</v>
      </c>
      <c r="AQ1503">
        <v>0</v>
      </c>
      <c r="AR1503">
        <v>0</v>
      </c>
      <c r="AS1503">
        <v>0</v>
      </c>
      <c r="AT1503">
        <v>0</v>
      </c>
      <c r="AU1503">
        <v>0</v>
      </c>
      <c r="AV1503">
        <v>0</v>
      </c>
      <c r="AW1503">
        <v>0</v>
      </c>
      <c r="AX1503">
        <v>0</v>
      </c>
      <c r="AY1503">
        <v>0</v>
      </c>
      <c r="AZ1503">
        <v>0</v>
      </c>
      <c r="BA1503">
        <v>0</v>
      </c>
      <c r="BB1503">
        <v>0</v>
      </c>
      <c r="BC1503">
        <v>0</v>
      </c>
      <c r="BD1503">
        <v>0</v>
      </c>
      <c r="BE1503">
        <v>0</v>
      </c>
      <c r="BF1503">
        <v>0</v>
      </c>
      <c r="BG1503">
        <v>0</v>
      </c>
      <c r="BH1503">
        <v>1</v>
      </c>
      <c r="BI1503">
        <v>1</v>
      </c>
      <c r="BJ1503">
        <v>0.2</v>
      </c>
      <c r="BK1503">
        <v>1</v>
      </c>
      <c r="BL1503" s="4">
        <v>50.45</v>
      </c>
      <c r="BM1503" s="4">
        <v>7.57</v>
      </c>
      <c r="BN1503" s="4">
        <v>58.02</v>
      </c>
      <c r="BO1503" s="4">
        <v>58.02</v>
      </c>
      <c r="BQ1503" t="s">
        <v>135</v>
      </c>
      <c r="BR1503" t="s">
        <v>84</v>
      </c>
      <c r="BS1503" s="3">
        <v>43816</v>
      </c>
      <c r="BT1503" s="5">
        <v>0.39583333333333331</v>
      </c>
      <c r="BU1503" t="s">
        <v>1953</v>
      </c>
      <c r="BV1503" t="s">
        <v>86</v>
      </c>
      <c r="BY1503">
        <v>1200</v>
      </c>
      <c r="CC1503" t="s">
        <v>102</v>
      </c>
      <c r="CD1503">
        <v>200</v>
      </c>
      <c r="CE1503" t="s">
        <v>88</v>
      </c>
      <c r="CF1503" s="3">
        <v>43817</v>
      </c>
      <c r="CI1503">
        <v>1</v>
      </c>
      <c r="CJ1503">
        <v>2</v>
      </c>
      <c r="CK1503">
        <v>21</v>
      </c>
      <c r="CL1503" t="s">
        <v>89</v>
      </c>
    </row>
    <row r="1504" spans="1:90">
      <c r="A1504" t="s">
        <v>72</v>
      </c>
      <c r="B1504" t="s">
        <v>73</v>
      </c>
      <c r="C1504" t="s">
        <v>74</v>
      </c>
      <c r="E1504" t="str">
        <f>"FES1162728940"</f>
        <v>FES1162728940</v>
      </c>
      <c r="F1504" s="3">
        <v>43818</v>
      </c>
      <c r="G1504">
        <v>202006</v>
      </c>
      <c r="H1504" t="s">
        <v>75</v>
      </c>
      <c r="I1504" t="s">
        <v>76</v>
      </c>
      <c r="J1504" t="s">
        <v>77</v>
      </c>
      <c r="K1504" t="s">
        <v>78</v>
      </c>
      <c r="L1504" t="s">
        <v>75</v>
      </c>
      <c r="M1504" t="s">
        <v>76</v>
      </c>
      <c r="N1504" t="s">
        <v>305</v>
      </c>
      <c r="O1504" t="s">
        <v>82</v>
      </c>
      <c r="P1504" t="str">
        <f>"2170722051                    "</f>
        <v xml:space="preserve">2170722051                    </v>
      </c>
      <c r="Q1504">
        <v>0</v>
      </c>
      <c r="R1504">
        <v>0</v>
      </c>
      <c r="S1504">
        <v>0</v>
      </c>
      <c r="T1504">
        <v>0</v>
      </c>
      <c r="U1504">
        <v>0</v>
      </c>
      <c r="V1504">
        <v>0</v>
      </c>
      <c r="W1504">
        <v>0</v>
      </c>
      <c r="X1504">
        <v>0</v>
      </c>
      <c r="Y1504">
        <v>0</v>
      </c>
      <c r="Z1504">
        <v>0</v>
      </c>
      <c r="AA1504">
        <v>0</v>
      </c>
      <c r="AB1504">
        <v>0</v>
      </c>
      <c r="AC1504">
        <v>0</v>
      </c>
      <c r="AD1504">
        <v>0</v>
      </c>
      <c r="AE1504">
        <v>0</v>
      </c>
      <c r="AF1504">
        <v>0</v>
      </c>
      <c r="AG1504">
        <v>0</v>
      </c>
      <c r="AH1504">
        <v>0</v>
      </c>
      <c r="AI1504">
        <v>0</v>
      </c>
      <c r="AJ1504">
        <v>0</v>
      </c>
      <c r="AK1504">
        <v>0</v>
      </c>
      <c r="AL1504">
        <v>0</v>
      </c>
      <c r="AM1504">
        <v>6.71</v>
      </c>
      <c r="AN1504">
        <v>0</v>
      </c>
      <c r="AO1504">
        <v>0</v>
      </c>
      <c r="AP1504">
        <v>0</v>
      </c>
      <c r="AQ1504">
        <v>0</v>
      </c>
      <c r="AR1504">
        <v>0</v>
      </c>
      <c r="AS1504">
        <v>0</v>
      </c>
      <c r="AT1504">
        <v>0</v>
      </c>
      <c r="AU1504">
        <v>0</v>
      </c>
      <c r="AV1504">
        <v>0</v>
      </c>
      <c r="AW1504">
        <v>0</v>
      </c>
      <c r="AX1504">
        <v>0</v>
      </c>
      <c r="AY1504">
        <v>0</v>
      </c>
      <c r="AZ1504">
        <v>0</v>
      </c>
      <c r="BA1504">
        <v>0</v>
      </c>
      <c r="BB1504">
        <v>0</v>
      </c>
      <c r="BC1504">
        <v>0</v>
      </c>
      <c r="BD1504">
        <v>0</v>
      </c>
      <c r="BE1504">
        <v>0</v>
      </c>
      <c r="BF1504">
        <v>0</v>
      </c>
      <c r="BG1504">
        <v>0</v>
      </c>
      <c r="BH1504">
        <v>1</v>
      </c>
      <c r="BI1504">
        <v>1</v>
      </c>
      <c r="BJ1504">
        <v>0.2</v>
      </c>
      <c r="BK1504">
        <v>1</v>
      </c>
      <c r="BL1504" s="4">
        <v>39.42</v>
      </c>
      <c r="BM1504" s="4">
        <v>5.91</v>
      </c>
      <c r="BN1504" s="4">
        <v>45.33</v>
      </c>
      <c r="BO1504" s="4">
        <v>45.33</v>
      </c>
      <c r="BQ1504" t="s">
        <v>147</v>
      </c>
      <c r="BR1504" t="s">
        <v>84</v>
      </c>
      <c r="BS1504" s="3">
        <v>43819</v>
      </c>
      <c r="BT1504" s="5">
        <v>0.3354166666666667</v>
      </c>
      <c r="BU1504" t="s">
        <v>1954</v>
      </c>
      <c r="BV1504" t="s">
        <v>86</v>
      </c>
      <c r="BY1504">
        <v>1200</v>
      </c>
      <c r="CA1504" t="s">
        <v>307</v>
      </c>
      <c r="CC1504" t="s">
        <v>76</v>
      </c>
      <c r="CD1504">
        <v>1645</v>
      </c>
      <c r="CE1504" t="s">
        <v>88</v>
      </c>
      <c r="CF1504" s="3">
        <v>43822</v>
      </c>
      <c r="CI1504">
        <v>1</v>
      </c>
      <c r="CJ1504">
        <v>1</v>
      </c>
      <c r="CK1504">
        <v>22</v>
      </c>
      <c r="CL1504" t="s">
        <v>89</v>
      </c>
    </row>
    <row r="1505" spans="1:90">
      <c r="A1505" t="s">
        <v>72</v>
      </c>
      <c r="B1505" t="s">
        <v>73</v>
      </c>
      <c r="C1505" t="s">
        <v>74</v>
      </c>
      <c r="E1505" t="str">
        <f>"FES1162728915"</f>
        <v>FES1162728915</v>
      </c>
      <c r="F1505" s="3">
        <v>43818</v>
      </c>
      <c r="G1505">
        <v>202006</v>
      </c>
      <c r="H1505" t="s">
        <v>75</v>
      </c>
      <c r="I1505" t="s">
        <v>76</v>
      </c>
      <c r="J1505" t="s">
        <v>77</v>
      </c>
      <c r="K1505" t="s">
        <v>78</v>
      </c>
      <c r="L1505" t="s">
        <v>340</v>
      </c>
      <c r="M1505" t="s">
        <v>341</v>
      </c>
      <c r="N1505" t="s">
        <v>342</v>
      </c>
      <c r="O1505" t="s">
        <v>82</v>
      </c>
      <c r="P1505" t="str">
        <f>"2170720015                    "</f>
        <v xml:space="preserve">2170720015                    </v>
      </c>
      <c r="Q1505">
        <v>0</v>
      </c>
      <c r="R1505">
        <v>0</v>
      </c>
      <c r="S1505">
        <v>0</v>
      </c>
      <c r="T1505">
        <v>0</v>
      </c>
      <c r="U1505">
        <v>0</v>
      </c>
      <c r="V1505">
        <v>0</v>
      </c>
      <c r="W1505">
        <v>0</v>
      </c>
      <c r="X1505">
        <v>0</v>
      </c>
      <c r="Y1505">
        <v>0</v>
      </c>
      <c r="Z1505">
        <v>0</v>
      </c>
      <c r="AA1505">
        <v>0</v>
      </c>
      <c r="AB1505">
        <v>0</v>
      </c>
      <c r="AC1505">
        <v>0</v>
      </c>
      <c r="AD1505">
        <v>0</v>
      </c>
      <c r="AE1505">
        <v>0</v>
      </c>
      <c r="AF1505">
        <v>0</v>
      </c>
      <c r="AG1505">
        <v>0</v>
      </c>
      <c r="AH1505">
        <v>0</v>
      </c>
      <c r="AI1505">
        <v>0</v>
      </c>
      <c r="AJ1505">
        <v>0</v>
      </c>
      <c r="AK1505">
        <v>0</v>
      </c>
      <c r="AL1505">
        <v>0</v>
      </c>
      <c r="AM1505">
        <v>24.14</v>
      </c>
      <c r="AN1505">
        <v>0</v>
      </c>
      <c r="AO1505">
        <v>0</v>
      </c>
      <c r="AP1505">
        <v>0</v>
      </c>
      <c r="AQ1505">
        <v>0</v>
      </c>
      <c r="AR1505">
        <v>0</v>
      </c>
      <c r="AS1505">
        <v>0</v>
      </c>
      <c r="AT1505">
        <v>0</v>
      </c>
      <c r="AU1505">
        <v>0</v>
      </c>
      <c r="AV1505">
        <v>0</v>
      </c>
      <c r="AW1505">
        <v>0</v>
      </c>
      <c r="AX1505">
        <v>0</v>
      </c>
      <c r="AY1505">
        <v>0</v>
      </c>
      <c r="AZ1505">
        <v>0</v>
      </c>
      <c r="BA1505">
        <v>0</v>
      </c>
      <c r="BB1505">
        <v>0</v>
      </c>
      <c r="BC1505">
        <v>0</v>
      </c>
      <c r="BD1505">
        <v>0</v>
      </c>
      <c r="BE1505">
        <v>0</v>
      </c>
      <c r="BF1505">
        <v>0</v>
      </c>
      <c r="BG1505">
        <v>0</v>
      </c>
      <c r="BH1505">
        <v>1</v>
      </c>
      <c r="BI1505">
        <v>1.2</v>
      </c>
      <c r="BJ1505">
        <v>3</v>
      </c>
      <c r="BK1505">
        <v>3</v>
      </c>
      <c r="BL1505" s="4">
        <v>141.9</v>
      </c>
      <c r="BM1505" s="4">
        <v>21.29</v>
      </c>
      <c r="BN1505" s="4">
        <v>163.19</v>
      </c>
      <c r="BO1505" s="4">
        <v>163.19</v>
      </c>
      <c r="BQ1505" t="s">
        <v>93</v>
      </c>
      <c r="BR1505" t="s">
        <v>84</v>
      </c>
      <c r="BS1505" s="3">
        <v>43819</v>
      </c>
      <c r="BT1505" s="5">
        <v>0.33333333333333331</v>
      </c>
      <c r="BU1505" t="s">
        <v>1786</v>
      </c>
      <c r="BV1505" t="s">
        <v>86</v>
      </c>
      <c r="BY1505">
        <v>15225.84</v>
      </c>
      <c r="CC1505" t="s">
        <v>341</v>
      </c>
      <c r="CD1505">
        <v>1947</v>
      </c>
      <c r="CE1505" t="s">
        <v>96</v>
      </c>
      <c r="CF1505" s="3">
        <v>43822</v>
      </c>
      <c r="CI1505">
        <v>1</v>
      </c>
      <c r="CJ1505">
        <v>1</v>
      </c>
      <c r="CK1505">
        <v>23</v>
      </c>
      <c r="CL1505" t="s">
        <v>89</v>
      </c>
    </row>
    <row r="1506" spans="1:90">
      <c r="A1506" t="s">
        <v>72</v>
      </c>
      <c r="B1506" t="s">
        <v>73</v>
      </c>
      <c r="C1506" t="s">
        <v>74</v>
      </c>
      <c r="E1506" t="str">
        <f>"FES1162728632"</f>
        <v>FES1162728632</v>
      </c>
      <c r="F1506" s="3">
        <v>43816</v>
      </c>
      <c r="G1506">
        <v>202006</v>
      </c>
      <c r="H1506" t="s">
        <v>75</v>
      </c>
      <c r="I1506" t="s">
        <v>76</v>
      </c>
      <c r="J1506" t="s">
        <v>100</v>
      </c>
      <c r="K1506" t="s">
        <v>78</v>
      </c>
      <c r="L1506" t="s">
        <v>1955</v>
      </c>
      <c r="M1506" t="s">
        <v>1956</v>
      </c>
      <c r="N1506" t="s">
        <v>1957</v>
      </c>
      <c r="O1506" t="s">
        <v>793</v>
      </c>
      <c r="P1506" t="str">
        <f>"2170721855                    "</f>
        <v xml:space="preserve">2170721855                    </v>
      </c>
      <c r="Q1506">
        <v>0</v>
      </c>
      <c r="R1506">
        <v>0</v>
      </c>
      <c r="S1506">
        <v>0</v>
      </c>
      <c r="T1506">
        <v>0</v>
      </c>
      <c r="U1506">
        <v>0</v>
      </c>
      <c r="V1506">
        <v>0</v>
      </c>
      <c r="W1506">
        <v>0</v>
      </c>
      <c r="X1506">
        <v>0</v>
      </c>
      <c r="Y1506">
        <v>0</v>
      </c>
      <c r="Z1506">
        <v>0</v>
      </c>
      <c r="AA1506">
        <v>0</v>
      </c>
      <c r="AB1506">
        <v>0</v>
      </c>
      <c r="AC1506">
        <v>0</v>
      </c>
      <c r="AD1506">
        <v>0</v>
      </c>
      <c r="AE1506">
        <v>437.5</v>
      </c>
      <c r="AF1506">
        <v>0</v>
      </c>
      <c r="AG1506">
        <v>0</v>
      </c>
      <c r="AH1506">
        <v>0</v>
      </c>
      <c r="AI1506">
        <v>0</v>
      </c>
      <c r="AJ1506">
        <v>0</v>
      </c>
      <c r="AK1506">
        <v>0</v>
      </c>
      <c r="AL1506">
        <v>0</v>
      </c>
      <c r="AM1506">
        <v>0</v>
      </c>
      <c r="AN1506">
        <v>0</v>
      </c>
      <c r="AO1506">
        <v>0</v>
      </c>
      <c r="AP1506">
        <v>0</v>
      </c>
      <c r="AQ1506">
        <v>0</v>
      </c>
      <c r="AR1506">
        <v>0</v>
      </c>
      <c r="AS1506">
        <v>0</v>
      </c>
      <c r="AT1506">
        <v>0</v>
      </c>
      <c r="AU1506">
        <v>0</v>
      </c>
      <c r="AV1506">
        <v>0</v>
      </c>
      <c r="AW1506">
        <v>0</v>
      </c>
      <c r="AX1506">
        <v>0</v>
      </c>
      <c r="AY1506">
        <v>0</v>
      </c>
      <c r="AZ1506">
        <v>0</v>
      </c>
      <c r="BA1506">
        <v>0</v>
      </c>
      <c r="BB1506">
        <v>0</v>
      </c>
      <c r="BC1506">
        <v>0</v>
      </c>
      <c r="BD1506">
        <v>0</v>
      </c>
      <c r="BE1506">
        <v>0</v>
      </c>
      <c r="BF1506">
        <v>0</v>
      </c>
      <c r="BG1506">
        <v>930</v>
      </c>
      <c r="BH1506">
        <v>1</v>
      </c>
      <c r="BI1506">
        <v>7</v>
      </c>
      <c r="BJ1506">
        <v>9.1</v>
      </c>
      <c r="BK1506">
        <v>9.5</v>
      </c>
      <c r="BL1506" s="4">
        <v>1886.07</v>
      </c>
      <c r="BM1506" s="4">
        <v>282.91000000000003</v>
      </c>
      <c r="BN1506" s="4">
        <v>2168.98</v>
      </c>
      <c r="BO1506" s="4">
        <v>2168.98</v>
      </c>
      <c r="BP1506" t="s">
        <v>793</v>
      </c>
      <c r="BQ1506" t="s">
        <v>93</v>
      </c>
      <c r="BR1506" t="s">
        <v>105</v>
      </c>
      <c r="BS1506" s="3">
        <v>43816</v>
      </c>
      <c r="BT1506" s="5">
        <v>0.65972222222222221</v>
      </c>
      <c r="BU1506" t="s">
        <v>1958</v>
      </c>
      <c r="BV1506" t="s">
        <v>86</v>
      </c>
      <c r="BY1506">
        <v>45632</v>
      </c>
      <c r="BZ1506" t="s">
        <v>1959</v>
      </c>
      <c r="CC1506" t="s">
        <v>1956</v>
      </c>
      <c r="CD1506">
        <v>4170</v>
      </c>
      <c r="CE1506" t="s">
        <v>96</v>
      </c>
      <c r="CF1506" s="3">
        <v>43819</v>
      </c>
      <c r="CI1506">
        <v>0</v>
      </c>
      <c r="CJ1506">
        <v>0</v>
      </c>
      <c r="CK1506">
        <v>-1</v>
      </c>
      <c r="CL1506" t="s">
        <v>89</v>
      </c>
    </row>
    <row r="1507" spans="1:90">
      <c r="A1507" t="s">
        <v>72</v>
      </c>
      <c r="B1507" t="s">
        <v>73</v>
      </c>
      <c r="C1507" t="s">
        <v>74</v>
      </c>
      <c r="E1507" t="str">
        <f>"FES1162729351"</f>
        <v>FES1162729351</v>
      </c>
      <c r="F1507" s="3">
        <v>43819</v>
      </c>
      <c r="G1507">
        <v>202006</v>
      </c>
      <c r="H1507" t="s">
        <v>75</v>
      </c>
      <c r="I1507" t="s">
        <v>76</v>
      </c>
      <c r="J1507" t="s">
        <v>77</v>
      </c>
      <c r="K1507" t="s">
        <v>78</v>
      </c>
      <c r="L1507" t="s">
        <v>75</v>
      </c>
      <c r="M1507" t="s">
        <v>76</v>
      </c>
      <c r="N1507" t="s">
        <v>305</v>
      </c>
      <c r="O1507" t="s">
        <v>82</v>
      </c>
      <c r="P1507" t="str">
        <f>"2170722341                    "</f>
        <v xml:space="preserve">2170722341                    </v>
      </c>
      <c r="Q1507">
        <v>0</v>
      </c>
      <c r="R1507">
        <v>0</v>
      </c>
      <c r="S1507">
        <v>0</v>
      </c>
      <c r="T1507">
        <v>0</v>
      </c>
      <c r="U1507">
        <v>0</v>
      </c>
      <c r="V1507">
        <v>0</v>
      </c>
      <c r="W1507">
        <v>0</v>
      </c>
      <c r="X1507">
        <v>0</v>
      </c>
      <c r="Y1507">
        <v>0</v>
      </c>
      <c r="Z1507">
        <v>0</v>
      </c>
      <c r="AA1507">
        <v>0</v>
      </c>
      <c r="AB1507">
        <v>0</v>
      </c>
      <c r="AC1507">
        <v>0</v>
      </c>
      <c r="AD1507">
        <v>0</v>
      </c>
      <c r="AE1507">
        <v>0</v>
      </c>
      <c r="AF1507">
        <v>0</v>
      </c>
      <c r="AG1507">
        <v>0</v>
      </c>
      <c r="AH1507">
        <v>0</v>
      </c>
      <c r="AI1507">
        <v>0</v>
      </c>
      <c r="AJ1507">
        <v>0</v>
      </c>
      <c r="AK1507">
        <v>0</v>
      </c>
      <c r="AL1507">
        <v>0</v>
      </c>
      <c r="AM1507">
        <v>9.92</v>
      </c>
      <c r="AN1507">
        <v>0</v>
      </c>
      <c r="AO1507">
        <v>0</v>
      </c>
      <c r="AP1507">
        <v>0</v>
      </c>
      <c r="AQ1507">
        <v>0</v>
      </c>
      <c r="AR1507">
        <v>0</v>
      </c>
      <c r="AS1507">
        <v>0</v>
      </c>
      <c r="AT1507">
        <v>0</v>
      </c>
      <c r="AU1507">
        <v>0</v>
      </c>
      <c r="AV1507">
        <v>0</v>
      </c>
      <c r="AW1507">
        <v>0</v>
      </c>
      <c r="AX1507">
        <v>0</v>
      </c>
      <c r="AY1507">
        <v>0</v>
      </c>
      <c r="AZ1507">
        <v>0</v>
      </c>
      <c r="BA1507">
        <v>0</v>
      </c>
      <c r="BB1507">
        <v>0</v>
      </c>
      <c r="BC1507">
        <v>0</v>
      </c>
      <c r="BD1507">
        <v>0</v>
      </c>
      <c r="BE1507">
        <v>0</v>
      </c>
      <c r="BF1507">
        <v>0</v>
      </c>
      <c r="BG1507">
        <v>0</v>
      </c>
      <c r="BH1507">
        <v>1</v>
      </c>
      <c r="BI1507">
        <v>2.7</v>
      </c>
      <c r="BJ1507">
        <v>3.6</v>
      </c>
      <c r="BK1507">
        <v>4</v>
      </c>
      <c r="BL1507" s="4">
        <v>58.31</v>
      </c>
      <c r="BM1507" s="4">
        <v>8.75</v>
      </c>
      <c r="BN1507" s="4">
        <v>67.06</v>
      </c>
      <c r="BO1507" s="4">
        <v>67.06</v>
      </c>
      <c r="BQ1507" t="s">
        <v>147</v>
      </c>
      <c r="BR1507" t="s">
        <v>84</v>
      </c>
      <c r="BS1507" t="s">
        <v>717</v>
      </c>
      <c r="BY1507">
        <v>18225.349999999999</v>
      </c>
      <c r="CC1507" t="s">
        <v>76</v>
      </c>
      <c r="CD1507">
        <v>1645</v>
      </c>
      <c r="CE1507" t="s">
        <v>116</v>
      </c>
      <c r="CI1507">
        <v>1</v>
      </c>
      <c r="CJ1507" t="s">
        <v>717</v>
      </c>
      <c r="CK1507">
        <v>22</v>
      </c>
      <c r="CL1507" t="s">
        <v>89</v>
      </c>
    </row>
    <row r="1508" spans="1:90">
      <c r="A1508" t="s">
        <v>72</v>
      </c>
      <c r="B1508" t="s">
        <v>73</v>
      </c>
      <c r="C1508" t="s">
        <v>74</v>
      </c>
      <c r="E1508" t="str">
        <f>"FES1162729269"</f>
        <v>FES1162729269</v>
      </c>
      <c r="F1508" s="3">
        <v>43819</v>
      </c>
      <c r="G1508">
        <v>202006</v>
      </c>
      <c r="H1508" t="s">
        <v>75</v>
      </c>
      <c r="I1508" t="s">
        <v>76</v>
      </c>
      <c r="J1508" t="s">
        <v>77</v>
      </c>
      <c r="K1508" t="s">
        <v>78</v>
      </c>
      <c r="L1508" t="s">
        <v>75</v>
      </c>
      <c r="M1508" t="s">
        <v>76</v>
      </c>
      <c r="N1508" t="s">
        <v>305</v>
      </c>
      <c r="O1508" t="s">
        <v>82</v>
      </c>
      <c r="P1508" t="str">
        <f>"2170722116                    "</f>
        <v xml:space="preserve">2170722116                    </v>
      </c>
      <c r="Q1508">
        <v>0</v>
      </c>
      <c r="R1508">
        <v>0</v>
      </c>
      <c r="S1508">
        <v>0</v>
      </c>
      <c r="T1508">
        <v>0</v>
      </c>
      <c r="U1508">
        <v>0</v>
      </c>
      <c r="V1508">
        <v>0</v>
      </c>
      <c r="W1508">
        <v>0</v>
      </c>
      <c r="X1508">
        <v>0</v>
      </c>
      <c r="Y1508">
        <v>0</v>
      </c>
      <c r="Z1508">
        <v>0</v>
      </c>
      <c r="AA1508">
        <v>0</v>
      </c>
      <c r="AB1508">
        <v>0</v>
      </c>
      <c r="AC1508">
        <v>0</v>
      </c>
      <c r="AD1508">
        <v>0</v>
      </c>
      <c r="AE1508">
        <v>0</v>
      </c>
      <c r="AF1508">
        <v>0</v>
      </c>
      <c r="AG1508">
        <v>0</v>
      </c>
      <c r="AH1508">
        <v>0</v>
      </c>
      <c r="AI1508">
        <v>0</v>
      </c>
      <c r="AJ1508">
        <v>0</v>
      </c>
      <c r="AK1508">
        <v>0</v>
      </c>
      <c r="AL1508">
        <v>0</v>
      </c>
      <c r="AM1508">
        <v>21.17</v>
      </c>
      <c r="AN1508">
        <v>0</v>
      </c>
      <c r="AO1508">
        <v>0</v>
      </c>
      <c r="AP1508">
        <v>0</v>
      </c>
      <c r="AQ1508">
        <v>0</v>
      </c>
      <c r="AR1508">
        <v>0</v>
      </c>
      <c r="AS1508">
        <v>0</v>
      </c>
      <c r="AT1508">
        <v>0</v>
      </c>
      <c r="AU1508">
        <v>0</v>
      </c>
      <c r="AV1508">
        <v>0</v>
      </c>
      <c r="AW1508">
        <v>0</v>
      </c>
      <c r="AX1508">
        <v>0</v>
      </c>
      <c r="AY1508">
        <v>0</v>
      </c>
      <c r="AZ1508">
        <v>0</v>
      </c>
      <c r="BA1508">
        <v>0</v>
      </c>
      <c r="BB1508">
        <v>0</v>
      </c>
      <c r="BC1508">
        <v>0</v>
      </c>
      <c r="BD1508">
        <v>0</v>
      </c>
      <c r="BE1508">
        <v>0</v>
      </c>
      <c r="BF1508">
        <v>0</v>
      </c>
      <c r="BG1508">
        <v>0</v>
      </c>
      <c r="BH1508">
        <v>1</v>
      </c>
      <c r="BI1508">
        <v>10.9</v>
      </c>
      <c r="BJ1508">
        <v>5.2</v>
      </c>
      <c r="BK1508">
        <v>11</v>
      </c>
      <c r="BL1508" s="4">
        <v>124.44</v>
      </c>
      <c r="BM1508" s="4">
        <v>18.670000000000002</v>
      </c>
      <c r="BN1508" s="4">
        <v>143.11000000000001</v>
      </c>
      <c r="BO1508" s="4">
        <v>143.11000000000001</v>
      </c>
      <c r="BQ1508" t="s">
        <v>147</v>
      </c>
      <c r="BR1508" t="s">
        <v>84</v>
      </c>
      <c r="BS1508" t="s">
        <v>717</v>
      </c>
      <c r="BY1508">
        <v>25780.79</v>
      </c>
      <c r="CC1508" t="s">
        <v>76</v>
      </c>
      <c r="CD1508">
        <v>1645</v>
      </c>
      <c r="CE1508" t="s">
        <v>116</v>
      </c>
      <c r="CI1508">
        <v>1</v>
      </c>
      <c r="CJ1508" t="s">
        <v>717</v>
      </c>
      <c r="CK1508">
        <v>22</v>
      </c>
      <c r="CL1508" t="s">
        <v>89</v>
      </c>
    </row>
    <row r="1509" spans="1:90">
      <c r="A1509" t="s">
        <v>72</v>
      </c>
      <c r="B1509" t="s">
        <v>73</v>
      </c>
      <c r="C1509" t="s">
        <v>74</v>
      </c>
      <c r="E1509" t="str">
        <f>"FES1162729355"</f>
        <v>FES1162729355</v>
      </c>
      <c r="F1509" s="3">
        <v>43819</v>
      </c>
      <c r="G1509">
        <v>202006</v>
      </c>
      <c r="H1509" t="s">
        <v>75</v>
      </c>
      <c r="I1509" t="s">
        <v>76</v>
      </c>
      <c r="J1509" t="s">
        <v>77</v>
      </c>
      <c r="K1509" t="s">
        <v>78</v>
      </c>
      <c r="L1509" t="s">
        <v>213</v>
      </c>
      <c r="M1509" t="s">
        <v>214</v>
      </c>
      <c r="N1509" t="s">
        <v>1960</v>
      </c>
      <c r="O1509" t="s">
        <v>82</v>
      </c>
      <c r="P1509" t="str">
        <f>"2170722347                    "</f>
        <v xml:space="preserve">2170722347                    </v>
      </c>
      <c r="Q1509">
        <v>0</v>
      </c>
      <c r="R1509">
        <v>0</v>
      </c>
      <c r="S1509">
        <v>0</v>
      </c>
      <c r="T1509">
        <v>0</v>
      </c>
      <c r="U1509">
        <v>0</v>
      </c>
      <c r="V1509">
        <v>0</v>
      </c>
      <c r="W1509">
        <v>0</v>
      </c>
      <c r="X1509">
        <v>0</v>
      </c>
      <c r="Y1509">
        <v>0</v>
      </c>
      <c r="Z1509">
        <v>0</v>
      </c>
      <c r="AA1509">
        <v>0</v>
      </c>
      <c r="AB1509">
        <v>0</v>
      </c>
      <c r="AC1509">
        <v>0</v>
      </c>
      <c r="AD1509">
        <v>0</v>
      </c>
      <c r="AE1509">
        <v>0</v>
      </c>
      <c r="AF1509">
        <v>0</v>
      </c>
      <c r="AG1509">
        <v>0</v>
      </c>
      <c r="AH1509">
        <v>0</v>
      </c>
      <c r="AI1509">
        <v>0</v>
      </c>
      <c r="AJ1509">
        <v>0</v>
      </c>
      <c r="AK1509">
        <v>0</v>
      </c>
      <c r="AL1509">
        <v>0</v>
      </c>
      <c r="AM1509">
        <v>8.58</v>
      </c>
      <c r="AN1509">
        <v>0</v>
      </c>
      <c r="AO1509">
        <v>0</v>
      </c>
      <c r="AP1509">
        <v>0</v>
      </c>
      <c r="AQ1509">
        <v>0</v>
      </c>
      <c r="AR1509">
        <v>0</v>
      </c>
      <c r="AS1509">
        <v>0</v>
      </c>
      <c r="AT1509">
        <v>0</v>
      </c>
      <c r="AU1509">
        <v>0</v>
      </c>
      <c r="AV1509">
        <v>0</v>
      </c>
      <c r="AW1509">
        <v>0</v>
      </c>
      <c r="AX1509">
        <v>0</v>
      </c>
      <c r="AY1509">
        <v>0</v>
      </c>
      <c r="AZ1509">
        <v>0</v>
      </c>
      <c r="BA1509">
        <v>0</v>
      </c>
      <c r="BB1509">
        <v>0</v>
      </c>
      <c r="BC1509">
        <v>0</v>
      </c>
      <c r="BD1509">
        <v>0</v>
      </c>
      <c r="BE1509">
        <v>0</v>
      </c>
      <c r="BF1509">
        <v>0</v>
      </c>
      <c r="BG1509">
        <v>0</v>
      </c>
      <c r="BH1509">
        <v>1</v>
      </c>
      <c r="BI1509">
        <v>2</v>
      </c>
      <c r="BJ1509">
        <v>1.5</v>
      </c>
      <c r="BK1509">
        <v>2</v>
      </c>
      <c r="BL1509" s="4">
        <v>50.45</v>
      </c>
      <c r="BM1509" s="4">
        <v>7.57</v>
      </c>
      <c r="BN1509" s="4">
        <v>58.02</v>
      </c>
      <c r="BO1509" s="4">
        <v>58.02</v>
      </c>
      <c r="BR1509" t="s">
        <v>84</v>
      </c>
      <c r="BS1509" s="3">
        <v>43822</v>
      </c>
      <c r="BT1509" s="5">
        <v>0.58333333333333337</v>
      </c>
      <c r="BU1509" t="s">
        <v>1961</v>
      </c>
      <c r="BV1509" t="s">
        <v>89</v>
      </c>
      <c r="BW1509" t="s">
        <v>593</v>
      </c>
      <c r="BX1509" t="s">
        <v>1100</v>
      </c>
      <c r="BY1509">
        <v>7540</v>
      </c>
      <c r="CC1509" t="s">
        <v>214</v>
      </c>
      <c r="CD1509">
        <v>6229</v>
      </c>
      <c r="CE1509" t="s">
        <v>96</v>
      </c>
      <c r="CF1509" s="3">
        <v>43823</v>
      </c>
      <c r="CI1509">
        <v>1</v>
      </c>
      <c r="CJ1509">
        <v>1</v>
      </c>
      <c r="CK1509">
        <v>21</v>
      </c>
      <c r="CL1509" t="s">
        <v>89</v>
      </c>
    </row>
    <row r="1510" spans="1:90">
      <c r="A1510" t="s">
        <v>72</v>
      </c>
      <c r="B1510" t="s">
        <v>73</v>
      </c>
      <c r="C1510" t="s">
        <v>74</v>
      </c>
      <c r="E1510" t="str">
        <f>"FES1162729348"</f>
        <v>FES1162729348</v>
      </c>
      <c r="F1510" s="3">
        <v>43819</v>
      </c>
      <c r="G1510">
        <v>202006</v>
      </c>
      <c r="H1510" t="s">
        <v>75</v>
      </c>
      <c r="I1510" t="s">
        <v>76</v>
      </c>
      <c r="J1510" t="s">
        <v>77</v>
      </c>
      <c r="K1510" t="s">
        <v>78</v>
      </c>
      <c r="L1510" t="s">
        <v>198</v>
      </c>
      <c r="M1510" t="s">
        <v>199</v>
      </c>
      <c r="N1510" t="s">
        <v>525</v>
      </c>
      <c r="O1510" t="s">
        <v>82</v>
      </c>
      <c r="P1510" t="str">
        <f>"2170722337                    "</f>
        <v xml:space="preserve">2170722337                    </v>
      </c>
      <c r="Q1510">
        <v>0</v>
      </c>
      <c r="R1510">
        <v>0</v>
      </c>
      <c r="S1510">
        <v>0</v>
      </c>
      <c r="T1510">
        <v>0</v>
      </c>
      <c r="U1510">
        <v>0</v>
      </c>
      <c r="V1510">
        <v>0</v>
      </c>
      <c r="W1510">
        <v>0</v>
      </c>
      <c r="X1510">
        <v>0</v>
      </c>
      <c r="Y1510">
        <v>0</v>
      </c>
      <c r="Z1510">
        <v>0</v>
      </c>
      <c r="AA1510">
        <v>0</v>
      </c>
      <c r="AB1510">
        <v>0</v>
      </c>
      <c r="AC1510">
        <v>0</v>
      </c>
      <c r="AD1510">
        <v>0</v>
      </c>
      <c r="AE1510">
        <v>0</v>
      </c>
      <c r="AF1510">
        <v>0</v>
      </c>
      <c r="AG1510">
        <v>0</v>
      </c>
      <c r="AH1510">
        <v>0</v>
      </c>
      <c r="AI1510">
        <v>0</v>
      </c>
      <c r="AJ1510">
        <v>0</v>
      </c>
      <c r="AK1510">
        <v>0</v>
      </c>
      <c r="AL1510">
        <v>0</v>
      </c>
      <c r="AM1510">
        <v>8.58</v>
      </c>
      <c r="AN1510">
        <v>0</v>
      </c>
      <c r="AO1510">
        <v>0</v>
      </c>
      <c r="AP1510">
        <v>0</v>
      </c>
      <c r="AQ1510">
        <v>0</v>
      </c>
      <c r="AR1510">
        <v>0</v>
      </c>
      <c r="AS1510">
        <v>0</v>
      </c>
      <c r="AT1510">
        <v>0</v>
      </c>
      <c r="AU1510">
        <v>0</v>
      </c>
      <c r="AV1510">
        <v>0</v>
      </c>
      <c r="AW1510">
        <v>0</v>
      </c>
      <c r="AX1510">
        <v>0</v>
      </c>
      <c r="AY1510">
        <v>0</v>
      </c>
      <c r="AZ1510">
        <v>0</v>
      </c>
      <c r="BA1510">
        <v>0</v>
      </c>
      <c r="BB1510">
        <v>0</v>
      </c>
      <c r="BC1510">
        <v>0</v>
      </c>
      <c r="BD1510">
        <v>0</v>
      </c>
      <c r="BE1510">
        <v>0</v>
      </c>
      <c r="BF1510">
        <v>0</v>
      </c>
      <c r="BG1510">
        <v>0</v>
      </c>
      <c r="BH1510">
        <v>1</v>
      </c>
      <c r="BI1510">
        <v>1</v>
      </c>
      <c r="BJ1510">
        <v>0.2</v>
      </c>
      <c r="BK1510">
        <v>1</v>
      </c>
      <c r="BL1510" s="4">
        <v>50.45</v>
      </c>
      <c r="BM1510" s="4">
        <v>7.57</v>
      </c>
      <c r="BN1510" s="4">
        <v>58.02</v>
      </c>
      <c r="BO1510" s="4">
        <v>58.02</v>
      </c>
      <c r="BQ1510" t="s">
        <v>147</v>
      </c>
      <c r="BR1510" t="s">
        <v>84</v>
      </c>
      <c r="BS1510" s="3">
        <v>43822</v>
      </c>
      <c r="BT1510" s="5">
        <v>0.38125000000000003</v>
      </c>
      <c r="BU1510" t="s">
        <v>526</v>
      </c>
      <c r="BV1510" t="s">
        <v>86</v>
      </c>
      <c r="BY1510">
        <v>1200</v>
      </c>
      <c r="CA1510" t="s">
        <v>408</v>
      </c>
      <c r="CC1510" t="s">
        <v>199</v>
      </c>
      <c r="CD1510">
        <v>4001</v>
      </c>
      <c r="CE1510" t="s">
        <v>88</v>
      </c>
      <c r="CF1510" s="3">
        <v>43823</v>
      </c>
      <c r="CI1510">
        <v>1</v>
      </c>
      <c r="CJ1510">
        <v>1</v>
      </c>
      <c r="CK1510">
        <v>21</v>
      </c>
      <c r="CL1510" t="s">
        <v>89</v>
      </c>
    </row>
    <row r="1511" spans="1:90">
      <c r="A1511" t="s">
        <v>72</v>
      </c>
      <c r="B1511" t="s">
        <v>73</v>
      </c>
      <c r="C1511" t="s">
        <v>74</v>
      </c>
      <c r="E1511" t="str">
        <f>"FES1162729349"</f>
        <v>FES1162729349</v>
      </c>
      <c r="F1511" s="3">
        <v>43819</v>
      </c>
      <c r="G1511">
        <v>202006</v>
      </c>
      <c r="H1511" t="s">
        <v>75</v>
      </c>
      <c r="I1511" t="s">
        <v>76</v>
      </c>
      <c r="J1511" t="s">
        <v>77</v>
      </c>
      <c r="K1511" t="s">
        <v>78</v>
      </c>
      <c r="L1511" t="s">
        <v>198</v>
      </c>
      <c r="M1511" t="s">
        <v>199</v>
      </c>
      <c r="N1511" t="s">
        <v>525</v>
      </c>
      <c r="O1511" t="s">
        <v>82</v>
      </c>
      <c r="P1511" t="str">
        <f>"2170722338                    "</f>
        <v xml:space="preserve">2170722338                    </v>
      </c>
      <c r="Q1511">
        <v>0</v>
      </c>
      <c r="R1511">
        <v>0</v>
      </c>
      <c r="S1511">
        <v>0</v>
      </c>
      <c r="T1511">
        <v>0</v>
      </c>
      <c r="U1511">
        <v>0</v>
      </c>
      <c r="V1511">
        <v>0</v>
      </c>
      <c r="W1511">
        <v>0</v>
      </c>
      <c r="X1511">
        <v>0</v>
      </c>
      <c r="Y1511">
        <v>0</v>
      </c>
      <c r="Z1511">
        <v>0</v>
      </c>
      <c r="AA1511">
        <v>0</v>
      </c>
      <c r="AB1511">
        <v>0</v>
      </c>
      <c r="AC1511">
        <v>0</v>
      </c>
      <c r="AD1511">
        <v>0</v>
      </c>
      <c r="AE1511">
        <v>0</v>
      </c>
      <c r="AF1511">
        <v>0</v>
      </c>
      <c r="AG1511">
        <v>0</v>
      </c>
      <c r="AH1511">
        <v>0</v>
      </c>
      <c r="AI1511">
        <v>0</v>
      </c>
      <c r="AJ1511">
        <v>0</v>
      </c>
      <c r="AK1511">
        <v>0</v>
      </c>
      <c r="AL1511">
        <v>0</v>
      </c>
      <c r="AM1511">
        <v>8.58</v>
      </c>
      <c r="AN1511">
        <v>0</v>
      </c>
      <c r="AO1511">
        <v>0</v>
      </c>
      <c r="AP1511">
        <v>0</v>
      </c>
      <c r="AQ1511">
        <v>0</v>
      </c>
      <c r="AR1511">
        <v>0</v>
      </c>
      <c r="AS1511">
        <v>0</v>
      </c>
      <c r="AT1511">
        <v>0</v>
      </c>
      <c r="AU1511">
        <v>0</v>
      </c>
      <c r="AV1511">
        <v>0</v>
      </c>
      <c r="AW1511">
        <v>0</v>
      </c>
      <c r="AX1511">
        <v>0</v>
      </c>
      <c r="AY1511">
        <v>0</v>
      </c>
      <c r="AZ1511">
        <v>0</v>
      </c>
      <c r="BA1511">
        <v>0</v>
      </c>
      <c r="BB1511">
        <v>0</v>
      </c>
      <c r="BC1511">
        <v>0</v>
      </c>
      <c r="BD1511">
        <v>0</v>
      </c>
      <c r="BE1511">
        <v>0</v>
      </c>
      <c r="BF1511">
        <v>0</v>
      </c>
      <c r="BG1511">
        <v>0</v>
      </c>
      <c r="BH1511">
        <v>1</v>
      </c>
      <c r="BI1511">
        <v>1</v>
      </c>
      <c r="BJ1511">
        <v>0.2</v>
      </c>
      <c r="BK1511">
        <v>1</v>
      </c>
      <c r="BL1511" s="4">
        <v>50.45</v>
      </c>
      <c r="BM1511" s="4">
        <v>7.57</v>
      </c>
      <c r="BN1511" s="4">
        <v>58.02</v>
      </c>
      <c r="BO1511" s="4">
        <v>58.02</v>
      </c>
      <c r="BQ1511" t="s">
        <v>147</v>
      </c>
      <c r="BR1511" t="s">
        <v>84</v>
      </c>
      <c r="BS1511" s="3">
        <v>43822</v>
      </c>
      <c r="BT1511" s="5">
        <v>0.38125000000000003</v>
      </c>
      <c r="BU1511" t="s">
        <v>526</v>
      </c>
      <c r="BV1511" t="s">
        <v>86</v>
      </c>
      <c r="BY1511">
        <v>1200</v>
      </c>
      <c r="CA1511" t="s">
        <v>408</v>
      </c>
      <c r="CC1511" t="s">
        <v>199</v>
      </c>
      <c r="CD1511">
        <v>4001</v>
      </c>
      <c r="CE1511" t="s">
        <v>88</v>
      </c>
      <c r="CF1511" s="3">
        <v>43823</v>
      </c>
      <c r="CI1511">
        <v>1</v>
      </c>
      <c r="CJ1511">
        <v>1</v>
      </c>
      <c r="CK1511">
        <v>21</v>
      </c>
      <c r="CL1511" t="s">
        <v>89</v>
      </c>
    </row>
    <row r="1512" spans="1:90">
      <c r="A1512" t="s">
        <v>72</v>
      </c>
      <c r="B1512" t="s">
        <v>73</v>
      </c>
      <c r="C1512" t="s">
        <v>74</v>
      </c>
      <c r="E1512" t="str">
        <f>"FES1162729076"</f>
        <v>FES1162729076</v>
      </c>
      <c r="F1512" s="3">
        <v>43819</v>
      </c>
      <c r="G1512">
        <v>202006</v>
      </c>
      <c r="H1512" t="s">
        <v>75</v>
      </c>
      <c r="I1512" t="s">
        <v>76</v>
      </c>
      <c r="J1512" t="s">
        <v>77</v>
      </c>
      <c r="K1512" t="s">
        <v>78</v>
      </c>
      <c r="L1512" t="s">
        <v>75</v>
      </c>
      <c r="M1512" t="s">
        <v>76</v>
      </c>
      <c r="N1512" t="s">
        <v>289</v>
      </c>
      <c r="O1512" t="s">
        <v>82</v>
      </c>
      <c r="P1512" t="str">
        <f>"217072369                     "</f>
        <v xml:space="preserve">217072369                     </v>
      </c>
      <c r="Q1512">
        <v>0</v>
      </c>
      <c r="R1512">
        <v>0</v>
      </c>
      <c r="S1512">
        <v>0</v>
      </c>
      <c r="T1512">
        <v>0</v>
      </c>
      <c r="U1512">
        <v>0</v>
      </c>
      <c r="V1512">
        <v>0</v>
      </c>
      <c r="W1512">
        <v>0</v>
      </c>
      <c r="X1512">
        <v>0</v>
      </c>
      <c r="Y1512">
        <v>0</v>
      </c>
      <c r="Z1512">
        <v>0</v>
      </c>
      <c r="AA1512">
        <v>0</v>
      </c>
      <c r="AB1512">
        <v>0</v>
      </c>
      <c r="AC1512">
        <v>0</v>
      </c>
      <c r="AD1512">
        <v>0</v>
      </c>
      <c r="AE1512">
        <v>0</v>
      </c>
      <c r="AF1512">
        <v>0</v>
      </c>
      <c r="AG1512">
        <v>0</v>
      </c>
      <c r="AH1512">
        <v>0</v>
      </c>
      <c r="AI1512">
        <v>0</v>
      </c>
      <c r="AJ1512">
        <v>0</v>
      </c>
      <c r="AK1512">
        <v>0</v>
      </c>
      <c r="AL1512">
        <v>0</v>
      </c>
      <c r="AM1512">
        <v>14.74</v>
      </c>
      <c r="AN1512">
        <v>0</v>
      </c>
      <c r="AO1512">
        <v>0</v>
      </c>
      <c r="AP1512">
        <v>0</v>
      </c>
      <c r="AQ1512">
        <v>0</v>
      </c>
      <c r="AR1512">
        <v>0</v>
      </c>
      <c r="AS1512">
        <v>0</v>
      </c>
      <c r="AT1512">
        <v>0</v>
      </c>
      <c r="AU1512">
        <v>0</v>
      </c>
      <c r="AV1512">
        <v>0</v>
      </c>
      <c r="AW1512">
        <v>0</v>
      </c>
      <c r="AX1512">
        <v>0</v>
      </c>
      <c r="AY1512">
        <v>0</v>
      </c>
      <c r="AZ1512">
        <v>0</v>
      </c>
      <c r="BA1512">
        <v>0</v>
      </c>
      <c r="BB1512">
        <v>0</v>
      </c>
      <c r="BC1512">
        <v>0</v>
      </c>
      <c r="BD1512">
        <v>0</v>
      </c>
      <c r="BE1512">
        <v>0</v>
      </c>
      <c r="BF1512">
        <v>0</v>
      </c>
      <c r="BG1512">
        <v>0</v>
      </c>
      <c r="BH1512">
        <v>1</v>
      </c>
      <c r="BI1512">
        <v>5.5</v>
      </c>
      <c r="BJ1512">
        <v>6.8</v>
      </c>
      <c r="BK1512">
        <v>7</v>
      </c>
      <c r="BL1512" s="4">
        <v>86.65</v>
      </c>
      <c r="BM1512" s="4">
        <v>13</v>
      </c>
      <c r="BN1512" s="4">
        <v>99.65</v>
      </c>
      <c r="BO1512" s="4">
        <v>99.65</v>
      </c>
      <c r="BQ1512" t="s">
        <v>290</v>
      </c>
      <c r="BR1512" t="s">
        <v>84</v>
      </c>
      <c r="BS1512" s="3">
        <v>43822</v>
      </c>
      <c r="BT1512" s="5">
        <v>0.34722222222222227</v>
      </c>
      <c r="BU1512" t="s">
        <v>1962</v>
      </c>
      <c r="BV1512" t="s">
        <v>86</v>
      </c>
      <c r="BY1512">
        <v>34078.019999999997</v>
      </c>
      <c r="CA1512" t="s">
        <v>155</v>
      </c>
      <c r="CC1512" t="s">
        <v>76</v>
      </c>
      <c r="CD1512">
        <v>1601</v>
      </c>
      <c r="CE1512" t="s">
        <v>116</v>
      </c>
      <c r="CF1512" s="3">
        <v>43823</v>
      </c>
      <c r="CI1512">
        <v>1</v>
      </c>
      <c r="CJ1512">
        <v>1</v>
      </c>
      <c r="CK1512">
        <v>22</v>
      </c>
      <c r="CL1512" t="s">
        <v>89</v>
      </c>
    </row>
    <row r="1513" spans="1:90">
      <c r="A1513" t="s">
        <v>72</v>
      </c>
      <c r="B1513" t="s">
        <v>73</v>
      </c>
      <c r="C1513" t="s">
        <v>74</v>
      </c>
      <c r="E1513" t="str">
        <f>"FES1162729357"</f>
        <v>FES1162729357</v>
      </c>
      <c r="F1513" s="3">
        <v>43819</v>
      </c>
      <c r="G1513">
        <v>202006</v>
      </c>
      <c r="H1513" t="s">
        <v>75</v>
      </c>
      <c r="I1513" t="s">
        <v>76</v>
      </c>
      <c r="J1513" t="s">
        <v>77</v>
      </c>
      <c r="K1513" t="s">
        <v>78</v>
      </c>
      <c r="L1513" t="s">
        <v>404</v>
      </c>
      <c r="M1513" t="s">
        <v>405</v>
      </c>
      <c r="N1513" t="s">
        <v>406</v>
      </c>
      <c r="O1513" t="s">
        <v>82</v>
      </c>
      <c r="P1513" t="str">
        <f>"2170722351                    "</f>
        <v xml:space="preserve">2170722351                    </v>
      </c>
      <c r="Q1513">
        <v>0</v>
      </c>
      <c r="R1513">
        <v>0</v>
      </c>
      <c r="S1513">
        <v>0</v>
      </c>
      <c r="T1513">
        <v>0</v>
      </c>
      <c r="U1513">
        <v>0</v>
      </c>
      <c r="V1513">
        <v>0</v>
      </c>
      <c r="W1513">
        <v>0</v>
      </c>
      <c r="X1513">
        <v>0</v>
      </c>
      <c r="Y1513">
        <v>0</v>
      </c>
      <c r="Z1513">
        <v>0</v>
      </c>
      <c r="AA1513">
        <v>0</v>
      </c>
      <c r="AB1513">
        <v>0</v>
      </c>
      <c r="AC1513">
        <v>0</v>
      </c>
      <c r="AD1513">
        <v>0</v>
      </c>
      <c r="AE1513">
        <v>0</v>
      </c>
      <c r="AF1513">
        <v>0</v>
      </c>
      <c r="AG1513">
        <v>0</v>
      </c>
      <c r="AH1513">
        <v>0</v>
      </c>
      <c r="AI1513">
        <v>0</v>
      </c>
      <c r="AJ1513">
        <v>0</v>
      </c>
      <c r="AK1513">
        <v>0</v>
      </c>
      <c r="AL1513">
        <v>0</v>
      </c>
      <c r="AM1513">
        <v>8.58</v>
      </c>
      <c r="AN1513">
        <v>0</v>
      </c>
      <c r="AO1513">
        <v>0</v>
      </c>
      <c r="AP1513">
        <v>0</v>
      </c>
      <c r="AQ1513">
        <v>0</v>
      </c>
      <c r="AR1513">
        <v>0</v>
      </c>
      <c r="AS1513">
        <v>0</v>
      </c>
      <c r="AT1513">
        <v>0</v>
      </c>
      <c r="AU1513">
        <v>0</v>
      </c>
      <c r="AV1513">
        <v>0</v>
      </c>
      <c r="AW1513">
        <v>0</v>
      </c>
      <c r="AX1513">
        <v>0</v>
      </c>
      <c r="AY1513">
        <v>0</v>
      </c>
      <c r="AZ1513">
        <v>0</v>
      </c>
      <c r="BA1513">
        <v>0</v>
      </c>
      <c r="BB1513">
        <v>0</v>
      </c>
      <c r="BC1513">
        <v>0</v>
      </c>
      <c r="BD1513">
        <v>0</v>
      </c>
      <c r="BE1513">
        <v>0</v>
      </c>
      <c r="BF1513">
        <v>0</v>
      </c>
      <c r="BG1513">
        <v>0</v>
      </c>
      <c r="BH1513">
        <v>1</v>
      </c>
      <c r="BI1513">
        <v>1</v>
      </c>
      <c r="BJ1513">
        <v>0.2</v>
      </c>
      <c r="BK1513">
        <v>1</v>
      </c>
      <c r="BL1513" s="4">
        <v>50.45</v>
      </c>
      <c r="BM1513" s="4">
        <v>7.57</v>
      </c>
      <c r="BN1513" s="4">
        <v>58.02</v>
      </c>
      <c r="BO1513" s="4">
        <v>58.02</v>
      </c>
      <c r="BQ1513" t="s">
        <v>93</v>
      </c>
      <c r="BR1513" t="s">
        <v>84</v>
      </c>
      <c r="BS1513" s="3">
        <v>43822</v>
      </c>
      <c r="BT1513" s="5">
        <v>0.37777777777777777</v>
      </c>
      <c r="BU1513" t="s">
        <v>407</v>
      </c>
      <c r="BV1513" t="s">
        <v>86</v>
      </c>
      <c r="BY1513">
        <v>1200</v>
      </c>
      <c r="CA1513" t="s">
        <v>408</v>
      </c>
      <c r="CC1513" t="s">
        <v>405</v>
      </c>
      <c r="CD1513">
        <v>4026</v>
      </c>
      <c r="CE1513" t="s">
        <v>88</v>
      </c>
      <c r="CF1513" s="3">
        <v>43823</v>
      </c>
      <c r="CI1513">
        <v>1</v>
      </c>
      <c r="CJ1513">
        <v>1</v>
      </c>
      <c r="CK1513">
        <v>21</v>
      </c>
      <c r="CL1513" t="s">
        <v>89</v>
      </c>
    </row>
    <row r="1514" spans="1:90">
      <c r="A1514" t="s">
        <v>72</v>
      </c>
      <c r="B1514" t="s">
        <v>73</v>
      </c>
      <c r="C1514" t="s">
        <v>74</v>
      </c>
      <c r="E1514" t="str">
        <f>"FES1162729289"</f>
        <v>FES1162729289</v>
      </c>
      <c r="F1514" s="3">
        <v>43819</v>
      </c>
      <c r="G1514">
        <v>202006</v>
      </c>
      <c r="H1514" t="s">
        <v>75</v>
      </c>
      <c r="I1514" t="s">
        <v>76</v>
      </c>
      <c r="J1514" t="s">
        <v>77</v>
      </c>
      <c r="K1514" t="s">
        <v>78</v>
      </c>
      <c r="L1514" t="s">
        <v>79</v>
      </c>
      <c r="M1514" t="s">
        <v>80</v>
      </c>
      <c r="N1514" t="s">
        <v>300</v>
      </c>
      <c r="O1514" t="s">
        <v>82</v>
      </c>
      <c r="P1514" t="str">
        <f>"2170720129                    "</f>
        <v xml:space="preserve">2170720129                    </v>
      </c>
      <c r="Q1514">
        <v>0</v>
      </c>
      <c r="R1514">
        <v>0</v>
      </c>
      <c r="S1514">
        <v>0</v>
      </c>
      <c r="T1514">
        <v>0</v>
      </c>
      <c r="U1514">
        <v>0</v>
      </c>
      <c r="V1514">
        <v>0</v>
      </c>
      <c r="W1514">
        <v>0</v>
      </c>
      <c r="X1514">
        <v>0</v>
      </c>
      <c r="Y1514">
        <v>0</v>
      </c>
      <c r="Z1514">
        <v>0</v>
      </c>
      <c r="AA1514">
        <v>0</v>
      </c>
      <c r="AB1514">
        <v>0</v>
      </c>
      <c r="AC1514">
        <v>0</v>
      </c>
      <c r="AD1514">
        <v>0</v>
      </c>
      <c r="AE1514">
        <v>0</v>
      </c>
      <c r="AF1514">
        <v>0</v>
      </c>
      <c r="AG1514">
        <v>0</v>
      </c>
      <c r="AH1514">
        <v>0</v>
      </c>
      <c r="AI1514">
        <v>0</v>
      </c>
      <c r="AJ1514">
        <v>0</v>
      </c>
      <c r="AK1514">
        <v>0</v>
      </c>
      <c r="AL1514">
        <v>0</v>
      </c>
      <c r="AM1514">
        <v>8.58</v>
      </c>
      <c r="AN1514">
        <v>0</v>
      </c>
      <c r="AO1514">
        <v>0</v>
      </c>
      <c r="AP1514">
        <v>0</v>
      </c>
      <c r="AQ1514">
        <v>0</v>
      </c>
      <c r="AR1514">
        <v>0</v>
      </c>
      <c r="AS1514">
        <v>0</v>
      </c>
      <c r="AT1514">
        <v>0</v>
      </c>
      <c r="AU1514">
        <v>0</v>
      </c>
      <c r="AV1514">
        <v>0</v>
      </c>
      <c r="AW1514">
        <v>0</v>
      </c>
      <c r="AX1514">
        <v>0</v>
      </c>
      <c r="AY1514">
        <v>0</v>
      </c>
      <c r="AZ1514">
        <v>0</v>
      </c>
      <c r="BA1514">
        <v>0</v>
      </c>
      <c r="BB1514">
        <v>0</v>
      </c>
      <c r="BC1514">
        <v>0</v>
      </c>
      <c r="BD1514">
        <v>0</v>
      </c>
      <c r="BE1514">
        <v>0</v>
      </c>
      <c r="BF1514">
        <v>0</v>
      </c>
      <c r="BG1514">
        <v>0</v>
      </c>
      <c r="BH1514">
        <v>1</v>
      </c>
      <c r="BI1514">
        <v>1</v>
      </c>
      <c r="BJ1514">
        <v>0.2</v>
      </c>
      <c r="BK1514">
        <v>1</v>
      </c>
      <c r="BL1514" s="4">
        <v>50.45</v>
      </c>
      <c r="BM1514" s="4">
        <v>7.57</v>
      </c>
      <c r="BN1514" s="4">
        <v>58.02</v>
      </c>
      <c r="BO1514" s="4">
        <v>58.02</v>
      </c>
      <c r="BQ1514" t="s">
        <v>147</v>
      </c>
      <c r="BR1514" t="s">
        <v>84</v>
      </c>
      <c r="BS1514" t="s">
        <v>717</v>
      </c>
      <c r="BY1514">
        <v>1200</v>
      </c>
      <c r="CC1514" t="s">
        <v>80</v>
      </c>
      <c r="CD1514">
        <v>6001</v>
      </c>
      <c r="CE1514" t="s">
        <v>88</v>
      </c>
      <c r="CI1514">
        <v>1</v>
      </c>
      <c r="CJ1514" t="s">
        <v>717</v>
      </c>
      <c r="CK1514">
        <v>21</v>
      </c>
      <c r="CL1514" t="s">
        <v>89</v>
      </c>
    </row>
    <row r="1515" spans="1:90">
      <c r="A1515" t="s">
        <v>72</v>
      </c>
      <c r="B1515" t="s">
        <v>73</v>
      </c>
      <c r="C1515" t="s">
        <v>74</v>
      </c>
      <c r="E1515" t="str">
        <f>"FES1162729285"</f>
        <v>FES1162729285</v>
      </c>
      <c r="F1515" s="3">
        <v>43819</v>
      </c>
      <c r="G1515">
        <v>202006</v>
      </c>
      <c r="H1515" t="s">
        <v>75</v>
      </c>
      <c r="I1515" t="s">
        <v>76</v>
      </c>
      <c r="J1515" t="s">
        <v>77</v>
      </c>
      <c r="K1515" t="s">
        <v>78</v>
      </c>
      <c r="L1515" t="s">
        <v>177</v>
      </c>
      <c r="M1515" t="s">
        <v>178</v>
      </c>
      <c r="N1515" t="s">
        <v>179</v>
      </c>
      <c r="O1515" t="s">
        <v>82</v>
      </c>
      <c r="P1515" t="str">
        <f>"21709566                      "</f>
        <v xml:space="preserve">21709566                      </v>
      </c>
      <c r="Q1515">
        <v>0</v>
      </c>
      <c r="R1515">
        <v>0</v>
      </c>
      <c r="S1515">
        <v>0</v>
      </c>
      <c r="T1515">
        <v>0</v>
      </c>
      <c r="U1515">
        <v>0</v>
      </c>
      <c r="V1515">
        <v>0</v>
      </c>
      <c r="W1515">
        <v>0</v>
      </c>
      <c r="X1515">
        <v>0</v>
      </c>
      <c r="Y1515">
        <v>0</v>
      </c>
      <c r="Z1515">
        <v>0</v>
      </c>
      <c r="AA1515">
        <v>0</v>
      </c>
      <c r="AB1515">
        <v>0</v>
      </c>
      <c r="AC1515">
        <v>0</v>
      </c>
      <c r="AD1515">
        <v>0</v>
      </c>
      <c r="AE1515">
        <v>0</v>
      </c>
      <c r="AF1515">
        <v>0</v>
      </c>
      <c r="AG1515">
        <v>0</v>
      </c>
      <c r="AH1515">
        <v>0</v>
      </c>
      <c r="AI1515">
        <v>0</v>
      </c>
      <c r="AJ1515">
        <v>0</v>
      </c>
      <c r="AK1515">
        <v>0</v>
      </c>
      <c r="AL1515">
        <v>0</v>
      </c>
      <c r="AM1515">
        <v>12.07</v>
      </c>
      <c r="AN1515">
        <v>0</v>
      </c>
      <c r="AO1515">
        <v>0</v>
      </c>
      <c r="AP1515">
        <v>0</v>
      </c>
      <c r="AQ1515">
        <v>0</v>
      </c>
      <c r="AR1515">
        <v>0</v>
      </c>
      <c r="AS1515">
        <v>0</v>
      </c>
      <c r="AT1515">
        <v>0</v>
      </c>
      <c r="AU1515">
        <v>0</v>
      </c>
      <c r="AV1515">
        <v>0</v>
      </c>
      <c r="AW1515">
        <v>0</v>
      </c>
      <c r="AX1515">
        <v>0</v>
      </c>
      <c r="AY1515">
        <v>0</v>
      </c>
      <c r="AZ1515">
        <v>0</v>
      </c>
      <c r="BA1515">
        <v>0</v>
      </c>
      <c r="BB1515">
        <v>0</v>
      </c>
      <c r="BC1515">
        <v>0</v>
      </c>
      <c r="BD1515">
        <v>0</v>
      </c>
      <c r="BE1515">
        <v>0</v>
      </c>
      <c r="BF1515">
        <v>0</v>
      </c>
      <c r="BG1515">
        <v>0</v>
      </c>
      <c r="BH1515">
        <v>1</v>
      </c>
      <c r="BI1515">
        <v>1.2</v>
      </c>
      <c r="BJ1515">
        <v>1.2</v>
      </c>
      <c r="BK1515">
        <v>1.5</v>
      </c>
      <c r="BL1515" s="4">
        <v>70.95</v>
      </c>
      <c r="BM1515" s="4">
        <v>10.64</v>
      </c>
      <c r="BN1515" s="4">
        <v>81.59</v>
      </c>
      <c r="BO1515" s="4">
        <v>81.59</v>
      </c>
      <c r="BQ1515" t="s">
        <v>147</v>
      </c>
      <c r="BR1515" t="s">
        <v>84</v>
      </c>
      <c r="BS1515" s="3">
        <v>43822</v>
      </c>
      <c r="BT1515" s="5">
        <v>0.56944444444444442</v>
      </c>
      <c r="BU1515" t="s">
        <v>1963</v>
      </c>
      <c r="BV1515" t="s">
        <v>86</v>
      </c>
      <c r="BY1515">
        <v>6026.36</v>
      </c>
      <c r="CA1515" t="s">
        <v>182</v>
      </c>
      <c r="CC1515" t="s">
        <v>178</v>
      </c>
      <c r="CD1515">
        <v>1028</v>
      </c>
      <c r="CE1515" t="s">
        <v>96</v>
      </c>
      <c r="CF1515" s="3">
        <v>43826</v>
      </c>
      <c r="CI1515">
        <v>1</v>
      </c>
      <c r="CJ1515">
        <v>1</v>
      </c>
      <c r="CK1515">
        <v>24</v>
      </c>
      <c r="CL1515" t="s">
        <v>89</v>
      </c>
    </row>
    <row r="1516" spans="1:90">
      <c r="A1516" t="s">
        <v>72</v>
      </c>
      <c r="B1516" t="s">
        <v>73</v>
      </c>
      <c r="C1516" t="s">
        <v>74</v>
      </c>
      <c r="E1516" t="str">
        <f>"FES1162729115"</f>
        <v>FES1162729115</v>
      </c>
      <c r="F1516" s="3">
        <v>43819</v>
      </c>
      <c r="G1516">
        <v>202006</v>
      </c>
      <c r="H1516" t="s">
        <v>75</v>
      </c>
      <c r="I1516" t="s">
        <v>76</v>
      </c>
      <c r="J1516" t="s">
        <v>77</v>
      </c>
      <c r="K1516" t="s">
        <v>78</v>
      </c>
      <c r="L1516" t="s">
        <v>332</v>
      </c>
      <c r="M1516" t="s">
        <v>333</v>
      </c>
      <c r="N1516" t="s">
        <v>701</v>
      </c>
      <c r="O1516" t="s">
        <v>82</v>
      </c>
      <c r="P1516" t="str">
        <f>"2170720675                    "</f>
        <v xml:space="preserve">2170720675                    </v>
      </c>
      <c r="Q1516">
        <v>0</v>
      </c>
      <c r="R1516">
        <v>0</v>
      </c>
      <c r="S1516">
        <v>0</v>
      </c>
      <c r="T1516">
        <v>0</v>
      </c>
      <c r="U1516">
        <v>0</v>
      </c>
      <c r="V1516">
        <v>0</v>
      </c>
      <c r="W1516">
        <v>0</v>
      </c>
      <c r="X1516">
        <v>0</v>
      </c>
      <c r="Y1516">
        <v>0</v>
      </c>
      <c r="Z1516">
        <v>0</v>
      </c>
      <c r="AA1516">
        <v>0</v>
      </c>
      <c r="AB1516">
        <v>0</v>
      </c>
      <c r="AC1516">
        <v>0</v>
      </c>
      <c r="AD1516">
        <v>0</v>
      </c>
      <c r="AE1516">
        <v>0</v>
      </c>
      <c r="AF1516">
        <v>0</v>
      </c>
      <c r="AG1516">
        <v>0</v>
      </c>
      <c r="AH1516">
        <v>0</v>
      </c>
      <c r="AI1516">
        <v>0</v>
      </c>
      <c r="AJ1516">
        <v>0</v>
      </c>
      <c r="AK1516">
        <v>0</v>
      </c>
      <c r="AL1516">
        <v>0</v>
      </c>
      <c r="AM1516">
        <v>17.149999999999999</v>
      </c>
      <c r="AN1516">
        <v>0</v>
      </c>
      <c r="AO1516">
        <v>0</v>
      </c>
      <c r="AP1516">
        <v>0</v>
      </c>
      <c r="AQ1516">
        <v>0</v>
      </c>
      <c r="AR1516">
        <v>0</v>
      </c>
      <c r="AS1516">
        <v>0</v>
      </c>
      <c r="AT1516">
        <v>0</v>
      </c>
      <c r="AU1516">
        <v>0</v>
      </c>
      <c r="AV1516">
        <v>0</v>
      </c>
      <c r="AW1516">
        <v>0</v>
      </c>
      <c r="AX1516">
        <v>0</v>
      </c>
      <c r="AY1516">
        <v>0</v>
      </c>
      <c r="AZ1516">
        <v>0</v>
      </c>
      <c r="BA1516">
        <v>0</v>
      </c>
      <c r="BB1516">
        <v>0</v>
      </c>
      <c r="BC1516">
        <v>0</v>
      </c>
      <c r="BD1516">
        <v>0</v>
      </c>
      <c r="BE1516">
        <v>0</v>
      </c>
      <c r="BF1516">
        <v>0</v>
      </c>
      <c r="BG1516">
        <v>0</v>
      </c>
      <c r="BH1516">
        <v>1</v>
      </c>
      <c r="BI1516">
        <v>7.7</v>
      </c>
      <c r="BJ1516">
        <v>8.5</v>
      </c>
      <c r="BK1516">
        <v>8.5</v>
      </c>
      <c r="BL1516" s="4">
        <v>100.82</v>
      </c>
      <c r="BM1516" s="4">
        <v>15.12</v>
      </c>
      <c r="BN1516" s="4">
        <v>115.94</v>
      </c>
      <c r="BO1516" s="4">
        <v>115.94</v>
      </c>
      <c r="BQ1516" t="s">
        <v>93</v>
      </c>
      <c r="BR1516" t="s">
        <v>84</v>
      </c>
      <c r="BS1516" s="3">
        <v>43822</v>
      </c>
      <c r="BT1516" s="5">
        <v>0.35902777777777778</v>
      </c>
      <c r="BU1516" t="s">
        <v>702</v>
      </c>
      <c r="BV1516" t="s">
        <v>86</v>
      </c>
      <c r="BY1516">
        <v>42296.31</v>
      </c>
      <c r="CA1516" t="s">
        <v>700</v>
      </c>
      <c r="CC1516" t="s">
        <v>333</v>
      </c>
      <c r="CD1516">
        <v>2094</v>
      </c>
      <c r="CE1516" t="s">
        <v>96</v>
      </c>
      <c r="CF1516" s="3">
        <v>43823</v>
      </c>
      <c r="CI1516">
        <v>1</v>
      </c>
      <c r="CJ1516">
        <v>1</v>
      </c>
      <c r="CK1516">
        <v>22</v>
      </c>
      <c r="CL1516" t="s">
        <v>89</v>
      </c>
    </row>
    <row r="1517" spans="1:90">
      <c r="A1517" t="s">
        <v>72</v>
      </c>
      <c r="B1517" t="s">
        <v>73</v>
      </c>
      <c r="C1517" t="s">
        <v>74</v>
      </c>
      <c r="E1517" t="str">
        <f>"FES1162729101"</f>
        <v>FES1162729101</v>
      </c>
      <c r="F1517" s="3">
        <v>43819</v>
      </c>
      <c r="G1517">
        <v>202006</v>
      </c>
      <c r="H1517" t="s">
        <v>75</v>
      </c>
      <c r="I1517" t="s">
        <v>76</v>
      </c>
      <c r="J1517" t="s">
        <v>77</v>
      </c>
      <c r="K1517" t="s">
        <v>78</v>
      </c>
      <c r="L1517" t="s">
        <v>138</v>
      </c>
      <c r="M1517" t="s">
        <v>139</v>
      </c>
      <c r="N1517" t="s">
        <v>146</v>
      </c>
      <c r="O1517" t="s">
        <v>82</v>
      </c>
      <c r="P1517" t="str">
        <f>"2170720547                    "</f>
        <v xml:space="preserve">2170720547                    </v>
      </c>
      <c r="Q1517">
        <v>0</v>
      </c>
      <c r="R1517">
        <v>0</v>
      </c>
      <c r="S1517">
        <v>0</v>
      </c>
      <c r="T1517">
        <v>0</v>
      </c>
      <c r="U1517">
        <v>0</v>
      </c>
      <c r="V1517">
        <v>0</v>
      </c>
      <c r="W1517">
        <v>0</v>
      </c>
      <c r="X1517">
        <v>0</v>
      </c>
      <c r="Y1517">
        <v>0</v>
      </c>
      <c r="Z1517">
        <v>0</v>
      </c>
      <c r="AA1517">
        <v>0</v>
      </c>
      <c r="AB1517">
        <v>0</v>
      </c>
      <c r="AC1517">
        <v>0</v>
      </c>
      <c r="AD1517">
        <v>0</v>
      </c>
      <c r="AE1517">
        <v>0</v>
      </c>
      <c r="AF1517">
        <v>0</v>
      </c>
      <c r="AG1517">
        <v>0</v>
      </c>
      <c r="AH1517">
        <v>0</v>
      </c>
      <c r="AI1517">
        <v>0</v>
      </c>
      <c r="AJ1517">
        <v>0</v>
      </c>
      <c r="AK1517">
        <v>0</v>
      </c>
      <c r="AL1517">
        <v>0</v>
      </c>
      <c r="AM1517">
        <v>6.71</v>
      </c>
      <c r="AN1517">
        <v>0</v>
      </c>
      <c r="AO1517">
        <v>0</v>
      </c>
      <c r="AP1517">
        <v>0</v>
      </c>
      <c r="AQ1517">
        <v>0</v>
      </c>
      <c r="AR1517">
        <v>0</v>
      </c>
      <c r="AS1517">
        <v>0</v>
      </c>
      <c r="AT1517">
        <v>0</v>
      </c>
      <c r="AU1517">
        <v>0</v>
      </c>
      <c r="AV1517">
        <v>0</v>
      </c>
      <c r="AW1517">
        <v>0</v>
      </c>
      <c r="AX1517">
        <v>0</v>
      </c>
      <c r="AY1517">
        <v>0</v>
      </c>
      <c r="AZ1517">
        <v>0</v>
      </c>
      <c r="BA1517">
        <v>0</v>
      </c>
      <c r="BB1517">
        <v>0</v>
      </c>
      <c r="BC1517">
        <v>0</v>
      </c>
      <c r="BD1517">
        <v>0</v>
      </c>
      <c r="BE1517">
        <v>0</v>
      </c>
      <c r="BF1517">
        <v>0</v>
      </c>
      <c r="BG1517">
        <v>0</v>
      </c>
      <c r="BH1517">
        <v>1</v>
      </c>
      <c r="BI1517">
        <v>1</v>
      </c>
      <c r="BJ1517">
        <v>0.2</v>
      </c>
      <c r="BK1517">
        <v>1</v>
      </c>
      <c r="BL1517" s="4">
        <v>39.42</v>
      </c>
      <c r="BM1517" s="4">
        <v>5.91</v>
      </c>
      <c r="BN1517" s="4">
        <v>45.33</v>
      </c>
      <c r="BO1517" s="4">
        <v>45.33</v>
      </c>
      <c r="BQ1517" t="s">
        <v>147</v>
      </c>
      <c r="BR1517" t="s">
        <v>84</v>
      </c>
      <c r="BS1517" s="3">
        <v>43822</v>
      </c>
      <c r="BT1517" s="5">
        <v>0.4513888888888889</v>
      </c>
      <c r="BU1517" t="s">
        <v>1964</v>
      </c>
      <c r="BV1517" t="s">
        <v>89</v>
      </c>
      <c r="BW1517" t="s">
        <v>228</v>
      </c>
      <c r="BX1517" t="s">
        <v>1097</v>
      </c>
      <c r="BY1517">
        <v>1200</v>
      </c>
      <c r="CC1517" t="s">
        <v>139</v>
      </c>
      <c r="CD1517">
        <v>1428</v>
      </c>
      <c r="CE1517" t="s">
        <v>88</v>
      </c>
      <c r="CF1517" s="3">
        <v>43823</v>
      </c>
      <c r="CI1517">
        <v>1</v>
      </c>
      <c r="CJ1517">
        <v>1</v>
      </c>
      <c r="CK1517">
        <v>22</v>
      </c>
      <c r="CL1517" t="s">
        <v>89</v>
      </c>
    </row>
    <row r="1518" spans="1:90">
      <c r="A1518" t="s">
        <v>72</v>
      </c>
      <c r="B1518" t="s">
        <v>73</v>
      </c>
      <c r="C1518" t="s">
        <v>74</v>
      </c>
      <c r="E1518" t="str">
        <f>"FES1162729260"</f>
        <v>FES1162729260</v>
      </c>
      <c r="F1518" s="3">
        <v>43819</v>
      </c>
      <c r="G1518">
        <v>202006</v>
      </c>
      <c r="H1518" t="s">
        <v>75</v>
      </c>
      <c r="I1518" t="s">
        <v>76</v>
      </c>
      <c r="J1518" t="s">
        <v>77</v>
      </c>
      <c r="K1518" t="s">
        <v>78</v>
      </c>
      <c r="L1518" t="s">
        <v>332</v>
      </c>
      <c r="M1518" t="s">
        <v>333</v>
      </c>
      <c r="N1518" t="s">
        <v>701</v>
      </c>
      <c r="O1518" t="s">
        <v>82</v>
      </c>
      <c r="P1518" t="str">
        <f>"2170722255                    "</f>
        <v xml:space="preserve">2170722255                    </v>
      </c>
      <c r="Q1518">
        <v>0</v>
      </c>
      <c r="R1518">
        <v>0</v>
      </c>
      <c r="S1518">
        <v>0</v>
      </c>
      <c r="T1518">
        <v>0</v>
      </c>
      <c r="U1518">
        <v>0</v>
      </c>
      <c r="V1518">
        <v>0</v>
      </c>
      <c r="W1518">
        <v>0</v>
      </c>
      <c r="X1518">
        <v>0</v>
      </c>
      <c r="Y1518">
        <v>0</v>
      </c>
      <c r="Z1518">
        <v>0</v>
      </c>
      <c r="AA1518">
        <v>0</v>
      </c>
      <c r="AB1518">
        <v>0</v>
      </c>
      <c r="AC1518">
        <v>0</v>
      </c>
      <c r="AD1518">
        <v>0</v>
      </c>
      <c r="AE1518">
        <v>0</v>
      </c>
      <c r="AF1518">
        <v>0</v>
      </c>
      <c r="AG1518">
        <v>0</v>
      </c>
      <c r="AH1518">
        <v>0</v>
      </c>
      <c r="AI1518">
        <v>0</v>
      </c>
      <c r="AJ1518">
        <v>0</v>
      </c>
      <c r="AK1518">
        <v>0</v>
      </c>
      <c r="AL1518">
        <v>0</v>
      </c>
      <c r="AM1518">
        <v>6.71</v>
      </c>
      <c r="AN1518">
        <v>0</v>
      </c>
      <c r="AO1518">
        <v>0</v>
      </c>
      <c r="AP1518">
        <v>0</v>
      </c>
      <c r="AQ1518">
        <v>0</v>
      </c>
      <c r="AR1518">
        <v>0</v>
      </c>
      <c r="AS1518">
        <v>0</v>
      </c>
      <c r="AT1518">
        <v>0</v>
      </c>
      <c r="AU1518">
        <v>0</v>
      </c>
      <c r="AV1518">
        <v>0</v>
      </c>
      <c r="AW1518">
        <v>0</v>
      </c>
      <c r="AX1518">
        <v>0</v>
      </c>
      <c r="AY1518">
        <v>0</v>
      </c>
      <c r="AZ1518">
        <v>0</v>
      </c>
      <c r="BA1518">
        <v>0</v>
      </c>
      <c r="BB1518">
        <v>0</v>
      </c>
      <c r="BC1518">
        <v>0</v>
      </c>
      <c r="BD1518">
        <v>0</v>
      </c>
      <c r="BE1518">
        <v>0</v>
      </c>
      <c r="BF1518">
        <v>0</v>
      </c>
      <c r="BG1518">
        <v>0</v>
      </c>
      <c r="BH1518">
        <v>1</v>
      </c>
      <c r="BI1518">
        <v>2</v>
      </c>
      <c r="BJ1518">
        <v>1.5</v>
      </c>
      <c r="BK1518">
        <v>2</v>
      </c>
      <c r="BL1518" s="4">
        <v>39.42</v>
      </c>
      <c r="BM1518" s="4">
        <v>5.91</v>
      </c>
      <c r="BN1518" s="4">
        <v>45.33</v>
      </c>
      <c r="BO1518" s="4">
        <v>45.33</v>
      </c>
      <c r="BQ1518" t="s">
        <v>93</v>
      </c>
      <c r="BR1518" t="s">
        <v>84</v>
      </c>
      <c r="BS1518" s="3">
        <v>43822</v>
      </c>
      <c r="BT1518" s="5">
        <v>0.3576388888888889</v>
      </c>
      <c r="BU1518" t="s">
        <v>1358</v>
      </c>
      <c r="BV1518" t="s">
        <v>86</v>
      </c>
      <c r="BY1518">
        <v>7344.79</v>
      </c>
      <c r="CA1518" t="s">
        <v>700</v>
      </c>
      <c r="CC1518" t="s">
        <v>333</v>
      </c>
      <c r="CD1518">
        <v>2094</v>
      </c>
      <c r="CE1518" t="s">
        <v>96</v>
      </c>
      <c r="CF1518" s="3">
        <v>43823</v>
      </c>
      <c r="CI1518">
        <v>1</v>
      </c>
      <c r="CJ1518">
        <v>1</v>
      </c>
      <c r="CK1518">
        <v>22</v>
      </c>
      <c r="CL1518" t="s">
        <v>89</v>
      </c>
    </row>
    <row r="1519" spans="1:90">
      <c r="A1519" t="s">
        <v>72</v>
      </c>
      <c r="B1519" t="s">
        <v>73</v>
      </c>
      <c r="C1519" t="s">
        <v>74</v>
      </c>
      <c r="E1519" t="str">
        <f>"FES1162729360"</f>
        <v>FES1162729360</v>
      </c>
      <c r="F1519" s="3">
        <v>43819</v>
      </c>
      <c r="G1519">
        <v>202006</v>
      </c>
      <c r="H1519" t="s">
        <v>75</v>
      </c>
      <c r="I1519" t="s">
        <v>76</v>
      </c>
      <c r="J1519" t="s">
        <v>77</v>
      </c>
      <c r="K1519" t="s">
        <v>78</v>
      </c>
      <c r="L1519" t="s">
        <v>75</v>
      </c>
      <c r="M1519" t="s">
        <v>76</v>
      </c>
      <c r="N1519" t="s">
        <v>1819</v>
      </c>
      <c r="O1519" t="s">
        <v>82</v>
      </c>
      <c r="P1519" t="str">
        <f>"2170722356                    "</f>
        <v xml:space="preserve">2170722356                    </v>
      </c>
      <c r="Q1519">
        <v>0</v>
      </c>
      <c r="R1519">
        <v>0</v>
      </c>
      <c r="S1519">
        <v>0</v>
      </c>
      <c r="T1519">
        <v>0</v>
      </c>
      <c r="U1519">
        <v>0</v>
      </c>
      <c r="V1519">
        <v>0</v>
      </c>
      <c r="W1519">
        <v>0</v>
      </c>
      <c r="X1519">
        <v>0</v>
      </c>
      <c r="Y1519">
        <v>0</v>
      </c>
      <c r="Z1519">
        <v>0</v>
      </c>
      <c r="AA1519">
        <v>0</v>
      </c>
      <c r="AB1519">
        <v>0</v>
      </c>
      <c r="AC1519">
        <v>0</v>
      </c>
      <c r="AD1519">
        <v>0</v>
      </c>
      <c r="AE1519">
        <v>0</v>
      </c>
      <c r="AF1519">
        <v>0</v>
      </c>
      <c r="AG1519">
        <v>0</v>
      </c>
      <c r="AH1519">
        <v>0</v>
      </c>
      <c r="AI1519">
        <v>0</v>
      </c>
      <c r="AJ1519">
        <v>0</v>
      </c>
      <c r="AK1519">
        <v>0</v>
      </c>
      <c r="AL1519">
        <v>0</v>
      </c>
      <c r="AM1519">
        <v>6.71</v>
      </c>
      <c r="AN1519">
        <v>0</v>
      </c>
      <c r="AO1519">
        <v>0</v>
      </c>
      <c r="AP1519">
        <v>0</v>
      </c>
      <c r="AQ1519">
        <v>0</v>
      </c>
      <c r="AR1519">
        <v>0</v>
      </c>
      <c r="AS1519">
        <v>0</v>
      </c>
      <c r="AT1519">
        <v>0</v>
      </c>
      <c r="AU1519">
        <v>0</v>
      </c>
      <c r="AV1519">
        <v>0</v>
      </c>
      <c r="AW1519">
        <v>0</v>
      </c>
      <c r="AX1519">
        <v>0</v>
      </c>
      <c r="AY1519">
        <v>0</v>
      </c>
      <c r="AZ1519">
        <v>0</v>
      </c>
      <c r="BA1519">
        <v>0</v>
      </c>
      <c r="BB1519">
        <v>0</v>
      </c>
      <c r="BC1519">
        <v>0</v>
      </c>
      <c r="BD1519">
        <v>0</v>
      </c>
      <c r="BE1519">
        <v>0</v>
      </c>
      <c r="BF1519">
        <v>0</v>
      </c>
      <c r="BG1519">
        <v>0</v>
      </c>
      <c r="BH1519">
        <v>1</v>
      </c>
      <c r="BI1519">
        <v>1</v>
      </c>
      <c r="BJ1519">
        <v>0.2</v>
      </c>
      <c r="BK1519">
        <v>1</v>
      </c>
      <c r="BL1519" s="4">
        <v>39.42</v>
      </c>
      <c r="BM1519" s="4">
        <v>5.91</v>
      </c>
      <c r="BN1519" s="4">
        <v>45.33</v>
      </c>
      <c r="BO1519" s="4">
        <v>45.33</v>
      </c>
      <c r="BR1519" t="s">
        <v>84</v>
      </c>
      <c r="BS1519" s="3">
        <v>43822</v>
      </c>
      <c r="BT1519" s="5">
        <v>0.39027777777777778</v>
      </c>
      <c r="BU1519" t="s">
        <v>1838</v>
      </c>
      <c r="BV1519" t="s">
        <v>86</v>
      </c>
      <c r="BY1519">
        <v>1200</v>
      </c>
      <c r="CA1519" t="s">
        <v>588</v>
      </c>
      <c r="CC1519" t="s">
        <v>76</v>
      </c>
      <c r="CD1519">
        <v>1624</v>
      </c>
      <c r="CE1519" t="s">
        <v>88</v>
      </c>
      <c r="CF1519" s="3">
        <v>43823</v>
      </c>
      <c r="CI1519">
        <v>1</v>
      </c>
      <c r="CJ1519">
        <v>1</v>
      </c>
      <c r="CK1519">
        <v>22</v>
      </c>
      <c r="CL1519" t="s">
        <v>89</v>
      </c>
    </row>
    <row r="1520" spans="1:90">
      <c r="A1520" t="s">
        <v>72</v>
      </c>
      <c r="B1520" t="s">
        <v>73</v>
      </c>
      <c r="C1520" t="s">
        <v>74</v>
      </c>
      <c r="E1520" t="str">
        <f>"FES1162728898"</f>
        <v>FES1162728898</v>
      </c>
      <c r="F1520" s="3">
        <v>43818</v>
      </c>
      <c r="G1520">
        <v>202006</v>
      </c>
      <c r="H1520" t="s">
        <v>75</v>
      </c>
      <c r="I1520" t="s">
        <v>76</v>
      </c>
      <c r="J1520" t="s">
        <v>77</v>
      </c>
      <c r="K1520" t="s">
        <v>78</v>
      </c>
      <c r="L1520" t="s">
        <v>75</v>
      </c>
      <c r="M1520" t="s">
        <v>76</v>
      </c>
      <c r="N1520" t="s">
        <v>305</v>
      </c>
      <c r="O1520" t="s">
        <v>82</v>
      </c>
      <c r="P1520" t="str">
        <f>"2170720118                    "</f>
        <v xml:space="preserve">2170720118                    </v>
      </c>
      <c r="Q1520">
        <v>0</v>
      </c>
      <c r="R1520">
        <v>0</v>
      </c>
      <c r="S1520">
        <v>0</v>
      </c>
      <c r="T1520">
        <v>0</v>
      </c>
      <c r="U1520">
        <v>0</v>
      </c>
      <c r="V1520">
        <v>0</v>
      </c>
      <c r="W1520">
        <v>0</v>
      </c>
      <c r="X1520">
        <v>0</v>
      </c>
      <c r="Y1520">
        <v>0</v>
      </c>
      <c r="Z1520">
        <v>0</v>
      </c>
      <c r="AA1520">
        <v>0</v>
      </c>
      <c r="AB1520">
        <v>0</v>
      </c>
      <c r="AC1520">
        <v>0</v>
      </c>
      <c r="AD1520">
        <v>0</v>
      </c>
      <c r="AE1520">
        <v>0</v>
      </c>
      <c r="AF1520">
        <v>0</v>
      </c>
      <c r="AG1520">
        <v>0</v>
      </c>
      <c r="AH1520">
        <v>0</v>
      </c>
      <c r="AI1520">
        <v>0</v>
      </c>
      <c r="AJ1520">
        <v>0</v>
      </c>
      <c r="AK1520">
        <v>0</v>
      </c>
      <c r="AL1520">
        <v>0</v>
      </c>
      <c r="AM1520">
        <v>6.71</v>
      </c>
      <c r="AN1520">
        <v>0</v>
      </c>
      <c r="AO1520">
        <v>0</v>
      </c>
      <c r="AP1520">
        <v>0</v>
      </c>
      <c r="AQ1520">
        <v>0</v>
      </c>
      <c r="AR1520">
        <v>0</v>
      </c>
      <c r="AS1520">
        <v>0</v>
      </c>
      <c r="AT1520">
        <v>0</v>
      </c>
      <c r="AU1520">
        <v>0</v>
      </c>
      <c r="AV1520">
        <v>0</v>
      </c>
      <c r="AW1520">
        <v>0</v>
      </c>
      <c r="AX1520">
        <v>0</v>
      </c>
      <c r="AY1520">
        <v>0</v>
      </c>
      <c r="AZ1520">
        <v>0</v>
      </c>
      <c r="BA1520">
        <v>0</v>
      </c>
      <c r="BB1520">
        <v>0</v>
      </c>
      <c r="BC1520">
        <v>0</v>
      </c>
      <c r="BD1520">
        <v>0</v>
      </c>
      <c r="BE1520">
        <v>0</v>
      </c>
      <c r="BF1520">
        <v>0</v>
      </c>
      <c r="BG1520">
        <v>0</v>
      </c>
      <c r="BH1520">
        <v>1</v>
      </c>
      <c r="BI1520">
        <v>1</v>
      </c>
      <c r="BJ1520">
        <v>0.2</v>
      </c>
      <c r="BK1520">
        <v>1</v>
      </c>
      <c r="BL1520" s="4">
        <v>39.42</v>
      </c>
      <c r="BM1520" s="4">
        <v>5.91</v>
      </c>
      <c r="BN1520" s="4">
        <v>45.33</v>
      </c>
      <c r="BO1520" s="4">
        <v>45.33</v>
      </c>
      <c r="BQ1520" t="s">
        <v>147</v>
      </c>
      <c r="BR1520" t="s">
        <v>84</v>
      </c>
      <c r="BS1520" s="3">
        <v>43819</v>
      </c>
      <c r="BT1520" s="5">
        <v>0.33611111111111108</v>
      </c>
      <c r="BU1520" t="s">
        <v>1954</v>
      </c>
      <c r="BV1520" t="s">
        <v>86</v>
      </c>
      <c r="BY1520">
        <v>1200</v>
      </c>
      <c r="CA1520" t="s">
        <v>307</v>
      </c>
      <c r="CC1520" t="s">
        <v>76</v>
      </c>
      <c r="CD1520">
        <v>1645</v>
      </c>
      <c r="CE1520" t="s">
        <v>88</v>
      </c>
      <c r="CF1520" s="3">
        <v>43822</v>
      </c>
      <c r="CI1520">
        <v>1</v>
      </c>
      <c r="CJ1520">
        <v>1</v>
      </c>
      <c r="CK1520">
        <v>22</v>
      </c>
      <c r="CL1520" t="s">
        <v>89</v>
      </c>
    </row>
    <row r="1521" spans="1:90">
      <c r="A1521" t="s">
        <v>72</v>
      </c>
      <c r="B1521" t="s">
        <v>73</v>
      </c>
      <c r="C1521" t="s">
        <v>74</v>
      </c>
      <c r="E1521" t="str">
        <f>"FES1162729032"</f>
        <v>FES1162729032</v>
      </c>
      <c r="F1521" s="3">
        <v>43818</v>
      </c>
      <c r="G1521">
        <v>202006</v>
      </c>
      <c r="H1521" t="s">
        <v>75</v>
      </c>
      <c r="I1521" t="s">
        <v>76</v>
      </c>
      <c r="J1521" t="s">
        <v>77</v>
      </c>
      <c r="K1521" t="s">
        <v>78</v>
      </c>
      <c r="L1521" t="s">
        <v>213</v>
      </c>
      <c r="M1521" t="s">
        <v>214</v>
      </c>
      <c r="N1521" t="s">
        <v>303</v>
      </c>
      <c r="O1521" t="s">
        <v>82</v>
      </c>
      <c r="P1521" t="str">
        <f>"2170718103                    "</f>
        <v xml:space="preserve">2170718103                    </v>
      </c>
      <c r="Q1521">
        <v>0</v>
      </c>
      <c r="R1521">
        <v>0</v>
      </c>
      <c r="S1521">
        <v>0</v>
      </c>
      <c r="T1521">
        <v>0</v>
      </c>
      <c r="U1521">
        <v>0</v>
      </c>
      <c r="V1521">
        <v>0</v>
      </c>
      <c r="W1521">
        <v>0</v>
      </c>
      <c r="X1521">
        <v>0</v>
      </c>
      <c r="Y1521">
        <v>0</v>
      </c>
      <c r="Z1521">
        <v>0</v>
      </c>
      <c r="AA1521">
        <v>0</v>
      </c>
      <c r="AB1521">
        <v>0</v>
      </c>
      <c r="AC1521">
        <v>0</v>
      </c>
      <c r="AD1521">
        <v>0</v>
      </c>
      <c r="AE1521">
        <v>0</v>
      </c>
      <c r="AF1521">
        <v>0</v>
      </c>
      <c r="AG1521">
        <v>0</v>
      </c>
      <c r="AH1521">
        <v>0</v>
      </c>
      <c r="AI1521">
        <v>0</v>
      </c>
      <c r="AJ1521">
        <v>0</v>
      </c>
      <c r="AK1521">
        <v>0</v>
      </c>
      <c r="AL1521">
        <v>0</v>
      </c>
      <c r="AM1521">
        <v>8.58</v>
      </c>
      <c r="AN1521">
        <v>0</v>
      </c>
      <c r="AO1521">
        <v>0</v>
      </c>
      <c r="AP1521">
        <v>0</v>
      </c>
      <c r="AQ1521">
        <v>0</v>
      </c>
      <c r="AR1521">
        <v>0</v>
      </c>
      <c r="AS1521">
        <v>0</v>
      </c>
      <c r="AT1521">
        <v>0</v>
      </c>
      <c r="AU1521">
        <v>0</v>
      </c>
      <c r="AV1521">
        <v>0</v>
      </c>
      <c r="AW1521">
        <v>0</v>
      </c>
      <c r="AX1521">
        <v>0</v>
      </c>
      <c r="AY1521">
        <v>0</v>
      </c>
      <c r="AZ1521">
        <v>0</v>
      </c>
      <c r="BA1521">
        <v>0</v>
      </c>
      <c r="BB1521">
        <v>0</v>
      </c>
      <c r="BC1521">
        <v>0</v>
      </c>
      <c r="BD1521">
        <v>0</v>
      </c>
      <c r="BE1521">
        <v>0</v>
      </c>
      <c r="BF1521">
        <v>0</v>
      </c>
      <c r="BG1521">
        <v>0</v>
      </c>
      <c r="BH1521">
        <v>1</v>
      </c>
      <c r="BI1521">
        <v>1</v>
      </c>
      <c r="BJ1521">
        <v>0.2</v>
      </c>
      <c r="BK1521">
        <v>1</v>
      </c>
      <c r="BL1521" s="4">
        <v>50.45</v>
      </c>
      <c r="BM1521" s="4">
        <v>7.57</v>
      </c>
      <c r="BN1521" s="4">
        <v>58.02</v>
      </c>
      <c r="BO1521" s="4">
        <v>58.02</v>
      </c>
      <c r="BQ1521" t="s">
        <v>147</v>
      </c>
      <c r="BR1521" t="s">
        <v>84</v>
      </c>
      <c r="BS1521" s="3">
        <v>43819</v>
      </c>
      <c r="BT1521" s="5">
        <v>0.34027777777777773</v>
      </c>
      <c r="BU1521" t="s">
        <v>1336</v>
      </c>
      <c r="BV1521" t="s">
        <v>86</v>
      </c>
      <c r="BY1521">
        <v>1200</v>
      </c>
      <c r="CA1521" t="s">
        <v>99</v>
      </c>
      <c r="CC1521" t="s">
        <v>214</v>
      </c>
      <c r="CD1521">
        <v>6230</v>
      </c>
      <c r="CE1521" t="s">
        <v>88</v>
      </c>
      <c r="CF1521" s="3">
        <v>43822</v>
      </c>
      <c r="CI1521">
        <v>1</v>
      </c>
      <c r="CJ1521">
        <v>1</v>
      </c>
      <c r="CK1521">
        <v>21</v>
      </c>
      <c r="CL1521" t="s">
        <v>89</v>
      </c>
    </row>
    <row r="1522" spans="1:90">
      <c r="A1522" t="s">
        <v>72</v>
      </c>
      <c r="B1522" t="s">
        <v>73</v>
      </c>
      <c r="C1522" t="s">
        <v>74</v>
      </c>
      <c r="E1522" t="str">
        <f>"FES1162729057"</f>
        <v>FES1162729057</v>
      </c>
      <c r="F1522" s="3">
        <v>43818</v>
      </c>
      <c r="G1522">
        <v>202006</v>
      </c>
      <c r="H1522" t="s">
        <v>75</v>
      </c>
      <c r="I1522" t="s">
        <v>76</v>
      </c>
      <c r="J1522" t="s">
        <v>77</v>
      </c>
      <c r="K1522" t="s">
        <v>78</v>
      </c>
      <c r="L1522" t="s">
        <v>221</v>
      </c>
      <c r="M1522" t="s">
        <v>222</v>
      </c>
      <c r="N1522" t="s">
        <v>473</v>
      </c>
      <c r="O1522" t="s">
        <v>82</v>
      </c>
      <c r="P1522" t="str">
        <f>"2170720216                    "</f>
        <v xml:space="preserve">2170720216                    </v>
      </c>
      <c r="Q1522">
        <v>0</v>
      </c>
      <c r="R1522">
        <v>0</v>
      </c>
      <c r="S1522">
        <v>0</v>
      </c>
      <c r="T1522">
        <v>0</v>
      </c>
      <c r="U1522">
        <v>0</v>
      </c>
      <c r="V1522">
        <v>0</v>
      </c>
      <c r="W1522">
        <v>0</v>
      </c>
      <c r="X1522">
        <v>0</v>
      </c>
      <c r="Y1522">
        <v>0</v>
      </c>
      <c r="Z1522">
        <v>0</v>
      </c>
      <c r="AA1522">
        <v>0</v>
      </c>
      <c r="AB1522">
        <v>0</v>
      </c>
      <c r="AC1522">
        <v>0</v>
      </c>
      <c r="AD1522">
        <v>0</v>
      </c>
      <c r="AE1522">
        <v>0</v>
      </c>
      <c r="AF1522">
        <v>0</v>
      </c>
      <c r="AG1522">
        <v>0</v>
      </c>
      <c r="AH1522">
        <v>0</v>
      </c>
      <c r="AI1522">
        <v>0</v>
      </c>
      <c r="AJ1522">
        <v>0</v>
      </c>
      <c r="AK1522">
        <v>0</v>
      </c>
      <c r="AL1522">
        <v>0</v>
      </c>
      <c r="AM1522">
        <v>8.58</v>
      </c>
      <c r="AN1522">
        <v>0</v>
      </c>
      <c r="AO1522">
        <v>0</v>
      </c>
      <c r="AP1522">
        <v>0</v>
      </c>
      <c r="AQ1522">
        <v>0</v>
      </c>
      <c r="AR1522">
        <v>0</v>
      </c>
      <c r="AS1522">
        <v>0</v>
      </c>
      <c r="AT1522">
        <v>0</v>
      </c>
      <c r="AU1522">
        <v>0</v>
      </c>
      <c r="AV1522">
        <v>0</v>
      </c>
      <c r="AW1522">
        <v>0</v>
      </c>
      <c r="AX1522">
        <v>0</v>
      </c>
      <c r="AY1522">
        <v>0</v>
      </c>
      <c r="AZ1522">
        <v>0</v>
      </c>
      <c r="BA1522">
        <v>0</v>
      </c>
      <c r="BB1522">
        <v>0</v>
      </c>
      <c r="BC1522">
        <v>0</v>
      </c>
      <c r="BD1522">
        <v>0</v>
      </c>
      <c r="BE1522">
        <v>0</v>
      </c>
      <c r="BF1522">
        <v>0</v>
      </c>
      <c r="BG1522">
        <v>0</v>
      </c>
      <c r="BH1522">
        <v>1</v>
      </c>
      <c r="BI1522">
        <v>1</v>
      </c>
      <c r="BJ1522">
        <v>0.2</v>
      </c>
      <c r="BK1522">
        <v>1</v>
      </c>
      <c r="BL1522" s="4">
        <v>50.45</v>
      </c>
      <c r="BM1522" s="4">
        <v>7.57</v>
      </c>
      <c r="BN1522" s="4">
        <v>58.02</v>
      </c>
      <c r="BO1522" s="4">
        <v>58.02</v>
      </c>
      <c r="BQ1522" t="s">
        <v>147</v>
      </c>
      <c r="BR1522" t="s">
        <v>84</v>
      </c>
      <c r="BS1522" s="3">
        <v>43819</v>
      </c>
      <c r="BT1522" s="5">
        <v>0.39930555555555558</v>
      </c>
      <c r="BU1522" t="s">
        <v>1107</v>
      </c>
      <c r="BV1522" t="s">
        <v>86</v>
      </c>
      <c r="BY1522">
        <v>1200</v>
      </c>
      <c r="CA1522" t="s">
        <v>1488</v>
      </c>
      <c r="CC1522" t="s">
        <v>222</v>
      </c>
      <c r="CD1522">
        <v>3201</v>
      </c>
      <c r="CE1522" t="s">
        <v>88</v>
      </c>
      <c r="CF1522" s="3">
        <v>43822</v>
      </c>
      <c r="CI1522">
        <v>1</v>
      </c>
      <c r="CJ1522">
        <v>1</v>
      </c>
      <c r="CK1522">
        <v>21</v>
      </c>
      <c r="CL1522" t="s">
        <v>89</v>
      </c>
    </row>
    <row r="1523" spans="1:90">
      <c r="A1523" t="s">
        <v>72</v>
      </c>
      <c r="B1523" t="s">
        <v>73</v>
      </c>
      <c r="C1523" t="s">
        <v>74</v>
      </c>
      <c r="E1523" t="str">
        <f>"FES1162728789"</f>
        <v>FES1162728789</v>
      </c>
      <c r="F1523" s="3">
        <v>43819</v>
      </c>
      <c r="G1523">
        <v>202006</v>
      </c>
      <c r="H1523" t="s">
        <v>75</v>
      </c>
      <c r="I1523" t="s">
        <v>76</v>
      </c>
      <c r="J1523" t="s">
        <v>77</v>
      </c>
      <c r="K1523" t="s">
        <v>78</v>
      </c>
      <c r="L1523" t="s">
        <v>75</v>
      </c>
      <c r="M1523" t="s">
        <v>76</v>
      </c>
      <c r="N1523" t="s">
        <v>305</v>
      </c>
      <c r="O1523" t="s">
        <v>82</v>
      </c>
      <c r="P1523" t="str">
        <f>"2170718823                    "</f>
        <v xml:space="preserve">2170718823                    </v>
      </c>
      <c r="Q1523">
        <v>0</v>
      </c>
      <c r="R1523">
        <v>0</v>
      </c>
      <c r="S1523">
        <v>0</v>
      </c>
      <c r="T1523">
        <v>0</v>
      </c>
      <c r="U1523">
        <v>0</v>
      </c>
      <c r="V1523">
        <v>0</v>
      </c>
      <c r="W1523">
        <v>0</v>
      </c>
      <c r="X1523">
        <v>0</v>
      </c>
      <c r="Y1523">
        <v>0</v>
      </c>
      <c r="Z1523">
        <v>0</v>
      </c>
      <c r="AA1523">
        <v>0</v>
      </c>
      <c r="AB1523">
        <v>0</v>
      </c>
      <c r="AC1523">
        <v>0</v>
      </c>
      <c r="AD1523">
        <v>0</v>
      </c>
      <c r="AE1523">
        <v>0</v>
      </c>
      <c r="AF1523">
        <v>0</v>
      </c>
      <c r="AG1523">
        <v>0</v>
      </c>
      <c r="AH1523">
        <v>0</v>
      </c>
      <c r="AI1523">
        <v>0</v>
      </c>
      <c r="AJ1523">
        <v>0</v>
      </c>
      <c r="AK1523">
        <v>0</v>
      </c>
      <c r="AL1523">
        <v>0</v>
      </c>
      <c r="AM1523">
        <v>6.71</v>
      </c>
      <c r="AN1523">
        <v>0</v>
      </c>
      <c r="AO1523">
        <v>0</v>
      </c>
      <c r="AP1523">
        <v>0</v>
      </c>
      <c r="AQ1523">
        <v>0</v>
      </c>
      <c r="AR1523">
        <v>0</v>
      </c>
      <c r="AS1523">
        <v>0</v>
      </c>
      <c r="AT1523">
        <v>0</v>
      </c>
      <c r="AU1523">
        <v>0</v>
      </c>
      <c r="AV1523">
        <v>0</v>
      </c>
      <c r="AW1523">
        <v>0</v>
      </c>
      <c r="AX1523">
        <v>0</v>
      </c>
      <c r="AY1523">
        <v>0</v>
      </c>
      <c r="AZ1523">
        <v>0</v>
      </c>
      <c r="BA1523">
        <v>0</v>
      </c>
      <c r="BB1523">
        <v>0</v>
      </c>
      <c r="BC1523">
        <v>0</v>
      </c>
      <c r="BD1523">
        <v>0</v>
      </c>
      <c r="BE1523">
        <v>0</v>
      </c>
      <c r="BF1523">
        <v>0</v>
      </c>
      <c r="BG1523">
        <v>0</v>
      </c>
      <c r="BH1523">
        <v>1</v>
      </c>
      <c r="BI1523">
        <v>1.7</v>
      </c>
      <c r="BJ1523">
        <v>1.5</v>
      </c>
      <c r="BK1523">
        <v>2</v>
      </c>
      <c r="BL1523" s="4">
        <v>39.42</v>
      </c>
      <c r="BM1523" s="4">
        <v>5.91</v>
      </c>
      <c r="BN1523" s="4">
        <v>45.33</v>
      </c>
      <c r="BO1523" s="4">
        <v>45.33</v>
      </c>
      <c r="BQ1523" t="s">
        <v>147</v>
      </c>
      <c r="BR1523" t="s">
        <v>84</v>
      </c>
      <c r="BS1523" t="s">
        <v>717</v>
      </c>
      <c r="BY1523">
        <v>7378.68</v>
      </c>
      <c r="CC1523" t="s">
        <v>76</v>
      </c>
      <c r="CD1523">
        <v>1645</v>
      </c>
      <c r="CE1523" t="s">
        <v>116</v>
      </c>
      <c r="CI1523">
        <v>1</v>
      </c>
      <c r="CJ1523" t="s">
        <v>717</v>
      </c>
      <c r="CK1523">
        <v>22</v>
      </c>
      <c r="CL1523" t="s">
        <v>89</v>
      </c>
    </row>
    <row r="1524" spans="1:90">
      <c r="A1524" t="s">
        <v>72</v>
      </c>
      <c r="B1524" t="s">
        <v>73</v>
      </c>
      <c r="C1524" t="s">
        <v>74</v>
      </c>
      <c r="E1524" t="str">
        <f>"FES1162729312"</f>
        <v>FES1162729312</v>
      </c>
      <c r="F1524" s="3">
        <v>43819</v>
      </c>
      <c r="G1524">
        <v>202006</v>
      </c>
      <c r="H1524" t="s">
        <v>75</v>
      </c>
      <c r="I1524" t="s">
        <v>76</v>
      </c>
      <c r="J1524" t="s">
        <v>77</v>
      </c>
      <c r="K1524" t="s">
        <v>78</v>
      </c>
      <c r="L1524" t="s">
        <v>90</v>
      </c>
      <c r="M1524" t="s">
        <v>91</v>
      </c>
      <c r="N1524" t="s">
        <v>543</v>
      </c>
      <c r="O1524" t="s">
        <v>82</v>
      </c>
      <c r="P1524" t="str">
        <f>"217072296                     "</f>
        <v xml:space="preserve">217072296                     </v>
      </c>
      <c r="Q1524">
        <v>0</v>
      </c>
      <c r="R1524">
        <v>0</v>
      </c>
      <c r="S1524">
        <v>0</v>
      </c>
      <c r="T1524">
        <v>0</v>
      </c>
      <c r="U1524">
        <v>0</v>
      </c>
      <c r="V1524">
        <v>0</v>
      </c>
      <c r="W1524">
        <v>0</v>
      </c>
      <c r="X1524">
        <v>0</v>
      </c>
      <c r="Y1524">
        <v>0</v>
      </c>
      <c r="Z1524">
        <v>0</v>
      </c>
      <c r="AA1524">
        <v>0</v>
      </c>
      <c r="AB1524">
        <v>0</v>
      </c>
      <c r="AC1524">
        <v>0</v>
      </c>
      <c r="AD1524">
        <v>0</v>
      </c>
      <c r="AE1524">
        <v>0</v>
      </c>
      <c r="AF1524">
        <v>0</v>
      </c>
      <c r="AG1524">
        <v>0</v>
      </c>
      <c r="AH1524">
        <v>0</v>
      </c>
      <c r="AI1524">
        <v>0</v>
      </c>
      <c r="AJ1524">
        <v>0</v>
      </c>
      <c r="AK1524">
        <v>0</v>
      </c>
      <c r="AL1524">
        <v>0</v>
      </c>
      <c r="AM1524">
        <v>8.58</v>
      </c>
      <c r="AN1524">
        <v>0</v>
      </c>
      <c r="AO1524">
        <v>0</v>
      </c>
      <c r="AP1524">
        <v>0</v>
      </c>
      <c r="AQ1524">
        <v>0</v>
      </c>
      <c r="AR1524">
        <v>0</v>
      </c>
      <c r="AS1524">
        <v>0</v>
      </c>
      <c r="AT1524">
        <v>0</v>
      </c>
      <c r="AU1524">
        <v>0</v>
      </c>
      <c r="AV1524">
        <v>0</v>
      </c>
      <c r="AW1524">
        <v>0</v>
      </c>
      <c r="AX1524">
        <v>0</v>
      </c>
      <c r="AY1524">
        <v>0</v>
      </c>
      <c r="AZ1524">
        <v>0</v>
      </c>
      <c r="BA1524">
        <v>0</v>
      </c>
      <c r="BB1524">
        <v>0</v>
      </c>
      <c r="BC1524">
        <v>0</v>
      </c>
      <c r="BD1524">
        <v>0</v>
      </c>
      <c r="BE1524">
        <v>0</v>
      </c>
      <c r="BF1524">
        <v>0</v>
      </c>
      <c r="BG1524">
        <v>0</v>
      </c>
      <c r="BH1524">
        <v>1</v>
      </c>
      <c r="BI1524">
        <v>1</v>
      </c>
      <c r="BJ1524">
        <v>0.2</v>
      </c>
      <c r="BK1524">
        <v>1</v>
      </c>
      <c r="BL1524" s="4">
        <v>50.45</v>
      </c>
      <c r="BM1524" s="4">
        <v>7.57</v>
      </c>
      <c r="BN1524" s="4">
        <v>58.02</v>
      </c>
      <c r="BO1524" s="4">
        <v>58.02</v>
      </c>
      <c r="BQ1524" t="s">
        <v>93</v>
      </c>
      <c r="BR1524" t="s">
        <v>84</v>
      </c>
      <c r="BS1524" t="s">
        <v>717</v>
      </c>
      <c r="BY1524">
        <v>1200</v>
      </c>
      <c r="CC1524" t="s">
        <v>91</v>
      </c>
      <c r="CD1524">
        <v>8001</v>
      </c>
      <c r="CE1524" t="s">
        <v>88</v>
      </c>
      <c r="CI1524">
        <v>1</v>
      </c>
      <c r="CJ1524" t="s">
        <v>717</v>
      </c>
      <c r="CK1524">
        <v>21</v>
      </c>
      <c r="CL1524" t="s">
        <v>89</v>
      </c>
    </row>
    <row r="1525" spans="1:90">
      <c r="A1525" t="s">
        <v>72</v>
      </c>
      <c r="B1525" t="s">
        <v>73</v>
      </c>
      <c r="C1525" t="s">
        <v>74</v>
      </c>
      <c r="E1525" t="str">
        <f>"FES1162728754"</f>
        <v>FES1162728754</v>
      </c>
      <c r="F1525" s="3">
        <v>43816</v>
      </c>
      <c r="G1525">
        <v>202006</v>
      </c>
      <c r="H1525" t="s">
        <v>75</v>
      </c>
      <c r="I1525" t="s">
        <v>76</v>
      </c>
      <c r="J1525" t="s">
        <v>77</v>
      </c>
      <c r="K1525" t="s">
        <v>78</v>
      </c>
      <c r="L1525" t="s">
        <v>201</v>
      </c>
      <c r="M1525" t="s">
        <v>202</v>
      </c>
      <c r="N1525" t="s">
        <v>1965</v>
      </c>
      <c r="O1525" t="s">
        <v>82</v>
      </c>
      <c r="P1525" t="str">
        <f>"2170721946                    "</f>
        <v xml:space="preserve">2170721946                    </v>
      </c>
      <c r="Q1525">
        <v>0</v>
      </c>
      <c r="R1525">
        <v>0</v>
      </c>
      <c r="S1525">
        <v>0</v>
      </c>
      <c r="T1525">
        <v>0</v>
      </c>
      <c r="U1525">
        <v>0</v>
      </c>
      <c r="V1525">
        <v>0</v>
      </c>
      <c r="W1525">
        <v>0</v>
      </c>
      <c r="X1525">
        <v>0</v>
      </c>
      <c r="Y1525">
        <v>0</v>
      </c>
      <c r="Z1525">
        <v>0</v>
      </c>
      <c r="AA1525">
        <v>0</v>
      </c>
      <c r="AB1525">
        <v>0</v>
      </c>
      <c r="AC1525">
        <v>0</v>
      </c>
      <c r="AD1525">
        <v>0</v>
      </c>
      <c r="AE1525">
        <v>0</v>
      </c>
      <c r="AF1525">
        <v>0</v>
      </c>
      <c r="AG1525">
        <v>0</v>
      </c>
      <c r="AH1525">
        <v>0</v>
      </c>
      <c r="AI1525">
        <v>0</v>
      </c>
      <c r="AJ1525">
        <v>0</v>
      </c>
      <c r="AK1525">
        <v>0</v>
      </c>
      <c r="AL1525">
        <v>0</v>
      </c>
      <c r="AM1525">
        <v>8.58</v>
      </c>
      <c r="AN1525">
        <v>0</v>
      </c>
      <c r="AO1525">
        <v>0</v>
      </c>
      <c r="AP1525">
        <v>0</v>
      </c>
      <c r="AQ1525">
        <v>0</v>
      </c>
      <c r="AR1525">
        <v>0</v>
      </c>
      <c r="AS1525">
        <v>0</v>
      </c>
      <c r="AT1525">
        <v>0</v>
      </c>
      <c r="AU1525">
        <v>0</v>
      </c>
      <c r="AV1525">
        <v>0</v>
      </c>
      <c r="AW1525">
        <v>0</v>
      </c>
      <c r="AX1525">
        <v>0</v>
      </c>
      <c r="AY1525">
        <v>0</v>
      </c>
      <c r="AZ1525">
        <v>0</v>
      </c>
      <c r="BA1525">
        <v>0</v>
      </c>
      <c r="BB1525">
        <v>0</v>
      </c>
      <c r="BC1525">
        <v>0</v>
      </c>
      <c r="BD1525">
        <v>0</v>
      </c>
      <c r="BE1525">
        <v>0</v>
      </c>
      <c r="BF1525">
        <v>0</v>
      </c>
      <c r="BG1525">
        <v>0</v>
      </c>
      <c r="BH1525">
        <v>1</v>
      </c>
      <c r="BI1525">
        <v>1</v>
      </c>
      <c r="BJ1525">
        <v>0.2</v>
      </c>
      <c r="BK1525">
        <v>1</v>
      </c>
      <c r="BL1525" s="4">
        <v>50.45</v>
      </c>
      <c r="BM1525" s="4">
        <v>7.57</v>
      </c>
      <c r="BN1525" s="4">
        <v>58.02</v>
      </c>
      <c r="BO1525" s="4">
        <v>58.02</v>
      </c>
      <c r="BQ1525" t="s">
        <v>1966</v>
      </c>
      <c r="BR1525" t="s">
        <v>84</v>
      </c>
      <c r="BS1525" s="3">
        <v>43817</v>
      </c>
      <c r="BT1525" s="5">
        <v>0.41180555555555554</v>
      </c>
      <c r="BU1525" t="s">
        <v>336</v>
      </c>
      <c r="BV1525" t="s">
        <v>86</v>
      </c>
      <c r="BY1525">
        <v>1200</v>
      </c>
      <c r="CA1525" t="s">
        <v>288</v>
      </c>
      <c r="CC1525" t="s">
        <v>202</v>
      </c>
      <c r="CD1525">
        <v>3610</v>
      </c>
      <c r="CE1525" t="s">
        <v>88</v>
      </c>
      <c r="CF1525" s="3">
        <v>43818</v>
      </c>
      <c r="CI1525">
        <v>1</v>
      </c>
      <c r="CJ1525">
        <v>1</v>
      </c>
      <c r="CK1525">
        <v>21</v>
      </c>
      <c r="CL1525" t="s">
        <v>89</v>
      </c>
    </row>
    <row r="1526" spans="1:90">
      <c r="A1526" t="s">
        <v>72</v>
      </c>
      <c r="B1526" t="s">
        <v>73</v>
      </c>
      <c r="C1526" t="s">
        <v>74</v>
      </c>
      <c r="E1526" t="str">
        <f>"FES1162728736"</f>
        <v>FES1162728736</v>
      </c>
      <c r="F1526" s="3">
        <v>43816</v>
      </c>
      <c r="G1526">
        <v>202006</v>
      </c>
      <c r="H1526" t="s">
        <v>75</v>
      </c>
      <c r="I1526" t="s">
        <v>76</v>
      </c>
      <c r="J1526" t="s">
        <v>77</v>
      </c>
      <c r="K1526" t="s">
        <v>78</v>
      </c>
      <c r="L1526" t="s">
        <v>198</v>
      </c>
      <c r="M1526" t="s">
        <v>199</v>
      </c>
      <c r="N1526" t="s">
        <v>1837</v>
      </c>
      <c r="O1526" t="s">
        <v>82</v>
      </c>
      <c r="P1526" t="str">
        <f>"2170719124                    "</f>
        <v xml:space="preserve">2170719124                    </v>
      </c>
      <c r="Q1526">
        <v>0</v>
      </c>
      <c r="R1526">
        <v>0</v>
      </c>
      <c r="S1526">
        <v>0</v>
      </c>
      <c r="T1526">
        <v>0</v>
      </c>
      <c r="U1526">
        <v>0</v>
      </c>
      <c r="V1526">
        <v>0</v>
      </c>
      <c r="W1526">
        <v>0</v>
      </c>
      <c r="X1526">
        <v>0</v>
      </c>
      <c r="Y1526">
        <v>0</v>
      </c>
      <c r="Z1526">
        <v>0</v>
      </c>
      <c r="AA1526">
        <v>0</v>
      </c>
      <c r="AB1526">
        <v>0</v>
      </c>
      <c r="AC1526">
        <v>0</v>
      </c>
      <c r="AD1526">
        <v>0</v>
      </c>
      <c r="AE1526">
        <v>0</v>
      </c>
      <c r="AF1526">
        <v>0</v>
      </c>
      <c r="AG1526">
        <v>0</v>
      </c>
      <c r="AH1526">
        <v>0</v>
      </c>
      <c r="AI1526">
        <v>0</v>
      </c>
      <c r="AJ1526">
        <v>0</v>
      </c>
      <c r="AK1526">
        <v>0</v>
      </c>
      <c r="AL1526">
        <v>0</v>
      </c>
      <c r="AM1526">
        <v>8.58</v>
      </c>
      <c r="AN1526">
        <v>0</v>
      </c>
      <c r="AO1526">
        <v>0</v>
      </c>
      <c r="AP1526">
        <v>0</v>
      </c>
      <c r="AQ1526">
        <v>0</v>
      </c>
      <c r="AR1526">
        <v>0</v>
      </c>
      <c r="AS1526">
        <v>0</v>
      </c>
      <c r="AT1526">
        <v>0</v>
      </c>
      <c r="AU1526">
        <v>0</v>
      </c>
      <c r="AV1526">
        <v>0</v>
      </c>
      <c r="AW1526">
        <v>0</v>
      </c>
      <c r="AX1526">
        <v>0</v>
      </c>
      <c r="AY1526">
        <v>0</v>
      </c>
      <c r="AZ1526">
        <v>0</v>
      </c>
      <c r="BA1526">
        <v>0</v>
      </c>
      <c r="BB1526">
        <v>0</v>
      </c>
      <c r="BC1526">
        <v>0</v>
      </c>
      <c r="BD1526">
        <v>0</v>
      </c>
      <c r="BE1526">
        <v>0</v>
      </c>
      <c r="BF1526">
        <v>0</v>
      </c>
      <c r="BG1526">
        <v>0</v>
      </c>
      <c r="BH1526">
        <v>1</v>
      </c>
      <c r="BI1526">
        <v>1</v>
      </c>
      <c r="BJ1526">
        <v>0.2</v>
      </c>
      <c r="BK1526">
        <v>1</v>
      </c>
      <c r="BL1526" s="4">
        <v>50.45</v>
      </c>
      <c r="BM1526" s="4">
        <v>7.57</v>
      </c>
      <c r="BN1526" s="4">
        <v>58.02</v>
      </c>
      <c r="BO1526" s="4">
        <v>58.02</v>
      </c>
      <c r="BQ1526" t="s">
        <v>277</v>
      </c>
      <c r="BR1526" t="s">
        <v>84</v>
      </c>
      <c r="BS1526" s="3">
        <v>43817</v>
      </c>
      <c r="BT1526" s="5">
        <v>0.41597222222222219</v>
      </c>
      <c r="BU1526" t="s">
        <v>1967</v>
      </c>
      <c r="BV1526" t="s">
        <v>86</v>
      </c>
      <c r="BY1526">
        <v>1200</v>
      </c>
      <c r="CA1526" t="s">
        <v>1209</v>
      </c>
      <c r="CC1526" t="s">
        <v>199</v>
      </c>
      <c r="CD1526">
        <v>4072</v>
      </c>
      <c r="CE1526" t="s">
        <v>88</v>
      </c>
      <c r="CF1526" s="3">
        <v>43818</v>
      </c>
      <c r="CI1526">
        <v>1</v>
      </c>
      <c r="CJ1526">
        <v>1</v>
      </c>
      <c r="CK1526">
        <v>21</v>
      </c>
      <c r="CL1526" t="s">
        <v>89</v>
      </c>
    </row>
    <row r="1527" spans="1:90">
      <c r="A1527" t="s">
        <v>72</v>
      </c>
      <c r="B1527" t="s">
        <v>73</v>
      </c>
      <c r="C1527" t="s">
        <v>74</v>
      </c>
      <c r="E1527" t="str">
        <f>"FES1162728600"</f>
        <v>FES1162728600</v>
      </c>
      <c r="F1527" s="3">
        <v>43816</v>
      </c>
      <c r="G1527">
        <v>202006</v>
      </c>
      <c r="H1527" t="s">
        <v>75</v>
      </c>
      <c r="I1527" t="s">
        <v>76</v>
      </c>
      <c r="J1527" t="s">
        <v>77</v>
      </c>
      <c r="K1527" t="s">
        <v>78</v>
      </c>
      <c r="L1527" t="s">
        <v>79</v>
      </c>
      <c r="M1527" t="s">
        <v>80</v>
      </c>
      <c r="N1527" t="s">
        <v>420</v>
      </c>
      <c r="O1527" t="s">
        <v>82</v>
      </c>
      <c r="P1527" t="str">
        <f>"217071814                     "</f>
        <v xml:space="preserve">217071814                     </v>
      </c>
      <c r="Q1527">
        <v>0</v>
      </c>
      <c r="R1527">
        <v>0</v>
      </c>
      <c r="S1527">
        <v>0</v>
      </c>
      <c r="T1527">
        <v>0</v>
      </c>
      <c r="U1527">
        <v>0</v>
      </c>
      <c r="V1527">
        <v>0</v>
      </c>
      <c r="W1527">
        <v>0</v>
      </c>
      <c r="X1527">
        <v>0</v>
      </c>
      <c r="Y1527">
        <v>0</v>
      </c>
      <c r="Z1527">
        <v>0</v>
      </c>
      <c r="AA1527">
        <v>0</v>
      </c>
      <c r="AB1527">
        <v>0</v>
      </c>
      <c r="AC1527">
        <v>0</v>
      </c>
      <c r="AD1527">
        <v>0</v>
      </c>
      <c r="AE1527">
        <v>0</v>
      </c>
      <c r="AF1527">
        <v>0</v>
      </c>
      <c r="AG1527">
        <v>0</v>
      </c>
      <c r="AH1527">
        <v>0</v>
      </c>
      <c r="AI1527">
        <v>0</v>
      </c>
      <c r="AJ1527">
        <v>0</v>
      </c>
      <c r="AK1527">
        <v>0</v>
      </c>
      <c r="AL1527">
        <v>0</v>
      </c>
      <c r="AM1527">
        <v>27.88</v>
      </c>
      <c r="AN1527">
        <v>0</v>
      </c>
      <c r="AO1527">
        <v>0</v>
      </c>
      <c r="AP1527">
        <v>0</v>
      </c>
      <c r="AQ1527">
        <v>0</v>
      </c>
      <c r="AR1527">
        <v>0</v>
      </c>
      <c r="AS1527">
        <v>0</v>
      </c>
      <c r="AT1527">
        <v>0</v>
      </c>
      <c r="AU1527">
        <v>0</v>
      </c>
      <c r="AV1527">
        <v>0</v>
      </c>
      <c r="AW1527">
        <v>0</v>
      </c>
      <c r="AX1527">
        <v>0</v>
      </c>
      <c r="AY1527">
        <v>0</v>
      </c>
      <c r="AZ1527">
        <v>0</v>
      </c>
      <c r="BA1527">
        <v>0</v>
      </c>
      <c r="BB1527">
        <v>0</v>
      </c>
      <c r="BC1527">
        <v>0</v>
      </c>
      <c r="BD1527">
        <v>0</v>
      </c>
      <c r="BE1527">
        <v>0</v>
      </c>
      <c r="BF1527">
        <v>0</v>
      </c>
      <c r="BG1527">
        <v>0</v>
      </c>
      <c r="BH1527">
        <v>1</v>
      </c>
      <c r="BI1527">
        <v>6.4</v>
      </c>
      <c r="BJ1527">
        <v>1.9</v>
      </c>
      <c r="BK1527">
        <v>6.5</v>
      </c>
      <c r="BL1527" s="4">
        <v>163.89</v>
      </c>
      <c r="BM1527" s="4">
        <v>24.58</v>
      </c>
      <c r="BN1527" s="4">
        <v>188.47</v>
      </c>
      <c r="BO1527" s="4">
        <v>188.47</v>
      </c>
      <c r="BQ1527" t="s">
        <v>147</v>
      </c>
      <c r="BR1527" t="s">
        <v>84</v>
      </c>
      <c r="BS1527" s="3">
        <v>43817</v>
      </c>
      <c r="BT1527" s="5">
        <v>0.3576388888888889</v>
      </c>
      <c r="BU1527" t="s">
        <v>1968</v>
      </c>
      <c r="BV1527" t="s">
        <v>86</v>
      </c>
      <c r="BY1527">
        <v>9466.56</v>
      </c>
      <c r="CA1527" t="s">
        <v>185</v>
      </c>
      <c r="CC1527" t="s">
        <v>80</v>
      </c>
      <c r="CD1527">
        <v>6001</v>
      </c>
      <c r="CE1527" t="s">
        <v>96</v>
      </c>
      <c r="CF1527" s="3">
        <v>43818</v>
      </c>
      <c r="CI1527">
        <v>1</v>
      </c>
      <c r="CJ1527">
        <v>1</v>
      </c>
      <c r="CK1527">
        <v>21</v>
      </c>
      <c r="CL1527" t="s">
        <v>89</v>
      </c>
    </row>
    <row r="1528" spans="1:90">
      <c r="A1528" t="s">
        <v>72</v>
      </c>
      <c r="B1528" t="s">
        <v>73</v>
      </c>
      <c r="C1528" t="s">
        <v>74</v>
      </c>
      <c r="E1528" t="str">
        <f>"FES1162728772"</f>
        <v>FES1162728772</v>
      </c>
      <c r="F1528" s="3">
        <v>43816</v>
      </c>
      <c r="G1528">
        <v>202006</v>
      </c>
      <c r="H1528" t="s">
        <v>75</v>
      </c>
      <c r="I1528" t="s">
        <v>76</v>
      </c>
      <c r="J1528" t="s">
        <v>77</v>
      </c>
      <c r="K1528" t="s">
        <v>78</v>
      </c>
      <c r="L1528" t="s">
        <v>90</v>
      </c>
      <c r="M1528" t="s">
        <v>91</v>
      </c>
      <c r="N1528" t="s">
        <v>389</v>
      </c>
      <c r="O1528" t="s">
        <v>82</v>
      </c>
      <c r="P1528" t="str">
        <f>"217071948                     "</f>
        <v xml:space="preserve">217071948                     </v>
      </c>
      <c r="Q1528">
        <v>0</v>
      </c>
      <c r="R1528">
        <v>0</v>
      </c>
      <c r="S1528">
        <v>0</v>
      </c>
      <c r="T1528">
        <v>0</v>
      </c>
      <c r="U1528">
        <v>0</v>
      </c>
      <c r="V1528">
        <v>0</v>
      </c>
      <c r="W1528">
        <v>0</v>
      </c>
      <c r="X1528">
        <v>0</v>
      </c>
      <c r="Y1528">
        <v>0</v>
      </c>
      <c r="Z1528">
        <v>0</v>
      </c>
      <c r="AA1528">
        <v>0</v>
      </c>
      <c r="AB1528">
        <v>0</v>
      </c>
      <c r="AC1528">
        <v>0</v>
      </c>
      <c r="AD1528">
        <v>0</v>
      </c>
      <c r="AE1528">
        <v>0</v>
      </c>
      <c r="AF1528">
        <v>0</v>
      </c>
      <c r="AG1528">
        <v>0</v>
      </c>
      <c r="AH1528">
        <v>0</v>
      </c>
      <c r="AI1528">
        <v>0</v>
      </c>
      <c r="AJ1528">
        <v>0</v>
      </c>
      <c r="AK1528">
        <v>0</v>
      </c>
      <c r="AL1528">
        <v>0</v>
      </c>
      <c r="AM1528">
        <v>15.02</v>
      </c>
      <c r="AN1528">
        <v>0</v>
      </c>
      <c r="AO1528">
        <v>0</v>
      </c>
      <c r="AP1528">
        <v>0</v>
      </c>
      <c r="AQ1528">
        <v>0</v>
      </c>
      <c r="AR1528">
        <v>0</v>
      </c>
      <c r="AS1528">
        <v>0</v>
      </c>
      <c r="AT1528">
        <v>0</v>
      </c>
      <c r="AU1528">
        <v>0</v>
      </c>
      <c r="AV1528">
        <v>0</v>
      </c>
      <c r="AW1528">
        <v>0</v>
      </c>
      <c r="AX1528">
        <v>0</v>
      </c>
      <c r="AY1528">
        <v>0</v>
      </c>
      <c r="AZ1528">
        <v>0</v>
      </c>
      <c r="BA1528">
        <v>0</v>
      </c>
      <c r="BB1528">
        <v>0</v>
      </c>
      <c r="BC1528">
        <v>0</v>
      </c>
      <c r="BD1528">
        <v>0</v>
      </c>
      <c r="BE1528">
        <v>0</v>
      </c>
      <c r="BF1528">
        <v>0</v>
      </c>
      <c r="BG1528">
        <v>0</v>
      </c>
      <c r="BH1528">
        <v>1</v>
      </c>
      <c r="BI1528">
        <v>2.1</v>
      </c>
      <c r="BJ1528">
        <v>3.4</v>
      </c>
      <c r="BK1528">
        <v>3.5</v>
      </c>
      <c r="BL1528" s="4">
        <v>88.27</v>
      </c>
      <c r="BM1528" s="4">
        <v>13.24</v>
      </c>
      <c r="BN1528" s="4">
        <v>101.51</v>
      </c>
      <c r="BO1528" s="4">
        <v>101.51</v>
      </c>
      <c r="BQ1528" t="s">
        <v>390</v>
      </c>
      <c r="BR1528" t="s">
        <v>84</v>
      </c>
      <c r="BS1528" s="3">
        <v>43817</v>
      </c>
      <c r="BT1528" s="5">
        <v>0.57777777777777783</v>
      </c>
      <c r="BU1528" t="s">
        <v>1969</v>
      </c>
      <c r="BV1528" t="s">
        <v>89</v>
      </c>
      <c r="BW1528" t="s">
        <v>1707</v>
      </c>
      <c r="BX1528" t="s">
        <v>284</v>
      </c>
      <c r="BY1528">
        <v>17096.990000000002</v>
      </c>
      <c r="CA1528" t="s">
        <v>112</v>
      </c>
      <c r="CC1528" t="s">
        <v>91</v>
      </c>
      <c r="CD1528">
        <v>7405</v>
      </c>
      <c r="CE1528" t="s">
        <v>96</v>
      </c>
      <c r="CF1528" s="3">
        <v>43818</v>
      </c>
      <c r="CI1528">
        <v>1</v>
      </c>
      <c r="CJ1528">
        <v>1</v>
      </c>
      <c r="CK1528">
        <v>21</v>
      </c>
      <c r="CL1528" t="s">
        <v>89</v>
      </c>
    </row>
    <row r="1529" spans="1:90">
      <c r="A1529" t="s">
        <v>72</v>
      </c>
      <c r="B1529" t="s">
        <v>73</v>
      </c>
      <c r="C1529" t="s">
        <v>74</v>
      </c>
      <c r="E1529" t="str">
        <f>"FES1162728601"</f>
        <v>FES1162728601</v>
      </c>
      <c r="F1529" s="3">
        <v>43816</v>
      </c>
      <c r="G1529">
        <v>202006</v>
      </c>
      <c r="H1529" t="s">
        <v>75</v>
      </c>
      <c r="I1529" t="s">
        <v>76</v>
      </c>
      <c r="J1529" t="s">
        <v>77</v>
      </c>
      <c r="K1529" t="s">
        <v>78</v>
      </c>
      <c r="L1529" t="s">
        <v>79</v>
      </c>
      <c r="M1529" t="s">
        <v>80</v>
      </c>
      <c r="N1529" t="s">
        <v>420</v>
      </c>
      <c r="O1529" t="s">
        <v>82</v>
      </c>
      <c r="P1529" t="str">
        <f>"217071815                     "</f>
        <v xml:space="preserve">217071815                     </v>
      </c>
      <c r="Q1529">
        <v>0</v>
      </c>
      <c r="R1529">
        <v>0</v>
      </c>
      <c r="S1529">
        <v>0</v>
      </c>
      <c r="T1529">
        <v>0</v>
      </c>
      <c r="U1529">
        <v>0</v>
      </c>
      <c r="V1529">
        <v>0</v>
      </c>
      <c r="W1529">
        <v>0</v>
      </c>
      <c r="X1529">
        <v>0</v>
      </c>
      <c r="Y1529">
        <v>0</v>
      </c>
      <c r="Z1529">
        <v>0</v>
      </c>
      <c r="AA1529">
        <v>0</v>
      </c>
      <c r="AB1529">
        <v>0</v>
      </c>
      <c r="AC1529">
        <v>0</v>
      </c>
      <c r="AD1529">
        <v>0</v>
      </c>
      <c r="AE1529">
        <v>0</v>
      </c>
      <c r="AF1529">
        <v>0</v>
      </c>
      <c r="AG1529">
        <v>0</v>
      </c>
      <c r="AH1529">
        <v>0</v>
      </c>
      <c r="AI1529">
        <v>0</v>
      </c>
      <c r="AJ1529">
        <v>0</v>
      </c>
      <c r="AK1529">
        <v>0</v>
      </c>
      <c r="AL1529">
        <v>0</v>
      </c>
      <c r="AM1529">
        <v>8.58</v>
      </c>
      <c r="AN1529">
        <v>0</v>
      </c>
      <c r="AO1529">
        <v>0</v>
      </c>
      <c r="AP1529">
        <v>0</v>
      </c>
      <c r="AQ1529">
        <v>0</v>
      </c>
      <c r="AR1529">
        <v>0</v>
      </c>
      <c r="AS1529">
        <v>0</v>
      </c>
      <c r="AT1529">
        <v>0</v>
      </c>
      <c r="AU1529">
        <v>0</v>
      </c>
      <c r="AV1529">
        <v>0</v>
      </c>
      <c r="AW1529">
        <v>0</v>
      </c>
      <c r="AX1529">
        <v>0</v>
      </c>
      <c r="AY1529">
        <v>0</v>
      </c>
      <c r="AZ1529">
        <v>0</v>
      </c>
      <c r="BA1529">
        <v>0</v>
      </c>
      <c r="BB1529">
        <v>0</v>
      </c>
      <c r="BC1529">
        <v>0</v>
      </c>
      <c r="BD1529">
        <v>0</v>
      </c>
      <c r="BE1529">
        <v>0</v>
      </c>
      <c r="BF1529">
        <v>0</v>
      </c>
      <c r="BG1529">
        <v>0</v>
      </c>
      <c r="BH1529">
        <v>1</v>
      </c>
      <c r="BI1529">
        <v>1.8</v>
      </c>
      <c r="BJ1529">
        <v>1.5</v>
      </c>
      <c r="BK1529">
        <v>2</v>
      </c>
      <c r="BL1529" s="4">
        <v>50.45</v>
      </c>
      <c r="BM1529" s="4">
        <v>7.57</v>
      </c>
      <c r="BN1529" s="4">
        <v>58.02</v>
      </c>
      <c r="BO1529" s="4">
        <v>58.02</v>
      </c>
      <c r="BQ1529" t="s">
        <v>147</v>
      </c>
      <c r="BR1529" t="s">
        <v>84</v>
      </c>
      <c r="BS1529" s="3">
        <v>43817</v>
      </c>
      <c r="BT1529" s="5">
        <v>0.3576388888888889</v>
      </c>
      <c r="BU1529" t="s">
        <v>1968</v>
      </c>
      <c r="BV1529" t="s">
        <v>86</v>
      </c>
      <c r="BY1529">
        <v>7321.22</v>
      </c>
      <c r="CA1529" t="s">
        <v>185</v>
      </c>
      <c r="CC1529" t="s">
        <v>80</v>
      </c>
      <c r="CD1529">
        <v>6001</v>
      </c>
      <c r="CE1529" t="s">
        <v>96</v>
      </c>
      <c r="CF1529" s="3">
        <v>43818</v>
      </c>
      <c r="CI1529">
        <v>1</v>
      </c>
      <c r="CJ1529">
        <v>1</v>
      </c>
      <c r="CK1529">
        <v>21</v>
      </c>
      <c r="CL1529" t="s">
        <v>89</v>
      </c>
    </row>
    <row r="1530" spans="1:90">
      <c r="A1530" t="s">
        <v>72</v>
      </c>
      <c r="B1530" t="s">
        <v>73</v>
      </c>
      <c r="C1530" t="s">
        <v>74</v>
      </c>
      <c r="E1530" t="str">
        <f>"FES1162728715"</f>
        <v>FES1162728715</v>
      </c>
      <c r="F1530" s="3">
        <v>43816</v>
      </c>
      <c r="G1530">
        <v>202006</v>
      </c>
      <c r="H1530" t="s">
        <v>75</v>
      </c>
      <c r="I1530" t="s">
        <v>76</v>
      </c>
      <c r="J1530" t="s">
        <v>77</v>
      </c>
      <c r="K1530" t="s">
        <v>78</v>
      </c>
      <c r="L1530" t="s">
        <v>164</v>
      </c>
      <c r="M1530" t="s">
        <v>165</v>
      </c>
      <c r="N1530" t="s">
        <v>263</v>
      </c>
      <c r="O1530" t="s">
        <v>82</v>
      </c>
      <c r="P1530" t="str">
        <f>"217071918                     "</f>
        <v xml:space="preserve">217071918                     </v>
      </c>
      <c r="Q1530">
        <v>0</v>
      </c>
      <c r="R1530">
        <v>0</v>
      </c>
      <c r="S1530">
        <v>0</v>
      </c>
      <c r="T1530">
        <v>0</v>
      </c>
      <c r="U1530">
        <v>0</v>
      </c>
      <c r="V1530">
        <v>0</v>
      </c>
      <c r="W1530">
        <v>0</v>
      </c>
      <c r="X1530">
        <v>0</v>
      </c>
      <c r="Y1530">
        <v>0</v>
      </c>
      <c r="Z1530">
        <v>0</v>
      </c>
      <c r="AA1530">
        <v>0</v>
      </c>
      <c r="AB1530">
        <v>0</v>
      </c>
      <c r="AC1530">
        <v>0</v>
      </c>
      <c r="AD1530">
        <v>0</v>
      </c>
      <c r="AE1530">
        <v>0</v>
      </c>
      <c r="AF1530">
        <v>0</v>
      </c>
      <c r="AG1530">
        <v>0</v>
      </c>
      <c r="AH1530">
        <v>0</v>
      </c>
      <c r="AI1530">
        <v>0</v>
      </c>
      <c r="AJ1530">
        <v>0</v>
      </c>
      <c r="AK1530">
        <v>0</v>
      </c>
      <c r="AL1530">
        <v>0</v>
      </c>
      <c r="AM1530">
        <v>8.58</v>
      </c>
      <c r="AN1530">
        <v>0</v>
      </c>
      <c r="AO1530">
        <v>0</v>
      </c>
      <c r="AP1530">
        <v>0</v>
      </c>
      <c r="AQ1530">
        <v>0</v>
      </c>
      <c r="AR1530">
        <v>0</v>
      </c>
      <c r="AS1530">
        <v>0</v>
      </c>
      <c r="AT1530">
        <v>0</v>
      </c>
      <c r="AU1530">
        <v>0</v>
      </c>
      <c r="AV1530">
        <v>0</v>
      </c>
      <c r="AW1530">
        <v>0</v>
      </c>
      <c r="AX1530">
        <v>0</v>
      </c>
      <c r="AY1530">
        <v>0</v>
      </c>
      <c r="AZ1530">
        <v>0</v>
      </c>
      <c r="BA1530">
        <v>0</v>
      </c>
      <c r="BB1530">
        <v>0</v>
      </c>
      <c r="BC1530">
        <v>0</v>
      </c>
      <c r="BD1530">
        <v>0</v>
      </c>
      <c r="BE1530">
        <v>0</v>
      </c>
      <c r="BF1530">
        <v>0</v>
      </c>
      <c r="BG1530">
        <v>0</v>
      </c>
      <c r="BH1530">
        <v>1</v>
      </c>
      <c r="BI1530">
        <v>1.1000000000000001</v>
      </c>
      <c r="BJ1530">
        <v>1.6</v>
      </c>
      <c r="BK1530">
        <v>2</v>
      </c>
      <c r="BL1530" s="4">
        <v>50.45</v>
      </c>
      <c r="BM1530" s="4">
        <v>7.57</v>
      </c>
      <c r="BN1530" s="4">
        <v>58.02</v>
      </c>
      <c r="BO1530" s="4">
        <v>58.02</v>
      </c>
      <c r="BQ1530" t="s">
        <v>147</v>
      </c>
      <c r="BR1530" t="s">
        <v>84</v>
      </c>
      <c r="BS1530" s="3">
        <v>43817</v>
      </c>
      <c r="BT1530" s="5">
        <v>0.38819444444444445</v>
      </c>
      <c r="BU1530" t="s">
        <v>1923</v>
      </c>
      <c r="BV1530" t="s">
        <v>86</v>
      </c>
      <c r="BY1530">
        <v>7750.78</v>
      </c>
      <c r="CA1530" t="s">
        <v>1361</v>
      </c>
      <c r="CC1530" t="s">
        <v>165</v>
      </c>
      <c r="CD1530">
        <v>5201</v>
      </c>
      <c r="CE1530" t="s">
        <v>96</v>
      </c>
      <c r="CF1530" s="3">
        <v>43819</v>
      </c>
      <c r="CI1530">
        <v>1</v>
      </c>
      <c r="CJ1530">
        <v>1</v>
      </c>
      <c r="CK1530">
        <v>21</v>
      </c>
      <c r="CL1530" t="s">
        <v>89</v>
      </c>
    </row>
    <row r="1531" spans="1:90">
      <c r="A1531" t="s">
        <v>72</v>
      </c>
      <c r="B1531" t="s">
        <v>73</v>
      </c>
      <c r="C1531" t="s">
        <v>74</v>
      </c>
      <c r="E1531" t="str">
        <f>"FES1162728567"</f>
        <v>FES1162728567</v>
      </c>
      <c r="F1531" s="3">
        <v>43816</v>
      </c>
      <c r="G1531">
        <v>202006</v>
      </c>
      <c r="H1531" t="s">
        <v>75</v>
      </c>
      <c r="I1531" t="s">
        <v>76</v>
      </c>
      <c r="J1531" t="s">
        <v>77</v>
      </c>
      <c r="K1531" t="s">
        <v>78</v>
      </c>
      <c r="L1531" t="s">
        <v>213</v>
      </c>
      <c r="M1531" t="s">
        <v>214</v>
      </c>
      <c r="N1531" t="s">
        <v>303</v>
      </c>
      <c r="O1531" t="s">
        <v>82</v>
      </c>
      <c r="P1531" t="str">
        <f>"2170717768                    "</f>
        <v xml:space="preserve">2170717768                    </v>
      </c>
      <c r="Q1531">
        <v>0</v>
      </c>
      <c r="R1531">
        <v>0</v>
      </c>
      <c r="S1531">
        <v>0</v>
      </c>
      <c r="T1531">
        <v>0</v>
      </c>
      <c r="U1531">
        <v>0</v>
      </c>
      <c r="V1531">
        <v>0</v>
      </c>
      <c r="W1531">
        <v>0</v>
      </c>
      <c r="X1531">
        <v>0</v>
      </c>
      <c r="Y1531">
        <v>0</v>
      </c>
      <c r="Z1531">
        <v>0</v>
      </c>
      <c r="AA1531">
        <v>0</v>
      </c>
      <c r="AB1531">
        <v>0</v>
      </c>
      <c r="AC1531">
        <v>0</v>
      </c>
      <c r="AD1531">
        <v>0</v>
      </c>
      <c r="AE1531">
        <v>0</v>
      </c>
      <c r="AF1531">
        <v>0</v>
      </c>
      <c r="AG1531">
        <v>0</v>
      </c>
      <c r="AH1531">
        <v>0</v>
      </c>
      <c r="AI1531">
        <v>0</v>
      </c>
      <c r="AJ1531">
        <v>0</v>
      </c>
      <c r="AK1531">
        <v>0</v>
      </c>
      <c r="AL1531">
        <v>0</v>
      </c>
      <c r="AM1531">
        <v>8.58</v>
      </c>
      <c r="AN1531">
        <v>0</v>
      </c>
      <c r="AO1531">
        <v>0</v>
      </c>
      <c r="AP1531">
        <v>0</v>
      </c>
      <c r="AQ1531">
        <v>0</v>
      </c>
      <c r="AR1531">
        <v>0</v>
      </c>
      <c r="AS1531">
        <v>0</v>
      </c>
      <c r="AT1531">
        <v>0</v>
      </c>
      <c r="AU1531">
        <v>0</v>
      </c>
      <c r="AV1531">
        <v>0</v>
      </c>
      <c r="AW1531">
        <v>0</v>
      </c>
      <c r="AX1531">
        <v>0</v>
      </c>
      <c r="AY1531">
        <v>0</v>
      </c>
      <c r="AZ1531">
        <v>0</v>
      </c>
      <c r="BA1531">
        <v>0</v>
      </c>
      <c r="BB1531">
        <v>0</v>
      </c>
      <c r="BC1531">
        <v>0</v>
      </c>
      <c r="BD1531">
        <v>0</v>
      </c>
      <c r="BE1531">
        <v>0</v>
      </c>
      <c r="BF1531">
        <v>0</v>
      </c>
      <c r="BG1531">
        <v>0</v>
      </c>
      <c r="BH1531">
        <v>1</v>
      </c>
      <c r="BI1531">
        <v>1.3</v>
      </c>
      <c r="BJ1531">
        <v>1.6</v>
      </c>
      <c r="BK1531">
        <v>2</v>
      </c>
      <c r="BL1531" s="4">
        <v>50.45</v>
      </c>
      <c r="BM1531" s="4">
        <v>7.57</v>
      </c>
      <c r="BN1531" s="4">
        <v>58.02</v>
      </c>
      <c r="BO1531" s="4">
        <v>58.02</v>
      </c>
      <c r="BQ1531" t="s">
        <v>147</v>
      </c>
      <c r="BR1531" t="s">
        <v>84</v>
      </c>
      <c r="BS1531" s="3">
        <v>43817</v>
      </c>
      <c r="BT1531" s="5">
        <v>0.3263888888888889</v>
      </c>
      <c r="BU1531" t="s">
        <v>1970</v>
      </c>
      <c r="BV1531" t="s">
        <v>86</v>
      </c>
      <c r="BY1531">
        <v>7765.06</v>
      </c>
      <c r="CA1531" t="s">
        <v>302</v>
      </c>
      <c r="CC1531" t="s">
        <v>214</v>
      </c>
      <c r="CD1531">
        <v>6230</v>
      </c>
      <c r="CE1531" t="s">
        <v>116</v>
      </c>
      <c r="CF1531" s="3">
        <v>43818</v>
      </c>
      <c r="CI1531">
        <v>1</v>
      </c>
      <c r="CJ1531">
        <v>1</v>
      </c>
      <c r="CK1531">
        <v>21</v>
      </c>
      <c r="CL1531" t="s">
        <v>89</v>
      </c>
    </row>
    <row r="1532" spans="1:90">
      <c r="A1532" t="s">
        <v>72</v>
      </c>
      <c r="B1532" t="s">
        <v>73</v>
      </c>
      <c r="C1532" t="s">
        <v>74</v>
      </c>
      <c r="E1532" t="str">
        <f>"FES1162728723"</f>
        <v>FES1162728723</v>
      </c>
      <c r="F1532" s="3">
        <v>43816</v>
      </c>
      <c r="G1532">
        <v>202006</v>
      </c>
      <c r="H1532" t="s">
        <v>75</v>
      </c>
      <c r="I1532" t="s">
        <v>76</v>
      </c>
      <c r="J1532" t="s">
        <v>77</v>
      </c>
      <c r="K1532" t="s">
        <v>78</v>
      </c>
      <c r="L1532" t="s">
        <v>1174</v>
      </c>
      <c r="M1532" t="s">
        <v>1175</v>
      </c>
      <c r="N1532" t="s">
        <v>1176</v>
      </c>
      <c r="O1532" t="s">
        <v>82</v>
      </c>
      <c r="P1532" t="str">
        <f>"2170718071                    "</f>
        <v xml:space="preserve">2170718071                    </v>
      </c>
      <c r="Q1532">
        <v>0</v>
      </c>
      <c r="R1532">
        <v>0</v>
      </c>
      <c r="S1532">
        <v>0</v>
      </c>
      <c r="T1532">
        <v>0</v>
      </c>
      <c r="U1532">
        <v>0</v>
      </c>
      <c r="V1532">
        <v>0</v>
      </c>
      <c r="W1532">
        <v>0</v>
      </c>
      <c r="X1532">
        <v>0</v>
      </c>
      <c r="Y1532">
        <v>0</v>
      </c>
      <c r="Z1532">
        <v>0</v>
      </c>
      <c r="AA1532">
        <v>0</v>
      </c>
      <c r="AB1532">
        <v>0</v>
      </c>
      <c r="AC1532">
        <v>0</v>
      </c>
      <c r="AD1532">
        <v>0</v>
      </c>
      <c r="AE1532">
        <v>0</v>
      </c>
      <c r="AF1532">
        <v>0</v>
      </c>
      <c r="AG1532">
        <v>0</v>
      </c>
      <c r="AH1532">
        <v>0</v>
      </c>
      <c r="AI1532">
        <v>0</v>
      </c>
      <c r="AJ1532">
        <v>0</v>
      </c>
      <c r="AK1532">
        <v>0</v>
      </c>
      <c r="AL1532">
        <v>0</v>
      </c>
      <c r="AM1532">
        <v>65.45</v>
      </c>
      <c r="AN1532">
        <v>0</v>
      </c>
      <c r="AO1532">
        <v>0</v>
      </c>
      <c r="AP1532">
        <v>0</v>
      </c>
      <c r="AQ1532">
        <v>0</v>
      </c>
      <c r="AR1532">
        <v>0</v>
      </c>
      <c r="AS1532">
        <v>0</v>
      </c>
      <c r="AT1532">
        <v>0</v>
      </c>
      <c r="AU1532">
        <v>0</v>
      </c>
      <c r="AV1532">
        <v>0</v>
      </c>
      <c r="AW1532">
        <v>0</v>
      </c>
      <c r="AX1532">
        <v>0</v>
      </c>
      <c r="AY1532">
        <v>0</v>
      </c>
      <c r="AZ1532">
        <v>0</v>
      </c>
      <c r="BA1532">
        <v>0</v>
      </c>
      <c r="BB1532">
        <v>0</v>
      </c>
      <c r="BC1532">
        <v>0</v>
      </c>
      <c r="BD1532">
        <v>0</v>
      </c>
      <c r="BE1532">
        <v>0</v>
      </c>
      <c r="BF1532">
        <v>0</v>
      </c>
      <c r="BG1532">
        <v>0</v>
      </c>
      <c r="BH1532">
        <v>1</v>
      </c>
      <c r="BI1532">
        <v>7.7</v>
      </c>
      <c r="BJ1532">
        <v>8.3000000000000007</v>
      </c>
      <c r="BK1532">
        <v>8.5</v>
      </c>
      <c r="BL1532" s="4">
        <v>384.73</v>
      </c>
      <c r="BM1532" s="4">
        <v>57.71</v>
      </c>
      <c r="BN1532" s="4">
        <v>442.44</v>
      </c>
      <c r="BO1532" s="4">
        <v>442.44</v>
      </c>
      <c r="BQ1532" t="s">
        <v>1177</v>
      </c>
      <c r="BR1532" t="s">
        <v>84</v>
      </c>
      <c r="BS1532" s="3">
        <v>43817</v>
      </c>
      <c r="BT1532" s="5">
        <v>0.64444444444444449</v>
      </c>
      <c r="BU1532" t="s">
        <v>1971</v>
      </c>
      <c r="BV1532" t="s">
        <v>86</v>
      </c>
      <c r="BY1532">
        <v>41603.449999999997</v>
      </c>
      <c r="CA1532" t="s">
        <v>569</v>
      </c>
      <c r="CC1532" t="s">
        <v>1175</v>
      </c>
      <c r="CD1532">
        <v>4252</v>
      </c>
      <c r="CE1532" t="s">
        <v>116</v>
      </c>
      <c r="CF1532" s="3">
        <v>43819</v>
      </c>
      <c r="CI1532">
        <v>1</v>
      </c>
      <c r="CJ1532">
        <v>1</v>
      </c>
      <c r="CK1532">
        <v>23</v>
      </c>
      <c r="CL1532" t="s">
        <v>89</v>
      </c>
    </row>
    <row r="1533" spans="1:90">
      <c r="A1533" t="s">
        <v>72</v>
      </c>
      <c r="B1533" t="s">
        <v>73</v>
      </c>
      <c r="C1533" t="s">
        <v>74</v>
      </c>
      <c r="E1533" t="str">
        <f>"FES1162728694"</f>
        <v>FES1162728694</v>
      </c>
      <c r="F1533" s="3">
        <v>43816</v>
      </c>
      <c r="G1533">
        <v>202006</v>
      </c>
      <c r="H1533" t="s">
        <v>75</v>
      </c>
      <c r="I1533" t="s">
        <v>76</v>
      </c>
      <c r="J1533" t="s">
        <v>77</v>
      </c>
      <c r="K1533" t="s">
        <v>78</v>
      </c>
      <c r="L1533" t="s">
        <v>198</v>
      </c>
      <c r="M1533" t="s">
        <v>199</v>
      </c>
      <c r="N1533" t="s">
        <v>1884</v>
      </c>
      <c r="O1533" t="s">
        <v>82</v>
      </c>
      <c r="P1533" t="str">
        <f>"21707189+3                    "</f>
        <v xml:space="preserve">21707189+3                    </v>
      </c>
      <c r="Q1533">
        <v>0</v>
      </c>
      <c r="R1533">
        <v>0</v>
      </c>
      <c r="S1533">
        <v>0</v>
      </c>
      <c r="T1533">
        <v>0</v>
      </c>
      <c r="U1533">
        <v>0</v>
      </c>
      <c r="V1533">
        <v>0</v>
      </c>
      <c r="W1533">
        <v>0</v>
      </c>
      <c r="X1533">
        <v>0</v>
      </c>
      <c r="Y1533">
        <v>0</v>
      </c>
      <c r="Z1533">
        <v>0</v>
      </c>
      <c r="AA1533">
        <v>0</v>
      </c>
      <c r="AB1533">
        <v>0</v>
      </c>
      <c r="AC1533">
        <v>0</v>
      </c>
      <c r="AD1533">
        <v>0</v>
      </c>
      <c r="AE1533">
        <v>0</v>
      </c>
      <c r="AF1533">
        <v>0</v>
      </c>
      <c r="AG1533">
        <v>0</v>
      </c>
      <c r="AH1533">
        <v>0</v>
      </c>
      <c r="AI1533">
        <v>0</v>
      </c>
      <c r="AJ1533">
        <v>0</v>
      </c>
      <c r="AK1533">
        <v>0</v>
      </c>
      <c r="AL1533">
        <v>0</v>
      </c>
      <c r="AM1533">
        <v>8.58</v>
      </c>
      <c r="AN1533">
        <v>0</v>
      </c>
      <c r="AO1533">
        <v>0</v>
      </c>
      <c r="AP1533">
        <v>0</v>
      </c>
      <c r="AQ1533">
        <v>0</v>
      </c>
      <c r="AR1533">
        <v>0</v>
      </c>
      <c r="AS1533">
        <v>0</v>
      </c>
      <c r="AT1533">
        <v>0</v>
      </c>
      <c r="AU1533">
        <v>0</v>
      </c>
      <c r="AV1533">
        <v>0</v>
      </c>
      <c r="AW1533">
        <v>0</v>
      </c>
      <c r="AX1533">
        <v>0</v>
      </c>
      <c r="AY1533">
        <v>0</v>
      </c>
      <c r="AZ1533">
        <v>0</v>
      </c>
      <c r="BA1533">
        <v>0</v>
      </c>
      <c r="BB1533">
        <v>0</v>
      </c>
      <c r="BC1533">
        <v>0</v>
      </c>
      <c r="BD1533">
        <v>0</v>
      </c>
      <c r="BE1533">
        <v>0</v>
      </c>
      <c r="BF1533">
        <v>0</v>
      </c>
      <c r="BG1533">
        <v>0</v>
      </c>
      <c r="BH1533">
        <v>1</v>
      </c>
      <c r="BI1533">
        <v>0.9</v>
      </c>
      <c r="BJ1533">
        <v>0.9</v>
      </c>
      <c r="BK1533">
        <v>1</v>
      </c>
      <c r="BL1533" s="4">
        <v>50.45</v>
      </c>
      <c r="BM1533" s="4">
        <v>7.57</v>
      </c>
      <c r="BN1533" s="4">
        <v>58.02</v>
      </c>
      <c r="BO1533" s="4">
        <v>58.02</v>
      </c>
      <c r="BQ1533" t="s">
        <v>93</v>
      </c>
      <c r="BR1533" t="s">
        <v>84</v>
      </c>
      <c r="BS1533" s="3">
        <v>43836</v>
      </c>
      <c r="BT1533" s="5">
        <v>0.35694444444444445</v>
      </c>
      <c r="BU1533" t="s">
        <v>1972</v>
      </c>
      <c r="BV1533" t="s">
        <v>89</v>
      </c>
      <c r="BY1533">
        <v>4552.67</v>
      </c>
      <c r="CA1533" t="s">
        <v>281</v>
      </c>
      <c r="CC1533" t="s">
        <v>199</v>
      </c>
      <c r="CD1533">
        <v>4001</v>
      </c>
      <c r="CE1533" t="s">
        <v>96</v>
      </c>
      <c r="CI1533">
        <v>1</v>
      </c>
      <c r="CJ1533">
        <v>14</v>
      </c>
      <c r="CK1533">
        <v>21</v>
      </c>
      <c r="CL1533" t="s">
        <v>89</v>
      </c>
    </row>
    <row r="1534" spans="1:90">
      <c r="A1534" t="s">
        <v>72</v>
      </c>
      <c r="B1534" t="s">
        <v>73</v>
      </c>
      <c r="C1534" t="s">
        <v>74</v>
      </c>
      <c r="E1534" t="str">
        <f>"FES1162728704"</f>
        <v>FES1162728704</v>
      </c>
      <c r="F1534" s="3">
        <v>43816</v>
      </c>
      <c r="G1534">
        <v>202006</v>
      </c>
      <c r="H1534" t="s">
        <v>75</v>
      </c>
      <c r="I1534" t="s">
        <v>76</v>
      </c>
      <c r="J1534" t="s">
        <v>77</v>
      </c>
      <c r="K1534" t="s">
        <v>78</v>
      </c>
      <c r="L1534" t="s">
        <v>221</v>
      </c>
      <c r="M1534" t="s">
        <v>222</v>
      </c>
      <c r="N1534" t="s">
        <v>223</v>
      </c>
      <c r="O1534" t="s">
        <v>82</v>
      </c>
      <c r="P1534" t="str">
        <f>"217071905                     "</f>
        <v xml:space="preserve">217071905                     </v>
      </c>
      <c r="Q1534">
        <v>0</v>
      </c>
      <c r="R1534">
        <v>0</v>
      </c>
      <c r="S1534">
        <v>0</v>
      </c>
      <c r="T1534">
        <v>0</v>
      </c>
      <c r="U1534">
        <v>0</v>
      </c>
      <c r="V1534">
        <v>0</v>
      </c>
      <c r="W1534">
        <v>0</v>
      </c>
      <c r="X1534">
        <v>0</v>
      </c>
      <c r="Y1534">
        <v>0</v>
      </c>
      <c r="Z1534">
        <v>0</v>
      </c>
      <c r="AA1534">
        <v>0</v>
      </c>
      <c r="AB1534">
        <v>0</v>
      </c>
      <c r="AC1534">
        <v>0</v>
      </c>
      <c r="AD1534">
        <v>0</v>
      </c>
      <c r="AE1534">
        <v>0</v>
      </c>
      <c r="AF1534">
        <v>0</v>
      </c>
      <c r="AG1534">
        <v>0</v>
      </c>
      <c r="AH1534">
        <v>0</v>
      </c>
      <c r="AI1534">
        <v>0</v>
      </c>
      <c r="AJ1534">
        <v>0</v>
      </c>
      <c r="AK1534">
        <v>0</v>
      </c>
      <c r="AL1534">
        <v>0</v>
      </c>
      <c r="AM1534">
        <v>23.59</v>
      </c>
      <c r="AN1534">
        <v>0</v>
      </c>
      <c r="AO1534">
        <v>0</v>
      </c>
      <c r="AP1534">
        <v>0</v>
      </c>
      <c r="AQ1534">
        <v>0</v>
      </c>
      <c r="AR1534">
        <v>0</v>
      </c>
      <c r="AS1534">
        <v>0</v>
      </c>
      <c r="AT1534">
        <v>0</v>
      </c>
      <c r="AU1534">
        <v>0</v>
      </c>
      <c r="AV1534">
        <v>0</v>
      </c>
      <c r="AW1534">
        <v>0</v>
      </c>
      <c r="AX1534">
        <v>0</v>
      </c>
      <c r="AY1534">
        <v>0</v>
      </c>
      <c r="AZ1534">
        <v>0</v>
      </c>
      <c r="BA1534">
        <v>0</v>
      </c>
      <c r="BB1534">
        <v>0</v>
      </c>
      <c r="BC1534">
        <v>0</v>
      </c>
      <c r="BD1534">
        <v>0</v>
      </c>
      <c r="BE1534">
        <v>0</v>
      </c>
      <c r="BF1534">
        <v>0</v>
      </c>
      <c r="BG1534">
        <v>0</v>
      </c>
      <c r="BH1534">
        <v>1</v>
      </c>
      <c r="BI1534">
        <v>5.4</v>
      </c>
      <c r="BJ1534">
        <v>3.2</v>
      </c>
      <c r="BK1534">
        <v>5.5</v>
      </c>
      <c r="BL1534" s="4">
        <v>138.68</v>
      </c>
      <c r="BM1534" s="4">
        <v>20.8</v>
      </c>
      <c r="BN1534" s="4">
        <v>159.47999999999999</v>
      </c>
      <c r="BO1534" s="4">
        <v>159.47999999999999</v>
      </c>
      <c r="BQ1534" t="s">
        <v>147</v>
      </c>
      <c r="BR1534" t="s">
        <v>84</v>
      </c>
      <c r="BS1534" s="3">
        <v>43817</v>
      </c>
      <c r="BT1534" s="5">
        <v>0.36458333333333331</v>
      </c>
      <c r="BU1534" t="s">
        <v>224</v>
      </c>
      <c r="BV1534" t="s">
        <v>86</v>
      </c>
      <c r="BY1534">
        <v>16240.66</v>
      </c>
      <c r="CA1534" t="s">
        <v>225</v>
      </c>
      <c r="CC1534" t="s">
        <v>222</v>
      </c>
      <c r="CD1534">
        <v>3212</v>
      </c>
      <c r="CE1534" t="s">
        <v>116</v>
      </c>
      <c r="CF1534" s="3">
        <v>43818</v>
      </c>
      <c r="CI1534">
        <v>1</v>
      </c>
      <c r="CJ1534">
        <v>1</v>
      </c>
      <c r="CK1534">
        <v>21</v>
      </c>
      <c r="CL1534" t="s">
        <v>89</v>
      </c>
    </row>
    <row r="1535" spans="1:90">
      <c r="A1535" t="s">
        <v>72</v>
      </c>
      <c r="B1535" t="s">
        <v>73</v>
      </c>
      <c r="C1535" t="s">
        <v>74</v>
      </c>
      <c r="E1535" t="str">
        <f>"FES1162728773"</f>
        <v>FES1162728773</v>
      </c>
      <c r="F1535" s="3">
        <v>43816</v>
      </c>
      <c r="G1535">
        <v>202006</v>
      </c>
      <c r="H1535" t="s">
        <v>75</v>
      </c>
      <c r="I1535" t="s">
        <v>76</v>
      </c>
      <c r="J1535" t="s">
        <v>77</v>
      </c>
      <c r="K1535" t="s">
        <v>78</v>
      </c>
      <c r="L1535" t="s">
        <v>138</v>
      </c>
      <c r="M1535" t="s">
        <v>139</v>
      </c>
      <c r="N1535" t="s">
        <v>703</v>
      </c>
      <c r="O1535" t="s">
        <v>82</v>
      </c>
      <c r="P1535" t="str">
        <f>"21707321721                   "</f>
        <v xml:space="preserve">21707321721                   </v>
      </c>
      <c r="Q1535">
        <v>0</v>
      </c>
      <c r="R1535">
        <v>0</v>
      </c>
      <c r="S1535">
        <v>0</v>
      </c>
      <c r="T1535">
        <v>0</v>
      </c>
      <c r="U1535">
        <v>0</v>
      </c>
      <c r="V1535">
        <v>0</v>
      </c>
      <c r="W1535">
        <v>0</v>
      </c>
      <c r="X1535">
        <v>0</v>
      </c>
      <c r="Y1535">
        <v>0</v>
      </c>
      <c r="Z1535">
        <v>0</v>
      </c>
      <c r="AA1535">
        <v>0</v>
      </c>
      <c r="AB1535">
        <v>0</v>
      </c>
      <c r="AC1535">
        <v>0</v>
      </c>
      <c r="AD1535">
        <v>0</v>
      </c>
      <c r="AE1535">
        <v>0</v>
      </c>
      <c r="AF1535">
        <v>0</v>
      </c>
      <c r="AG1535">
        <v>0</v>
      </c>
      <c r="AH1535">
        <v>0</v>
      </c>
      <c r="AI1535">
        <v>0</v>
      </c>
      <c r="AJ1535">
        <v>0</v>
      </c>
      <c r="AK1535">
        <v>0</v>
      </c>
      <c r="AL1535">
        <v>0</v>
      </c>
      <c r="AM1535">
        <v>9.92</v>
      </c>
      <c r="AN1535">
        <v>0</v>
      </c>
      <c r="AO1535">
        <v>0</v>
      </c>
      <c r="AP1535">
        <v>0</v>
      </c>
      <c r="AQ1535">
        <v>0</v>
      </c>
      <c r="AR1535">
        <v>0</v>
      </c>
      <c r="AS1535">
        <v>0</v>
      </c>
      <c r="AT1535">
        <v>0</v>
      </c>
      <c r="AU1535">
        <v>0</v>
      </c>
      <c r="AV1535">
        <v>0</v>
      </c>
      <c r="AW1535">
        <v>0</v>
      </c>
      <c r="AX1535">
        <v>0</v>
      </c>
      <c r="AY1535">
        <v>0</v>
      </c>
      <c r="AZ1535">
        <v>0</v>
      </c>
      <c r="BA1535">
        <v>0</v>
      </c>
      <c r="BB1535">
        <v>0</v>
      </c>
      <c r="BC1535">
        <v>0</v>
      </c>
      <c r="BD1535">
        <v>0</v>
      </c>
      <c r="BE1535">
        <v>0</v>
      </c>
      <c r="BF1535">
        <v>0</v>
      </c>
      <c r="BG1535">
        <v>0</v>
      </c>
      <c r="BH1535">
        <v>1</v>
      </c>
      <c r="BI1535">
        <v>3.9</v>
      </c>
      <c r="BJ1535">
        <v>1.8</v>
      </c>
      <c r="BK1535">
        <v>4</v>
      </c>
      <c r="BL1535" s="4">
        <v>58.31</v>
      </c>
      <c r="BM1535" s="4">
        <v>8.75</v>
      </c>
      <c r="BN1535" s="4">
        <v>67.06</v>
      </c>
      <c r="BO1535" s="4">
        <v>67.06</v>
      </c>
      <c r="BQ1535" t="s">
        <v>1840</v>
      </c>
      <c r="BR1535" t="s">
        <v>84</v>
      </c>
      <c r="BS1535" s="3">
        <v>43817</v>
      </c>
      <c r="BT1535" s="5">
        <v>0.45833333333333331</v>
      </c>
      <c r="BU1535" t="s">
        <v>1973</v>
      </c>
      <c r="BV1535" t="s">
        <v>89</v>
      </c>
      <c r="BW1535" t="s">
        <v>228</v>
      </c>
      <c r="BX1535" t="s">
        <v>1066</v>
      </c>
      <c r="BY1535">
        <v>9003.9500000000007</v>
      </c>
      <c r="CA1535" t="s">
        <v>344</v>
      </c>
      <c r="CC1535" t="s">
        <v>139</v>
      </c>
      <c r="CD1535">
        <v>1422</v>
      </c>
      <c r="CE1535" t="s">
        <v>116</v>
      </c>
      <c r="CF1535" s="3">
        <v>43818</v>
      </c>
      <c r="CI1535">
        <v>1</v>
      </c>
      <c r="CJ1535">
        <v>1</v>
      </c>
      <c r="CK1535">
        <v>22</v>
      </c>
      <c r="CL1535" t="s">
        <v>89</v>
      </c>
    </row>
    <row r="1536" spans="1:90">
      <c r="A1536" t="s">
        <v>72</v>
      </c>
      <c r="B1536" t="s">
        <v>73</v>
      </c>
      <c r="C1536" t="s">
        <v>74</v>
      </c>
      <c r="E1536" t="str">
        <f>"FES1162728740"</f>
        <v>FES1162728740</v>
      </c>
      <c r="F1536" s="3">
        <v>43816</v>
      </c>
      <c r="G1536">
        <v>202006</v>
      </c>
      <c r="H1536" t="s">
        <v>75</v>
      </c>
      <c r="I1536" t="s">
        <v>76</v>
      </c>
      <c r="J1536" t="s">
        <v>77</v>
      </c>
      <c r="K1536" t="s">
        <v>78</v>
      </c>
      <c r="L1536" t="s">
        <v>198</v>
      </c>
      <c r="M1536" t="s">
        <v>199</v>
      </c>
      <c r="N1536" t="s">
        <v>297</v>
      </c>
      <c r="O1536" t="s">
        <v>82</v>
      </c>
      <c r="P1536" t="str">
        <f>"21707121927                   "</f>
        <v xml:space="preserve">21707121927                   </v>
      </c>
      <c r="Q1536">
        <v>0</v>
      </c>
      <c r="R1536">
        <v>0</v>
      </c>
      <c r="S1536">
        <v>0</v>
      </c>
      <c r="T1536">
        <v>0</v>
      </c>
      <c r="U1536">
        <v>0</v>
      </c>
      <c r="V1536">
        <v>0</v>
      </c>
      <c r="W1536">
        <v>0</v>
      </c>
      <c r="X1536">
        <v>0</v>
      </c>
      <c r="Y1536">
        <v>0</v>
      </c>
      <c r="Z1536">
        <v>0</v>
      </c>
      <c r="AA1536">
        <v>0</v>
      </c>
      <c r="AB1536">
        <v>0</v>
      </c>
      <c r="AC1536">
        <v>0</v>
      </c>
      <c r="AD1536">
        <v>0</v>
      </c>
      <c r="AE1536">
        <v>0</v>
      </c>
      <c r="AF1536">
        <v>0</v>
      </c>
      <c r="AG1536">
        <v>0</v>
      </c>
      <c r="AH1536">
        <v>0</v>
      </c>
      <c r="AI1536">
        <v>0</v>
      </c>
      <c r="AJ1536">
        <v>0</v>
      </c>
      <c r="AK1536">
        <v>0</v>
      </c>
      <c r="AL1536">
        <v>0</v>
      </c>
      <c r="AM1536">
        <v>40.75</v>
      </c>
      <c r="AN1536">
        <v>0</v>
      </c>
      <c r="AO1536">
        <v>0</v>
      </c>
      <c r="AP1536">
        <v>0</v>
      </c>
      <c r="AQ1536">
        <v>0</v>
      </c>
      <c r="AR1536">
        <v>0</v>
      </c>
      <c r="AS1536">
        <v>0</v>
      </c>
      <c r="AT1536">
        <v>0</v>
      </c>
      <c r="AU1536">
        <v>0</v>
      </c>
      <c r="AV1536">
        <v>0</v>
      </c>
      <c r="AW1536">
        <v>0</v>
      </c>
      <c r="AX1536">
        <v>0</v>
      </c>
      <c r="AY1536">
        <v>0</v>
      </c>
      <c r="AZ1536">
        <v>0</v>
      </c>
      <c r="BA1536">
        <v>0</v>
      </c>
      <c r="BB1536">
        <v>0</v>
      </c>
      <c r="BC1536">
        <v>0</v>
      </c>
      <c r="BD1536">
        <v>0</v>
      </c>
      <c r="BE1536">
        <v>0</v>
      </c>
      <c r="BF1536">
        <v>0</v>
      </c>
      <c r="BG1536">
        <v>0</v>
      </c>
      <c r="BH1536">
        <v>1</v>
      </c>
      <c r="BI1536">
        <v>3.5</v>
      </c>
      <c r="BJ1536">
        <v>9.1999999999999993</v>
      </c>
      <c r="BK1536">
        <v>9.5</v>
      </c>
      <c r="BL1536" s="4">
        <v>239.52</v>
      </c>
      <c r="BM1536" s="4">
        <v>35.93</v>
      </c>
      <c r="BN1536" s="4">
        <v>275.45</v>
      </c>
      <c r="BO1536" s="4">
        <v>275.45</v>
      </c>
      <c r="BQ1536" t="s">
        <v>172</v>
      </c>
      <c r="BR1536" t="s">
        <v>84</v>
      </c>
      <c r="BS1536" s="3">
        <v>43817</v>
      </c>
      <c r="BT1536" s="5">
        <v>0.37708333333333338</v>
      </c>
      <c r="BU1536" t="s">
        <v>542</v>
      </c>
      <c r="BV1536" t="s">
        <v>86</v>
      </c>
      <c r="BY1536">
        <v>45844.81</v>
      </c>
      <c r="CA1536" t="s">
        <v>299</v>
      </c>
      <c r="CC1536" t="s">
        <v>199</v>
      </c>
      <c r="CD1536">
        <v>4000</v>
      </c>
      <c r="CE1536" t="s">
        <v>96</v>
      </c>
      <c r="CF1536" s="3">
        <v>43818</v>
      </c>
      <c r="CI1536">
        <v>1</v>
      </c>
      <c r="CJ1536">
        <v>1</v>
      </c>
      <c r="CK1536">
        <v>21</v>
      </c>
      <c r="CL1536" t="s">
        <v>89</v>
      </c>
    </row>
    <row r="1537" spans="1:90">
      <c r="A1537" t="s">
        <v>72</v>
      </c>
      <c r="B1537" t="s">
        <v>73</v>
      </c>
      <c r="C1537" t="s">
        <v>74</v>
      </c>
      <c r="E1537" t="str">
        <f>"FES1162728737"</f>
        <v>FES1162728737</v>
      </c>
      <c r="F1537" s="3">
        <v>43816</v>
      </c>
      <c r="G1537">
        <v>202006</v>
      </c>
      <c r="H1537" t="s">
        <v>75</v>
      </c>
      <c r="I1537" t="s">
        <v>76</v>
      </c>
      <c r="J1537" t="s">
        <v>77</v>
      </c>
      <c r="K1537" t="s">
        <v>78</v>
      </c>
      <c r="L1537" t="s">
        <v>849</v>
      </c>
      <c r="M1537" t="s">
        <v>850</v>
      </c>
      <c r="N1537" t="s">
        <v>1974</v>
      </c>
      <c r="O1537" t="s">
        <v>82</v>
      </c>
      <c r="P1537" t="str">
        <f>"2170721486                    "</f>
        <v xml:space="preserve">2170721486                    </v>
      </c>
      <c r="Q1537">
        <v>0</v>
      </c>
      <c r="R1537">
        <v>0</v>
      </c>
      <c r="S1537">
        <v>0</v>
      </c>
      <c r="T1537">
        <v>0</v>
      </c>
      <c r="U1537">
        <v>0</v>
      </c>
      <c r="V1537">
        <v>0</v>
      </c>
      <c r="W1537">
        <v>0</v>
      </c>
      <c r="X1537">
        <v>0</v>
      </c>
      <c r="Y1537">
        <v>0</v>
      </c>
      <c r="Z1537">
        <v>0</v>
      </c>
      <c r="AA1537">
        <v>0</v>
      </c>
      <c r="AB1537">
        <v>0</v>
      </c>
      <c r="AC1537">
        <v>0</v>
      </c>
      <c r="AD1537">
        <v>0</v>
      </c>
      <c r="AE1537">
        <v>0</v>
      </c>
      <c r="AF1537">
        <v>0</v>
      </c>
      <c r="AG1537">
        <v>0</v>
      </c>
      <c r="AH1537">
        <v>0</v>
      </c>
      <c r="AI1537">
        <v>0</v>
      </c>
      <c r="AJ1537">
        <v>0</v>
      </c>
      <c r="AK1537">
        <v>0</v>
      </c>
      <c r="AL1537">
        <v>0</v>
      </c>
      <c r="AM1537">
        <v>8.58</v>
      </c>
      <c r="AN1537">
        <v>0</v>
      </c>
      <c r="AO1537">
        <v>0</v>
      </c>
      <c r="AP1537">
        <v>0</v>
      </c>
      <c r="AQ1537">
        <v>0</v>
      </c>
      <c r="AR1537">
        <v>0</v>
      </c>
      <c r="AS1537">
        <v>0</v>
      </c>
      <c r="AT1537">
        <v>0</v>
      </c>
      <c r="AU1537">
        <v>0</v>
      </c>
      <c r="AV1537">
        <v>0</v>
      </c>
      <c r="AW1537">
        <v>0</v>
      </c>
      <c r="AX1537">
        <v>0</v>
      </c>
      <c r="AY1537">
        <v>0</v>
      </c>
      <c r="AZ1537">
        <v>0</v>
      </c>
      <c r="BA1537">
        <v>0</v>
      </c>
      <c r="BB1537">
        <v>0</v>
      </c>
      <c r="BC1537">
        <v>0</v>
      </c>
      <c r="BD1537">
        <v>0</v>
      </c>
      <c r="BE1537">
        <v>0</v>
      </c>
      <c r="BF1537">
        <v>0</v>
      </c>
      <c r="BG1537">
        <v>0</v>
      </c>
      <c r="BH1537">
        <v>1</v>
      </c>
      <c r="BI1537">
        <v>0.5</v>
      </c>
      <c r="BJ1537">
        <v>0.9</v>
      </c>
      <c r="BK1537">
        <v>1</v>
      </c>
      <c r="BL1537" s="4">
        <v>50.45</v>
      </c>
      <c r="BM1537" s="4">
        <v>7.57</v>
      </c>
      <c r="BN1537" s="4">
        <v>58.02</v>
      </c>
      <c r="BO1537" s="4">
        <v>58.02</v>
      </c>
      <c r="BQ1537" t="s">
        <v>277</v>
      </c>
      <c r="BR1537" t="s">
        <v>84</v>
      </c>
      <c r="BS1537" s="3">
        <v>43817</v>
      </c>
      <c r="BT1537" s="5">
        <v>0.50555555555555554</v>
      </c>
      <c r="BU1537" t="s">
        <v>1975</v>
      </c>
      <c r="BV1537" t="s">
        <v>86</v>
      </c>
      <c r="BY1537">
        <v>4455.3599999999997</v>
      </c>
      <c r="CA1537" t="s">
        <v>1026</v>
      </c>
      <c r="CC1537" t="s">
        <v>850</v>
      </c>
      <c r="CD1537">
        <v>3290</v>
      </c>
      <c r="CE1537" t="s">
        <v>96</v>
      </c>
      <c r="CF1537" s="3">
        <v>43818</v>
      </c>
      <c r="CI1537">
        <v>1</v>
      </c>
      <c r="CJ1537">
        <v>1</v>
      </c>
      <c r="CK1537">
        <v>21</v>
      </c>
      <c r="CL1537" t="s">
        <v>89</v>
      </c>
    </row>
    <row r="1538" spans="1:90">
      <c r="A1538" t="s">
        <v>72</v>
      </c>
      <c r="B1538" t="s">
        <v>73</v>
      </c>
      <c r="C1538" t="s">
        <v>74</v>
      </c>
      <c r="E1538" t="str">
        <f>"FES1162728642"</f>
        <v>FES1162728642</v>
      </c>
      <c r="F1538" s="3">
        <v>43816</v>
      </c>
      <c r="G1538">
        <v>202006</v>
      </c>
      <c r="H1538" t="s">
        <v>75</v>
      </c>
      <c r="I1538" t="s">
        <v>76</v>
      </c>
      <c r="J1538" t="s">
        <v>77</v>
      </c>
      <c r="K1538" t="s">
        <v>78</v>
      </c>
      <c r="L1538" t="s">
        <v>213</v>
      </c>
      <c r="M1538" t="s">
        <v>214</v>
      </c>
      <c r="N1538" t="s">
        <v>303</v>
      </c>
      <c r="O1538" t="s">
        <v>82</v>
      </c>
      <c r="P1538" t="str">
        <f>"2170719968                    "</f>
        <v xml:space="preserve">2170719968                    </v>
      </c>
      <c r="Q1538">
        <v>0</v>
      </c>
      <c r="R1538">
        <v>0</v>
      </c>
      <c r="S1538">
        <v>0</v>
      </c>
      <c r="T1538">
        <v>0</v>
      </c>
      <c r="U1538">
        <v>0</v>
      </c>
      <c r="V1538">
        <v>0</v>
      </c>
      <c r="W1538">
        <v>0</v>
      </c>
      <c r="X1538">
        <v>0</v>
      </c>
      <c r="Y1538">
        <v>0</v>
      </c>
      <c r="Z1538">
        <v>0</v>
      </c>
      <c r="AA1538">
        <v>0</v>
      </c>
      <c r="AB1538">
        <v>0</v>
      </c>
      <c r="AC1538">
        <v>0</v>
      </c>
      <c r="AD1538">
        <v>0</v>
      </c>
      <c r="AE1538">
        <v>0</v>
      </c>
      <c r="AF1538">
        <v>0</v>
      </c>
      <c r="AG1538">
        <v>0</v>
      </c>
      <c r="AH1538">
        <v>0</v>
      </c>
      <c r="AI1538">
        <v>0</v>
      </c>
      <c r="AJ1538">
        <v>0</v>
      </c>
      <c r="AK1538">
        <v>0</v>
      </c>
      <c r="AL1538">
        <v>0</v>
      </c>
      <c r="AM1538">
        <v>8.58</v>
      </c>
      <c r="AN1538">
        <v>0</v>
      </c>
      <c r="AO1538">
        <v>0</v>
      </c>
      <c r="AP1538">
        <v>0</v>
      </c>
      <c r="AQ1538">
        <v>0</v>
      </c>
      <c r="AR1538">
        <v>0</v>
      </c>
      <c r="AS1538">
        <v>0</v>
      </c>
      <c r="AT1538">
        <v>0</v>
      </c>
      <c r="AU1538">
        <v>0</v>
      </c>
      <c r="AV1538">
        <v>0</v>
      </c>
      <c r="AW1538">
        <v>0</v>
      </c>
      <c r="AX1538">
        <v>0</v>
      </c>
      <c r="AY1538">
        <v>0</v>
      </c>
      <c r="AZ1538">
        <v>0</v>
      </c>
      <c r="BA1538">
        <v>0</v>
      </c>
      <c r="BB1538">
        <v>0</v>
      </c>
      <c r="BC1538">
        <v>0</v>
      </c>
      <c r="BD1538">
        <v>0</v>
      </c>
      <c r="BE1538">
        <v>0</v>
      </c>
      <c r="BF1538">
        <v>0</v>
      </c>
      <c r="BG1538">
        <v>0</v>
      </c>
      <c r="BH1538">
        <v>1</v>
      </c>
      <c r="BI1538">
        <v>1.2</v>
      </c>
      <c r="BJ1538">
        <v>1.5</v>
      </c>
      <c r="BK1538">
        <v>1.5</v>
      </c>
      <c r="BL1538" s="4">
        <v>50.45</v>
      </c>
      <c r="BM1538" s="4">
        <v>7.57</v>
      </c>
      <c r="BN1538" s="4">
        <v>58.02</v>
      </c>
      <c r="BO1538" s="4">
        <v>58.02</v>
      </c>
      <c r="BQ1538" t="s">
        <v>147</v>
      </c>
      <c r="BR1538" t="s">
        <v>84</v>
      </c>
      <c r="BS1538" s="3">
        <v>43817</v>
      </c>
      <c r="BT1538" s="5">
        <v>0.33333333333333331</v>
      </c>
      <c r="BU1538" t="s">
        <v>1970</v>
      </c>
      <c r="BV1538" t="s">
        <v>86</v>
      </c>
      <c r="BY1538">
        <v>7483.6</v>
      </c>
      <c r="CA1538" t="s">
        <v>302</v>
      </c>
      <c r="CC1538" t="s">
        <v>214</v>
      </c>
      <c r="CD1538">
        <v>6230</v>
      </c>
      <c r="CE1538" t="s">
        <v>116</v>
      </c>
      <c r="CF1538" s="3">
        <v>43818</v>
      </c>
      <c r="CI1538">
        <v>1</v>
      </c>
      <c r="CJ1538">
        <v>1</v>
      </c>
      <c r="CK1538">
        <v>21</v>
      </c>
      <c r="CL1538" t="s">
        <v>89</v>
      </c>
    </row>
    <row r="1539" spans="1:90">
      <c r="A1539" t="s">
        <v>72</v>
      </c>
      <c r="B1539" t="s">
        <v>73</v>
      </c>
      <c r="C1539" t="s">
        <v>74</v>
      </c>
      <c r="E1539" t="str">
        <f>"FES1162728613"</f>
        <v>FES1162728613</v>
      </c>
      <c r="F1539" s="3">
        <v>43816</v>
      </c>
      <c r="G1539">
        <v>202006</v>
      </c>
      <c r="H1539" t="s">
        <v>75</v>
      </c>
      <c r="I1539" t="s">
        <v>76</v>
      </c>
      <c r="J1539" t="s">
        <v>77</v>
      </c>
      <c r="K1539" t="s">
        <v>78</v>
      </c>
      <c r="L1539" t="s">
        <v>361</v>
      </c>
      <c r="M1539" t="s">
        <v>362</v>
      </c>
      <c r="N1539" t="s">
        <v>634</v>
      </c>
      <c r="O1539" t="s">
        <v>82</v>
      </c>
      <c r="P1539" t="str">
        <f>"21707161969                   "</f>
        <v xml:space="preserve">21707161969                   </v>
      </c>
      <c r="Q1539">
        <v>0</v>
      </c>
      <c r="R1539">
        <v>0</v>
      </c>
      <c r="S1539">
        <v>0</v>
      </c>
      <c r="T1539">
        <v>0</v>
      </c>
      <c r="U1539">
        <v>0</v>
      </c>
      <c r="V1539">
        <v>0</v>
      </c>
      <c r="W1539">
        <v>0</v>
      </c>
      <c r="X1539">
        <v>0</v>
      </c>
      <c r="Y1539">
        <v>0</v>
      </c>
      <c r="Z1539">
        <v>0</v>
      </c>
      <c r="AA1539">
        <v>0</v>
      </c>
      <c r="AB1539">
        <v>0</v>
      </c>
      <c r="AC1539">
        <v>0</v>
      </c>
      <c r="AD1539">
        <v>0</v>
      </c>
      <c r="AE1539">
        <v>0</v>
      </c>
      <c r="AF1539">
        <v>0</v>
      </c>
      <c r="AG1539">
        <v>0</v>
      </c>
      <c r="AH1539">
        <v>0</v>
      </c>
      <c r="AI1539">
        <v>0</v>
      </c>
      <c r="AJ1539">
        <v>0</v>
      </c>
      <c r="AK1539">
        <v>0</v>
      </c>
      <c r="AL1539">
        <v>0</v>
      </c>
      <c r="AM1539">
        <v>8.58</v>
      </c>
      <c r="AN1539">
        <v>0</v>
      </c>
      <c r="AO1539">
        <v>0</v>
      </c>
      <c r="AP1539">
        <v>0</v>
      </c>
      <c r="AQ1539">
        <v>0</v>
      </c>
      <c r="AR1539">
        <v>0</v>
      </c>
      <c r="AS1539">
        <v>0</v>
      </c>
      <c r="AT1539">
        <v>0</v>
      </c>
      <c r="AU1539">
        <v>0</v>
      </c>
      <c r="AV1539">
        <v>0</v>
      </c>
      <c r="AW1539">
        <v>0</v>
      </c>
      <c r="AX1539">
        <v>0</v>
      </c>
      <c r="AY1539">
        <v>0</v>
      </c>
      <c r="AZ1539">
        <v>0</v>
      </c>
      <c r="BA1539">
        <v>0</v>
      </c>
      <c r="BB1539">
        <v>0</v>
      </c>
      <c r="BC1539">
        <v>0</v>
      </c>
      <c r="BD1539">
        <v>0</v>
      </c>
      <c r="BE1539">
        <v>0</v>
      </c>
      <c r="BF1539">
        <v>0</v>
      </c>
      <c r="BG1539">
        <v>0</v>
      </c>
      <c r="BH1539">
        <v>1</v>
      </c>
      <c r="BI1539">
        <v>1</v>
      </c>
      <c r="BJ1539">
        <v>0.2</v>
      </c>
      <c r="BK1539">
        <v>1</v>
      </c>
      <c r="BL1539" s="4">
        <v>50.45</v>
      </c>
      <c r="BM1539" s="4">
        <v>7.57</v>
      </c>
      <c r="BN1539" s="4">
        <v>58.02</v>
      </c>
      <c r="BO1539" s="4">
        <v>58.02</v>
      </c>
      <c r="BQ1539" t="s">
        <v>147</v>
      </c>
      <c r="BR1539" t="s">
        <v>84</v>
      </c>
      <c r="BS1539" s="3">
        <v>43817</v>
      </c>
      <c r="BT1539" s="5">
        <v>0.40972222222222227</v>
      </c>
      <c r="BU1539" t="s">
        <v>1503</v>
      </c>
      <c r="BV1539" t="s">
        <v>86</v>
      </c>
      <c r="BY1539">
        <v>1200</v>
      </c>
      <c r="CA1539" t="s">
        <v>185</v>
      </c>
      <c r="CC1539" t="s">
        <v>362</v>
      </c>
      <c r="CD1539">
        <v>6220</v>
      </c>
      <c r="CE1539" t="s">
        <v>88</v>
      </c>
      <c r="CF1539" s="3">
        <v>43818</v>
      </c>
      <c r="CI1539">
        <v>1</v>
      </c>
      <c r="CJ1539">
        <v>1</v>
      </c>
      <c r="CK1539">
        <v>21</v>
      </c>
      <c r="CL1539" t="s">
        <v>89</v>
      </c>
    </row>
    <row r="1540" spans="1:90">
      <c r="A1540" t="s">
        <v>72</v>
      </c>
      <c r="B1540" t="s">
        <v>73</v>
      </c>
      <c r="C1540" t="s">
        <v>74</v>
      </c>
      <c r="E1540" t="str">
        <f>"FES1162728651"</f>
        <v>FES1162728651</v>
      </c>
      <c r="F1540" s="3">
        <v>43816</v>
      </c>
      <c r="G1540">
        <v>202006</v>
      </c>
      <c r="H1540" t="s">
        <v>75</v>
      </c>
      <c r="I1540" t="s">
        <v>76</v>
      </c>
      <c r="J1540" t="s">
        <v>77</v>
      </c>
      <c r="K1540" t="s">
        <v>78</v>
      </c>
      <c r="L1540" t="s">
        <v>361</v>
      </c>
      <c r="M1540" t="s">
        <v>362</v>
      </c>
      <c r="N1540" t="s">
        <v>1000</v>
      </c>
      <c r="O1540" t="s">
        <v>82</v>
      </c>
      <c r="P1540" t="str">
        <f>"217071861                     "</f>
        <v xml:space="preserve">217071861                     </v>
      </c>
      <c r="Q1540">
        <v>0</v>
      </c>
      <c r="R1540">
        <v>0</v>
      </c>
      <c r="S1540">
        <v>0</v>
      </c>
      <c r="T1540">
        <v>0</v>
      </c>
      <c r="U1540">
        <v>0</v>
      </c>
      <c r="V1540">
        <v>0</v>
      </c>
      <c r="W1540">
        <v>0</v>
      </c>
      <c r="X1540">
        <v>0</v>
      </c>
      <c r="Y1540">
        <v>0</v>
      </c>
      <c r="Z1540">
        <v>0</v>
      </c>
      <c r="AA1540">
        <v>0</v>
      </c>
      <c r="AB1540">
        <v>0</v>
      </c>
      <c r="AC1540">
        <v>0</v>
      </c>
      <c r="AD1540">
        <v>0</v>
      </c>
      <c r="AE1540">
        <v>0</v>
      </c>
      <c r="AF1540">
        <v>0</v>
      </c>
      <c r="AG1540">
        <v>0</v>
      </c>
      <c r="AH1540">
        <v>0</v>
      </c>
      <c r="AI1540">
        <v>0</v>
      </c>
      <c r="AJ1540">
        <v>0</v>
      </c>
      <c r="AK1540">
        <v>0</v>
      </c>
      <c r="AL1540">
        <v>0</v>
      </c>
      <c r="AM1540">
        <v>8.58</v>
      </c>
      <c r="AN1540">
        <v>0</v>
      </c>
      <c r="AO1540">
        <v>0</v>
      </c>
      <c r="AP1540">
        <v>0</v>
      </c>
      <c r="AQ1540">
        <v>0</v>
      </c>
      <c r="AR1540">
        <v>0</v>
      </c>
      <c r="AS1540">
        <v>0</v>
      </c>
      <c r="AT1540">
        <v>0</v>
      </c>
      <c r="AU1540">
        <v>0</v>
      </c>
      <c r="AV1540">
        <v>0</v>
      </c>
      <c r="AW1540">
        <v>0</v>
      </c>
      <c r="AX1540">
        <v>0</v>
      </c>
      <c r="AY1540">
        <v>0</v>
      </c>
      <c r="AZ1540">
        <v>0</v>
      </c>
      <c r="BA1540">
        <v>0</v>
      </c>
      <c r="BB1540">
        <v>0</v>
      </c>
      <c r="BC1540">
        <v>0</v>
      </c>
      <c r="BD1540">
        <v>0</v>
      </c>
      <c r="BE1540">
        <v>0</v>
      </c>
      <c r="BF1540">
        <v>0</v>
      </c>
      <c r="BG1540">
        <v>0</v>
      </c>
      <c r="BH1540">
        <v>1</v>
      </c>
      <c r="BI1540">
        <v>1</v>
      </c>
      <c r="BJ1540">
        <v>0.2</v>
      </c>
      <c r="BK1540">
        <v>1</v>
      </c>
      <c r="BL1540" s="4">
        <v>50.45</v>
      </c>
      <c r="BM1540" s="4">
        <v>7.57</v>
      </c>
      <c r="BN1540" s="4">
        <v>58.02</v>
      </c>
      <c r="BO1540" s="4">
        <v>58.02</v>
      </c>
      <c r="BQ1540" t="s">
        <v>1001</v>
      </c>
      <c r="BR1540" t="s">
        <v>84</v>
      </c>
      <c r="BS1540" s="3">
        <v>43817</v>
      </c>
      <c r="BT1540" s="5">
        <v>0.46111111111111108</v>
      </c>
      <c r="BU1540" t="s">
        <v>1976</v>
      </c>
      <c r="BV1540" t="s">
        <v>89</v>
      </c>
      <c r="BW1540" t="s">
        <v>593</v>
      </c>
      <c r="BX1540" t="s">
        <v>1100</v>
      </c>
      <c r="BY1540">
        <v>1200</v>
      </c>
      <c r="CA1540" t="s">
        <v>185</v>
      </c>
      <c r="CC1540" t="s">
        <v>362</v>
      </c>
      <c r="CD1540">
        <v>6220</v>
      </c>
      <c r="CE1540" t="s">
        <v>88</v>
      </c>
      <c r="CF1540" s="3">
        <v>43818</v>
      </c>
      <c r="CI1540">
        <v>1</v>
      </c>
      <c r="CJ1540">
        <v>1</v>
      </c>
      <c r="CK1540">
        <v>21</v>
      </c>
      <c r="CL1540" t="s">
        <v>89</v>
      </c>
    </row>
    <row r="1541" spans="1:90">
      <c r="A1541" t="s">
        <v>72</v>
      </c>
      <c r="B1541" t="s">
        <v>73</v>
      </c>
      <c r="C1541" t="s">
        <v>74</v>
      </c>
      <c r="E1541" t="str">
        <f>"FES1162728558"</f>
        <v>FES1162728558</v>
      </c>
      <c r="F1541" s="3">
        <v>43816</v>
      </c>
      <c r="G1541">
        <v>202006</v>
      </c>
      <c r="H1541" t="s">
        <v>75</v>
      </c>
      <c r="I1541" t="s">
        <v>76</v>
      </c>
      <c r="J1541" t="s">
        <v>77</v>
      </c>
      <c r="K1541" t="s">
        <v>78</v>
      </c>
      <c r="L1541" t="s">
        <v>79</v>
      </c>
      <c r="M1541" t="s">
        <v>80</v>
      </c>
      <c r="N1541" t="s">
        <v>97</v>
      </c>
      <c r="O1541" t="s">
        <v>82</v>
      </c>
      <c r="P1541" t="str">
        <f>"2170718355                    "</f>
        <v xml:space="preserve">2170718355                    </v>
      </c>
      <c r="Q1541">
        <v>0</v>
      </c>
      <c r="R1541">
        <v>0</v>
      </c>
      <c r="S1541">
        <v>0</v>
      </c>
      <c r="T1541">
        <v>0</v>
      </c>
      <c r="U1541">
        <v>0</v>
      </c>
      <c r="V1541">
        <v>0</v>
      </c>
      <c r="W1541">
        <v>0</v>
      </c>
      <c r="X1541">
        <v>0</v>
      </c>
      <c r="Y1541">
        <v>0</v>
      </c>
      <c r="Z1541">
        <v>0</v>
      </c>
      <c r="AA1541">
        <v>0</v>
      </c>
      <c r="AB1541">
        <v>0</v>
      </c>
      <c r="AC1541">
        <v>0</v>
      </c>
      <c r="AD1541">
        <v>0</v>
      </c>
      <c r="AE1541">
        <v>0</v>
      </c>
      <c r="AF1541">
        <v>0</v>
      </c>
      <c r="AG1541">
        <v>0</v>
      </c>
      <c r="AH1541">
        <v>0</v>
      </c>
      <c r="AI1541">
        <v>0</v>
      </c>
      <c r="AJ1541">
        <v>0</v>
      </c>
      <c r="AK1541">
        <v>0</v>
      </c>
      <c r="AL1541">
        <v>0</v>
      </c>
      <c r="AM1541">
        <v>8.58</v>
      </c>
      <c r="AN1541">
        <v>0</v>
      </c>
      <c r="AO1541">
        <v>0</v>
      </c>
      <c r="AP1541">
        <v>0</v>
      </c>
      <c r="AQ1541">
        <v>0</v>
      </c>
      <c r="AR1541">
        <v>0</v>
      </c>
      <c r="AS1541">
        <v>0</v>
      </c>
      <c r="AT1541">
        <v>0</v>
      </c>
      <c r="AU1541">
        <v>0</v>
      </c>
      <c r="AV1541">
        <v>0</v>
      </c>
      <c r="AW1541">
        <v>0</v>
      </c>
      <c r="AX1541">
        <v>0</v>
      </c>
      <c r="AY1541">
        <v>0</v>
      </c>
      <c r="AZ1541">
        <v>0</v>
      </c>
      <c r="BA1541">
        <v>0</v>
      </c>
      <c r="BB1541">
        <v>0</v>
      </c>
      <c r="BC1541">
        <v>0</v>
      </c>
      <c r="BD1541">
        <v>0</v>
      </c>
      <c r="BE1541">
        <v>0</v>
      </c>
      <c r="BF1541">
        <v>0</v>
      </c>
      <c r="BG1541">
        <v>0</v>
      </c>
      <c r="BH1541">
        <v>1</v>
      </c>
      <c r="BI1541">
        <v>1</v>
      </c>
      <c r="BJ1541">
        <v>0.2</v>
      </c>
      <c r="BK1541">
        <v>1</v>
      </c>
      <c r="BL1541" s="4">
        <v>50.45</v>
      </c>
      <c r="BM1541" s="4">
        <v>7.57</v>
      </c>
      <c r="BN1541" s="4">
        <v>58.02</v>
      </c>
      <c r="BO1541" s="4">
        <v>58.02</v>
      </c>
      <c r="BQ1541" t="s">
        <v>93</v>
      </c>
      <c r="BR1541" t="s">
        <v>84</v>
      </c>
      <c r="BS1541" s="3">
        <v>43817</v>
      </c>
      <c r="BT1541" s="5">
        <v>0.33333333333333331</v>
      </c>
      <c r="BU1541" t="s">
        <v>98</v>
      </c>
      <c r="BV1541" t="s">
        <v>86</v>
      </c>
      <c r="BY1541">
        <v>1200</v>
      </c>
      <c r="CC1541" t="s">
        <v>80</v>
      </c>
      <c r="CD1541">
        <v>6001</v>
      </c>
      <c r="CE1541" t="s">
        <v>88</v>
      </c>
      <c r="CF1541" s="3">
        <v>43818</v>
      </c>
      <c r="CI1541">
        <v>1</v>
      </c>
      <c r="CJ1541">
        <v>1</v>
      </c>
      <c r="CK1541">
        <v>21</v>
      </c>
      <c r="CL1541" t="s">
        <v>89</v>
      </c>
    </row>
    <row r="1542" spans="1:90">
      <c r="A1542" t="s">
        <v>72</v>
      </c>
      <c r="B1542" t="s">
        <v>73</v>
      </c>
      <c r="C1542" t="s">
        <v>74</v>
      </c>
      <c r="E1542" t="str">
        <f>"FES1162728688"</f>
        <v>FES1162728688</v>
      </c>
      <c r="F1542" s="3">
        <v>43816</v>
      </c>
      <c r="G1542">
        <v>202006</v>
      </c>
      <c r="H1542" t="s">
        <v>75</v>
      </c>
      <c r="I1542" t="s">
        <v>76</v>
      </c>
      <c r="J1542" t="s">
        <v>77</v>
      </c>
      <c r="K1542" t="s">
        <v>78</v>
      </c>
      <c r="L1542" t="s">
        <v>79</v>
      </c>
      <c r="M1542" t="s">
        <v>80</v>
      </c>
      <c r="N1542" t="s">
        <v>388</v>
      </c>
      <c r="O1542" t="s">
        <v>82</v>
      </c>
      <c r="P1542" t="str">
        <f>"2170721882                    "</f>
        <v xml:space="preserve">2170721882                    </v>
      </c>
      <c r="Q1542">
        <v>0</v>
      </c>
      <c r="R1542">
        <v>0</v>
      </c>
      <c r="S1542">
        <v>0</v>
      </c>
      <c r="T1542">
        <v>0</v>
      </c>
      <c r="U1542">
        <v>0</v>
      </c>
      <c r="V1542">
        <v>0</v>
      </c>
      <c r="W1542">
        <v>0</v>
      </c>
      <c r="X1542">
        <v>0</v>
      </c>
      <c r="Y1542">
        <v>0</v>
      </c>
      <c r="Z1542">
        <v>0</v>
      </c>
      <c r="AA1542">
        <v>0</v>
      </c>
      <c r="AB1542">
        <v>0</v>
      </c>
      <c r="AC1542">
        <v>0</v>
      </c>
      <c r="AD1542">
        <v>0</v>
      </c>
      <c r="AE1542">
        <v>0</v>
      </c>
      <c r="AF1542">
        <v>0</v>
      </c>
      <c r="AG1542">
        <v>0</v>
      </c>
      <c r="AH1542">
        <v>0</v>
      </c>
      <c r="AI1542">
        <v>0</v>
      </c>
      <c r="AJ1542">
        <v>0</v>
      </c>
      <c r="AK1542">
        <v>0</v>
      </c>
      <c r="AL1542">
        <v>0</v>
      </c>
      <c r="AM1542">
        <v>8.58</v>
      </c>
      <c r="AN1542">
        <v>0</v>
      </c>
      <c r="AO1542">
        <v>0</v>
      </c>
      <c r="AP1542">
        <v>0</v>
      </c>
      <c r="AQ1542">
        <v>0</v>
      </c>
      <c r="AR1542">
        <v>0</v>
      </c>
      <c r="AS1542">
        <v>0</v>
      </c>
      <c r="AT1542">
        <v>0</v>
      </c>
      <c r="AU1542">
        <v>0</v>
      </c>
      <c r="AV1542">
        <v>0</v>
      </c>
      <c r="AW1542">
        <v>0</v>
      </c>
      <c r="AX1542">
        <v>0</v>
      </c>
      <c r="AY1542">
        <v>0</v>
      </c>
      <c r="AZ1542">
        <v>0</v>
      </c>
      <c r="BA1542">
        <v>0</v>
      </c>
      <c r="BB1542">
        <v>0</v>
      </c>
      <c r="BC1542">
        <v>0</v>
      </c>
      <c r="BD1542">
        <v>0</v>
      </c>
      <c r="BE1542">
        <v>0</v>
      </c>
      <c r="BF1542">
        <v>0</v>
      </c>
      <c r="BG1542">
        <v>0</v>
      </c>
      <c r="BH1542">
        <v>1</v>
      </c>
      <c r="BI1542">
        <v>1</v>
      </c>
      <c r="BJ1542">
        <v>0.2</v>
      </c>
      <c r="BK1542">
        <v>1</v>
      </c>
      <c r="BL1542" s="4">
        <v>50.45</v>
      </c>
      <c r="BM1542" s="4">
        <v>7.57</v>
      </c>
      <c r="BN1542" s="4">
        <v>58.02</v>
      </c>
      <c r="BO1542" s="4">
        <v>58.02</v>
      </c>
      <c r="BQ1542" t="s">
        <v>147</v>
      </c>
      <c r="BR1542" t="s">
        <v>84</v>
      </c>
      <c r="BS1542" s="3">
        <v>43817</v>
      </c>
      <c r="BT1542" s="5">
        <v>0.375</v>
      </c>
      <c r="BU1542" t="s">
        <v>368</v>
      </c>
      <c r="BV1542" t="s">
        <v>86</v>
      </c>
      <c r="BY1542">
        <v>1200</v>
      </c>
      <c r="CA1542" t="s">
        <v>131</v>
      </c>
      <c r="CC1542" t="s">
        <v>80</v>
      </c>
      <c r="CD1542">
        <v>6001</v>
      </c>
      <c r="CE1542" t="s">
        <v>88</v>
      </c>
      <c r="CF1542" s="3">
        <v>43818</v>
      </c>
      <c r="CI1542">
        <v>1</v>
      </c>
      <c r="CJ1542">
        <v>1</v>
      </c>
      <c r="CK1542">
        <v>21</v>
      </c>
      <c r="CL1542" t="s">
        <v>89</v>
      </c>
    </row>
    <row r="1543" spans="1:90">
      <c r="A1543" t="s">
        <v>72</v>
      </c>
      <c r="B1543" t="s">
        <v>73</v>
      </c>
      <c r="C1543" t="s">
        <v>74</v>
      </c>
      <c r="E1543" t="str">
        <f>"FES1162728644"</f>
        <v>FES1162728644</v>
      </c>
      <c r="F1543" s="3">
        <v>43816</v>
      </c>
      <c r="G1543">
        <v>202006</v>
      </c>
      <c r="H1543" t="s">
        <v>75</v>
      </c>
      <c r="I1543" t="s">
        <v>76</v>
      </c>
      <c r="J1543" t="s">
        <v>77</v>
      </c>
      <c r="K1543" t="s">
        <v>78</v>
      </c>
      <c r="L1543" t="s">
        <v>164</v>
      </c>
      <c r="M1543" t="s">
        <v>165</v>
      </c>
      <c r="N1543" t="s">
        <v>238</v>
      </c>
      <c r="O1543" t="s">
        <v>82</v>
      </c>
      <c r="P1543" t="str">
        <f>"217072199993                  "</f>
        <v xml:space="preserve">217072199993                  </v>
      </c>
      <c r="Q1543">
        <v>0</v>
      </c>
      <c r="R1543">
        <v>0</v>
      </c>
      <c r="S1543">
        <v>0</v>
      </c>
      <c r="T1543">
        <v>0</v>
      </c>
      <c r="U1543">
        <v>0</v>
      </c>
      <c r="V1543">
        <v>0</v>
      </c>
      <c r="W1543">
        <v>0</v>
      </c>
      <c r="X1543">
        <v>0</v>
      </c>
      <c r="Y1543">
        <v>0</v>
      </c>
      <c r="Z1543">
        <v>0</v>
      </c>
      <c r="AA1543">
        <v>0</v>
      </c>
      <c r="AB1543">
        <v>0</v>
      </c>
      <c r="AC1543">
        <v>0</v>
      </c>
      <c r="AD1543">
        <v>0</v>
      </c>
      <c r="AE1543">
        <v>0</v>
      </c>
      <c r="AF1543">
        <v>0</v>
      </c>
      <c r="AG1543">
        <v>0</v>
      </c>
      <c r="AH1543">
        <v>0</v>
      </c>
      <c r="AI1543">
        <v>0</v>
      </c>
      <c r="AJ1543">
        <v>0</v>
      </c>
      <c r="AK1543">
        <v>0</v>
      </c>
      <c r="AL1543">
        <v>0</v>
      </c>
      <c r="AM1543">
        <v>8.58</v>
      </c>
      <c r="AN1543">
        <v>0</v>
      </c>
      <c r="AO1543">
        <v>0</v>
      </c>
      <c r="AP1543">
        <v>0</v>
      </c>
      <c r="AQ1543">
        <v>0</v>
      </c>
      <c r="AR1543">
        <v>0</v>
      </c>
      <c r="AS1543">
        <v>0</v>
      </c>
      <c r="AT1543">
        <v>0</v>
      </c>
      <c r="AU1543">
        <v>0</v>
      </c>
      <c r="AV1543">
        <v>0</v>
      </c>
      <c r="AW1543">
        <v>0</v>
      </c>
      <c r="AX1543">
        <v>0</v>
      </c>
      <c r="AY1543">
        <v>0</v>
      </c>
      <c r="AZ1543">
        <v>0</v>
      </c>
      <c r="BA1543">
        <v>0</v>
      </c>
      <c r="BB1543">
        <v>0</v>
      </c>
      <c r="BC1543">
        <v>0</v>
      </c>
      <c r="BD1543">
        <v>0</v>
      </c>
      <c r="BE1543">
        <v>0</v>
      </c>
      <c r="BF1543">
        <v>0</v>
      </c>
      <c r="BG1543">
        <v>0</v>
      </c>
      <c r="BH1543">
        <v>1</v>
      </c>
      <c r="BI1543">
        <v>1</v>
      </c>
      <c r="BJ1543">
        <v>0.2</v>
      </c>
      <c r="BK1543">
        <v>1</v>
      </c>
      <c r="BL1543" s="4">
        <v>50.45</v>
      </c>
      <c r="BM1543" s="4">
        <v>7.57</v>
      </c>
      <c r="BN1543" s="4">
        <v>58.02</v>
      </c>
      <c r="BO1543" s="4">
        <v>58.02</v>
      </c>
      <c r="BQ1543" t="s">
        <v>147</v>
      </c>
      <c r="BR1543" t="s">
        <v>84</v>
      </c>
      <c r="BS1543" s="3">
        <v>43817</v>
      </c>
      <c r="BT1543" s="5">
        <v>0.37777777777777777</v>
      </c>
      <c r="BU1543" t="s">
        <v>1977</v>
      </c>
      <c r="BV1543" t="s">
        <v>86</v>
      </c>
      <c r="BY1543">
        <v>1200</v>
      </c>
      <c r="CA1543" t="s">
        <v>168</v>
      </c>
      <c r="CC1543" t="s">
        <v>165</v>
      </c>
      <c r="CD1543">
        <v>5201</v>
      </c>
      <c r="CE1543" t="s">
        <v>88</v>
      </c>
      <c r="CF1543" s="3">
        <v>43819</v>
      </c>
      <c r="CI1543">
        <v>1</v>
      </c>
      <c r="CJ1543">
        <v>1</v>
      </c>
      <c r="CK1543">
        <v>21</v>
      </c>
      <c r="CL1543" t="s">
        <v>89</v>
      </c>
    </row>
    <row r="1544" spans="1:90">
      <c r="A1544" t="s">
        <v>72</v>
      </c>
      <c r="B1544" t="s">
        <v>73</v>
      </c>
      <c r="C1544" t="s">
        <v>74</v>
      </c>
      <c r="E1544" t="str">
        <f>"FES1162728637"</f>
        <v>FES1162728637</v>
      </c>
      <c r="F1544" s="3">
        <v>43816</v>
      </c>
      <c r="G1544">
        <v>202006</v>
      </c>
      <c r="H1544" t="s">
        <v>75</v>
      </c>
      <c r="I1544" t="s">
        <v>76</v>
      </c>
      <c r="J1544" t="s">
        <v>77</v>
      </c>
      <c r="K1544" t="s">
        <v>78</v>
      </c>
      <c r="L1544" t="s">
        <v>213</v>
      </c>
      <c r="M1544" t="s">
        <v>214</v>
      </c>
      <c r="N1544" t="s">
        <v>303</v>
      </c>
      <c r="O1544" t="s">
        <v>82</v>
      </c>
      <c r="P1544" t="str">
        <f>"2170719594                    "</f>
        <v xml:space="preserve">2170719594                    </v>
      </c>
      <c r="Q1544">
        <v>0</v>
      </c>
      <c r="R1544">
        <v>0</v>
      </c>
      <c r="S1544">
        <v>0</v>
      </c>
      <c r="T1544">
        <v>0</v>
      </c>
      <c r="U1544">
        <v>0</v>
      </c>
      <c r="V1544">
        <v>0</v>
      </c>
      <c r="W1544">
        <v>0</v>
      </c>
      <c r="X1544">
        <v>0</v>
      </c>
      <c r="Y1544">
        <v>0</v>
      </c>
      <c r="Z1544">
        <v>0</v>
      </c>
      <c r="AA1544">
        <v>0</v>
      </c>
      <c r="AB1544">
        <v>0</v>
      </c>
      <c r="AC1544">
        <v>0</v>
      </c>
      <c r="AD1544">
        <v>0</v>
      </c>
      <c r="AE1544">
        <v>0</v>
      </c>
      <c r="AF1544">
        <v>0</v>
      </c>
      <c r="AG1544">
        <v>0</v>
      </c>
      <c r="AH1544">
        <v>0</v>
      </c>
      <c r="AI1544">
        <v>0</v>
      </c>
      <c r="AJ1544">
        <v>0</v>
      </c>
      <c r="AK1544">
        <v>0</v>
      </c>
      <c r="AL1544">
        <v>0</v>
      </c>
      <c r="AM1544">
        <v>8.58</v>
      </c>
      <c r="AN1544">
        <v>0</v>
      </c>
      <c r="AO1544">
        <v>0</v>
      </c>
      <c r="AP1544">
        <v>0</v>
      </c>
      <c r="AQ1544">
        <v>0</v>
      </c>
      <c r="AR1544">
        <v>0</v>
      </c>
      <c r="AS1544">
        <v>0</v>
      </c>
      <c r="AT1544">
        <v>0</v>
      </c>
      <c r="AU1544">
        <v>0</v>
      </c>
      <c r="AV1544">
        <v>0</v>
      </c>
      <c r="AW1544">
        <v>0</v>
      </c>
      <c r="AX1544">
        <v>0</v>
      </c>
      <c r="AY1544">
        <v>0</v>
      </c>
      <c r="AZ1544">
        <v>0</v>
      </c>
      <c r="BA1544">
        <v>0</v>
      </c>
      <c r="BB1544">
        <v>0</v>
      </c>
      <c r="BC1544">
        <v>0</v>
      </c>
      <c r="BD1544">
        <v>0</v>
      </c>
      <c r="BE1544">
        <v>0</v>
      </c>
      <c r="BF1544">
        <v>0</v>
      </c>
      <c r="BG1544">
        <v>0</v>
      </c>
      <c r="BH1544">
        <v>1</v>
      </c>
      <c r="BI1544">
        <v>1</v>
      </c>
      <c r="BJ1544">
        <v>0.2</v>
      </c>
      <c r="BK1544">
        <v>1</v>
      </c>
      <c r="BL1544" s="4">
        <v>50.45</v>
      </c>
      <c r="BM1544" s="4">
        <v>7.57</v>
      </c>
      <c r="BN1544" s="4">
        <v>58.02</v>
      </c>
      <c r="BO1544" s="4">
        <v>58.02</v>
      </c>
      <c r="BQ1544" t="s">
        <v>147</v>
      </c>
      <c r="BR1544" t="s">
        <v>84</v>
      </c>
      <c r="BS1544" s="3">
        <v>43817</v>
      </c>
      <c r="BT1544" s="5">
        <v>0.3263888888888889</v>
      </c>
      <c r="BU1544" t="s">
        <v>1970</v>
      </c>
      <c r="BV1544" t="s">
        <v>86</v>
      </c>
      <c r="BY1544">
        <v>1200</v>
      </c>
      <c r="CA1544" t="s">
        <v>302</v>
      </c>
      <c r="CC1544" t="s">
        <v>214</v>
      </c>
      <c r="CD1544">
        <v>6230</v>
      </c>
      <c r="CE1544" t="s">
        <v>88</v>
      </c>
      <c r="CF1544" s="3">
        <v>43818</v>
      </c>
      <c r="CI1544">
        <v>1</v>
      </c>
      <c r="CJ1544">
        <v>1</v>
      </c>
      <c r="CK1544">
        <v>21</v>
      </c>
      <c r="CL1544" t="s">
        <v>89</v>
      </c>
    </row>
    <row r="1545" spans="1:90">
      <c r="A1545" t="s">
        <v>72</v>
      </c>
      <c r="B1545" t="s">
        <v>73</v>
      </c>
      <c r="C1545" t="s">
        <v>74</v>
      </c>
      <c r="E1545" t="str">
        <f>"FES1162728525"</f>
        <v>FES1162728525</v>
      </c>
      <c r="F1545" s="3">
        <v>43816</v>
      </c>
      <c r="G1545">
        <v>202006</v>
      </c>
      <c r="H1545" t="s">
        <v>75</v>
      </c>
      <c r="I1545" t="s">
        <v>76</v>
      </c>
      <c r="J1545" t="s">
        <v>77</v>
      </c>
      <c r="K1545" t="s">
        <v>78</v>
      </c>
      <c r="L1545" t="s">
        <v>79</v>
      </c>
      <c r="M1545" t="s">
        <v>80</v>
      </c>
      <c r="N1545" t="s">
        <v>97</v>
      </c>
      <c r="O1545" t="s">
        <v>82</v>
      </c>
      <c r="P1545" t="str">
        <f>"20170716374                   "</f>
        <v xml:space="preserve">20170716374                   </v>
      </c>
      <c r="Q1545">
        <v>0</v>
      </c>
      <c r="R1545">
        <v>0</v>
      </c>
      <c r="S1545">
        <v>0</v>
      </c>
      <c r="T1545">
        <v>0</v>
      </c>
      <c r="U1545">
        <v>0</v>
      </c>
      <c r="V1545">
        <v>0</v>
      </c>
      <c r="W1545">
        <v>0</v>
      </c>
      <c r="X1545">
        <v>0</v>
      </c>
      <c r="Y1545">
        <v>0</v>
      </c>
      <c r="Z1545">
        <v>0</v>
      </c>
      <c r="AA1545">
        <v>0</v>
      </c>
      <c r="AB1545">
        <v>0</v>
      </c>
      <c r="AC1545">
        <v>0</v>
      </c>
      <c r="AD1545">
        <v>0</v>
      </c>
      <c r="AE1545">
        <v>0</v>
      </c>
      <c r="AF1545">
        <v>0</v>
      </c>
      <c r="AG1545">
        <v>0</v>
      </c>
      <c r="AH1545">
        <v>0</v>
      </c>
      <c r="AI1545">
        <v>0</v>
      </c>
      <c r="AJ1545">
        <v>0</v>
      </c>
      <c r="AK1545">
        <v>0</v>
      </c>
      <c r="AL1545">
        <v>0</v>
      </c>
      <c r="AM1545">
        <v>8.58</v>
      </c>
      <c r="AN1545">
        <v>0</v>
      </c>
      <c r="AO1545">
        <v>0</v>
      </c>
      <c r="AP1545">
        <v>0</v>
      </c>
      <c r="AQ1545">
        <v>0</v>
      </c>
      <c r="AR1545">
        <v>0</v>
      </c>
      <c r="AS1545">
        <v>0</v>
      </c>
      <c r="AT1545">
        <v>0</v>
      </c>
      <c r="AU1545">
        <v>0</v>
      </c>
      <c r="AV1545">
        <v>0</v>
      </c>
      <c r="AW1545">
        <v>0</v>
      </c>
      <c r="AX1545">
        <v>0</v>
      </c>
      <c r="AY1545">
        <v>0</v>
      </c>
      <c r="AZ1545">
        <v>0</v>
      </c>
      <c r="BA1545">
        <v>0</v>
      </c>
      <c r="BB1545">
        <v>0</v>
      </c>
      <c r="BC1545">
        <v>0</v>
      </c>
      <c r="BD1545">
        <v>0</v>
      </c>
      <c r="BE1545">
        <v>0</v>
      </c>
      <c r="BF1545">
        <v>0</v>
      </c>
      <c r="BG1545">
        <v>0</v>
      </c>
      <c r="BH1545">
        <v>1</v>
      </c>
      <c r="BI1545">
        <v>1</v>
      </c>
      <c r="BJ1545">
        <v>0.2</v>
      </c>
      <c r="BK1545">
        <v>1</v>
      </c>
      <c r="BL1545" s="4">
        <v>50.45</v>
      </c>
      <c r="BM1545" s="4">
        <v>7.57</v>
      </c>
      <c r="BN1545" s="4">
        <v>58.02</v>
      </c>
      <c r="BO1545" s="4">
        <v>58.02</v>
      </c>
      <c r="BQ1545" t="s">
        <v>93</v>
      </c>
      <c r="BR1545" t="s">
        <v>84</v>
      </c>
      <c r="BS1545" s="3">
        <v>43817</v>
      </c>
      <c r="BT1545" s="5">
        <v>0.33333333333333331</v>
      </c>
      <c r="BU1545" t="s">
        <v>98</v>
      </c>
      <c r="BV1545" t="s">
        <v>86</v>
      </c>
      <c r="BY1545">
        <v>1200</v>
      </c>
      <c r="CA1545" t="s">
        <v>99</v>
      </c>
      <c r="CC1545" t="s">
        <v>80</v>
      </c>
      <c r="CD1545">
        <v>6001</v>
      </c>
      <c r="CE1545" t="s">
        <v>88</v>
      </c>
      <c r="CF1545" s="3">
        <v>43818</v>
      </c>
      <c r="CI1545">
        <v>1</v>
      </c>
      <c r="CJ1545">
        <v>1</v>
      </c>
      <c r="CK1545">
        <v>21</v>
      </c>
      <c r="CL1545" t="s">
        <v>89</v>
      </c>
    </row>
    <row r="1546" spans="1:90">
      <c r="A1546" t="s">
        <v>72</v>
      </c>
      <c r="B1546" t="s">
        <v>73</v>
      </c>
      <c r="C1546" t="s">
        <v>74</v>
      </c>
      <c r="E1546" t="str">
        <f>"FES1162728654"</f>
        <v>FES1162728654</v>
      </c>
      <c r="F1546" s="3">
        <v>43816</v>
      </c>
      <c r="G1546">
        <v>202006</v>
      </c>
      <c r="H1546" t="s">
        <v>75</v>
      </c>
      <c r="I1546" t="s">
        <v>76</v>
      </c>
      <c r="J1546" t="s">
        <v>77</v>
      </c>
      <c r="K1546" t="s">
        <v>78</v>
      </c>
      <c r="L1546" t="s">
        <v>79</v>
      </c>
      <c r="M1546" t="s">
        <v>80</v>
      </c>
      <c r="N1546" t="s">
        <v>129</v>
      </c>
      <c r="O1546" t="s">
        <v>82</v>
      </c>
      <c r="P1546" t="str">
        <f>"2170721864                    "</f>
        <v xml:space="preserve">2170721864                    </v>
      </c>
      <c r="Q1546">
        <v>0</v>
      </c>
      <c r="R1546">
        <v>0</v>
      </c>
      <c r="S1546">
        <v>0</v>
      </c>
      <c r="T1546">
        <v>0</v>
      </c>
      <c r="U1546">
        <v>0</v>
      </c>
      <c r="V1546">
        <v>0</v>
      </c>
      <c r="W1546">
        <v>0</v>
      </c>
      <c r="X1546">
        <v>0</v>
      </c>
      <c r="Y1546">
        <v>0</v>
      </c>
      <c r="Z1546">
        <v>0</v>
      </c>
      <c r="AA1546">
        <v>0</v>
      </c>
      <c r="AB1546">
        <v>0</v>
      </c>
      <c r="AC1546">
        <v>0</v>
      </c>
      <c r="AD1546">
        <v>0</v>
      </c>
      <c r="AE1546">
        <v>0</v>
      </c>
      <c r="AF1546">
        <v>0</v>
      </c>
      <c r="AG1546">
        <v>0</v>
      </c>
      <c r="AH1546">
        <v>0</v>
      </c>
      <c r="AI1546">
        <v>0</v>
      </c>
      <c r="AJ1546">
        <v>0</v>
      </c>
      <c r="AK1546">
        <v>0</v>
      </c>
      <c r="AL1546">
        <v>0</v>
      </c>
      <c r="AM1546">
        <v>8.58</v>
      </c>
      <c r="AN1546">
        <v>0</v>
      </c>
      <c r="AO1546">
        <v>0</v>
      </c>
      <c r="AP1546">
        <v>0</v>
      </c>
      <c r="AQ1546">
        <v>0</v>
      </c>
      <c r="AR1546">
        <v>0</v>
      </c>
      <c r="AS1546">
        <v>0</v>
      </c>
      <c r="AT1546">
        <v>0</v>
      </c>
      <c r="AU1546">
        <v>0</v>
      </c>
      <c r="AV1546">
        <v>0</v>
      </c>
      <c r="AW1546">
        <v>0</v>
      </c>
      <c r="AX1546">
        <v>0</v>
      </c>
      <c r="AY1546">
        <v>0</v>
      </c>
      <c r="AZ1546">
        <v>0</v>
      </c>
      <c r="BA1546">
        <v>0</v>
      </c>
      <c r="BB1546">
        <v>0</v>
      </c>
      <c r="BC1546">
        <v>0</v>
      </c>
      <c r="BD1546">
        <v>0</v>
      </c>
      <c r="BE1546">
        <v>0</v>
      </c>
      <c r="BF1546">
        <v>0</v>
      </c>
      <c r="BG1546">
        <v>0</v>
      </c>
      <c r="BH1546">
        <v>1</v>
      </c>
      <c r="BI1546">
        <v>1</v>
      </c>
      <c r="BJ1546">
        <v>0.2</v>
      </c>
      <c r="BK1546">
        <v>1</v>
      </c>
      <c r="BL1546" s="4">
        <v>50.45</v>
      </c>
      <c r="BM1546" s="4">
        <v>7.57</v>
      </c>
      <c r="BN1546" s="4">
        <v>58.02</v>
      </c>
      <c r="BO1546" s="4">
        <v>58.02</v>
      </c>
      <c r="BQ1546" t="s">
        <v>147</v>
      </c>
      <c r="BR1546" t="s">
        <v>84</v>
      </c>
      <c r="BS1546" s="3">
        <v>43817</v>
      </c>
      <c r="BT1546" s="5">
        <v>0.37916666666666665</v>
      </c>
      <c r="BU1546" t="s">
        <v>1648</v>
      </c>
      <c r="BV1546" t="s">
        <v>86</v>
      </c>
      <c r="BY1546">
        <v>1200</v>
      </c>
      <c r="CA1546" t="s">
        <v>131</v>
      </c>
      <c r="CC1546" t="s">
        <v>80</v>
      </c>
      <c r="CD1546">
        <v>6001</v>
      </c>
      <c r="CE1546" t="s">
        <v>88</v>
      </c>
      <c r="CF1546" s="3">
        <v>43818</v>
      </c>
      <c r="CI1546">
        <v>1</v>
      </c>
      <c r="CJ1546">
        <v>1</v>
      </c>
      <c r="CK1546">
        <v>21</v>
      </c>
      <c r="CL1546" t="s">
        <v>89</v>
      </c>
    </row>
    <row r="1547" spans="1:90">
      <c r="A1547" t="s">
        <v>72</v>
      </c>
      <c r="B1547" t="s">
        <v>73</v>
      </c>
      <c r="C1547" t="s">
        <v>74</v>
      </c>
      <c r="E1547" t="str">
        <f>"FES1162728749"</f>
        <v>FES1162728749</v>
      </c>
      <c r="F1547" s="3">
        <v>43816</v>
      </c>
      <c r="G1547">
        <v>202006</v>
      </c>
      <c r="H1547" t="s">
        <v>75</v>
      </c>
      <c r="I1547" t="s">
        <v>76</v>
      </c>
      <c r="J1547" t="s">
        <v>77</v>
      </c>
      <c r="K1547" t="s">
        <v>78</v>
      </c>
      <c r="L1547" t="s">
        <v>198</v>
      </c>
      <c r="M1547" t="s">
        <v>199</v>
      </c>
      <c r="N1547" t="s">
        <v>1978</v>
      </c>
      <c r="O1547" t="s">
        <v>82</v>
      </c>
      <c r="P1547" t="str">
        <f>"2170721942                    "</f>
        <v xml:space="preserve">2170721942                    </v>
      </c>
      <c r="Q1547">
        <v>0</v>
      </c>
      <c r="R1547">
        <v>0</v>
      </c>
      <c r="S1547">
        <v>0</v>
      </c>
      <c r="T1547">
        <v>0</v>
      </c>
      <c r="U1547">
        <v>0</v>
      </c>
      <c r="V1547">
        <v>0</v>
      </c>
      <c r="W1547">
        <v>0</v>
      </c>
      <c r="X1547">
        <v>0</v>
      </c>
      <c r="Y1547">
        <v>0</v>
      </c>
      <c r="Z1547">
        <v>0</v>
      </c>
      <c r="AA1547">
        <v>0</v>
      </c>
      <c r="AB1547">
        <v>0</v>
      </c>
      <c r="AC1547">
        <v>0</v>
      </c>
      <c r="AD1547">
        <v>0</v>
      </c>
      <c r="AE1547">
        <v>0</v>
      </c>
      <c r="AF1547">
        <v>0</v>
      </c>
      <c r="AG1547">
        <v>0</v>
      </c>
      <c r="AH1547">
        <v>0</v>
      </c>
      <c r="AI1547">
        <v>0</v>
      </c>
      <c r="AJ1547">
        <v>0</v>
      </c>
      <c r="AK1547">
        <v>0</v>
      </c>
      <c r="AL1547">
        <v>0</v>
      </c>
      <c r="AM1547">
        <v>8.58</v>
      </c>
      <c r="AN1547">
        <v>0</v>
      </c>
      <c r="AO1547">
        <v>0</v>
      </c>
      <c r="AP1547">
        <v>0</v>
      </c>
      <c r="AQ1547">
        <v>0</v>
      </c>
      <c r="AR1547">
        <v>0</v>
      </c>
      <c r="AS1547">
        <v>0</v>
      </c>
      <c r="AT1547">
        <v>0</v>
      </c>
      <c r="AU1547">
        <v>0</v>
      </c>
      <c r="AV1547">
        <v>0</v>
      </c>
      <c r="AW1547">
        <v>0</v>
      </c>
      <c r="AX1547">
        <v>0</v>
      </c>
      <c r="AY1547">
        <v>0</v>
      </c>
      <c r="AZ1547">
        <v>0</v>
      </c>
      <c r="BA1547">
        <v>0</v>
      </c>
      <c r="BB1547">
        <v>0</v>
      </c>
      <c r="BC1547">
        <v>0</v>
      </c>
      <c r="BD1547">
        <v>0</v>
      </c>
      <c r="BE1547">
        <v>0</v>
      </c>
      <c r="BF1547">
        <v>0</v>
      </c>
      <c r="BG1547">
        <v>0</v>
      </c>
      <c r="BH1547">
        <v>1</v>
      </c>
      <c r="BI1547">
        <v>1</v>
      </c>
      <c r="BJ1547">
        <v>0.2</v>
      </c>
      <c r="BK1547">
        <v>1</v>
      </c>
      <c r="BL1547" s="4">
        <v>50.45</v>
      </c>
      <c r="BM1547" s="4">
        <v>7.57</v>
      </c>
      <c r="BN1547" s="4">
        <v>58.02</v>
      </c>
      <c r="BO1547" s="4">
        <v>58.02</v>
      </c>
      <c r="BQ1547" t="s">
        <v>1979</v>
      </c>
      <c r="BR1547" t="s">
        <v>84</v>
      </c>
      <c r="BS1547" s="3">
        <v>43818</v>
      </c>
      <c r="BT1547" s="5">
        <v>0.32708333333333334</v>
      </c>
      <c r="BU1547" t="s">
        <v>1980</v>
      </c>
      <c r="BV1547" t="s">
        <v>89</v>
      </c>
      <c r="BW1547" t="s">
        <v>506</v>
      </c>
      <c r="BX1547" t="s">
        <v>1163</v>
      </c>
      <c r="BY1547">
        <v>1200</v>
      </c>
      <c r="CA1547" t="s">
        <v>288</v>
      </c>
      <c r="CC1547" t="s">
        <v>199</v>
      </c>
      <c r="CD1547">
        <v>4051</v>
      </c>
      <c r="CE1547" t="s">
        <v>88</v>
      </c>
      <c r="CF1547" s="3">
        <v>43819</v>
      </c>
      <c r="CI1547">
        <v>1</v>
      </c>
      <c r="CJ1547">
        <v>2</v>
      </c>
      <c r="CK1547">
        <v>21</v>
      </c>
      <c r="CL1547" t="s">
        <v>89</v>
      </c>
    </row>
    <row r="1548" spans="1:90">
      <c r="A1548" t="s">
        <v>72</v>
      </c>
      <c r="B1548" t="s">
        <v>73</v>
      </c>
      <c r="C1548" t="s">
        <v>74</v>
      </c>
      <c r="E1548" t="str">
        <f>"FES1162728555"</f>
        <v>FES1162728555</v>
      </c>
      <c r="F1548" s="3">
        <v>43816</v>
      </c>
      <c r="G1548">
        <v>202006</v>
      </c>
      <c r="H1548" t="s">
        <v>75</v>
      </c>
      <c r="I1548" t="s">
        <v>76</v>
      </c>
      <c r="J1548" t="s">
        <v>77</v>
      </c>
      <c r="K1548" t="s">
        <v>78</v>
      </c>
      <c r="L1548" t="s">
        <v>79</v>
      </c>
      <c r="M1548" t="s">
        <v>80</v>
      </c>
      <c r="N1548" t="s">
        <v>97</v>
      </c>
      <c r="O1548" t="s">
        <v>82</v>
      </c>
      <c r="P1548" t="str">
        <f>"2170717808                    "</f>
        <v xml:space="preserve">2170717808                    </v>
      </c>
      <c r="Q1548">
        <v>0</v>
      </c>
      <c r="R1548">
        <v>0</v>
      </c>
      <c r="S1548">
        <v>0</v>
      </c>
      <c r="T1548">
        <v>0</v>
      </c>
      <c r="U1548">
        <v>0</v>
      </c>
      <c r="V1548">
        <v>0</v>
      </c>
      <c r="W1548">
        <v>0</v>
      </c>
      <c r="X1548">
        <v>0</v>
      </c>
      <c r="Y1548">
        <v>0</v>
      </c>
      <c r="Z1548">
        <v>0</v>
      </c>
      <c r="AA1548">
        <v>0</v>
      </c>
      <c r="AB1548">
        <v>0</v>
      </c>
      <c r="AC1548">
        <v>0</v>
      </c>
      <c r="AD1548">
        <v>0</v>
      </c>
      <c r="AE1548">
        <v>0</v>
      </c>
      <c r="AF1548">
        <v>0</v>
      </c>
      <c r="AG1548">
        <v>0</v>
      </c>
      <c r="AH1548">
        <v>0</v>
      </c>
      <c r="AI1548">
        <v>0</v>
      </c>
      <c r="AJ1548">
        <v>0</v>
      </c>
      <c r="AK1548">
        <v>0</v>
      </c>
      <c r="AL1548">
        <v>0</v>
      </c>
      <c r="AM1548">
        <v>8.58</v>
      </c>
      <c r="AN1548">
        <v>0</v>
      </c>
      <c r="AO1548">
        <v>0</v>
      </c>
      <c r="AP1548">
        <v>0</v>
      </c>
      <c r="AQ1548">
        <v>0</v>
      </c>
      <c r="AR1548">
        <v>0</v>
      </c>
      <c r="AS1548">
        <v>0</v>
      </c>
      <c r="AT1548">
        <v>0</v>
      </c>
      <c r="AU1548">
        <v>0</v>
      </c>
      <c r="AV1548">
        <v>0</v>
      </c>
      <c r="AW1548">
        <v>0</v>
      </c>
      <c r="AX1548">
        <v>0</v>
      </c>
      <c r="AY1548">
        <v>0</v>
      </c>
      <c r="AZ1548">
        <v>0</v>
      </c>
      <c r="BA1548">
        <v>0</v>
      </c>
      <c r="BB1548">
        <v>0</v>
      </c>
      <c r="BC1548">
        <v>0</v>
      </c>
      <c r="BD1548">
        <v>0</v>
      </c>
      <c r="BE1548">
        <v>0</v>
      </c>
      <c r="BF1548">
        <v>0</v>
      </c>
      <c r="BG1548">
        <v>0</v>
      </c>
      <c r="BH1548">
        <v>1</v>
      </c>
      <c r="BI1548">
        <v>1</v>
      </c>
      <c r="BJ1548">
        <v>0.2</v>
      </c>
      <c r="BK1548">
        <v>1</v>
      </c>
      <c r="BL1548" s="4">
        <v>50.45</v>
      </c>
      <c r="BM1548" s="4">
        <v>7.57</v>
      </c>
      <c r="BN1548" s="4">
        <v>58.02</v>
      </c>
      <c r="BO1548" s="4">
        <v>58.02</v>
      </c>
      <c r="BQ1548" t="s">
        <v>93</v>
      </c>
      <c r="BR1548" t="s">
        <v>84</v>
      </c>
      <c r="BS1548" s="3">
        <v>43817</v>
      </c>
      <c r="BT1548" s="5">
        <v>0.33333333333333331</v>
      </c>
      <c r="BU1548" t="s">
        <v>1981</v>
      </c>
      <c r="BV1548" t="s">
        <v>86</v>
      </c>
      <c r="BY1548">
        <v>1200</v>
      </c>
      <c r="CA1548" t="s">
        <v>99</v>
      </c>
      <c r="CC1548" t="s">
        <v>80</v>
      </c>
      <c r="CD1548">
        <v>6001</v>
      </c>
      <c r="CE1548" t="s">
        <v>88</v>
      </c>
      <c r="CF1548" s="3">
        <v>43818</v>
      </c>
      <c r="CI1548">
        <v>1</v>
      </c>
      <c r="CJ1548">
        <v>1</v>
      </c>
      <c r="CK1548">
        <v>21</v>
      </c>
      <c r="CL1548" t="s">
        <v>89</v>
      </c>
    </row>
    <row r="1549" spans="1:90">
      <c r="A1549" t="s">
        <v>72</v>
      </c>
      <c r="B1549" t="s">
        <v>73</v>
      </c>
      <c r="C1549" t="s">
        <v>74</v>
      </c>
      <c r="E1549" t="str">
        <f>"FES1162728664"</f>
        <v>FES1162728664</v>
      </c>
      <c r="F1549" s="3">
        <v>43816</v>
      </c>
      <c r="G1549">
        <v>202006</v>
      </c>
      <c r="H1549" t="s">
        <v>75</v>
      </c>
      <c r="I1549" t="s">
        <v>76</v>
      </c>
      <c r="J1549" t="s">
        <v>77</v>
      </c>
      <c r="K1549" t="s">
        <v>78</v>
      </c>
      <c r="L1549" t="s">
        <v>164</v>
      </c>
      <c r="M1549" t="s">
        <v>165</v>
      </c>
      <c r="N1549" t="s">
        <v>315</v>
      </c>
      <c r="O1549" t="s">
        <v>82</v>
      </c>
      <c r="P1549" t="str">
        <f>"251701785                     "</f>
        <v xml:space="preserve">251701785                     </v>
      </c>
      <c r="Q1549">
        <v>0</v>
      </c>
      <c r="R1549">
        <v>0</v>
      </c>
      <c r="S1549">
        <v>0</v>
      </c>
      <c r="T1549">
        <v>0</v>
      </c>
      <c r="U1549">
        <v>0</v>
      </c>
      <c r="V1549">
        <v>0</v>
      </c>
      <c r="W1549">
        <v>0</v>
      </c>
      <c r="X1549">
        <v>0</v>
      </c>
      <c r="Y1549">
        <v>0</v>
      </c>
      <c r="Z1549">
        <v>0</v>
      </c>
      <c r="AA1549">
        <v>0</v>
      </c>
      <c r="AB1549">
        <v>0</v>
      </c>
      <c r="AC1549">
        <v>0</v>
      </c>
      <c r="AD1549">
        <v>0</v>
      </c>
      <c r="AE1549">
        <v>0</v>
      </c>
      <c r="AF1549">
        <v>0</v>
      </c>
      <c r="AG1549">
        <v>0</v>
      </c>
      <c r="AH1549">
        <v>0</v>
      </c>
      <c r="AI1549">
        <v>0</v>
      </c>
      <c r="AJ1549">
        <v>0</v>
      </c>
      <c r="AK1549">
        <v>0</v>
      </c>
      <c r="AL1549">
        <v>0</v>
      </c>
      <c r="AM1549">
        <v>8.58</v>
      </c>
      <c r="AN1549">
        <v>0</v>
      </c>
      <c r="AO1549">
        <v>0</v>
      </c>
      <c r="AP1549">
        <v>0</v>
      </c>
      <c r="AQ1549">
        <v>0</v>
      </c>
      <c r="AR1549">
        <v>0</v>
      </c>
      <c r="AS1549">
        <v>0</v>
      </c>
      <c r="AT1549">
        <v>0</v>
      </c>
      <c r="AU1549">
        <v>0</v>
      </c>
      <c r="AV1549">
        <v>0</v>
      </c>
      <c r="AW1549">
        <v>0</v>
      </c>
      <c r="AX1549">
        <v>0</v>
      </c>
      <c r="AY1549">
        <v>0</v>
      </c>
      <c r="AZ1549">
        <v>0</v>
      </c>
      <c r="BA1549">
        <v>0</v>
      </c>
      <c r="BB1549">
        <v>0</v>
      </c>
      <c r="BC1549">
        <v>0</v>
      </c>
      <c r="BD1549">
        <v>0</v>
      </c>
      <c r="BE1549">
        <v>0</v>
      </c>
      <c r="BF1549">
        <v>0</v>
      </c>
      <c r="BG1549">
        <v>0</v>
      </c>
      <c r="BH1549">
        <v>1</v>
      </c>
      <c r="BI1549">
        <v>1</v>
      </c>
      <c r="BJ1549">
        <v>0.2</v>
      </c>
      <c r="BK1549">
        <v>1</v>
      </c>
      <c r="BL1549" s="4">
        <v>50.45</v>
      </c>
      <c r="BM1549" s="4">
        <v>7.57</v>
      </c>
      <c r="BN1549" s="4">
        <v>58.02</v>
      </c>
      <c r="BO1549" s="4">
        <v>58.02</v>
      </c>
      <c r="BQ1549" t="s">
        <v>93</v>
      </c>
      <c r="BR1549" t="s">
        <v>84</v>
      </c>
      <c r="BS1549" s="3">
        <v>43817</v>
      </c>
      <c r="BT1549" s="5">
        <v>0.36527777777777781</v>
      </c>
      <c r="BU1549" t="s">
        <v>372</v>
      </c>
      <c r="BV1549" t="s">
        <v>86</v>
      </c>
      <c r="BY1549">
        <v>1200</v>
      </c>
      <c r="CA1549" t="s">
        <v>168</v>
      </c>
      <c r="CC1549" t="s">
        <v>165</v>
      </c>
      <c r="CD1549">
        <v>5201</v>
      </c>
      <c r="CE1549" t="s">
        <v>88</v>
      </c>
      <c r="CF1549" s="3">
        <v>43819</v>
      </c>
      <c r="CI1549">
        <v>1</v>
      </c>
      <c r="CJ1549">
        <v>1</v>
      </c>
      <c r="CK1549">
        <v>21</v>
      </c>
      <c r="CL1549" t="s">
        <v>89</v>
      </c>
    </row>
    <row r="1550" spans="1:90">
      <c r="A1550" t="s">
        <v>72</v>
      </c>
      <c r="B1550" t="s">
        <v>73</v>
      </c>
      <c r="C1550" t="s">
        <v>74</v>
      </c>
      <c r="E1550" t="str">
        <f>"FES1162728792"</f>
        <v>FES1162728792</v>
      </c>
      <c r="F1550" s="3">
        <v>43816</v>
      </c>
      <c r="G1550">
        <v>202006</v>
      </c>
      <c r="H1550" t="s">
        <v>75</v>
      </c>
      <c r="I1550" t="s">
        <v>76</v>
      </c>
      <c r="J1550" t="s">
        <v>77</v>
      </c>
      <c r="K1550" t="s">
        <v>78</v>
      </c>
      <c r="L1550" t="s">
        <v>198</v>
      </c>
      <c r="M1550" t="s">
        <v>199</v>
      </c>
      <c r="N1550" t="s">
        <v>1031</v>
      </c>
      <c r="O1550" t="s">
        <v>82</v>
      </c>
      <c r="P1550" t="str">
        <f>"2170721987                    "</f>
        <v xml:space="preserve">2170721987                    </v>
      </c>
      <c r="Q1550">
        <v>0</v>
      </c>
      <c r="R1550">
        <v>0</v>
      </c>
      <c r="S1550">
        <v>0</v>
      </c>
      <c r="T1550">
        <v>0</v>
      </c>
      <c r="U1550">
        <v>0</v>
      </c>
      <c r="V1550">
        <v>0</v>
      </c>
      <c r="W1550">
        <v>0</v>
      </c>
      <c r="X1550">
        <v>0</v>
      </c>
      <c r="Y1550">
        <v>0</v>
      </c>
      <c r="Z1550">
        <v>0</v>
      </c>
      <c r="AA1550">
        <v>0</v>
      </c>
      <c r="AB1550">
        <v>0</v>
      </c>
      <c r="AC1550">
        <v>0</v>
      </c>
      <c r="AD1550">
        <v>0</v>
      </c>
      <c r="AE1550">
        <v>0</v>
      </c>
      <c r="AF1550">
        <v>0</v>
      </c>
      <c r="AG1550">
        <v>0</v>
      </c>
      <c r="AH1550">
        <v>0</v>
      </c>
      <c r="AI1550">
        <v>0</v>
      </c>
      <c r="AJ1550">
        <v>0</v>
      </c>
      <c r="AK1550">
        <v>0</v>
      </c>
      <c r="AL1550">
        <v>0</v>
      </c>
      <c r="AM1550">
        <v>15.02</v>
      </c>
      <c r="AN1550">
        <v>0</v>
      </c>
      <c r="AO1550">
        <v>0</v>
      </c>
      <c r="AP1550">
        <v>0</v>
      </c>
      <c r="AQ1550">
        <v>0</v>
      </c>
      <c r="AR1550">
        <v>0</v>
      </c>
      <c r="AS1550">
        <v>0</v>
      </c>
      <c r="AT1550">
        <v>0</v>
      </c>
      <c r="AU1550">
        <v>0</v>
      </c>
      <c r="AV1550">
        <v>0</v>
      </c>
      <c r="AW1550">
        <v>0</v>
      </c>
      <c r="AX1550">
        <v>0</v>
      </c>
      <c r="AY1550">
        <v>0</v>
      </c>
      <c r="AZ1550">
        <v>0</v>
      </c>
      <c r="BA1550">
        <v>0</v>
      </c>
      <c r="BB1550">
        <v>0</v>
      </c>
      <c r="BC1550">
        <v>0</v>
      </c>
      <c r="BD1550">
        <v>0</v>
      </c>
      <c r="BE1550">
        <v>0</v>
      </c>
      <c r="BF1550">
        <v>0</v>
      </c>
      <c r="BG1550">
        <v>0</v>
      </c>
      <c r="BH1550">
        <v>1</v>
      </c>
      <c r="BI1550">
        <v>3.4</v>
      </c>
      <c r="BJ1550">
        <v>3.4</v>
      </c>
      <c r="BK1550">
        <v>3.5</v>
      </c>
      <c r="BL1550" s="4">
        <v>88.27</v>
      </c>
      <c r="BM1550" s="4">
        <v>13.24</v>
      </c>
      <c r="BN1550" s="4">
        <v>101.51</v>
      </c>
      <c r="BO1550" s="4">
        <v>101.51</v>
      </c>
      <c r="BQ1550" t="s">
        <v>93</v>
      </c>
      <c r="BR1550" t="s">
        <v>84</v>
      </c>
      <c r="BS1550" s="3">
        <v>43817</v>
      </c>
      <c r="BT1550" s="5">
        <v>0.36180555555555555</v>
      </c>
      <c r="BU1550" t="s">
        <v>1982</v>
      </c>
      <c r="BV1550" t="s">
        <v>86</v>
      </c>
      <c r="BY1550">
        <v>16916.77</v>
      </c>
      <c r="CA1550" t="s">
        <v>288</v>
      </c>
      <c r="CC1550" t="s">
        <v>199</v>
      </c>
      <c r="CD1550">
        <v>4001</v>
      </c>
      <c r="CE1550" t="s">
        <v>116</v>
      </c>
      <c r="CF1550" s="3">
        <v>43818</v>
      </c>
      <c r="CI1550">
        <v>1</v>
      </c>
      <c r="CJ1550">
        <v>1</v>
      </c>
      <c r="CK1550">
        <v>21</v>
      </c>
      <c r="CL1550" t="s">
        <v>89</v>
      </c>
    </row>
    <row r="1551" spans="1:90">
      <c r="A1551" t="s">
        <v>72</v>
      </c>
      <c r="B1551" t="s">
        <v>73</v>
      </c>
      <c r="C1551" t="s">
        <v>74</v>
      </c>
      <c r="E1551" t="str">
        <f>"FES1162728719"</f>
        <v>FES1162728719</v>
      </c>
      <c r="F1551" s="3">
        <v>43816</v>
      </c>
      <c r="G1551">
        <v>202006</v>
      </c>
      <c r="H1551" t="s">
        <v>75</v>
      </c>
      <c r="I1551" t="s">
        <v>76</v>
      </c>
      <c r="J1551" t="s">
        <v>77</v>
      </c>
      <c r="K1551" t="s">
        <v>78</v>
      </c>
      <c r="L1551" t="s">
        <v>213</v>
      </c>
      <c r="M1551" t="s">
        <v>214</v>
      </c>
      <c r="N1551" t="s">
        <v>303</v>
      </c>
      <c r="O1551" t="s">
        <v>82</v>
      </c>
      <c r="P1551" t="str">
        <f>"2170717136                    "</f>
        <v xml:space="preserve">2170717136                    </v>
      </c>
      <c r="Q1551">
        <v>0</v>
      </c>
      <c r="R1551">
        <v>0</v>
      </c>
      <c r="S1551">
        <v>0</v>
      </c>
      <c r="T1551">
        <v>0</v>
      </c>
      <c r="U1551">
        <v>0</v>
      </c>
      <c r="V1551">
        <v>0</v>
      </c>
      <c r="W1551">
        <v>0</v>
      </c>
      <c r="X1551">
        <v>0</v>
      </c>
      <c r="Y1551">
        <v>0</v>
      </c>
      <c r="Z1551">
        <v>0</v>
      </c>
      <c r="AA1551">
        <v>0</v>
      </c>
      <c r="AB1551">
        <v>0</v>
      </c>
      <c r="AC1551">
        <v>0</v>
      </c>
      <c r="AD1551">
        <v>0</v>
      </c>
      <c r="AE1551">
        <v>0</v>
      </c>
      <c r="AF1551">
        <v>0</v>
      </c>
      <c r="AG1551">
        <v>0</v>
      </c>
      <c r="AH1551">
        <v>0</v>
      </c>
      <c r="AI1551">
        <v>0</v>
      </c>
      <c r="AJ1551">
        <v>0</v>
      </c>
      <c r="AK1551">
        <v>0</v>
      </c>
      <c r="AL1551">
        <v>0</v>
      </c>
      <c r="AM1551">
        <v>12.87</v>
      </c>
      <c r="AN1551">
        <v>0</v>
      </c>
      <c r="AO1551">
        <v>0</v>
      </c>
      <c r="AP1551">
        <v>0</v>
      </c>
      <c r="AQ1551">
        <v>0</v>
      </c>
      <c r="AR1551">
        <v>0</v>
      </c>
      <c r="AS1551">
        <v>0</v>
      </c>
      <c r="AT1551">
        <v>0</v>
      </c>
      <c r="AU1551">
        <v>0</v>
      </c>
      <c r="AV1551">
        <v>0</v>
      </c>
      <c r="AW1551">
        <v>0</v>
      </c>
      <c r="AX1551">
        <v>0</v>
      </c>
      <c r="AY1551">
        <v>0</v>
      </c>
      <c r="AZ1551">
        <v>0</v>
      </c>
      <c r="BA1551">
        <v>0</v>
      </c>
      <c r="BB1551">
        <v>0</v>
      </c>
      <c r="BC1551">
        <v>0</v>
      </c>
      <c r="BD1551">
        <v>0</v>
      </c>
      <c r="BE1551">
        <v>0</v>
      </c>
      <c r="BF1551">
        <v>0</v>
      </c>
      <c r="BG1551">
        <v>0</v>
      </c>
      <c r="BH1551">
        <v>1</v>
      </c>
      <c r="BI1551">
        <v>2.4</v>
      </c>
      <c r="BJ1551">
        <v>2.7</v>
      </c>
      <c r="BK1551">
        <v>3</v>
      </c>
      <c r="BL1551" s="4">
        <v>75.66</v>
      </c>
      <c r="BM1551" s="4">
        <v>11.35</v>
      </c>
      <c r="BN1551" s="4">
        <v>87.01</v>
      </c>
      <c r="BO1551" s="4">
        <v>87.01</v>
      </c>
      <c r="BQ1551" t="s">
        <v>147</v>
      </c>
      <c r="BR1551" t="s">
        <v>84</v>
      </c>
      <c r="BS1551" s="3">
        <v>43817</v>
      </c>
      <c r="BT1551" s="5">
        <v>0.3263888888888889</v>
      </c>
      <c r="BU1551" t="s">
        <v>1970</v>
      </c>
      <c r="BV1551" t="s">
        <v>86</v>
      </c>
      <c r="BY1551">
        <v>13250.8</v>
      </c>
      <c r="CA1551" t="s">
        <v>302</v>
      </c>
      <c r="CC1551" t="s">
        <v>214</v>
      </c>
      <c r="CD1551">
        <v>6230</v>
      </c>
      <c r="CE1551" t="s">
        <v>116</v>
      </c>
      <c r="CF1551" s="3">
        <v>43818</v>
      </c>
      <c r="CI1551">
        <v>1</v>
      </c>
      <c r="CJ1551">
        <v>1</v>
      </c>
      <c r="CK1551">
        <v>21</v>
      </c>
      <c r="CL1551" t="s">
        <v>89</v>
      </c>
    </row>
    <row r="1552" spans="1:90">
      <c r="A1552" t="s">
        <v>72</v>
      </c>
      <c r="B1552" t="s">
        <v>73</v>
      </c>
      <c r="C1552" t="s">
        <v>74</v>
      </c>
      <c r="E1552" t="str">
        <f>"FES1162728535"</f>
        <v>FES1162728535</v>
      </c>
      <c r="F1552" s="3">
        <v>43816</v>
      </c>
      <c r="G1552">
        <v>202006</v>
      </c>
      <c r="H1552" t="s">
        <v>75</v>
      </c>
      <c r="I1552" t="s">
        <v>76</v>
      </c>
      <c r="J1552" t="s">
        <v>77</v>
      </c>
      <c r="K1552" t="s">
        <v>78</v>
      </c>
      <c r="L1552" t="s">
        <v>164</v>
      </c>
      <c r="M1552" t="s">
        <v>165</v>
      </c>
      <c r="N1552" t="s">
        <v>1983</v>
      </c>
      <c r="O1552" t="s">
        <v>82</v>
      </c>
      <c r="P1552" t="str">
        <f>"2170721611                    "</f>
        <v xml:space="preserve">2170721611                    </v>
      </c>
      <c r="Q1552">
        <v>0</v>
      </c>
      <c r="R1552">
        <v>0</v>
      </c>
      <c r="S1552">
        <v>0</v>
      </c>
      <c r="T1552">
        <v>0</v>
      </c>
      <c r="U1552">
        <v>0</v>
      </c>
      <c r="V1552">
        <v>0</v>
      </c>
      <c r="W1552">
        <v>0</v>
      </c>
      <c r="X1552">
        <v>0</v>
      </c>
      <c r="Y1552">
        <v>0</v>
      </c>
      <c r="Z1552">
        <v>0</v>
      </c>
      <c r="AA1552">
        <v>0</v>
      </c>
      <c r="AB1552">
        <v>0</v>
      </c>
      <c r="AC1552">
        <v>0</v>
      </c>
      <c r="AD1552">
        <v>0</v>
      </c>
      <c r="AE1552">
        <v>0</v>
      </c>
      <c r="AF1552">
        <v>0</v>
      </c>
      <c r="AG1552">
        <v>0</v>
      </c>
      <c r="AH1552">
        <v>0</v>
      </c>
      <c r="AI1552">
        <v>0</v>
      </c>
      <c r="AJ1552">
        <v>0</v>
      </c>
      <c r="AK1552">
        <v>0</v>
      </c>
      <c r="AL1552">
        <v>0</v>
      </c>
      <c r="AM1552">
        <v>8.58</v>
      </c>
      <c r="AN1552">
        <v>0</v>
      </c>
      <c r="AO1552">
        <v>0</v>
      </c>
      <c r="AP1552">
        <v>0</v>
      </c>
      <c r="AQ1552">
        <v>0</v>
      </c>
      <c r="AR1552">
        <v>0</v>
      </c>
      <c r="AS1552">
        <v>0</v>
      </c>
      <c r="AT1552">
        <v>0</v>
      </c>
      <c r="AU1552">
        <v>0</v>
      </c>
      <c r="AV1552">
        <v>0</v>
      </c>
      <c r="AW1552">
        <v>0</v>
      </c>
      <c r="AX1552">
        <v>0</v>
      </c>
      <c r="AY1552">
        <v>0</v>
      </c>
      <c r="AZ1552">
        <v>0</v>
      </c>
      <c r="BA1552">
        <v>0</v>
      </c>
      <c r="BB1552">
        <v>0</v>
      </c>
      <c r="BC1552">
        <v>0</v>
      </c>
      <c r="BD1552">
        <v>0</v>
      </c>
      <c r="BE1552">
        <v>0</v>
      </c>
      <c r="BF1552">
        <v>0</v>
      </c>
      <c r="BG1552">
        <v>0</v>
      </c>
      <c r="BH1552">
        <v>1</v>
      </c>
      <c r="BI1552">
        <v>1</v>
      </c>
      <c r="BJ1552">
        <v>0.2</v>
      </c>
      <c r="BK1552">
        <v>1</v>
      </c>
      <c r="BL1552" s="4">
        <v>50.45</v>
      </c>
      <c r="BM1552" s="4">
        <v>7.57</v>
      </c>
      <c r="BN1552" s="4">
        <v>58.02</v>
      </c>
      <c r="BO1552" s="4">
        <v>58.02</v>
      </c>
      <c r="BQ1552" t="s">
        <v>93</v>
      </c>
      <c r="BR1552" t="s">
        <v>84</v>
      </c>
      <c r="BS1552" s="3">
        <v>43817</v>
      </c>
      <c r="BT1552" s="5">
        <v>0.39930555555555558</v>
      </c>
      <c r="BU1552" t="s">
        <v>1984</v>
      </c>
      <c r="BV1552" t="s">
        <v>86</v>
      </c>
      <c r="BY1552">
        <v>1200</v>
      </c>
      <c r="CA1552" t="s">
        <v>168</v>
      </c>
      <c r="CC1552" t="s">
        <v>165</v>
      </c>
      <c r="CD1552">
        <v>5201</v>
      </c>
      <c r="CE1552" t="s">
        <v>88</v>
      </c>
      <c r="CF1552" s="3">
        <v>43819</v>
      </c>
      <c r="CI1552">
        <v>1</v>
      </c>
      <c r="CJ1552">
        <v>1</v>
      </c>
      <c r="CK1552">
        <v>21</v>
      </c>
      <c r="CL1552" t="s">
        <v>89</v>
      </c>
    </row>
    <row r="1553" spans="1:90">
      <c r="A1553" t="s">
        <v>72</v>
      </c>
      <c r="B1553" t="s">
        <v>73</v>
      </c>
      <c r="C1553" t="s">
        <v>74</v>
      </c>
      <c r="E1553" t="str">
        <f>"FES1162728527"</f>
        <v>FES1162728527</v>
      </c>
      <c r="F1553" s="3">
        <v>43816</v>
      </c>
      <c r="G1553">
        <v>202006</v>
      </c>
      <c r="H1553" t="s">
        <v>75</v>
      </c>
      <c r="I1553" t="s">
        <v>76</v>
      </c>
      <c r="J1553" t="s">
        <v>77</v>
      </c>
      <c r="K1553" t="s">
        <v>78</v>
      </c>
      <c r="L1553" t="s">
        <v>79</v>
      </c>
      <c r="M1553" t="s">
        <v>80</v>
      </c>
      <c r="N1553" t="s">
        <v>300</v>
      </c>
      <c r="O1553" t="s">
        <v>82</v>
      </c>
      <c r="P1553" t="str">
        <f>"2170719809                    "</f>
        <v xml:space="preserve">2170719809                    </v>
      </c>
      <c r="Q1553">
        <v>0</v>
      </c>
      <c r="R1553">
        <v>0</v>
      </c>
      <c r="S1553">
        <v>0</v>
      </c>
      <c r="T1553">
        <v>0</v>
      </c>
      <c r="U1553">
        <v>0</v>
      </c>
      <c r="V1553">
        <v>0</v>
      </c>
      <c r="W1553">
        <v>0</v>
      </c>
      <c r="X1553">
        <v>0</v>
      </c>
      <c r="Y1553">
        <v>0</v>
      </c>
      <c r="Z1553">
        <v>0</v>
      </c>
      <c r="AA1553">
        <v>0</v>
      </c>
      <c r="AB1553">
        <v>0</v>
      </c>
      <c r="AC1553">
        <v>0</v>
      </c>
      <c r="AD1553">
        <v>0</v>
      </c>
      <c r="AE1553">
        <v>0</v>
      </c>
      <c r="AF1553">
        <v>0</v>
      </c>
      <c r="AG1553">
        <v>0</v>
      </c>
      <c r="AH1553">
        <v>0</v>
      </c>
      <c r="AI1553">
        <v>0</v>
      </c>
      <c r="AJ1553">
        <v>0</v>
      </c>
      <c r="AK1553">
        <v>0</v>
      </c>
      <c r="AL1553">
        <v>0</v>
      </c>
      <c r="AM1553">
        <v>8.58</v>
      </c>
      <c r="AN1553">
        <v>0</v>
      </c>
      <c r="AO1553">
        <v>0</v>
      </c>
      <c r="AP1553">
        <v>0</v>
      </c>
      <c r="AQ1553">
        <v>0</v>
      </c>
      <c r="AR1553">
        <v>0</v>
      </c>
      <c r="AS1553">
        <v>0</v>
      </c>
      <c r="AT1553">
        <v>0</v>
      </c>
      <c r="AU1553">
        <v>0</v>
      </c>
      <c r="AV1553">
        <v>0</v>
      </c>
      <c r="AW1553">
        <v>0</v>
      </c>
      <c r="AX1553">
        <v>0</v>
      </c>
      <c r="AY1553">
        <v>0</v>
      </c>
      <c r="AZ1553">
        <v>0</v>
      </c>
      <c r="BA1553">
        <v>0</v>
      </c>
      <c r="BB1553">
        <v>0</v>
      </c>
      <c r="BC1553">
        <v>0</v>
      </c>
      <c r="BD1553">
        <v>0</v>
      </c>
      <c r="BE1553">
        <v>0</v>
      </c>
      <c r="BF1553">
        <v>0</v>
      </c>
      <c r="BG1553">
        <v>0</v>
      </c>
      <c r="BH1553">
        <v>1</v>
      </c>
      <c r="BI1553">
        <v>1</v>
      </c>
      <c r="BJ1553">
        <v>0.2</v>
      </c>
      <c r="BK1553">
        <v>1</v>
      </c>
      <c r="BL1553" s="4">
        <v>50.45</v>
      </c>
      <c r="BM1553" s="4">
        <v>7.57</v>
      </c>
      <c r="BN1553" s="4">
        <v>58.02</v>
      </c>
      <c r="BO1553" s="4">
        <v>58.02</v>
      </c>
      <c r="BQ1553" t="s">
        <v>147</v>
      </c>
      <c r="BR1553" t="s">
        <v>84</v>
      </c>
      <c r="BS1553" t="s">
        <v>717</v>
      </c>
      <c r="BY1553">
        <v>1200</v>
      </c>
      <c r="CC1553" t="s">
        <v>80</v>
      </c>
      <c r="CD1553">
        <v>6001</v>
      </c>
      <c r="CE1553" t="s">
        <v>88</v>
      </c>
      <c r="CI1553">
        <v>1</v>
      </c>
      <c r="CJ1553" t="s">
        <v>717</v>
      </c>
      <c r="CK1553">
        <v>21</v>
      </c>
      <c r="CL1553" t="s">
        <v>89</v>
      </c>
    </row>
    <row r="1554" spans="1:90">
      <c r="A1554" t="s">
        <v>72</v>
      </c>
      <c r="B1554" t="s">
        <v>73</v>
      </c>
      <c r="C1554" t="s">
        <v>74</v>
      </c>
      <c r="E1554" t="str">
        <f>"FES1162728608"</f>
        <v>FES1162728608</v>
      </c>
      <c r="F1554" s="3">
        <v>43816</v>
      </c>
      <c r="G1554">
        <v>202006</v>
      </c>
      <c r="H1554" t="s">
        <v>75</v>
      </c>
      <c r="I1554" t="s">
        <v>76</v>
      </c>
      <c r="J1554" t="s">
        <v>77</v>
      </c>
      <c r="K1554" t="s">
        <v>78</v>
      </c>
      <c r="L1554" t="s">
        <v>151</v>
      </c>
      <c r="M1554" t="s">
        <v>102</v>
      </c>
      <c r="N1554" t="s">
        <v>324</v>
      </c>
      <c r="O1554" t="s">
        <v>82</v>
      </c>
      <c r="P1554" t="str">
        <f>"217071831                     "</f>
        <v xml:space="preserve">217071831                     </v>
      </c>
      <c r="Q1554">
        <v>0</v>
      </c>
      <c r="R1554">
        <v>0</v>
      </c>
      <c r="S1554">
        <v>0</v>
      </c>
      <c r="T1554">
        <v>0</v>
      </c>
      <c r="U1554">
        <v>0</v>
      </c>
      <c r="V1554">
        <v>0</v>
      </c>
      <c r="W1554">
        <v>0</v>
      </c>
      <c r="X1554">
        <v>0</v>
      </c>
      <c r="Y1554">
        <v>0</v>
      </c>
      <c r="Z1554">
        <v>0</v>
      </c>
      <c r="AA1554">
        <v>0</v>
      </c>
      <c r="AB1554">
        <v>0</v>
      </c>
      <c r="AC1554">
        <v>0</v>
      </c>
      <c r="AD1554">
        <v>0</v>
      </c>
      <c r="AE1554">
        <v>0</v>
      </c>
      <c r="AF1554">
        <v>0</v>
      </c>
      <c r="AG1554">
        <v>0</v>
      </c>
      <c r="AH1554">
        <v>0</v>
      </c>
      <c r="AI1554">
        <v>0</v>
      </c>
      <c r="AJ1554">
        <v>0</v>
      </c>
      <c r="AK1554">
        <v>0</v>
      </c>
      <c r="AL1554">
        <v>0</v>
      </c>
      <c r="AM1554">
        <v>8.58</v>
      </c>
      <c r="AN1554">
        <v>0</v>
      </c>
      <c r="AO1554">
        <v>0</v>
      </c>
      <c r="AP1554">
        <v>0</v>
      </c>
      <c r="AQ1554">
        <v>0</v>
      </c>
      <c r="AR1554">
        <v>0</v>
      </c>
      <c r="AS1554">
        <v>0</v>
      </c>
      <c r="AT1554">
        <v>0</v>
      </c>
      <c r="AU1554">
        <v>0</v>
      </c>
      <c r="AV1554">
        <v>0</v>
      </c>
      <c r="AW1554">
        <v>0</v>
      </c>
      <c r="AX1554">
        <v>0</v>
      </c>
      <c r="AY1554">
        <v>0</v>
      </c>
      <c r="AZ1554">
        <v>0</v>
      </c>
      <c r="BA1554">
        <v>0</v>
      </c>
      <c r="BB1554">
        <v>0</v>
      </c>
      <c r="BC1554">
        <v>0</v>
      </c>
      <c r="BD1554">
        <v>0</v>
      </c>
      <c r="BE1554">
        <v>0</v>
      </c>
      <c r="BF1554">
        <v>0</v>
      </c>
      <c r="BG1554">
        <v>0</v>
      </c>
      <c r="BH1554">
        <v>1</v>
      </c>
      <c r="BI1554">
        <v>1</v>
      </c>
      <c r="BJ1554">
        <v>0.2</v>
      </c>
      <c r="BK1554">
        <v>1</v>
      </c>
      <c r="BL1554" s="4">
        <v>50.45</v>
      </c>
      <c r="BM1554" s="4">
        <v>7.57</v>
      </c>
      <c r="BN1554" s="4">
        <v>58.02</v>
      </c>
      <c r="BO1554" s="4">
        <v>58.02</v>
      </c>
      <c r="BQ1554" t="s">
        <v>93</v>
      </c>
      <c r="BR1554" t="s">
        <v>84</v>
      </c>
      <c r="BS1554" s="3">
        <v>43817</v>
      </c>
      <c r="BT1554" s="5">
        <v>0.4201388888888889</v>
      </c>
      <c r="BU1554" t="s">
        <v>1985</v>
      </c>
      <c r="BV1554" t="s">
        <v>86</v>
      </c>
      <c r="BY1554">
        <v>1200</v>
      </c>
      <c r="CA1554" t="s">
        <v>1357</v>
      </c>
      <c r="CC1554" t="s">
        <v>102</v>
      </c>
      <c r="CD1554">
        <v>200</v>
      </c>
      <c r="CE1554" t="s">
        <v>88</v>
      </c>
      <c r="CF1554" s="3">
        <v>43818</v>
      </c>
      <c r="CI1554">
        <v>1</v>
      </c>
      <c r="CJ1554">
        <v>1</v>
      </c>
      <c r="CK1554">
        <v>21</v>
      </c>
      <c r="CL1554" t="s">
        <v>89</v>
      </c>
    </row>
    <row r="1555" spans="1:90">
      <c r="A1555" t="s">
        <v>72</v>
      </c>
      <c r="B1555" t="s">
        <v>73</v>
      </c>
      <c r="C1555" t="s">
        <v>74</v>
      </c>
      <c r="E1555" t="str">
        <f>"FES1162728579"</f>
        <v>FES1162728579</v>
      </c>
      <c r="F1555" s="3">
        <v>43816</v>
      </c>
      <c r="G1555">
        <v>202006</v>
      </c>
      <c r="H1555" t="s">
        <v>75</v>
      </c>
      <c r="I1555" t="s">
        <v>76</v>
      </c>
      <c r="J1555" t="s">
        <v>77</v>
      </c>
      <c r="K1555" t="s">
        <v>78</v>
      </c>
      <c r="L1555" t="s">
        <v>361</v>
      </c>
      <c r="M1555" t="s">
        <v>362</v>
      </c>
      <c r="N1555" t="s">
        <v>634</v>
      </c>
      <c r="O1555" t="s">
        <v>82</v>
      </c>
      <c r="P1555" t="str">
        <f>"2170721448                    "</f>
        <v xml:space="preserve">2170721448                    </v>
      </c>
      <c r="Q1555">
        <v>0</v>
      </c>
      <c r="R1555">
        <v>0</v>
      </c>
      <c r="S1555">
        <v>0</v>
      </c>
      <c r="T1555">
        <v>0</v>
      </c>
      <c r="U1555">
        <v>0</v>
      </c>
      <c r="V1555">
        <v>0</v>
      </c>
      <c r="W1555">
        <v>0</v>
      </c>
      <c r="X1555">
        <v>0</v>
      </c>
      <c r="Y1555">
        <v>0</v>
      </c>
      <c r="Z1555">
        <v>0</v>
      </c>
      <c r="AA1555">
        <v>0</v>
      </c>
      <c r="AB1555">
        <v>0</v>
      </c>
      <c r="AC1555">
        <v>0</v>
      </c>
      <c r="AD1555">
        <v>0</v>
      </c>
      <c r="AE1555">
        <v>0</v>
      </c>
      <c r="AF1555">
        <v>0</v>
      </c>
      <c r="AG1555">
        <v>0</v>
      </c>
      <c r="AH1555">
        <v>0</v>
      </c>
      <c r="AI1555">
        <v>0</v>
      </c>
      <c r="AJ1555">
        <v>0</v>
      </c>
      <c r="AK1555">
        <v>0</v>
      </c>
      <c r="AL1555">
        <v>0</v>
      </c>
      <c r="AM1555">
        <v>8.58</v>
      </c>
      <c r="AN1555">
        <v>0</v>
      </c>
      <c r="AO1555">
        <v>0</v>
      </c>
      <c r="AP1555">
        <v>0</v>
      </c>
      <c r="AQ1555">
        <v>0</v>
      </c>
      <c r="AR1555">
        <v>0</v>
      </c>
      <c r="AS1555">
        <v>0</v>
      </c>
      <c r="AT1555">
        <v>0</v>
      </c>
      <c r="AU1555">
        <v>0</v>
      </c>
      <c r="AV1555">
        <v>0</v>
      </c>
      <c r="AW1555">
        <v>0</v>
      </c>
      <c r="AX1555">
        <v>0</v>
      </c>
      <c r="AY1555">
        <v>0</v>
      </c>
      <c r="AZ1555">
        <v>0</v>
      </c>
      <c r="BA1555">
        <v>0</v>
      </c>
      <c r="BB1555">
        <v>0</v>
      </c>
      <c r="BC1555">
        <v>0</v>
      </c>
      <c r="BD1555">
        <v>0</v>
      </c>
      <c r="BE1555">
        <v>0</v>
      </c>
      <c r="BF1555">
        <v>0</v>
      </c>
      <c r="BG1555">
        <v>0</v>
      </c>
      <c r="BH1555">
        <v>1</v>
      </c>
      <c r="BI1555">
        <v>1</v>
      </c>
      <c r="BJ1555">
        <v>0.2</v>
      </c>
      <c r="BK1555">
        <v>1</v>
      </c>
      <c r="BL1555" s="4">
        <v>50.45</v>
      </c>
      <c r="BM1555" s="4">
        <v>7.57</v>
      </c>
      <c r="BN1555" s="4">
        <v>58.02</v>
      </c>
      <c r="BO1555" s="4">
        <v>58.02</v>
      </c>
      <c r="BQ1555" t="s">
        <v>147</v>
      </c>
      <c r="BR1555" t="s">
        <v>84</v>
      </c>
      <c r="BS1555" s="3">
        <v>43817</v>
      </c>
      <c r="BT1555" s="5">
        <v>0.70138888888888884</v>
      </c>
      <c r="BU1555" t="s">
        <v>1986</v>
      </c>
      <c r="BV1555" t="s">
        <v>89</v>
      </c>
      <c r="BW1555" t="s">
        <v>593</v>
      </c>
      <c r="BX1555" t="s">
        <v>1100</v>
      </c>
      <c r="BY1555">
        <v>1200</v>
      </c>
      <c r="CA1555" t="s">
        <v>1915</v>
      </c>
      <c r="CC1555" t="s">
        <v>362</v>
      </c>
      <c r="CD1555">
        <v>6220</v>
      </c>
      <c r="CE1555" t="s">
        <v>88</v>
      </c>
      <c r="CF1555" s="3">
        <v>43818</v>
      </c>
      <c r="CI1555">
        <v>1</v>
      </c>
      <c r="CJ1555">
        <v>1</v>
      </c>
      <c r="CK1555">
        <v>21</v>
      </c>
      <c r="CL1555" t="s">
        <v>89</v>
      </c>
    </row>
    <row r="1556" spans="1:90">
      <c r="A1556" t="s">
        <v>72</v>
      </c>
      <c r="B1556" t="s">
        <v>73</v>
      </c>
      <c r="C1556" t="s">
        <v>74</v>
      </c>
      <c r="E1556" t="str">
        <f>"FES1162728781"</f>
        <v>FES1162728781</v>
      </c>
      <c r="F1556" s="3">
        <v>43816</v>
      </c>
      <c r="G1556">
        <v>202006</v>
      </c>
      <c r="H1556" t="s">
        <v>75</v>
      </c>
      <c r="I1556" t="s">
        <v>76</v>
      </c>
      <c r="J1556" t="s">
        <v>77</v>
      </c>
      <c r="K1556" t="s">
        <v>78</v>
      </c>
      <c r="L1556" t="s">
        <v>332</v>
      </c>
      <c r="M1556" t="s">
        <v>333</v>
      </c>
      <c r="N1556" t="s">
        <v>790</v>
      </c>
      <c r="O1556" t="s">
        <v>82</v>
      </c>
      <c r="P1556" t="str">
        <f>"2170714476                    "</f>
        <v xml:space="preserve">2170714476                    </v>
      </c>
      <c r="Q1556">
        <v>0</v>
      </c>
      <c r="R1556">
        <v>0</v>
      </c>
      <c r="S1556">
        <v>0</v>
      </c>
      <c r="T1556">
        <v>0</v>
      </c>
      <c r="U1556">
        <v>0</v>
      </c>
      <c r="V1556">
        <v>0</v>
      </c>
      <c r="W1556">
        <v>0</v>
      </c>
      <c r="X1556">
        <v>0</v>
      </c>
      <c r="Y1556">
        <v>0</v>
      </c>
      <c r="Z1556">
        <v>0</v>
      </c>
      <c r="AA1556">
        <v>0</v>
      </c>
      <c r="AB1556">
        <v>0</v>
      </c>
      <c r="AC1556">
        <v>0</v>
      </c>
      <c r="AD1556">
        <v>0</v>
      </c>
      <c r="AE1556">
        <v>0</v>
      </c>
      <c r="AF1556">
        <v>0</v>
      </c>
      <c r="AG1556">
        <v>0</v>
      </c>
      <c r="AH1556">
        <v>0</v>
      </c>
      <c r="AI1556">
        <v>0</v>
      </c>
      <c r="AJ1556">
        <v>0</v>
      </c>
      <c r="AK1556">
        <v>0</v>
      </c>
      <c r="AL1556">
        <v>0</v>
      </c>
      <c r="AM1556">
        <v>6.71</v>
      </c>
      <c r="AN1556">
        <v>0</v>
      </c>
      <c r="AO1556">
        <v>0</v>
      </c>
      <c r="AP1556">
        <v>0</v>
      </c>
      <c r="AQ1556">
        <v>0</v>
      </c>
      <c r="AR1556">
        <v>0</v>
      </c>
      <c r="AS1556">
        <v>0</v>
      </c>
      <c r="AT1556">
        <v>0</v>
      </c>
      <c r="AU1556">
        <v>0</v>
      </c>
      <c r="AV1556">
        <v>0</v>
      </c>
      <c r="AW1556">
        <v>0</v>
      </c>
      <c r="AX1556">
        <v>0</v>
      </c>
      <c r="AY1556">
        <v>0</v>
      </c>
      <c r="AZ1556">
        <v>0</v>
      </c>
      <c r="BA1556">
        <v>0</v>
      </c>
      <c r="BB1556">
        <v>0</v>
      </c>
      <c r="BC1556">
        <v>0</v>
      </c>
      <c r="BD1556">
        <v>0</v>
      </c>
      <c r="BE1556">
        <v>0</v>
      </c>
      <c r="BF1556">
        <v>0</v>
      </c>
      <c r="BG1556">
        <v>0</v>
      </c>
      <c r="BH1556">
        <v>1</v>
      </c>
      <c r="BI1556">
        <v>1</v>
      </c>
      <c r="BJ1556">
        <v>0.2</v>
      </c>
      <c r="BK1556">
        <v>1</v>
      </c>
      <c r="BL1556" s="4">
        <v>39.42</v>
      </c>
      <c r="BM1556" s="4">
        <v>5.91</v>
      </c>
      <c r="BN1556" s="4">
        <v>45.33</v>
      </c>
      <c r="BO1556" s="4">
        <v>45.33</v>
      </c>
      <c r="BQ1556" t="s">
        <v>147</v>
      </c>
      <c r="BR1556" t="s">
        <v>84</v>
      </c>
      <c r="BS1556" s="3">
        <v>43817</v>
      </c>
      <c r="BT1556" s="5">
        <v>0.4236111111111111</v>
      </c>
      <c r="BU1556" t="s">
        <v>142</v>
      </c>
      <c r="BV1556" t="s">
        <v>86</v>
      </c>
      <c r="BY1556">
        <v>1200</v>
      </c>
      <c r="CA1556" t="s">
        <v>1008</v>
      </c>
      <c r="CC1556" t="s">
        <v>333</v>
      </c>
      <c r="CD1556">
        <v>2091</v>
      </c>
      <c r="CE1556" t="s">
        <v>88</v>
      </c>
      <c r="CF1556" s="3">
        <v>43818</v>
      </c>
      <c r="CI1556">
        <v>1</v>
      </c>
      <c r="CJ1556">
        <v>1</v>
      </c>
      <c r="CK1556">
        <v>22</v>
      </c>
      <c r="CL1556" t="s">
        <v>89</v>
      </c>
    </row>
    <row r="1557" spans="1:90">
      <c r="A1557" t="s">
        <v>72</v>
      </c>
      <c r="B1557" t="s">
        <v>73</v>
      </c>
      <c r="C1557" t="s">
        <v>74</v>
      </c>
      <c r="E1557" t="str">
        <f>"FES1162728561"</f>
        <v>FES1162728561</v>
      </c>
      <c r="F1557" s="3">
        <v>43816</v>
      </c>
      <c r="G1557">
        <v>202006</v>
      </c>
      <c r="H1557" t="s">
        <v>75</v>
      </c>
      <c r="I1557" t="s">
        <v>76</v>
      </c>
      <c r="J1557" t="s">
        <v>77</v>
      </c>
      <c r="K1557" t="s">
        <v>78</v>
      </c>
      <c r="L1557" t="s">
        <v>79</v>
      </c>
      <c r="M1557" t="s">
        <v>80</v>
      </c>
      <c r="N1557" t="s">
        <v>183</v>
      </c>
      <c r="O1557" t="s">
        <v>82</v>
      </c>
      <c r="P1557" t="str">
        <f>"2170718990                    "</f>
        <v xml:space="preserve">2170718990                    </v>
      </c>
      <c r="Q1557">
        <v>0</v>
      </c>
      <c r="R1557">
        <v>0</v>
      </c>
      <c r="S1557">
        <v>0</v>
      </c>
      <c r="T1557">
        <v>0</v>
      </c>
      <c r="U1557">
        <v>0</v>
      </c>
      <c r="V1557">
        <v>0</v>
      </c>
      <c r="W1557">
        <v>0</v>
      </c>
      <c r="X1557">
        <v>0</v>
      </c>
      <c r="Y1557">
        <v>0</v>
      </c>
      <c r="Z1557">
        <v>0</v>
      </c>
      <c r="AA1557">
        <v>0</v>
      </c>
      <c r="AB1557">
        <v>0</v>
      </c>
      <c r="AC1557">
        <v>0</v>
      </c>
      <c r="AD1557">
        <v>0</v>
      </c>
      <c r="AE1557">
        <v>0</v>
      </c>
      <c r="AF1557">
        <v>0</v>
      </c>
      <c r="AG1557">
        <v>0</v>
      </c>
      <c r="AH1557">
        <v>0</v>
      </c>
      <c r="AI1557">
        <v>0</v>
      </c>
      <c r="AJ1557">
        <v>0</v>
      </c>
      <c r="AK1557">
        <v>0</v>
      </c>
      <c r="AL1557">
        <v>0</v>
      </c>
      <c r="AM1557">
        <v>8.58</v>
      </c>
      <c r="AN1557">
        <v>0</v>
      </c>
      <c r="AO1557">
        <v>0</v>
      </c>
      <c r="AP1557">
        <v>0</v>
      </c>
      <c r="AQ1557">
        <v>0</v>
      </c>
      <c r="AR1557">
        <v>0</v>
      </c>
      <c r="AS1557">
        <v>0</v>
      </c>
      <c r="AT1557">
        <v>0</v>
      </c>
      <c r="AU1557">
        <v>0</v>
      </c>
      <c r="AV1557">
        <v>0</v>
      </c>
      <c r="AW1557">
        <v>0</v>
      </c>
      <c r="AX1557">
        <v>0</v>
      </c>
      <c r="AY1557">
        <v>0</v>
      </c>
      <c r="AZ1557">
        <v>0</v>
      </c>
      <c r="BA1557">
        <v>0</v>
      </c>
      <c r="BB1557">
        <v>0</v>
      </c>
      <c r="BC1557">
        <v>0</v>
      </c>
      <c r="BD1557">
        <v>0</v>
      </c>
      <c r="BE1557">
        <v>0</v>
      </c>
      <c r="BF1557">
        <v>0</v>
      </c>
      <c r="BG1557">
        <v>0</v>
      </c>
      <c r="BH1557">
        <v>1</v>
      </c>
      <c r="BI1557">
        <v>1</v>
      </c>
      <c r="BJ1557">
        <v>0.2</v>
      </c>
      <c r="BK1557">
        <v>1</v>
      </c>
      <c r="BL1557" s="4">
        <v>50.45</v>
      </c>
      <c r="BM1557" s="4">
        <v>7.57</v>
      </c>
      <c r="BN1557" s="4">
        <v>58.02</v>
      </c>
      <c r="BO1557" s="4">
        <v>58.02</v>
      </c>
      <c r="BQ1557" t="s">
        <v>147</v>
      </c>
      <c r="BR1557" t="s">
        <v>84</v>
      </c>
      <c r="BS1557" s="3">
        <v>43817</v>
      </c>
      <c r="BT1557" s="5">
        <v>0.3611111111111111</v>
      </c>
      <c r="BU1557" t="s">
        <v>1987</v>
      </c>
      <c r="BV1557" t="s">
        <v>86</v>
      </c>
      <c r="BY1557">
        <v>1200</v>
      </c>
      <c r="CA1557" t="s">
        <v>185</v>
      </c>
      <c r="CC1557" t="s">
        <v>80</v>
      </c>
      <c r="CD1557">
        <v>6001</v>
      </c>
      <c r="CE1557" t="s">
        <v>88</v>
      </c>
      <c r="CF1557" s="3">
        <v>43818</v>
      </c>
      <c r="CI1557">
        <v>1</v>
      </c>
      <c r="CJ1557">
        <v>1</v>
      </c>
      <c r="CK1557">
        <v>21</v>
      </c>
      <c r="CL1557" t="s">
        <v>89</v>
      </c>
    </row>
    <row r="1558" spans="1:90">
      <c r="A1558" t="s">
        <v>72</v>
      </c>
      <c r="B1558" t="s">
        <v>73</v>
      </c>
      <c r="C1558" t="s">
        <v>74</v>
      </c>
      <c r="E1558" t="str">
        <f>"FES1162728640"</f>
        <v>FES1162728640</v>
      </c>
      <c r="F1558" s="3">
        <v>43816</v>
      </c>
      <c r="G1558">
        <v>202006</v>
      </c>
      <c r="H1558" t="s">
        <v>75</v>
      </c>
      <c r="I1558" t="s">
        <v>76</v>
      </c>
      <c r="J1558" t="s">
        <v>77</v>
      </c>
      <c r="K1558" t="s">
        <v>78</v>
      </c>
      <c r="L1558" t="s">
        <v>164</v>
      </c>
      <c r="M1558" t="s">
        <v>165</v>
      </c>
      <c r="N1558" t="s">
        <v>263</v>
      </c>
      <c r="O1558" t="s">
        <v>82</v>
      </c>
      <c r="P1558" t="str">
        <f>"217071849                     "</f>
        <v xml:space="preserve">217071849                     </v>
      </c>
      <c r="Q1558">
        <v>0</v>
      </c>
      <c r="R1558">
        <v>0</v>
      </c>
      <c r="S1558">
        <v>0</v>
      </c>
      <c r="T1558">
        <v>0</v>
      </c>
      <c r="U1558">
        <v>0</v>
      </c>
      <c r="V1558">
        <v>0</v>
      </c>
      <c r="W1558">
        <v>0</v>
      </c>
      <c r="X1558">
        <v>0</v>
      </c>
      <c r="Y1558">
        <v>0</v>
      </c>
      <c r="Z1558">
        <v>0</v>
      </c>
      <c r="AA1558">
        <v>0</v>
      </c>
      <c r="AB1558">
        <v>0</v>
      </c>
      <c r="AC1558">
        <v>0</v>
      </c>
      <c r="AD1558">
        <v>0</v>
      </c>
      <c r="AE1558">
        <v>0</v>
      </c>
      <c r="AF1558">
        <v>0</v>
      </c>
      <c r="AG1558">
        <v>0</v>
      </c>
      <c r="AH1558">
        <v>0</v>
      </c>
      <c r="AI1558">
        <v>0</v>
      </c>
      <c r="AJ1558">
        <v>0</v>
      </c>
      <c r="AK1558">
        <v>0</v>
      </c>
      <c r="AL1558">
        <v>0</v>
      </c>
      <c r="AM1558">
        <v>42.89</v>
      </c>
      <c r="AN1558">
        <v>0</v>
      </c>
      <c r="AO1558">
        <v>0</v>
      </c>
      <c r="AP1558">
        <v>0</v>
      </c>
      <c r="AQ1558">
        <v>0</v>
      </c>
      <c r="AR1558">
        <v>0</v>
      </c>
      <c r="AS1558">
        <v>0</v>
      </c>
      <c r="AT1558">
        <v>0</v>
      </c>
      <c r="AU1558">
        <v>0</v>
      </c>
      <c r="AV1558">
        <v>0</v>
      </c>
      <c r="AW1558">
        <v>0</v>
      </c>
      <c r="AX1558">
        <v>0</v>
      </c>
      <c r="AY1558">
        <v>0</v>
      </c>
      <c r="AZ1558">
        <v>0</v>
      </c>
      <c r="BA1558">
        <v>0</v>
      </c>
      <c r="BB1558">
        <v>0</v>
      </c>
      <c r="BC1558">
        <v>0</v>
      </c>
      <c r="BD1558">
        <v>0</v>
      </c>
      <c r="BE1558">
        <v>0</v>
      </c>
      <c r="BF1558">
        <v>0</v>
      </c>
      <c r="BG1558">
        <v>0</v>
      </c>
      <c r="BH1558">
        <v>1</v>
      </c>
      <c r="BI1558">
        <v>9.6</v>
      </c>
      <c r="BJ1558">
        <v>2.8</v>
      </c>
      <c r="BK1558">
        <v>10</v>
      </c>
      <c r="BL1558" s="4">
        <v>252.12</v>
      </c>
      <c r="BM1558" s="4">
        <v>37.82</v>
      </c>
      <c r="BN1558" s="4">
        <v>289.94</v>
      </c>
      <c r="BO1558" s="4">
        <v>289.94</v>
      </c>
      <c r="BQ1558" t="s">
        <v>147</v>
      </c>
      <c r="BR1558" t="s">
        <v>84</v>
      </c>
      <c r="BS1558" s="3">
        <v>43817</v>
      </c>
      <c r="BT1558" s="5">
        <v>0.38750000000000001</v>
      </c>
      <c r="BU1558" t="s">
        <v>1923</v>
      </c>
      <c r="BV1558" t="s">
        <v>86</v>
      </c>
      <c r="BY1558">
        <v>14246.96</v>
      </c>
      <c r="CA1558" t="s">
        <v>1361</v>
      </c>
      <c r="CC1558" t="s">
        <v>165</v>
      </c>
      <c r="CD1558">
        <v>5201</v>
      </c>
      <c r="CE1558" t="s">
        <v>116</v>
      </c>
      <c r="CF1558" s="3">
        <v>43819</v>
      </c>
      <c r="CI1558">
        <v>1</v>
      </c>
      <c r="CJ1558">
        <v>1</v>
      </c>
      <c r="CK1558">
        <v>21</v>
      </c>
      <c r="CL1558" t="s">
        <v>89</v>
      </c>
    </row>
    <row r="1559" spans="1:90">
      <c r="A1559" t="s">
        <v>72</v>
      </c>
      <c r="B1559" t="s">
        <v>73</v>
      </c>
      <c r="C1559" t="s">
        <v>74</v>
      </c>
      <c r="E1559" t="str">
        <f>"FES1162728389"</f>
        <v>FES1162728389</v>
      </c>
      <c r="F1559" s="3">
        <v>43816</v>
      </c>
      <c r="G1559">
        <v>202006</v>
      </c>
      <c r="H1559" t="s">
        <v>75</v>
      </c>
      <c r="I1559" t="s">
        <v>76</v>
      </c>
      <c r="J1559" t="s">
        <v>77</v>
      </c>
      <c r="K1559" t="s">
        <v>78</v>
      </c>
      <c r="L1559" t="s">
        <v>201</v>
      </c>
      <c r="M1559" t="s">
        <v>202</v>
      </c>
      <c r="N1559" t="s">
        <v>203</v>
      </c>
      <c r="O1559" t="s">
        <v>82</v>
      </c>
      <c r="P1559" t="str">
        <f>"2170717696                    "</f>
        <v xml:space="preserve">2170717696                    </v>
      </c>
      <c r="Q1559">
        <v>0</v>
      </c>
      <c r="R1559">
        <v>0</v>
      </c>
      <c r="S1559">
        <v>0</v>
      </c>
      <c r="T1559">
        <v>0</v>
      </c>
      <c r="U1559">
        <v>0</v>
      </c>
      <c r="V1559">
        <v>0</v>
      </c>
      <c r="W1559">
        <v>0</v>
      </c>
      <c r="X1559">
        <v>0</v>
      </c>
      <c r="Y1559">
        <v>0</v>
      </c>
      <c r="Z1559">
        <v>0</v>
      </c>
      <c r="AA1559">
        <v>0</v>
      </c>
      <c r="AB1559">
        <v>0</v>
      </c>
      <c r="AC1559">
        <v>0</v>
      </c>
      <c r="AD1559">
        <v>0</v>
      </c>
      <c r="AE1559">
        <v>0</v>
      </c>
      <c r="AF1559">
        <v>0</v>
      </c>
      <c r="AG1559">
        <v>0</v>
      </c>
      <c r="AH1559">
        <v>0</v>
      </c>
      <c r="AI1559">
        <v>0</v>
      </c>
      <c r="AJ1559">
        <v>0</v>
      </c>
      <c r="AK1559">
        <v>0</v>
      </c>
      <c r="AL1559">
        <v>0</v>
      </c>
      <c r="AM1559">
        <v>8.58</v>
      </c>
      <c r="AN1559">
        <v>0</v>
      </c>
      <c r="AO1559">
        <v>0</v>
      </c>
      <c r="AP1559">
        <v>0</v>
      </c>
      <c r="AQ1559">
        <v>0</v>
      </c>
      <c r="AR1559">
        <v>0</v>
      </c>
      <c r="AS1559">
        <v>0</v>
      </c>
      <c r="AT1559">
        <v>0</v>
      </c>
      <c r="AU1559">
        <v>0</v>
      </c>
      <c r="AV1559">
        <v>0</v>
      </c>
      <c r="AW1559">
        <v>0</v>
      </c>
      <c r="AX1559">
        <v>0</v>
      </c>
      <c r="AY1559">
        <v>0</v>
      </c>
      <c r="AZ1559">
        <v>0</v>
      </c>
      <c r="BA1559">
        <v>0</v>
      </c>
      <c r="BB1559">
        <v>0</v>
      </c>
      <c r="BC1559">
        <v>0</v>
      </c>
      <c r="BD1559">
        <v>0</v>
      </c>
      <c r="BE1559">
        <v>0</v>
      </c>
      <c r="BF1559">
        <v>0</v>
      </c>
      <c r="BG1559">
        <v>0</v>
      </c>
      <c r="BH1559">
        <v>1</v>
      </c>
      <c r="BI1559">
        <v>1</v>
      </c>
      <c r="BJ1559">
        <v>0.2</v>
      </c>
      <c r="BK1559">
        <v>1</v>
      </c>
      <c r="BL1559" s="4">
        <v>50.45</v>
      </c>
      <c r="BM1559" s="4">
        <v>7.57</v>
      </c>
      <c r="BN1559" s="4">
        <v>58.02</v>
      </c>
      <c r="BO1559" s="4">
        <v>58.02</v>
      </c>
      <c r="BQ1559" t="s">
        <v>147</v>
      </c>
      <c r="BR1559" t="s">
        <v>84</v>
      </c>
      <c r="BS1559" s="3">
        <v>43817</v>
      </c>
      <c r="BT1559" s="5">
        <v>0.32777777777777778</v>
      </c>
      <c r="BU1559" t="s">
        <v>204</v>
      </c>
      <c r="BV1559" t="s">
        <v>86</v>
      </c>
      <c r="BY1559">
        <v>1200</v>
      </c>
      <c r="CA1559" t="s">
        <v>205</v>
      </c>
      <c r="CC1559" t="s">
        <v>202</v>
      </c>
      <c r="CD1559">
        <v>3610</v>
      </c>
      <c r="CE1559" t="s">
        <v>88</v>
      </c>
      <c r="CF1559" s="3">
        <v>43818</v>
      </c>
      <c r="CI1559">
        <v>1</v>
      </c>
      <c r="CJ1559">
        <v>1</v>
      </c>
      <c r="CK1559">
        <v>21</v>
      </c>
      <c r="CL1559" t="s">
        <v>89</v>
      </c>
    </row>
    <row r="1560" spans="1:90">
      <c r="A1560" t="s">
        <v>72</v>
      </c>
      <c r="B1560" t="s">
        <v>73</v>
      </c>
      <c r="C1560" t="s">
        <v>74</v>
      </c>
      <c r="E1560" t="str">
        <f>"FES1162728670"</f>
        <v>FES1162728670</v>
      </c>
      <c r="F1560" s="3">
        <v>43816</v>
      </c>
      <c r="G1560">
        <v>202006</v>
      </c>
      <c r="H1560" t="s">
        <v>75</v>
      </c>
      <c r="I1560" t="s">
        <v>76</v>
      </c>
      <c r="J1560" t="s">
        <v>77</v>
      </c>
      <c r="K1560" t="s">
        <v>78</v>
      </c>
      <c r="L1560" t="s">
        <v>164</v>
      </c>
      <c r="M1560" t="s">
        <v>165</v>
      </c>
      <c r="N1560" t="s">
        <v>658</v>
      </c>
      <c r="O1560" t="s">
        <v>82</v>
      </c>
      <c r="P1560" t="str">
        <f>"2170720126                    "</f>
        <v xml:space="preserve">2170720126                    </v>
      </c>
      <c r="Q1560">
        <v>0</v>
      </c>
      <c r="R1560">
        <v>0</v>
      </c>
      <c r="S1560">
        <v>0</v>
      </c>
      <c r="T1560">
        <v>0</v>
      </c>
      <c r="U1560">
        <v>0</v>
      </c>
      <c r="V1560">
        <v>0</v>
      </c>
      <c r="W1560">
        <v>0</v>
      </c>
      <c r="X1560">
        <v>0</v>
      </c>
      <c r="Y1560">
        <v>0</v>
      </c>
      <c r="Z1560">
        <v>0</v>
      </c>
      <c r="AA1560">
        <v>0</v>
      </c>
      <c r="AB1560">
        <v>0</v>
      </c>
      <c r="AC1560">
        <v>0</v>
      </c>
      <c r="AD1560">
        <v>0</v>
      </c>
      <c r="AE1560">
        <v>0</v>
      </c>
      <c r="AF1560">
        <v>0</v>
      </c>
      <c r="AG1560">
        <v>0</v>
      </c>
      <c r="AH1560">
        <v>0</v>
      </c>
      <c r="AI1560">
        <v>0</v>
      </c>
      <c r="AJ1560">
        <v>0</v>
      </c>
      <c r="AK1560">
        <v>0</v>
      </c>
      <c r="AL1560">
        <v>0</v>
      </c>
      <c r="AM1560">
        <v>8.58</v>
      </c>
      <c r="AN1560">
        <v>0</v>
      </c>
      <c r="AO1560">
        <v>0</v>
      </c>
      <c r="AP1560">
        <v>0</v>
      </c>
      <c r="AQ1560">
        <v>0</v>
      </c>
      <c r="AR1560">
        <v>0</v>
      </c>
      <c r="AS1560">
        <v>0</v>
      </c>
      <c r="AT1560">
        <v>0</v>
      </c>
      <c r="AU1560">
        <v>0</v>
      </c>
      <c r="AV1560">
        <v>0</v>
      </c>
      <c r="AW1560">
        <v>0</v>
      </c>
      <c r="AX1560">
        <v>0</v>
      </c>
      <c r="AY1560">
        <v>0</v>
      </c>
      <c r="AZ1560">
        <v>0</v>
      </c>
      <c r="BA1560">
        <v>0</v>
      </c>
      <c r="BB1560">
        <v>0</v>
      </c>
      <c r="BC1560">
        <v>0</v>
      </c>
      <c r="BD1560">
        <v>0</v>
      </c>
      <c r="BE1560">
        <v>0</v>
      </c>
      <c r="BF1560">
        <v>0</v>
      </c>
      <c r="BG1560">
        <v>0</v>
      </c>
      <c r="BH1560">
        <v>1</v>
      </c>
      <c r="BI1560">
        <v>1</v>
      </c>
      <c r="BJ1560">
        <v>0.2</v>
      </c>
      <c r="BK1560">
        <v>1</v>
      </c>
      <c r="BL1560" s="4">
        <v>50.45</v>
      </c>
      <c r="BM1560" s="4">
        <v>7.57</v>
      </c>
      <c r="BN1560" s="4">
        <v>58.02</v>
      </c>
      <c r="BO1560" s="4">
        <v>58.02</v>
      </c>
      <c r="BR1560" t="s">
        <v>84</v>
      </c>
      <c r="BS1560" s="3">
        <v>43817</v>
      </c>
      <c r="BT1560" s="5">
        <v>0.43402777777777773</v>
      </c>
      <c r="BU1560" t="s">
        <v>1988</v>
      </c>
      <c r="BV1560" t="s">
        <v>86</v>
      </c>
      <c r="BY1560">
        <v>1200</v>
      </c>
      <c r="CA1560" t="s">
        <v>1989</v>
      </c>
      <c r="CC1560" t="s">
        <v>165</v>
      </c>
      <c r="CD1560">
        <v>5200</v>
      </c>
      <c r="CE1560" t="s">
        <v>88</v>
      </c>
      <c r="CF1560" s="3">
        <v>43822</v>
      </c>
      <c r="CI1560">
        <v>1</v>
      </c>
      <c r="CJ1560">
        <v>1</v>
      </c>
      <c r="CK1560">
        <v>21</v>
      </c>
      <c r="CL1560" t="s">
        <v>89</v>
      </c>
    </row>
    <row r="1561" spans="1:90">
      <c r="A1561" t="s">
        <v>72</v>
      </c>
      <c r="B1561" t="s">
        <v>73</v>
      </c>
      <c r="C1561" t="s">
        <v>74</v>
      </c>
      <c r="E1561" t="str">
        <f>"FES1162728556"</f>
        <v>FES1162728556</v>
      </c>
      <c r="F1561" s="3">
        <v>43816</v>
      </c>
      <c r="G1561">
        <v>202006</v>
      </c>
      <c r="H1561" t="s">
        <v>75</v>
      </c>
      <c r="I1561" t="s">
        <v>76</v>
      </c>
      <c r="J1561" t="s">
        <v>77</v>
      </c>
      <c r="K1561" t="s">
        <v>78</v>
      </c>
      <c r="L1561" t="s">
        <v>79</v>
      </c>
      <c r="M1561" t="s">
        <v>80</v>
      </c>
      <c r="N1561" t="s">
        <v>97</v>
      </c>
      <c r="O1561" t="s">
        <v>82</v>
      </c>
      <c r="P1561" t="str">
        <f>"2170717812                    "</f>
        <v xml:space="preserve">2170717812                    </v>
      </c>
      <c r="Q1561">
        <v>0</v>
      </c>
      <c r="R1561">
        <v>0</v>
      </c>
      <c r="S1561">
        <v>0</v>
      </c>
      <c r="T1561">
        <v>0</v>
      </c>
      <c r="U1561">
        <v>0</v>
      </c>
      <c r="V1561">
        <v>0</v>
      </c>
      <c r="W1561">
        <v>0</v>
      </c>
      <c r="X1561">
        <v>0</v>
      </c>
      <c r="Y1561">
        <v>0</v>
      </c>
      <c r="Z1561">
        <v>0</v>
      </c>
      <c r="AA1561">
        <v>0</v>
      </c>
      <c r="AB1561">
        <v>0</v>
      </c>
      <c r="AC1561">
        <v>0</v>
      </c>
      <c r="AD1561">
        <v>0</v>
      </c>
      <c r="AE1561">
        <v>0</v>
      </c>
      <c r="AF1561">
        <v>0</v>
      </c>
      <c r="AG1561">
        <v>0</v>
      </c>
      <c r="AH1561">
        <v>0</v>
      </c>
      <c r="AI1561">
        <v>0</v>
      </c>
      <c r="AJ1561">
        <v>0</v>
      </c>
      <c r="AK1561">
        <v>0</v>
      </c>
      <c r="AL1561">
        <v>0</v>
      </c>
      <c r="AM1561">
        <v>8.58</v>
      </c>
      <c r="AN1561">
        <v>0</v>
      </c>
      <c r="AO1561">
        <v>0</v>
      </c>
      <c r="AP1561">
        <v>0</v>
      </c>
      <c r="AQ1561">
        <v>0</v>
      </c>
      <c r="AR1561">
        <v>0</v>
      </c>
      <c r="AS1561">
        <v>0</v>
      </c>
      <c r="AT1561">
        <v>0</v>
      </c>
      <c r="AU1561">
        <v>0</v>
      </c>
      <c r="AV1561">
        <v>0</v>
      </c>
      <c r="AW1561">
        <v>0</v>
      </c>
      <c r="AX1561">
        <v>0</v>
      </c>
      <c r="AY1561">
        <v>0</v>
      </c>
      <c r="AZ1561">
        <v>0</v>
      </c>
      <c r="BA1561">
        <v>0</v>
      </c>
      <c r="BB1561">
        <v>0</v>
      </c>
      <c r="BC1561">
        <v>0</v>
      </c>
      <c r="BD1561">
        <v>0</v>
      </c>
      <c r="BE1561">
        <v>0</v>
      </c>
      <c r="BF1561">
        <v>0</v>
      </c>
      <c r="BG1561">
        <v>0</v>
      </c>
      <c r="BH1561">
        <v>1</v>
      </c>
      <c r="BI1561">
        <v>1</v>
      </c>
      <c r="BJ1561">
        <v>0.2</v>
      </c>
      <c r="BK1561">
        <v>1</v>
      </c>
      <c r="BL1561" s="4">
        <v>50.45</v>
      </c>
      <c r="BM1561" s="4">
        <v>7.57</v>
      </c>
      <c r="BN1561" s="4">
        <v>58.02</v>
      </c>
      <c r="BO1561" s="4">
        <v>58.02</v>
      </c>
      <c r="BQ1561" t="s">
        <v>93</v>
      </c>
      <c r="BR1561" t="s">
        <v>84</v>
      </c>
      <c r="BS1561" s="3">
        <v>43817</v>
      </c>
      <c r="BT1561" s="5">
        <v>0.33333333333333331</v>
      </c>
      <c r="BU1561" t="s">
        <v>98</v>
      </c>
      <c r="BV1561" t="s">
        <v>86</v>
      </c>
      <c r="BY1561">
        <v>1200</v>
      </c>
      <c r="CA1561" t="s">
        <v>99</v>
      </c>
      <c r="CC1561" t="s">
        <v>80</v>
      </c>
      <c r="CD1561">
        <v>6001</v>
      </c>
      <c r="CE1561" t="s">
        <v>88</v>
      </c>
      <c r="CF1561" s="3">
        <v>43818</v>
      </c>
      <c r="CI1561">
        <v>1</v>
      </c>
      <c r="CJ1561">
        <v>1</v>
      </c>
      <c r="CK1561">
        <v>21</v>
      </c>
      <c r="CL1561" t="s">
        <v>89</v>
      </c>
    </row>
    <row r="1562" spans="1:90">
      <c r="A1562" t="s">
        <v>72</v>
      </c>
      <c r="B1562" t="s">
        <v>73</v>
      </c>
      <c r="C1562" t="s">
        <v>74</v>
      </c>
      <c r="E1562" t="str">
        <f>"FES1162728718"</f>
        <v>FES1162728718</v>
      </c>
      <c r="F1562" s="3">
        <v>43816</v>
      </c>
      <c r="G1562">
        <v>202006</v>
      </c>
      <c r="H1562" t="s">
        <v>75</v>
      </c>
      <c r="I1562" t="s">
        <v>76</v>
      </c>
      <c r="J1562" t="s">
        <v>77</v>
      </c>
      <c r="K1562" t="s">
        <v>78</v>
      </c>
      <c r="L1562" t="s">
        <v>430</v>
      </c>
      <c r="M1562" t="s">
        <v>431</v>
      </c>
      <c r="N1562" t="s">
        <v>1990</v>
      </c>
      <c r="O1562" t="s">
        <v>82</v>
      </c>
      <c r="P1562" t="str">
        <f>"2170716680                    "</f>
        <v xml:space="preserve">2170716680                    </v>
      </c>
      <c r="Q1562">
        <v>0</v>
      </c>
      <c r="R1562">
        <v>0</v>
      </c>
      <c r="S1562">
        <v>0</v>
      </c>
      <c r="T1562">
        <v>0</v>
      </c>
      <c r="U1562">
        <v>0</v>
      </c>
      <c r="V1562">
        <v>0</v>
      </c>
      <c r="W1562">
        <v>0</v>
      </c>
      <c r="X1562">
        <v>0</v>
      </c>
      <c r="Y1562">
        <v>0</v>
      </c>
      <c r="Z1562">
        <v>0</v>
      </c>
      <c r="AA1562">
        <v>0</v>
      </c>
      <c r="AB1562">
        <v>0</v>
      </c>
      <c r="AC1562">
        <v>0</v>
      </c>
      <c r="AD1562">
        <v>0</v>
      </c>
      <c r="AE1562">
        <v>0</v>
      </c>
      <c r="AF1562">
        <v>0</v>
      </c>
      <c r="AG1562">
        <v>0</v>
      </c>
      <c r="AH1562">
        <v>0</v>
      </c>
      <c r="AI1562">
        <v>0</v>
      </c>
      <c r="AJ1562">
        <v>0</v>
      </c>
      <c r="AK1562">
        <v>0</v>
      </c>
      <c r="AL1562">
        <v>0</v>
      </c>
      <c r="AM1562">
        <v>12.07</v>
      </c>
      <c r="AN1562">
        <v>0</v>
      </c>
      <c r="AO1562">
        <v>0</v>
      </c>
      <c r="AP1562">
        <v>0</v>
      </c>
      <c r="AQ1562">
        <v>0</v>
      </c>
      <c r="AR1562">
        <v>0</v>
      </c>
      <c r="AS1562">
        <v>0</v>
      </c>
      <c r="AT1562">
        <v>0</v>
      </c>
      <c r="AU1562">
        <v>0</v>
      </c>
      <c r="AV1562">
        <v>0</v>
      </c>
      <c r="AW1562">
        <v>0</v>
      </c>
      <c r="AX1562">
        <v>0</v>
      </c>
      <c r="AY1562">
        <v>0</v>
      </c>
      <c r="AZ1562">
        <v>0</v>
      </c>
      <c r="BA1562">
        <v>0</v>
      </c>
      <c r="BB1562">
        <v>0</v>
      </c>
      <c r="BC1562">
        <v>0</v>
      </c>
      <c r="BD1562">
        <v>0</v>
      </c>
      <c r="BE1562">
        <v>0</v>
      </c>
      <c r="BF1562">
        <v>0</v>
      </c>
      <c r="BG1562">
        <v>0</v>
      </c>
      <c r="BH1562">
        <v>1</v>
      </c>
      <c r="BI1562">
        <v>0.8</v>
      </c>
      <c r="BJ1562">
        <v>1.1000000000000001</v>
      </c>
      <c r="BK1562">
        <v>1.5</v>
      </c>
      <c r="BL1562" s="4">
        <v>70.95</v>
      </c>
      <c r="BM1562" s="4">
        <v>10.64</v>
      </c>
      <c r="BN1562" s="4">
        <v>81.59</v>
      </c>
      <c r="BO1562" s="4">
        <v>81.59</v>
      </c>
      <c r="BQ1562" t="s">
        <v>1991</v>
      </c>
      <c r="BR1562" t="s">
        <v>84</v>
      </c>
      <c r="BS1562" s="3">
        <v>43818</v>
      </c>
      <c r="BT1562" s="5">
        <v>0.375</v>
      </c>
      <c r="BU1562" t="s">
        <v>1992</v>
      </c>
      <c r="BV1562" t="s">
        <v>89</v>
      </c>
      <c r="BW1562" t="s">
        <v>1707</v>
      </c>
      <c r="BX1562" t="s">
        <v>619</v>
      </c>
      <c r="BY1562">
        <v>5615.53</v>
      </c>
      <c r="CA1562" t="s">
        <v>650</v>
      </c>
      <c r="CC1562" t="s">
        <v>431</v>
      </c>
      <c r="CD1562">
        <v>216</v>
      </c>
      <c r="CE1562" t="s">
        <v>96</v>
      </c>
      <c r="CF1562" s="3">
        <v>43822</v>
      </c>
      <c r="CI1562">
        <v>1</v>
      </c>
      <c r="CJ1562">
        <v>2</v>
      </c>
      <c r="CK1562">
        <v>24</v>
      </c>
      <c r="CL1562" t="s">
        <v>89</v>
      </c>
    </row>
    <row r="1563" spans="1:90">
      <c r="A1563" t="s">
        <v>72</v>
      </c>
      <c r="B1563" t="s">
        <v>73</v>
      </c>
      <c r="C1563" t="s">
        <v>74</v>
      </c>
      <c r="E1563" t="str">
        <f>"FES1162728732"</f>
        <v>FES1162728732</v>
      </c>
      <c r="F1563" s="3">
        <v>43816</v>
      </c>
      <c r="G1563">
        <v>202006</v>
      </c>
      <c r="H1563" t="s">
        <v>75</v>
      </c>
      <c r="I1563" t="s">
        <v>76</v>
      </c>
      <c r="J1563" t="s">
        <v>77</v>
      </c>
      <c r="K1563" t="s">
        <v>78</v>
      </c>
      <c r="L1563" t="s">
        <v>132</v>
      </c>
      <c r="M1563" t="s">
        <v>133</v>
      </c>
      <c r="N1563" t="s">
        <v>1257</v>
      </c>
      <c r="O1563" t="s">
        <v>82</v>
      </c>
      <c r="P1563" t="str">
        <f>"2170720613                    "</f>
        <v xml:space="preserve">2170720613                    </v>
      </c>
      <c r="Q1563">
        <v>0</v>
      </c>
      <c r="R1563">
        <v>0</v>
      </c>
      <c r="S1563">
        <v>0</v>
      </c>
      <c r="T1563">
        <v>0</v>
      </c>
      <c r="U1563">
        <v>0</v>
      </c>
      <c r="V1563">
        <v>0</v>
      </c>
      <c r="W1563">
        <v>0</v>
      </c>
      <c r="X1563">
        <v>0</v>
      </c>
      <c r="Y1563">
        <v>0</v>
      </c>
      <c r="Z1563">
        <v>0</v>
      </c>
      <c r="AA1563">
        <v>0</v>
      </c>
      <c r="AB1563">
        <v>0</v>
      </c>
      <c r="AC1563">
        <v>0</v>
      </c>
      <c r="AD1563">
        <v>0</v>
      </c>
      <c r="AE1563">
        <v>0</v>
      </c>
      <c r="AF1563">
        <v>0</v>
      </c>
      <c r="AG1563">
        <v>0</v>
      </c>
      <c r="AH1563">
        <v>0</v>
      </c>
      <c r="AI1563">
        <v>0</v>
      </c>
      <c r="AJ1563">
        <v>0</v>
      </c>
      <c r="AK1563">
        <v>0</v>
      </c>
      <c r="AL1563">
        <v>0</v>
      </c>
      <c r="AM1563">
        <v>12.87</v>
      </c>
      <c r="AN1563">
        <v>0</v>
      </c>
      <c r="AO1563">
        <v>0</v>
      </c>
      <c r="AP1563">
        <v>0</v>
      </c>
      <c r="AQ1563">
        <v>0</v>
      </c>
      <c r="AR1563">
        <v>0</v>
      </c>
      <c r="AS1563">
        <v>0</v>
      </c>
      <c r="AT1563">
        <v>0</v>
      </c>
      <c r="AU1563">
        <v>0</v>
      </c>
      <c r="AV1563">
        <v>0</v>
      </c>
      <c r="AW1563">
        <v>0</v>
      </c>
      <c r="AX1563">
        <v>0</v>
      </c>
      <c r="AY1563">
        <v>0</v>
      </c>
      <c r="AZ1563">
        <v>0</v>
      </c>
      <c r="BA1563">
        <v>0</v>
      </c>
      <c r="BB1563">
        <v>0</v>
      </c>
      <c r="BC1563">
        <v>0</v>
      </c>
      <c r="BD1563">
        <v>0</v>
      </c>
      <c r="BE1563">
        <v>0</v>
      </c>
      <c r="BF1563">
        <v>0</v>
      </c>
      <c r="BG1563">
        <v>0</v>
      </c>
      <c r="BH1563">
        <v>1</v>
      </c>
      <c r="BI1563">
        <v>1</v>
      </c>
      <c r="BJ1563">
        <v>2.7</v>
      </c>
      <c r="BK1563">
        <v>3</v>
      </c>
      <c r="BL1563" s="4">
        <v>75.66</v>
      </c>
      <c r="BM1563" s="4">
        <v>11.35</v>
      </c>
      <c r="BN1563" s="4">
        <v>87.01</v>
      </c>
      <c r="BO1563" s="4">
        <v>87.01</v>
      </c>
      <c r="BQ1563" t="s">
        <v>147</v>
      </c>
      <c r="BR1563" t="s">
        <v>84</v>
      </c>
      <c r="BS1563" s="3">
        <v>43817</v>
      </c>
      <c r="BT1563" s="5">
        <v>0.4201388888888889</v>
      </c>
      <c r="BU1563" t="s">
        <v>1993</v>
      </c>
      <c r="BV1563" t="s">
        <v>86</v>
      </c>
      <c r="BY1563">
        <v>13583.64</v>
      </c>
      <c r="CA1563" t="s">
        <v>788</v>
      </c>
      <c r="CC1563" t="s">
        <v>133</v>
      </c>
      <c r="CD1563">
        <v>157</v>
      </c>
      <c r="CE1563" t="s">
        <v>116</v>
      </c>
      <c r="CF1563" s="3">
        <v>43818</v>
      </c>
      <c r="CI1563">
        <v>1</v>
      </c>
      <c r="CJ1563">
        <v>1</v>
      </c>
      <c r="CK1563">
        <v>21</v>
      </c>
      <c r="CL1563" t="s">
        <v>89</v>
      </c>
    </row>
    <row r="1564" spans="1:90">
      <c r="A1564" t="s">
        <v>72</v>
      </c>
      <c r="B1564" t="s">
        <v>73</v>
      </c>
      <c r="C1564" t="s">
        <v>74</v>
      </c>
      <c r="E1564" t="str">
        <f>"FES1162728569"</f>
        <v>FES1162728569</v>
      </c>
      <c r="F1564" s="3">
        <v>43816</v>
      </c>
      <c r="G1564">
        <v>202006</v>
      </c>
      <c r="H1564" t="s">
        <v>75</v>
      </c>
      <c r="I1564" t="s">
        <v>76</v>
      </c>
      <c r="J1564" t="s">
        <v>77</v>
      </c>
      <c r="K1564" t="s">
        <v>78</v>
      </c>
      <c r="L1564" t="s">
        <v>169</v>
      </c>
      <c r="M1564" t="s">
        <v>170</v>
      </c>
      <c r="N1564" t="s">
        <v>992</v>
      </c>
      <c r="O1564" t="s">
        <v>82</v>
      </c>
      <c r="P1564" t="str">
        <f>"2170720098                    "</f>
        <v xml:space="preserve">2170720098                    </v>
      </c>
      <c r="Q1564">
        <v>0</v>
      </c>
      <c r="R1564">
        <v>0</v>
      </c>
      <c r="S1564">
        <v>0</v>
      </c>
      <c r="T1564">
        <v>0</v>
      </c>
      <c r="U1564">
        <v>0</v>
      </c>
      <c r="V1564">
        <v>0</v>
      </c>
      <c r="W1564">
        <v>0</v>
      </c>
      <c r="X1564">
        <v>0</v>
      </c>
      <c r="Y1564">
        <v>0</v>
      </c>
      <c r="Z1564">
        <v>0</v>
      </c>
      <c r="AA1564">
        <v>0</v>
      </c>
      <c r="AB1564">
        <v>0</v>
      </c>
      <c r="AC1564">
        <v>0</v>
      </c>
      <c r="AD1564">
        <v>0</v>
      </c>
      <c r="AE1564">
        <v>0</v>
      </c>
      <c r="AF1564">
        <v>0</v>
      </c>
      <c r="AG1564">
        <v>0</v>
      </c>
      <c r="AH1564">
        <v>0</v>
      </c>
      <c r="AI1564">
        <v>0</v>
      </c>
      <c r="AJ1564">
        <v>0</v>
      </c>
      <c r="AK1564">
        <v>0</v>
      </c>
      <c r="AL1564">
        <v>0</v>
      </c>
      <c r="AM1564">
        <v>7.51</v>
      </c>
      <c r="AN1564">
        <v>0</v>
      </c>
      <c r="AO1564">
        <v>0</v>
      </c>
      <c r="AP1564">
        <v>0</v>
      </c>
      <c r="AQ1564">
        <v>0</v>
      </c>
      <c r="AR1564">
        <v>0</v>
      </c>
      <c r="AS1564">
        <v>0</v>
      </c>
      <c r="AT1564">
        <v>0</v>
      </c>
      <c r="AU1564">
        <v>0</v>
      </c>
      <c r="AV1564">
        <v>0</v>
      </c>
      <c r="AW1564">
        <v>0</v>
      </c>
      <c r="AX1564">
        <v>0</v>
      </c>
      <c r="AY1564">
        <v>0</v>
      </c>
      <c r="AZ1564">
        <v>0</v>
      </c>
      <c r="BA1564">
        <v>0</v>
      </c>
      <c r="BB1564">
        <v>0</v>
      </c>
      <c r="BC1564">
        <v>0</v>
      </c>
      <c r="BD1564">
        <v>0</v>
      </c>
      <c r="BE1564">
        <v>0</v>
      </c>
      <c r="BF1564">
        <v>0</v>
      </c>
      <c r="BG1564">
        <v>0</v>
      </c>
      <c r="BH1564">
        <v>1</v>
      </c>
      <c r="BI1564">
        <v>1.2</v>
      </c>
      <c r="BJ1564">
        <v>2.2000000000000002</v>
      </c>
      <c r="BK1564">
        <v>2.5</v>
      </c>
      <c r="BL1564" s="4">
        <v>44.14</v>
      </c>
      <c r="BM1564" s="4">
        <v>6.62</v>
      </c>
      <c r="BN1564" s="4">
        <v>50.76</v>
      </c>
      <c r="BO1564" s="4">
        <v>50.76</v>
      </c>
      <c r="BQ1564" t="s">
        <v>993</v>
      </c>
      <c r="BR1564" t="s">
        <v>84</v>
      </c>
      <c r="BS1564" s="3">
        <v>43817</v>
      </c>
      <c r="BT1564" s="5">
        <v>0.34722222222222227</v>
      </c>
      <c r="BU1564" t="s">
        <v>1268</v>
      </c>
      <c r="BV1564" t="s">
        <v>86</v>
      </c>
      <c r="BY1564">
        <v>10993.66</v>
      </c>
      <c r="CA1564" t="s">
        <v>174</v>
      </c>
      <c r="CC1564" t="s">
        <v>170</v>
      </c>
      <c r="CD1564">
        <v>1459</v>
      </c>
      <c r="CE1564" t="s">
        <v>116</v>
      </c>
      <c r="CF1564" s="3">
        <v>43818</v>
      </c>
      <c r="CI1564">
        <v>1</v>
      </c>
      <c r="CJ1564">
        <v>1</v>
      </c>
      <c r="CK1564">
        <v>22</v>
      </c>
      <c r="CL1564" t="s">
        <v>89</v>
      </c>
    </row>
    <row r="1565" spans="1:90">
      <c r="A1565" t="s">
        <v>72</v>
      </c>
      <c r="B1565" t="s">
        <v>73</v>
      </c>
      <c r="C1565" t="s">
        <v>74</v>
      </c>
      <c r="E1565" t="str">
        <f>"FES1162728712"</f>
        <v>FES1162728712</v>
      </c>
      <c r="F1565" s="3">
        <v>43816</v>
      </c>
      <c r="G1565">
        <v>202006</v>
      </c>
      <c r="H1565" t="s">
        <v>75</v>
      </c>
      <c r="I1565" t="s">
        <v>76</v>
      </c>
      <c r="J1565" t="s">
        <v>77</v>
      </c>
      <c r="K1565" t="s">
        <v>78</v>
      </c>
      <c r="L1565" t="s">
        <v>164</v>
      </c>
      <c r="M1565" t="s">
        <v>165</v>
      </c>
      <c r="N1565" t="s">
        <v>369</v>
      </c>
      <c r="O1565" t="s">
        <v>82</v>
      </c>
      <c r="P1565" t="str">
        <f>"2170721911                    "</f>
        <v xml:space="preserve">2170721911                    </v>
      </c>
      <c r="Q1565">
        <v>0</v>
      </c>
      <c r="R1565">
        <v>0</v>
      </c>
      <c r="S1565">
        <v>0</v>
      </c>
      <c r="T1565">
        <v>0</v>
      </c>
      <c r="U1565">
        <v>0</v>
      </c>
      <c r="V1565">
        <v>0</v>
      </c>
      <c r="W1565">
        <v>0</v>
      </c>
      <c r="X1565">
        <v>0</v>
      </c>
      <c r="Y1565">
        <v>0</v>
      </c>
      <c r="Z1565">
        <v>0</v>
      </c>
      <c r="AA1565">
        <v>0</v>
      </c>
      <c r="AB1565">
        <v>0</v>
      </c>
      <c r="AC1565">
        <v>0</v>
      </c>
      <c r="AD1565">
        <v>0</v>
      </c>
      <c r="AE1565">
        <v>0</v>
      </c>
      <c r="AF1565">
        <v>0</v>
      </c>
      <c r="AG1565">
        <v>0</v>
      </c>
      <c r="AH1565">
        <v>0</v>
      </c>
      <c r="AI1565">
        <v>0</v>
      </c>
      <c r="AJ1565">
        <v>0</v>
      </c>
      <c r="AK1565">
        <v>0</v>
      </c>
      <c r="AL1565">
        <v>0</v>
      </c>
      <c r="AM1565">
        <v>12.87</v>
      </c>
      <c r="AN1565">
        <v>0</v>
      </c>
      <c r="AO1565">
        <v>0</v>
      </c>
      <c r="AP1565">
        <v>0</v>
      </c>
      <c r="AQ1565">
        <v>0</v>
      </c>
      <c r="AR1565">
        <v>0</v>
      </c>
      <c r="AS1565">
        <v>0</v>
      </c>
      <c r="AT1565">
        <v>0</v>
      </c>
      <c r="AU1565">
        <v>0</v>
      </c>
      <c r="AV1565">
        <v>0</v>
      </c>
      <c r="AW1565">
        <v>0</v>
      </c>
      <c r="AX1565">
        <v>0</v>
      </c>
      <c r="AY1565">
        <v>0</v>
      </c>
      <c r="AZ1565">
        <v>0</v>
      </c>
      <c r="BA1565">
        <v>0</v>
      </c>
      <c r="BB1565">
        <v>0</v>
      </c>
      <c r="BC1565">
        <v>0</v>
      </c>
      <c r="BD1565">
        <v>0</v>
      </c>
      <c r="BE1565">
        <v>0</v>
      </c>
      <c r="BF1565">
        <v>0</v>
      </c>
      <c r="BG1565">
        <v>0</v>
      </c>
      <c r="BH1565">
        <v>1</v>
      </c>
      <c r="BI1565">
        <v>3</v>
      </c>
      <c r="BJ1565">
        <v>2</v>
      </c>
      <c r="BK1565">
        <v>3</v>
      </c>
      <c r="BL1565" s="4">
        <v>75.66</v>
      </c>
      <c r="BM1565" s="4">
        <v>11.35</v>
      </c>
      <c r="BN1565" s="4">
        <v>87.01</v>
      </c>
      <c r="BO1565" s="4">
        <v>87.01</v>
      </c>
      <c r="BQ1565" t="s">
        <v>93</v>
      </c>
      <c r="BR1565" t="s">
        <v>84</v>
      </c>
      <c r="BS1565" s="3">
        <v>43817</v>
      </c>
      <c r="BT1565" s="5">
        <v>0.43402777777777773</v>
      </c>
      <c r="BU1565" t="s">
        <v>765</v>
      </c>
      <c r="BV1565" t="s">
        <v>86</v>
      </c>
      <c r="BY1565">
        <v>9918</v>
      </c>
      <c r="CA1565" t="s">
        <v>766</v>
      </c>
      <c r="CC1565" t="s">
        <v>165</v>
      </c>
      <c r="CD1565">
        <v>5201</v>
      </c>
      <c r="CE1565" t="s">
        <v>96</v>
      </c>
      <c r="CF1565" s="3">
        <v>43822</v>
      </c>
      <c r="CI1565">
        <v>1</v>
      </c>
      <c r="CJ1565">
        <v>1</v>
      </c>
      <c r="CK1565">
        <v>21</v>
      </c>
      <c r="CL1565" t="s">
        <v>89</v>
      </c>
    </row>
    <row r="1566" spans="1:90">
      <c r="A1566" t="s">
        <v>72</v>
      </c>
      <c r="B1566" t="s">
        <v>73</v>
      </c>
      <c r="C1566" t="s">
        <v>74</v>
      </c>
      <c r="E1566" t="str">
        <f>"FES1162728562"</f>
        <v>FES1162728562</v>
      </c>
      <c r="F1566" s="3">
        <v>43816</v>
      </c>
      <c r="G1566">
        <v>202006</v>
      </c>
      <c r="H1566" t="s">
        <v>75</v>
      </c>
      <c r="I1566" t="s">
        <v>76</v>
      </c>
      <c r="J1566" t="s">
        <v>77</v>
      </c>
      <c r="K1566" t="s">
        <v>78</v>
      </c>
      <c r="L1566" t="s">
        <v>79</v>
      </c>
      <c r="M1566" t="s">
        <v>80</v>
      </c>
      <c r="N1566" t="s">
        <v>183</v>
      </c>
      <c r="O1566" t="s">
        <v>82</v>
      </c>
      <c r="P1566" t="str">
        <f>"2170718993                    "</f>
        <v xml:space="preserve">2170718993                    </v>
      </c>
      <c r="Q1566">
        <v>0</v>
      </c>
      <c r="R1566">
        <v>0</v>
      </c>
      <c r="S1566">
        <v>0</v>
      </c>
      <c r="T1566">
        <v>0</v>
      </c>
      <c r="U1566">
        <v>0</v>
      </c>
      <c r="V1566">
        <v>0</v>
      </c>
      <c r="W1566">
        <v>0</v>
      </c>
      <c r="X1566">
        <v>0</v>
      </c>
      <c r="Y1566">
        <v>0</v>
      </c>
      <c r="Z1566">
        <v>0</v>
      </c>
      <c r="AA1566">
        <v>0</v>
      </c>
      <c r="AB1566">
        <v>0</v>
      </c>
      <c r="AC1566">
        <v>0</v>
      </c>
      <c r="AD1566">
        <v>0</v>
      </c>
      <c r="AE1566">
        <v>0</v>
      </c>
      <c r="AF1566">
        <v>0</v>
      </c>
      <c r="AG1566">
        <v>0</v>
      </c>
      <c r="AH1566">
        <v>0</v>
      </c>
      <c r="AI1566">
        <v>0</v>
      </c>
      <c r="AJ1566">
        <v>0</v>
      </c>
      <c r="AK1566">
        <v>0</v>
      </c>
      <c r="AL1566">
        <v>0</v>
      </c>
      <c r="AM1566">
        <v>15.02</v>
      </c>
      <c r="AN1566">
        <v>0</v>
      </c>
      <c r="AO1566">
        <v>0</v>
      </c>
      <c r="AP1566">
        <v>0</v>
      </c>
      <c r="AQ1566">
        <v>0</v>
      </c>
      <c r="AR1566">
        <v>0</v>
      </c>
      <c r="AS1566">
        <v>0</v>
      </c>
      <c r="AT1566">
        <v>0</v>
      </c>
      <c r="AU1566">
        <v>0</v>
      </c>
      <c r="AV1566">
        <v>0</v>
      </c>
      <c r="AW1566">
        <v>0</v>
      </c>
      <c r="AX1566">
        <v>0</v>
      </c>
      <c r="AY1566">
        <v>0</v>
      </c>
      <c r="AZ1566">
        <v>0</v>
      </c>
      <c r="BA1566">
        <v>0</v>
      </c>
      <c r="BB1566">
        <v>0</v>
      </c>
      <c r="BC1566">
        <v>0</v>
      </c>
      <c r="BD1566">
        <v>0</v>
      </c>
      <c r="BE1566">
        <v>0</v>
      </c>
      <c r="BF1566">
        <v>0</v>
      </c>
      <c r="BG1566">
        <v>0</v>
      </c>
      <c r="BH1566">
        <v>1</v>
      </c>
      <c r="BI1566">
        <v>1.8</v>
      </c>
      <c r="BJ1566">
        <v>3.1</v>
      </c>
      <c r="BK1566">
        <v>3.5</v>
      </c>
      <c r="BL1566" s="4">
        <v>88.27</v>
      </c>
      <c r="BM1566" s="4">
        <v>13.24</v>
      </c>
      <c r="BN1566" s="4">
        <v>101.51</v>
      </c>
      <c r="BO1566" s="4">
        <v>101.51</v>
      </c>
      <c r="BQ1566" t="s">
        <v>147</v>
      </c>
      <c r="BR1566" t="s">
        <v>84</v>
      </c>
      <c r="BS1566" s="3">
        <v>43817</v>
      </c>
      <c r="BT1566" s="5">
        <v>0.3611111111111111</v>
      </c>
      <c r="BU1566" t="s">
        <v>1987</v>
      </c>
      <c r="BV1566" t="s">
        <v>86</v>
      </c>
      <c r="BY1566">
        <v>15327.13</v>
      </c>
      <c r="CA1566" t="s">
        <v>185</v>
      </c>
      <c r="CC1566" t="s">
        <v>80</v>
      </c>
      <c r="CD1566">
        <v>6001</v>
      </c>
      <c r="CE1566" t="s">
        <v>96</v>
      </c>
      <c r="CF1566" s="3">
        <v>43818</v>
      </c>
      <c r="CI1566">
        <v>1</v>
      </c>
      <c r="CJ1566">
        <v>1</v>
      </c>
      <c r="CK1566">
        <v>21</v>
      </c>
      <c r="CL1566" t="s">
        <v>89</v>
      </c>
    </row>
    <row r="1567" spans="1:90">
      <c r="A1567" t="s">
        <v>72</v>
      </c>
      <c r="B1567" t="s">
        <v>73</v>
      </c>
      <c r="C1567" t="s">
        <v>74</v>
      </c>
      <c r="E1567" t="str">
        <f>"FES1162728686"</f>
        <v>FES1162728686</v>
      </c>
      <c r="F1567" s="3">
        <v>43816</v>
      </c>
      <c r="G1567">
        <v>202006</v>
      </c>
      <c r="H1567" t="s">
        <v>75</v>
      </c>
      <c r="I1567" t="s">
        <v>76</v>
      </c>
      <c r="J1567" t="s">
        <v>77</v>
      </c>
      <c r="K1567" t="s">
        <v>78</v>
      </c>
      <c r="L1567" t="s">
        <v>151</v>
      </c>
      <c r="M1567" t="s">
        <v>102</v>
      </c>
      <c r="N1567" t="s">
        <v>1994</v>
      </c>
      <c r="O1567" t="s">
        <v>82</v>
      </c>
      <c r="P1567" t="str">
        <f>"2170718884                    "</f>
        <v xml:space="preserve">2170718884                    </v>
      </c>
      <c r="Q1567">
        <v>0</v>
      </c>
      <c r="R1567">
        <v>0</v>
      </c>
      <c r="S1567">
        <v>0</v>
      </c>
      <c r="T1567">
        <v>0</v>
      </c>
      <c r="U1567">
        <v>0</v>
      </c>
      <c r="V1567">
        <v>0</v>
      </c>
      <c r="W1567">
        <v>0</v>
      </c>
      <c r="X1567">
        <v>0</v>
      </c>
      <c r="Y1567">
        <v>0</v>
      </c>
      <c r="Z1567">
        <v>0</v>
      </c>
      <c r="AA1567">
        <v>0</v>
      </c>
      <c r="AB1567">
        <v>0</v>
      </c>
      <c r="AC1567">
        <v>0</v>
      </c>
      <c r="AD1567">
        <v>0</v>
      </c>
      <c r="AE1567">
        <v>0</v>
      </c>
      <c r="AF1567">
        <v>0</v>
      </c>
      <c r="AG1567">
        <v>0</v>
      </c>
      <c r="AH1567">
        <v>0</v>
      </c>
      <c r="AI1567">
        <v>0</v>
      </c>
      <c r="AJ1567">
        <v>0</v>
      </c>
      <c r="AK1567">
        <v>0</v>
      </c>
      <c r="AL1567">
        <v>0</v>
      </c>
      <c r="AM1567">
        <v>12.87</v>
      </c>
      <c r="AN1567">
        <v>0</v>
      </c>
      <c r="AO1567">
        <v>0</v>
      </c>
      <c r="AP1567">
        <v>0</v>
      </c>
      <c r="AQ1567">
        <v>0</v>
      </c>
      <c r="AR1567">
        <v>0</v>
      </c>
      <c r="AS1567">
        <v>0</v>
      </c>
      <c r="AT1567">
        <v>0</v>
      </c>
      <c r="AU1567">
        <v>0</v>
      </c>
      <c r="AV1567">
        <v>0</v>
      </c>
      <c r="AW1567">
        <v>0</v>
      </c>
      <c r="AX1567">
        <v>0</v>
      </c>
      <c r="AY1567">
        <v>0</v>
      </c>
      <c r="AZ1567">
        <v>0</v>
      </c>
      <c r="BA1567">
        <v>0</v>
      </c>
      <c r="BB1567">
        <v>0</v>
      </c>
      <c r="BC1567">
        <v>0</v>
      </c>
      <c r="BD1567">
        <v>0</v>
      </c>
      <c r="BE1567">
        <v>0</v>
      </c>
      <c r="BF1567">
        <v>0</v>
      </c>
      <c r="BG1567">
        <v>0</v>
      </c>
      <c r="BH1567">
        <v>1</v>
      </c>
      <c r="BI1567">
        <v>1.2</v>
      </c>
      <c r="BJ1567">
        <v>2.7</v>
      </c>
      <c r="BK1567">
        <v>3</v>
      </c>
      <c r="BL1567" s="4">
        <v>75.66</v>
      </c>
      <c r="BM1567" s="4">
        <v>11.35</v>
      </c>
      <c r="BN1567" s="4">
        <v>87.01</v>
      </c>
      <c r="BO1567" s="4">
        <v>87.01</v>
      </c>
      <c r="BQ1567" t="s">
        <v>93</v>
      </c>
      <c r="BR1567" t="s">
        <v>84</v>
      </c>
      <c r="BS1567" s="3">
        <v>43817</v>
      </c>
      <c r="BT1567" s="5">
        <v>0.40625</v>
      </c>
      <c r="BU1567" t="s">
        <v>1995</v>
      </c>
      <c r="BV1567" t="s">
        <v>86</v>
      </c>
      <c r="BY1567">
        <v>13301.87</v>
      </c>
      <c r="CA1567" t="s">
        <v>1357</v>
      </c>
      <c r="CC1567" t="s">
        <v>102</v>
      </c>
      <c r="CD1567">
        <v>200</v>
      </c>
      <c r="CE1567" t="s">
        <v>116</v>
      </c>
      <c r="CF1567" s="3">
        <v>43818</v>
      </c>
      <c r="CI1567">
        <v>1</v>
      </c>
      <c r="CJ1567">
        <v>1</v>
      </c>
      <c r="CK1567">
        <v>21</v>
      </c>
      <c r="CL1567" t="s">
        <v>89</v>
      </c>
    </row>
    <row r="1568" spans="1:90">
      <c r="A1568" t="s">
        <v>72</v>
      </c>
      <c r="B1568" t="s">
        <v>73</v>
      </c>
      <c r="C1568" t="s">
        <v>74</v>
      </c>
      <c r="E1568" t="str">
        <f>"FES1162728620"</f>
        <v>FES1162728620</v>
      </c>
      <c r="F1568" s="3">
        <v>43816</v>
      </c>
      <c r="G1568">
        <v>202006</v>
      </c>
      <c r="H1568" t="s">
        <v>75</v>
      </c>
      <c r="I1568" t="s">
        <v>76</v>
      </c>
      <c r="J1568" t="s">
        <v>77</v>
      </c>
      <c r="K1568" t="s">
        <v>78</v>
      </c>
      <c r="L1568" t="s">
        <v>151</v>
      </c>
      <c r="M1568" t="s">
        <v>102</v>
      </c>
      <c r="N1568" t="s">
        <v>681</v>
      </c>
      <c r="O1568" t="s">
        <v>82</v>
      </c>
      <c r="P1568" t="str">
        <f>"2170719421                    "</f>
        <v xml:space="preserve">2170719421                    </v>
      </c>
      <c r="Q1568">
        <v>0</v>
      </c>
      <c r="R1568">
        <v>0</v>
      </c>
      <c r="S1568">
        <v>0</v>
      </c>
      <c r="T1568">
        <v>0</v>
      </c>
      <c r="U1568">
        <v>0</v>
      </c>
      <c r="V1568">
        <v>0</v>
      </c>
      <c r="W1568">
        <v>0</v>
      </c>
      <c r="X1568">
        <v>0</v>
      </c>
      <c r="Y1568">
        <v>0</v>
      </c>
      <c r="Z1568">
        <v>0</v>
      </c>
      <c r="AA1568">
        <v>0</v>
      </c>
      <c r="AB1568">
        <v>0</v>
      </c>
      <c r="AC1568">
        <v>0</v>
      </c>
      <c r="AD1568">
        <v>0</v>
      </c>
      <c r="AE1568">
        <v>0</v>
      </c>
      <c r="AF1568">
        <v>0</v>
      </c>
      <c r="AG1568">
        <v>0</v>
      </c>
      <c r="AH1568">
        <v>0</v>
      </c>
      <c r="AI1568">
        <v>0</v>
      </c>
      <c r="AJ1568">
        <v>0</v>
      </c>
      <c r="AK1568">
        <v>0</v>
      </c>
      <c r="AL1568">
        <v>0</v>
      </c>
      <c r="AM1568">
        <v>10.73</v>
      </c>
      <c r="AN1568">
        <v>0</v>
      </c>
      <c r="AO1568">
        <v>0</v>
      </c>
      <c r="AP1568">
        <v>0</v>
      </c>
      <c r="AQ1568">
        <v>0</v>
      </c>
      <c r="AR1568">
        <v>0</v>
      </c>
      <c r="AS1568">
        <v>0</v>
      </c>
      <c r="AT1568">
        <v>0</v>
      </c>
      <c r="AU1568">
        <v>0</v>
      </c>
      <c r="AV1568">
        <v>0</v>
      </c>
      <c r="AW1568">
        <v>0</v>
      </c>
      <c r="AX1568">
        <v>0</v>
      </c>
      <c r="AY1568">
        <v>0</v>
      </c>
      <c r="AZ1568">
        <v>0</v>
      </c>
      <c r="BA1568">
        <v>0</v>
      </c>
      <c r="BB1568">
        <v>0</v>
      </c>
      <c r="BC1568">
        <v>0</v>
      </c>
      <c r="BD1568">
        <v>0</v>
      </c>
      <c r="BE1568">
        <v>0</v>
      </c>
      <c r="BF1568">
        <v>0</v>
      </c>
      <c r="BG1568">
        <v>0</v>
      </c>
      <c r="BH1568">
        <v>1</v>
      </c>
      <c r="BI1568">
        <v>2.2999999999999998</v>
      </c>
      <c r="BJ1568">
        <v>1.8</v>
      </c>
      <c r="BK1568">
        <v>2.5</v>
      </c>
      <c r="BL1568" s="4">
        <v>63.06</v>
      </c>
      <c r="BM1568" s="4">
        <v>9.4600000000000009</v>
      </c>
      <c r="BN1568" s="4">
        <v>72.52</v>
      </c>
      <c r="BO1568" s="4">
        <v>72.52</v>
      </c>
      <c r="BR1568" t="s">
        <v>84</v>
      </c>
      <c r="BS1568" s="3">
        <v>43817</v>
      </c>
      <c r="BT1568" s="5">
        <v>0.40347222222222223</v>
      </c>
      <c r="BU1568" t="s">
        <v>1996</v>
      </c>
      <c r="BV1568" t="s">
        <v>86</v>
      </c>
      <c r="BY1568">
        <v>8817.24</v>
      </c>
      <c r="CA1568" t="s">
        <v>344</v>
      </c>
      <c r="CC1568" t="s">
        <v>102</v>
      </c>
      <c r="CD1568">
        <v>1</v>
      </c>
      <c r="CE1568" t="s">
        <v>116</v>
      </c>
      <c r="CF1568" s="3">
        <v>43818</v>
      </c>
      <c r="CI1568">
        <v>1</v>
      </c>
      <c r="CJ1568">
        <v>1</v>
      </c>
      <c r="CK1568">
        <v>21</v>
      </c>
      <c r="CL1568" t="s">
        <v>89</v>
      </c>
    </row>
    <row r="1569" spans="1:90">
      <c r="A1569" t="s">
        <v>72</v>
      </c>
      <c r="B1569" t="s">
        <v>73</v>
      </c>
      <c r="C1569" t="s">
        <v>74</v>
      </c>
      <c r="E1569" t="str">
        <f>"FES1162728787"</f>
        <v>FES1162728787</v>
      </c>
      <c r="F1569" s="3">
        <v>43816</v>
      </c>
      <c r="G1569">
        <v>202006</v>
      </c>
      <c r="H1569" t="s">
        <v>75</v>
      </c>
      <c r="I1569" t="s">
        <v>76</v>
      </c>
      <c r="J1569" t="s">
        <v>77</v>
      </c>
      <c r="K1569" t="s">
        <v>78</v>
      </c>
      <c r="L1569" t="s">
        <v>849</v>
      </c>
      <c r="M1569" t="s">
        <v>850</v>
      </c>
      <c r="N1569" t="s">
        <v>851</v>
      </c>
      <c r="O1569" t="s">
        <v>82</v>
      </c>
      <c r="P1569" t="str">
        <f>"217071981                     "</f>
        <v xml:space="preserve">217071981                     </v>
      </c>
      <c r="Q1569">
        <v>0</v>
      </c>
      <c r="R1569">
        <v>0</v>
      </c>
      <c r="S1569">
        <v>0</v>
      </c>
      <c r="T1569">
        <v>0</v>
      </c>
      <c r="U1569">
        <v>0</v>
      </c>
      <c r="V1569">
        <v>0</v>
      </c>
      <c r="W1569">
        <v>0</v>
      </c>
      <c r="X1569">
        <v>0</v>
      </c>
      <c r="Y1569">
        <v>0</v>
      </c>
      <c r="Z1569">
        <v>0</v>
      </c>
      <c r="AA1569">
        <v>0</v>
      </c>
      <c r="AB1569">
        <v>0</v>
      </c>
      <c r="AC1569">
        <v>0</v>
      </c>
      <c r="AD1569">
        <v>0</v>
      </c>
      <c r="AE1569">
        <v>0</v>
      </c>
      <c r="AF1569">
        <v>0</v>
      </c>
      <c r="AG1569">
        <v>0</v>
      </c>
      <c r="AH1569">
        <v>0</v>
      </c>
      <c r="AI1569">
        <v>0</v>
      </c>
      <c r="AJ1569">
        <v>0</v>
      </c>
      <c r="AK1569">
        <v>0</v>
      </c>
      <c r="AL1569">
        <v>0</v>
      </c>
      <c r="AM1569">
        <v>8.58</v>
      </c>
      <c r="AN1569">
        <v>0</v>
      </c>
      <c r="AO1569">
        <v>0</v>
      </c>
      <c r="AP1569">
        <v>0</v>
      </c>
      <c r="AQ1569">
        <v>0</v>
      </c>
      <c r="AR1569">
        <v>0</v>
      </c>
      <c r="AS1569">
        <v>0</v>
      </c>
      <c r="AT1569">
        <v>0</v>
      </c>
      <c r="AU1569">
        <v>0</v>
      </c>
      <c r="AV1569">
        <v>0</v>
      </c>
      <c r="AW1569">
        <v>0</v>
      </c>
      <c r="AX1569">
        <v>0</v>
      </c>
      <c r="AY1569">
        <v>0</v>
      </c>
      <c r="AZ1569">
        <v>0</v>
      </c>
      <c r="BA1569">
        <v>0</v>
      </c>
      <c r="BB1569">
        <v>0</v>
      </c>
      <c r="BC1569">
        <v>0</v>
      </c>
      <c r="BD1569">
        <v>0</v>
      </c>
      <c r="BE1569">
        <v>0</v>
      </c>
      <c r="BF1569">
        <v>0</v>
      </c>
      <c r="BG1569">
        <v>0</v>
      </c>
      <c r="BH1569">
        <v>1</v>
      </c>
      <c r="BI1569">
        <v>1.6</v>
      </c>
      <c r="BJ1569">
        <v>0.9</v>
      </c>
      <c r="BK1569">
        <v>2</v>
      </c>
      <c r="BL1569" s="4">
        <v>50.45</v>
      </c>
      <c r="BM1569" s="4">
        <v>7.57</v>
      </c>
      <c r="BN1569" s="4">
        <v>58.02</v>
      </c>
      <c r="BO1569" s="4">
        <v>58.02</v>
      </c>
      <c r="BQ1569" t="s">
        <v>147</v>
      </c>
      <c r="BR1569" t="s">
        <v>84</v>
      </c>
      <c r="BS1569" s="3">
        <v>43817</v>
      </c>
      <c r="BT1569" s="5">
        <v>0.48749999999999999</v>
      </c>
      <c r="BU1569" t="s">
        <v>528</v>
      </c>
      <c r="BV1569" t="s">
        <v>86</v>
      </c>
      <c r="BY1569">
        <v>4406.8100000000004</v>
      </c>
      <c r="CA1569" t="s">
        <v>1026</v>
      </c>
      <c r="CC1569" t="s">
        <v>850</v>
      </c>
      <c r="CD1569">
        <v>3290</v>
      </c>
      <c r="CE1569" t="s">
        <v>96</v>
      </c>
      <c r="CF1569" s="3">
        <v>43818</v>
      </c>
      <c r="CI1569">
        <v>1</v>
      </c>
      <c r="CJ1569">
        <v>1</v>
      </c>
      <c r="CK1569">
        <v>21</v>
      </c>
      <c r="CL1569" t="s">
        <v>89</v>
      </c>
    </row>
    <row r="1570" spans="1:90">
      <c r="A1570" t="s">
        <v>72</v>
      </c>
      <c r="B1570" t="s">
        <v>73</v>
      </c>
      <c r="C1570" t="s">
        <v>74</v>
      </c>
      <c r="E1570" t="str">
        <f>"FES1162728542"</f>
        <v>FES1162728542</v>
      </c>
      <c r="F1570" s="3">
        <v>43816</v>
      </c>
      <c r="G1570">
        <v>202006</v>
      </c>
      <c r="H1570" t="s">
        <v>75</v>
      </c>
      <c r="I1570" t="s">
        <v>76</v>
      </c>
      <c r="J1570" t="s">
        <v>77</v>
      </c>
      <c r="K1570" t="s">
        <v>78</v>
      </c>
      <c r="L1570" t="s">
        <v>79</v>
      </c>
      <c r="M1570" t="s">
        <v>80</v>
      </c>
      <c r="N1570" t="s">
        <v>129</v>
      </c>
      <c r="O1570" t="s">
        <v>82</v>
      </c>
      <c r="P1570" t="str">
        <f>"2170721781                    "</f>
        <v xml:space="preserve">2170721781                    </v>
      </c>
      <c r="Q1570">
        <v>0</v>
      </c>
      <c r="R1570">
        <v>0</v>
      </c>
      <c r="S1570">
        <v>0</v>
      </c>
      <c r="T1570">
        <v>0</v>
      </c>
      <c r="U1570">
        <v>0</v>
      </c>
      <c r="V1570">
        <v>0</v>
      </c>
      <c r="W1570">
        <v>0</v>
      </c>
      <c r="X1570">
        <v>0</v>
      </c>
      <c r="Y1570">
        <v>0</v>
      </c>
      <c r="Z1570">
        <v>0</v>
      </c>
      <c r="AA1570">
        <v>0</v>
      </c>
      <c r="AB1570">
        <v>0</v>
      </c>
      <c r="AC1570">
        <v>0</v>
      </c>
      <c r="AD1570">
        <v>0</v>
      </c>
      <c r="AE1570">
        <v>0</v>
      </c>
      <c r="AF1570">
        <v>0</v>
      </c>
      <c r="AG1570">
        <v>0</v>
      </c>
      <c r="AH1570">
        <v>0</v>
      </c>
      <c r="AI1570">
        <v>0</v>
      </c>
      <c r="AJ1570">
        <v>0</v>
      </c>
      <c r="AK1570">
        <v>0</v>
      </c>
      <c r="AL1570">
        <v>0</v>
      </c>
      <c r="AM1570">
        <v>12.87</v>
      </c>
      <c r="AN1570">
        <v>0</v>
      </c>
      <c r="AO1570">
        <v>0</v>
      </c>
      <c r="AP1570">
        <v>0</v>
      </c>
      <c r="AQ1570">
        <v>0</v>
      </c>
      <c r="AR1570">
        <v>0</v>
      </c>
      <c r="AS1570">
        <v>0</v>
      </c>
      <c r="AT1570">
        <v>0</v>
      </c>
      <c r="AU1570">
        <v>0</v>
      </c>
      <c r="AV1570">
        <v>0</v>
      </c>
      <c r="AW1570">
        <v>0</v>
      </c>
      <c r="AX1570">
        <v>0</v>
      </c>
      <c r="AY1570">
        <v>0</v>
      </c>
      <c r="AZ1570">
        <v>0</v>
      </c>
      <c r="BA1570">
        <v>0</v>
      </c>
      <c r="BB1570">
        <v>0</v>
      </c>
      <c r="BC1570">
        <v>0</v>
      </c>
      <c r="BD1570">
        <v>0</v>
      </c>
      <c r="BE1570">
        <v>0</v>
      </c>
      <c r="BF1570">
        <v>0</v>
      </c>
      <c r="BG1570">
        <v>0</v>
      </c>
      <c r="BH1570">
        <v>1</v>
      </c>
      <c r="BI1570">
        <v>2.6</v>
      </c>
      <c r="BJ1570">
        <v>1.7</v>
      </c>
      <c r="BK1570">
        <v>3</v>
      </c>
      <c r="BL1570" s="4">
        <v>75.66</v>
      </c>
      <c r="BM1570" s="4">
        <v>11.35</v>
      </c>
      <c r="BN1570" s="4">
        <v>87.01</v>
      </c>
      <c r="BO1570" s="4">
        <v>87.01</v>
      </c>
      <c r="BQ1570" t="s">
        <v>147</v>
      </c>
      <c r="BR1570" t="s">
        <v>84</v>
      </c>
      <c r="BS1570" s="3">
        <v>43817</v>
      </c>
      <c r="BT1570" s="5">
        <v>0.37916666666666665</v>
      </c>
      <c r="BU1570" t="s">
        <v>1648</v>
      </c>
      <c r="BV1570" t="s">
        <v>86</v>
      </c>
      <c r="BY1570">
        <v>8686.86</v>
      </c>
      <c r="CA1570" t="s">
        <v>131</v>
      </c>
      <c r="CC1570" t="s">
        <v>80</v>
      </c>
      <c r="CD1570">
        <v>6001</v>
      </c>
      <c r="CE1570" t="s">
        <v>96</v>
      </c>
      <c r="CF1570" s="3">
        <v>43818</v>
      </c>
      <c r="CI1570">
        <v>1</v>
      </c>
      <c r="CJ1570">
        <v>1</v>
      </c>
      <c r="CK1570">
        <v>21</v>
      </c>
      <c r="CL1570" t="s">
        <v>89</v>
      </c>
    </row>
    <row r="1571" spans="1:90">
      <c r="A1571" t="s">
        <v>72</v>
      </c>
      <c r="B1571" t="s">
        <v>73</v>
      </c>
      <c r="C1571" t="s">
        <v>74</v>
      </c>
      <c r="E1571" t="str">
        <f>"FES1162728681"</f>
        <v>FES1162728681</v>
      </c>
      <c r="F1571" s="3">
        <v>43816</v>
      </c>
      <c r="G1571">
        <v>202006</v>
      </c>
      <c r="H1571" t="s">
        <v>75</v>
      </c>
      <c r="I1571" t="s">
        <v>76</v>
      </c>
      <c r="J1571" t="s">
        <v>77</v>
      </c>
      <c r="K1571" t="s">
        <v>78</v>
      </c>
      <c r="L1571" t="s">
        <v>164</v>
      </c>
      <c r="M1571" t="s">
        <v>165</v>
      </c>
      <c r="N1571" t="s">
        <v>263</v>
      </c>
      <c r="O1571" t="s">
        <v>82</v>
      </c>
      <c r="P1571" t="str">
        <f>"2170721876                    "</f>
        <v xml:space="preserve">2170721876                    </v>
      </c>
      <c r="Q1571">
        <v>0</v>
      </c>
      <c r="R1571">
        <v>0</v>
      </c>
      <c r="S1571">
        <v>0</v>
      </c>
      <c r="T1571">
        <v>0</v>
      </c>
      <c r="U1571">
        <v>0</v>
      </c>
      <c r="V1571">
        <v>0</v>
      </c>
      <c r="W1571">
        <v>0</v>
      </c>
      <c r="X1571">
        <v>0</v>
      </c>
      <c r="Y1571">
        <v>0</v>
      </c>
      <c r="Z1571">
        <v>0</v>
      </c>
      <c r="AA1571">
        <v>0</v>
      </c>
      <c r="AB1571">
        <v>0</v>
      </c>
      <c r="AC1571">
        <v>0</v>
      </c>
      <c r="AD1571">
        <v>0</v>
      </c>
      <c r="AE1571">
        <v>0</v>
      </c>
      <c r="AF1571">
        <v>0</v>
      </c>
      <c r="AG1571">
        <v>0</v>
      </c>
      <c r="AH1571">
        <v>0</v>
      </c>
      <c r="AI1571">
        <v>0</v>
      </c>
      <c r="AJ1571">
        <v>0</v>
      </c>
      <c r="AK1571">
        <v>0</v>
      </c>
      <c r="AL1571">
        <v>0</v>
      </c>
      <c r="AM1571">
        <v>8.58</v>
      </c>
      <c r="AN1571">
        <v>0</v>
      </c>
      <c r="AO1571">
        <v>0</v>
      </c>
      <c r="AP1571">
        <v>0</v>
      </c>
      <c r="AQ1571">
        <v>0</v>
      </c>
      <c r="AR1571">
        <v>0</v>
      </c>
      <c r="AS1571">
        <v>0</v>
      </c>
      <c r="AT1571">
        <v>0</v>
      </c>
      <c r="AU1571">
        <v>0</v>
      </c>
      <c r="AV1571">
        <v>0</v>
      </c>
      <c r="AW1571">
        <v>0</v>
      </c>
      <c r="AX1571">
        <v>0</v>
      </c>
      <c r="AY1571">
        <v>0</v>
      </c>
      <c r="AZ1571">
        <v>0</v>
      </c>
      <c r="BA1571">
        <v>0</v>
      </c>
      <c r="BB1571">
        <v>0</v>
      </c>
      <c r="BC1571">
        <v>0</v>
      </c>
      <c r="BD1571">
        <v>0</v>
      </c>
      <c r="BE1571">
        <v>0</v>
      </c>
      <c r="BF1571">
        <v>0</v>
      </c>
      <c r="BG1571">
        <v>0</v>
      </c>
      <c r="BH1571">
        <v>1</v>
      </c>
      <c r="BI1571">
        <v>2</v>
      </c>
      <c r="BJ1571">
        <v>1.5</v>
      </c>
      <c r="BK1571">
        <v>2</v>
      </c>
      <c r="BL1571" s="4">
        <v>50.45</v>
      </c>
      <c r="BM1571" s="4">
        <v>7.57</v>
      </c>
      <c r="BN1571" s="4">
        <v>58.02</v>
      </c>
      <c r="BO1571" s="4">
        <v>58.02</v>
      </c>
      <c r="BQ1571" t="s">
        <v>147</v>
      </c>
      <c r="BR1571" t="s">
        <v>84</v>
      </c>
      <c r="BS1571" s="3">
        <v>43817</v>
      </c>
      <c r="BT1571" s="5">
        <v>0.38750000000000001</v>
      </c>
      <c r="BU1571" t="s">
        <v>1923</v>
      </c>
      <c r="BV1571" t="s">
        <v>86</v>
      </c>
      <c r="BY1571">
        <v>7522.66</v>
      </c>
      <c r="CA1571" t="s">
        <v>1361</v>
      </c>
      <c r="CC1571" t="s">
        <v>165</v>
      </c>
      <c r="CD1571">
        <v>5201</v>
      </c>
      <c r="CE1571" t="s">
        <v>96</v>
      </c>
      <c r="CF1571" s="3">
        <v>43819</v>
      </c>
      <c r="CI1571">
        <v>1</v>
      </c>
      <c r="CJ1571">
        <v>1</v>
      </c>
      <c r="CK1571">
        <v>21</v>
      </c>
      <c r="CL1571" t="s">
        <v>89</v>
      </c>
    </row>
    <row r="1572" spans="1:90">
      <c r="A1572" t="s">
        <v>72</v>
      </c>
      <c r="B1572" t="s">
        <v>73</v>
      </c>
      <c r="C1572" t="s">
        <v>74</v>
      </c>
      <c r="E1572" t="str">
        <f>"FES1162728520"</f>
        <v>FES1162728520</v>
      </c>
      <c r="F1572" s="3">
        <v>43816</v>
      </c>
      <c r="G1572">
        <v>202006</v>
      </c>
      <c r="H1572" t="s">
        <v>75</v>
      </c>
      <c r="I1572" t="s">
        <v>76</v>
      </c>
      <c r="J1572" t="s">
        <v>77</v>
      </c>
      <c r="K1572" t="s">
        <v>78</v>
      </c>
      <c r="L1572" t="s">
        <v>714</v>
      </c>
      <c r="M1572" t="s">
        <v>715</v>
      </c>
      <c r="N1572" t="s">
        <v>1018</v>
      </c>
      <c r="O1572" t="s">
        <v>82</v>
      </c>
      <c r="P1572" t="str">
        <f>"2170721756                    "</f>
        <v xml:space="preserve">2170721756                    </v>
      </c>
      <c r="Q1572">
        <v>0</v>
      </c>
      <c r="R1572">
        <v>0</v>
      </c>
      <c r="S1572">
        <v>0</v>
      </c>
      <c r="T1572">
        <v>0</v>
      </c>
      <c r="U1572">
        <v>0</v>
      </c>
      <c r="V1572">
        <v>0</v>
      </c>
      <c r="W1572">
        <v>0</v>
      </c>
      <c r="X1572">
        <v>0</v>
      </c>
      <c r="Y1572">
        <v>0</v>
      </c>
      <c r="Z1572">
        <v>0</v>
      </c>
      <c r="AA1572">
        <v>0</v>
      </c>
      <c r="AB1572">
        <v>0</v>
      </c>
      <c r="AC1572">
        <v>0</v>
      </c>
      <c r="AD1572">
        <v>0</v>
      </c>
      <c r="AE1572">
        <v>0</v>
      </c>
      <c r="AF1572">
        <v>0</v>
      </c>
      <c r="AG1572">
        <v>0</v>
      </c>
      <c r="AH1572">
        <v>0</v>
      </c>
      <c r="AI1572">
        <v>0</v>
      </c>
      <c r="AJ1572">
        <v>0</v>
      </c>
      <c r="AK1572">
        <v>0</v>
      </c>
      <c r="AL1572">
        <v>0</v>
      </c>
      <c r="AM1572">
        <v>9.1199999999999992</v>
      </c>
      <c r="AN1572">
        <v>0</v>
      </c>
      <c r="AO1572">
        <v>0</v>
      </c>
      <c r="AP1572">
        <v>0</v>
      </c>
      <c r="AQ1572">
        <v>0</v>
      </c>
      <c r="AR1572">
        <v>0</v>
      </c>
      <c r="AS1572">
        <v>0</v>
      </c>
      <c r="AT1572">
        <v>0</v>
      </c>
      <c r="AU1572">
        <v>0</v>
      </c>
      <c r="AV1572">
        <v>0</v>
      </c>
      <c r="AW1572">
        <v>0</v>
      </c>
      <c r="AX1572">
        <v>0</v>
      </c>
      <c r="AY1572">
        <v>0</v>
      </c>
      <c r="AZ1572">
        <v>0</v>
      </c>
      <c r="BA1572">
        <v>0</v>
      </c>
      <c r="BB1572">
        <v>0</v>
      </c>
      <c r="BC1572">
        <v>0</v>
      </c>
      <c r="BD1572">
        <v>0</v>
      </c>
      <c r="BE1572">
        <v>0</v>
      </c>
      <c r="BF1572">
        <v>0</v>
      </c>
      <c r="BG1572">
        <v>0</v>
      </c>
      <c r="BH1572">
        <v>1</v>
      </c>
      <c r="BI1572">
        <v>2.7</v>
      </c>
      <c r="BJ1572">
        <v>3.1</v>
      </c>
      <c r="BK1572">
        <v>3.5</v>
      </c>
      <c r="BL1572" s="4">
        <v>53.59</v>
      </c>
      <c r="BM1572" s="4">
        <v>8.0399999999999991</v>
      </c>
      <c r="BN1572" s="4">
        <v>61.63</v>
      </c>
      <c r="BO1572" s="4">
        <v>61.63</v>
      </c>
      <c r="BQ1572" t="s">
        <v>147</v>
      </c>
      <c r="BR1572" t="s">
        <v>84</v>
      </c>
      <c r="BS1572" s="3">
        <v>43817</v>
      </c>
      <c r="BT1572" s="5">
        <v>0.375</v>
      </c>
      <c r="BU1572" t="s">
        <v>945</v>
      </c>
      <c r="BV1572" t="s">
        <v>86</v>
      </c>
      <c r="BY1572">
        <v>15540.48</v>
      </c>
      <c r="CC1572" t="s">
        <v>715</v>
      </c>
      <c r="CD1572">
        <v>1559</v>
      </c>
      <c r="CE1572" t="s">
        <v>96</v>
      </c>
      <c r="CF1572" s="3">
        <v>43818</v>
      </c>
      <c r="CI1572">
        <v>1</v>
      </c>
      <c r="CJ1572">
        <v>1</v>
      </c>
      <c r="CK1572">
        <v>22</v>
      </c>
      <c r="CL1572" t="s">
        <v>89</v>
      </c>
    </row>
    <row r="1573" spans="1:90">
      <c r="A1573" t="s">
        <v>72</v>
      </c>
      <c r="B1573" t="s">
        <v>73</v>
      </c>
      <c r="C1573" t="s">
        <v>74</v>
      </c>
      <c r="E1573" t="str">
        <f>"FES1162728574"</f>
        <v>FES1162728574</v>
      </c>
      <c r="F1573" s="3">
        <v>43816</v>
      </c>
      <c r="G1573">
        <v>202006</v>
      </c>
      <c r="H1573" t="s">
        <v>75</v>
      </c>
      <c r="I1573" t="s">
        <v>76</v>
      </c>
      <c r="J1573" t="s">
        <v>77</v>
      </c>
      <c r="K1573" t="s">
        <v>78</v>
      </c>
      <c r="L1573" t="s">
        <v>75</v>
      </c>
      <c r="M1573" t="s">
        <v>76</v>
      </c>
      <c r="N1573" t="s">
        <v>1997</v>
      </c>
      <c r="O1573" t="s">
        <v>82</v>
      </c>
      <c r="P1573" t="str">
        <f>"2170721270                    "</f>
        <v xml:space="preserve">2170721270                    </v>
      </c>
      <c r="Q1573">
        <v>0</v>
      </c>
      <c r="R1573">
        <v>0</v>
      </c>
      <c r="S1573">
        <v>0</v>
      </c>
      <c r="T1573">
        <v>0</v>
      </c>
      <c r="U1573">
        <v>0</v>
      </c>
      <c r="V1573">
        <v>0</v>
      </c>
      <c r="W1573">
        <v>0</v>
      </c>
      <c r="X1573">
        <v>0</v>
      </c>
      <c r="Y1573">
        <v>0</v>
      </c>
      <c r="Z1573">
        <v>0</v>
      </c>
      <c r="AA1573">
        <v>0</v>
      </c>
      <c r="AB1573">
        <v>0</v>
      </c>
      <c r="AC1573">
        <v>0</v>
      </c>
      <c r="AD1573">
        <v>0</v>
      </c>
      <c r="AE1573">
        <v>0</v>
      </c>
      <c r="AF1573">
        <v>0</v>
      </c>
      <c r="AG1573">
        <v>0</v>
      </c>
      <c r="AH1573">
        <v>0</v>
      </c>
      <c r="AI1573">
        <v>0</v>
      </c>
      <c r="AJ1573">
        <v>0</v>
      </c>
      <c r="AK1573">
        <v>0</v>
      </c>
      <c r="AL1573">
        <v>0</v>
      </c>
      <c r="AM1573">
        <v>9.1199999999999992</v>
      </c>
      <c r="AN1573">
        <v>0</v>
      </c>
      <c r="AO1573">
        <v>0</v>
      </c>
      <c r="AP1573">
        <v>0</v>
      </c>
      <c r="AQ1573">
        <v>0</v>
      </c>
      <c r="AR1573">
        <v>0</v>
      </c>
      <c r="AS1573">
        <v>0</v>
      </c>
      <c r="AT1573">
        <v>0</v>
      </c>
      <c r="AU1573">
        <v>0</v>
      </c>
      <c r="AV1573">
        <v>0</v>
      </c>
      <c r="AW1573">
        <v>0</v>
      </c>
      <c r="AX1573">
        <v>0</v>
      </c>
      <c r="AY1573">
        <v>0</v>
      </c>
      <c r="AZ1573">
        <v>0</v>
      </c>
      <c r="BA1573">
        <v>0</v>
      </c>
      <c r="BB1573">
        <v>0</v>
      </c>
      <c r="BC1573">
        <v>0</v>
      </c>
      <c r="BD1573">
        <v>0</v>
      </c>
      <c r="BE1573">
        <v>0</v>
      </c>
      <c r="BF1573">
        <v>0</v>
      </c>
      <c r="BG1573">
        <v>0</v>
      </c>
      <c r="BH1573">
        <v>1</v>
      </c>
      <c r="BI1573">
        <v>3.4</v>
      </c>
      <c r="BJ1573">
        <v>3.2</v>
      </c>
      <c r="BK1573">
        <v>3.5</v>
      </c>
      <c r="BL1573" s="4">
        <v>53.59</v>
      </c>
      <c r="BM1573" s="4">
        <v>8.0399999999999991</v>
      </c>
      <c r="BN1573" s="4">
        <v>61.63</v>
      </c>
      <c r="BO1573" s="4">
        <v>61.63</v>
      </c>
      <c r="BR1573" t="s">
        <v>84</v>
      </c>
      <c r="BS1573" s="3">
        <v>43817</v>
      </c>
      <c r="BT1573" s="5">
        <v>0.23958333333333334</v>
      </c>
      <c r="BU1573" t="s">
        <v>1998</v>
      </c>
      <c r="BV1573" t="s">
        <v>86</v>
      </c>
      <c r="BY1573">
        <v>15910.75</v>
      </c>
      <c r="CA1573" t="s">
        <v>588</v>
      </c>
      <c r="CC1573" t="s">
        <v>76</v>
      </c>
      <c r="CD1573">
        <v>1600</v>
      </c>
      <c r="CE1573" t="s">
        <v>96</v>
      </c>
      <c r="CF1573" s="3">
        <v>43818</v>
      </c>
      <c r="CI1573">
        <v>1</v>
      </c>
      <c r="CJ1573">
        <v>1</v>
      </c>
      <c r="CK1573">
        <v>22</v>
      </c>
      <c r="CL1573" t="s">
        <v>89</v>
      </c>
    </row>
    <row r="1574" spans="1:90">
      <c r="A1574" t="s">
        <v>72</v>
      </c>
      <c r="B1574" t="s">
        <v>73</v>
      </c>
      <c r="C1574" t="s">
        <v>74</v>
      </c>
      <c r="E1574" t="str">
        <f>"FES1162728760"</f>
        <v>FES1162728760</v>
      </c>
      <c r="F1574" s="3">
        <v>43816</v>
      </c>
      <c r="G1574">
        <v>202006</v>
      </c>
      <c r="H1574" t="s">
        <v>75</v>
      </c>
      <c r="I1574" t="s">
        <v>76</v>
      </c>
      <c r="J1574" t="s">
        <v>77</v>
      </c>
      <c r="K1574" t="s">
        <v>78</v>
      </c>
      <c r="L1574" t="s">
        <v>90</v>
      </c>
      <c r="M1574" t="s">
        <v>91</v>
      </c>
      <c r="N1574" t="s">
        <v>1999</v>
      </c>
      <c r="O1574" t="s">
        <v>82</v>
      </c>
      <c r="P1574" t="str">
        <f>"217072147                     "</f>
        <v xml:space="preserve">217072147                     </v>
      </c>
      <c r="Q1574">
        <v>0</v>
      </c>
      <c r="R1574">
        <v>0</v>
      </c>
      <c r="S1574">
        <v>0</v>
      </c>
      <c r="T1574">
        <v>0</v>
      </c>
      <c r="U1574">
        <v>0</v>
      </c>
      <c r="V1574">
        <v>0</v>
      </c>
      <c r="W1574">
        <v>0</v>
      </c>
      <c r="X1574">
        <v>0</v>
      </c>
      <c r="Y1574">
        <v>0</v>
      </c>
      <c r="Z1574">
        <v>0</v>
      </c>
      <c r="AA1574">
        <v>0</v>
      </c>
      <c r="AB1574">
        <v>0</v>
      </c>
      <c r="AC1574">
        <v>0</v>
      </c>
      <c r="AD1574">
        <v>0</v>
      </c>
      <c r="AE1574">
        <v>0</v>
      </c>
      <c r="AF1574">
        <v>0</v>
      </c>
      <c r="AG1574">
        <v>0</v>
      </c>
      <c r="AH1574">
        <v>0</v>
      </c>
      <c r="AI1574">
        <v>0</v>
      </c>
      <c r="AJ1574">
        <v>0</v>
      </c>
      <c r="AK1574">
        <v>0</v>
      </c>
      <c r="AL1574">
        <v>0</v>
      </c>
      <c r="AM1574">
        <v>12.87</v>
      </c>
      <c r="AN1574">
        <v>0</v>
      </c>
      <c r="AO1574">
        <v>0</v>
      </c>
      <c r="AP1574">
        <v>0</v>
      </c>
      <c r="AQ1574">
        <v>0</v>
      </c>
      <c r="AR1574">
        <v>0</v>
      </c>
      <c r="AS1574">
        <v>0</v>
      </c>
      <c r="AT1574">
        <v>0</v>
      </c>
      <c r="AU1574">
        <v>0</v>
      </c>
      <c r="AV1574">
        <v>0</v>
      </c>
      <c r="AW1574">
        <v>0</v>
      </c>
      <c r="AX1574">
        <v>0</v>
      </c>
      <c r="AY1574">
        <v>0</v>
      </c>
      <c r="AZ1574">
        <v>0</v>
      </c>
      <c r="BA1574">
        <v>0</v>
      </c>
      <c r="BB1574">
        <v>0</v>
      </c>
      <c r="BC1574">
        <v>0</v>
      </c>
      <c r="BD1574">
        <v>0</v>
      </c>
      <c r="BE1574">
        <v>0</v>
      </c>
      <c r="BF1574">
        <v>0</v>
      </c>
      <c r="BG1574">
        <v>0</v>
      </c>
      <c r="BH1574">
        <v>1</v>
      </c>
      <c r="BI1574">
        <v>2.6</v>
      </c>
      <c r="BJ1574">
        <v>1.5</v>
      </c>
      <c r="BK1574">
        <v>3</v>
      </c>
      <c r="BL1574" s="4">
        <v>75.66</v>
      </c>
      <c r="BM1574" s="4">
        <v>11.35</v>
      </c>
      <c r="BN1574" s="4">
        <v>87.01</v>
      </c>
      <c r="BO1574" s="4">
        <v>87.01</v>
      </c>
      <c r="BQ1574" t="s">
        <v>147</v>
      </c>
      <c r="BR1574" t="s">
        <v>84</v>
      </c>
      <c r="BS1574" s="3">
        <v>43817</v>
      </c>
      <c r="BT1574" s="5">
        <v>0.33333333333333331</v>
      </c>
      <c r="BU1574" t="s">
        <v>2000</v>
      </c>
      <c r="BV1574" t="s">
        <v>86</v>
      </c>
      <c r="BY1574">
        <v>7318.66</v>
      </c>
      <c r="CA1574" t="s">
        <v>112</v>
      </c>
      <c r="CC1574" t="s">
        <v>91</v>
      </c>
      <c r="CD1574">
        <v>7405</v>
      </c>
      <c r="CE1574" t="s">
        <v>96</v>
      </c>
      <c r="CF1574" s="3">
        <v>43818</v>
      </c>
      <c r="CI1574">
        <v>1</v>
      </c>
      <c r="CJ1574">
        <v>1</v>
      </c>
      <c r="CK1574">
        <v>21</v>
      </c>
      <c r="CL1574" t="s">
        <v>89</v>
      </c>
    </row>
    <row r="1575" spans="1:90">
      <c r="A1575" t="s">
        <v>72</v>
      </c>
      <c r="B1575" t="s">
        <v>73</v>
      </c>
      <c r="C1575" t="s">
        <v>74</v>
      </c>
      <c r="E1575" t="str">
        <f>"FES1162728768"</f>
        <v>FES1162728768</v>
      </c>
      <c r="F1575" s="3">
        <v>43816</v>
      </c>
      <c r="G1575">
        <v>202006</v>
      </c>
      <c r="H1575" t="s">
        <v>75</v>
      </c>
      <c r="I1575" t="s">
        <v>76</v>
      </c>
      <c r="J1575" t="s">
        <v>77</v>
      </c>
      <c r="K1575" t="s">
        <v>78</v>
      </c>
      <c r="L1575" t="s">
        <v>90</v>
      </c>
      <c r="M1575" t="s">
        <v>91</v>
      </c>
      <c r="N1575" t="s">
        <v>2001</v>
      </c>
      <c r="O1575" t="s">
        <v>82</v>
      </c>
      <c r="P1575" t="str">
        <f>"217071964                     "</f>
        <v xml:space="preserve">217071964                     </v>
      </c>
      <c r="Q1575">
        <v>0</v>
      </c>
      <c r="R1575">
        <v>0</v>
      </c>
      <c r="S1575">
        <v>0</v>
      </c>
      <c r="T1575">
        <v>0</v>
      </c>
      <c r="U1575">
        <v>0</v>
      </c>
      <c r="V1575">
        <v>0</v>
      </c>
      <c r="W1575">
        <v>0</v>
      </c>
      <c r="X1575">
        <v>0</v>
      </c>
      <c r="Y1575">
        <v>0</v>
      </c>
      <c r="Z1575">
        <v>0</v>
      </c>
      <c r="AA1575">
        <v>0</v>
      </c>
      <c r="AB1575">
        <v>0</v>
      </c>
      <c r="AC1575">
        <v>0</v>
      </c>
      <c r="AD1575">
        <v>0</v>
      </c>
      <c r="AE1575">
        <v>0</v>
      </c>
      <c r="AF1575">
        <v>0</v>
      </c>
      <c r="AG1575">
        <v>0</v>
      </c>
      <c r="AH1575">
        <v>0</v>
      </c>
      <c r="AI1575">
        <v>0</v>
      </c>
      <c r="AJ1575">
        <v>0</v>
      </c>
      <c r="AK1575">
        <v>0</v>
      </c>
      <c r="AL1575">
        <v>0</v>
      </c>
      <c r="AM1575">
        <v>8.58</v>
      </c>
      <c r="AN1575">
        <v>0</v>
      </c>
      <c r="AO1575">
        <v>0</v>
      </c>
      <c r="AP1575">
        <v>0</v>
      </c>
      <c r="AQ1575">
        <v>0</v>
      </c>
      <c r="AR1575">
        <v>0</v>
      </c>
      <c r="AS1575">
        <v>0</v>
      </c>
      <c r="AT1575">
        <v>0</v>
      </c>
      <c r="AU1575">
        <v>0</v>
      </c>
      <c r="AV1575">
        <v>0</v>
      </c>
      <c r="AW1575">
        <v>0</v>
      </c>
      <c r="AX1575">
        <v>0</v>
      </c>
      <c r="AY1575">
        <v>0</v>
      </c>
      <c r="AZ1575">
        <v>0</v>
      </c>
      <c r="BA1575">
        <v>0</v>
      </c>
      <c r="BB1575">
        <v>0</v>
      </c>
      <c r="BC1575">
        <v>0</v>
      </c>
      <c r="BD1575">
        <v>0</v>
      </c>
      <c r="BE1575">
        <v>0</v>
      </c>
      <c r="BF1575">
        <v>0</v>
      </c>
      <c r="BG1575">
        <v>0</v>
      </c>
      <c r="BH1575">
        <v>1</v>
      </c>
      <c r="BI1575">
        <v>1.3</v>
      </c>
      <c r="BJ1575">
        <v>0.8</v>
      </c>
      <c r="BK1575">
        <v>1.5</v>
      </c>
      <c r="BL1575" s="4">
        <v>50.45</v>
      </c>
      <c r="BM1575" s="4">
        <v>7.57</v>
      </c>
      <c r="BN1575" s="4">
        <v>58.02</v>
      </c>
      <c r="BO1575" s="4">
        <v>58.02</v>
      </c>
      <c r="BQ1575" t="s">
        <v>2002</v>
      </c>
      <c r="BR1575" t="s">
        <v>84</v>
      </c>
      <c r="BS1575" s="3">
        <v>43822</v>
      </c>
      <c r="BT1575" s="5">
        <v>0.50208333333333333</v>
      </c>
      <c r="BU1575" t="s">
        <v>617</v>
      </c>
      <c r="BV1575" t="s">
        <v>89</v>
      </c>
      <c r="BW1575" t="s">
        <v>1627</v>
      </c>
      <c r="BX1575" t="s">
        <v>619</v>
      </c>
      <c r="BY1575">
        <v>4203.1400000000003</v>
      </c>
      <c r="CA1575" t="s">
        <v>620</v>
      </c>
      <c r="CC1575" t="s">
        <v>91</v>
      </c>
      <c r="CD1575">
        <v>7441</v>
      </c>
      <c r="CE1575" t="s">
        <v>116</v>
      </c>
      <c r="CI1575">
        <v>1</v>
      </c>
      <c r="CJ1575">
        <v>4</v>
      </c>
      <c r="CK1575">
        <v>21</v>
      </c>
      <c r="CL1575" t="s">
        <v>89</v>
      </c>
    </row>
    <row r="1576" spans="1:90">
      <c r="A1576" t="s">
        <v>72</v>
      </c>
      <c r="B1576" t="s">
        <v>73</v>
      </c>
      <c r="C1576" t="s">
        <v>74</v>
      </c>
      <c r="E1576" t="str">
        <f>"FES1162728761"</f>
        <v>FES1162728761</v>
      </c>
      <c r="F1576" s="3">
        <v>43816</v>
      </c>
      <c r="G1576">
        <v>202006</v>
      </c>
      <c r="H1576" t="s">
        <v>75</v>
      </c>
      <c r="I1576" t="s">
        <v>76</v>
      </c>
      <c r="J1576" t="s">
        <v>77</v>
      </c>
      <c r="K1576" t="s">
        <v>78</v>
      </c>
      <c r="L1576" t="s">
        <v>198</v>
      </c>
      <c r="M1576" t="s">
        <v>199</v>
      </c>
      <c r="N1576" t="s">
        <v>268</v>
      </c>
      <c r="O1576" t="s">
        <v>82</v>
      </c>
      <c r="P1576" t="str">
        <f>"2170719541                    "</f>
        <v xml:space="preserve">2170719541                    </v>
      </c>
      <c r="Q1576">
        <v>0</v>
      </c>
      <c r="R1576">
        <v>0</v>
      </c>
      <c r="S1576">
        <v>0</v>
      </c>
      <c r="T1576">
        <v>0</v>
      </c>
      <c r="U1576">
        <v>0</v>
      </c>
      <c r="V1576">
        <v>0</v>
      </c>
      <c r="W1576">
        <v>0</v>
      </c>
      <c r="X1576">
        <v>0</v>
      </c>
      <c r="Y1576">
        <v>0</v>
      </c>
      <c r="Z1576">
        <v>0</v>
      </c>
      <c r="AA1576">
        <v>0</v>
      </c>
      <c r="AB1576">
        <v>0</v>
      </c>
      <c r="AC1576">
        <v>0</v>
      </c>
      <c r="AD1576">
        <v>0</v>
      </c>
      <c r="AE1576">
        <v>0</v>
      </c>
      <c r="AF1576">
        <v>0</v>
      </c>
      <c r="AG1576">
        <v>0</v>
      </c>
      <c r="AH1576">
        <v>0</v>
      </c>
      <c r="AI1576">
        <v>0</v>
      </c>
      <c r="AJ1576">
        <v>0</v>
      </c>
      <c r="AK1576">
        <v>0</v>
      </c>
      <c r="AL1576">
        <v>0</v>
      </c>
      <c r="AM1576">
        <v>42.89</v>
      </c>
      <c r="AN1576">
        <v>0</v>
      </c>
      <c r="AO1576">
        <v>0</v>
      </c>
      <c r="AP1576">
        <v>0</v>
      </c>
      <c r="AQ1576">
        <v>0</v>
      </c>
      <c r="AR1576">
        <v>0</v>
      </c>
      <c r="AS1576">
        <v>0</v>
      </c>
      <c r="AT1576">
        <v>0</v>
      </c>
      <c r="AU1576">
        <v>0</v>
      </c>
      <c r="AV1576">
        <v>0</v>
      </c>
      <c r="AW1576">
        <v>0</v>
      </c>
      <c r="AX1576">
        <v>0</v>
      </c>
      <c r="AY1576">
        <v>0</v>
      </c>
      <c r="AZ1576">
        <v>0</v>
      </c>
      <c r="BA1576">
        <v>0</v>
      </c>
      <c r="BB1576">
        <v>0</v>
      </c>
      <c r="BC1576">
        <v>0</v>
      </c>
      <c r="BD1576">
        <v>0</v>
      </c>
      <c r="BE1576">
        <v>0</v>
      </c>
      <c r="BF1576">
        <v>0</v>
      </c>
      <c r="BG1576">
        <v>0</v>
      </c>
      <c r="BH1576">
        <v>1</v>
      </c>
      <c r="BI1576">
        <v>9.5</v>
      </c>
      <c r="BJ1576">
        <v>9.6</v>
      </c>
      <c r="BK1576">
        <v>10</v>
      </c>
      <c r="BL1576" s="4">
        <v>252.12</v>
      </c>
      <c r="BM1576" s="4">
        <v>37.82</v>
      </c>
      <c r="BN1576" s="4">
        <v>289.94</v>
      </c>
      <c r="BO1576" s="4">
        <v>289.94</v>
      </c>
      <c r="BQ1576" t="s">
        <v>147</v>
      </c>
      <c r="BR1576" t="s">
        <v>84</v>
      </c>
      <c r="BS1576" s="3">
        <v>43817</v>
      </c>
      <c r="BT1576" s="5">
        <v>0.35069444444444442</v>
      </c>
      <c r="BU1576" t="s">
        <v>2003</v>
      </c>
      <c r="BV1576" t="s">
        <v>86</v>
      </c>
      <c r="BY1576">
        <v>48004.98</v>
      </c>
      <c r="CA1576" t="s">
        <v>270</v>
      </c>
      <c r="CC1576" t="s">
        <v>199</v>
      </c>
      <c r="CD1576">
        <v>4302</v>
      </c>
      <c r="CE1576" t="s">
        <v>96</v>
      </c>
      <c r="CF1576" s="3">
        <v>43818</v>
      </c>
      <c r="CI1576">
        <v>1</v>
      </c>
      <c r="CJ1576">
        <v>1</v>
      </c>
      <c r="CK1576">
        <v>21</v>
      </c>
      <c r="CL1576" t="s">
        <v>89</v>
      </c>
    </row>
    <row r="1577" spans="1:90">
      <c r="A1577" t="s">
        <v>72</v>
      </c>
      <c r="B1577" t="s">
        <v>73</v>
      </c>
      <c r="C1577" t="s">
        <v>74</v>
      </c>
      <c r="E1577" t="str">
        <f>"FES1162728314"</f>
        <v>FES1162728314</v>
      </c>
      <c r="F1577" s="3">
        <v>43816</v>
      </c>
      <c r="G1577">
        <v>202006</v>
      </c>
      <c r="H1577" t="s">
        <v>75</v>
      </c>
      <c r="I1577" t="s">
        <v>76</v>
      </c>
      <c r="J1577" t="s">
        <v>77</v>
      </c>
      <c r="K1577" t="s">
        <v>78</v>
      </c>
      <c r="L1577" t="s">
        <v>75</v>
      </c>
      <c r="M1577" t="s">
        <v>76</v>
      </c>
      <c r="N1577" t="s">
        <v>2004</v>
      </c>
      <c r="O1577" t="s">
        <v>82</v>
      </c>
      <c r="P1577" t="str">
        <f>"2170719380                    "</f>
        <v xml:space="preserve">2170719380                    </v>
      </c>
      <c r="Q1577">
        <v>0</v>
      </c>
      <c r="R1577">
        <v>0</v>
      </c>
      <c r="S1577">
        <v>0</v>
      </c>
      <c r="T1577">
        <v>0</v>
      </c>
      <c r="U1577">
        <v>0</v>
      </c>
      <c r="V1577">
        <v>0</v>
      </c>
      <c r="W1577">
        <v>0</v>
      </c>
      <c r="X1577">
        <v>0</v>
      </c>
      <c r="Y1577">
        <v>0</v>
      </c>
      <c r="Z1577">
        <v>0</v>
      </c>
      <c r="AA1577">
        <v>0</v>
      </c>
      <c r="AB1577">
        <v>0</v>
      </c>
      <c r="AC1577">
        <v>0</v>
      </c>
      <c r="AD1577">
        <v>0</v>
      </c>
      <c r="AE1577">
        <v>0</v>
      </c>
      <c r="AF1577">
        <v>0</v>
      </c>
      <c r="AG1577">
        <v>0</v>
      </c>
      <c r="AH1577">
        <v>0</v>
      </c>
      <c r="AI1577">
        <v>0</v>
      </c>
      <c r="AJ1577">
        <v>0</v>
      </c>
      <c r="AK1577">
        <v>0</v>
      </c>
      <c r="AL1577">
        <v>0</v>
      </c>
      <c r="AM1577">
        <v>6.71</v>
      </c>
      <c r="AN1577">
        <v>0</v>
      </c>
      <c r="AO1577">
        <v>0</v>
      </c>
      <c r="AP1577">
        <v>0</v>
      </c>
      <c r="AQ1577">
        <v>0</v>
      </c>
      <c r="AR1577">
        <v>0</v>
      </c>
      <c r="AS1577">
        <v>0</v>
      </c>
      <c r="AT1577">
        <v>0</v>
      </c>
      <c r="AU1577">
        <v>0</v>
      </c>
      <c r="AV1577">
        <v>0</v>
      </c>
      <c r="AW1577">
        <v>0</v>
      </c>
      <c r="AX1577">
        <v>0</v>
      </c>
      <c r="AY1577">
        <v>0</v>
      </c>
      <c r="AZ1577">
        <v>0</v>
      </c>
      <c r="BA1577">
        <v>0</v>
      </c>
      <c r="BB1577">
        <v>0</v>
      </c>
      <c r="BC1577">
        <v>0</v>
      </c>
      <c r="BD1577">
        <v>0</v>
      </c>
      <c r="BE1577">
        <v>0</v>
      </c>
      <c r="BF1577">
        <v>0</v>
      </c>
      <c r="BG1577">
        <v>0</v>
      </c>
      <c r="BH1577">
        <v>1</v>
      </c>
      <c r="BI1577">
        <v>1</v>
      </c>
      <c r="BJ1577">
        <v>0.2</v>
      </c>
      <c r="BK1577">
        <v>1</v>
      </c>
      <c r="BL1577" s="4">
        <v>39.42</v>
      </c>
      <c r="BM1577" s="4">
        <v>5.91</v>
      </c>
      <c r="BN1577" s="4">
        <v>45.33</v>
      </c>
      <c r="BO1577" s="4">
        <v>45.33</v>
      </c>
      <c r="BQ1577" t="s">
        <v>93</v>
      </c>
      <c r="BR1577" t="s">
        <v>84</v>
      </c>
      <c r="BS1577" s="3">
        <v>43822</v>
      </c>
      <c r="BT1577" s="5">
        <v>0.41666666666666669</v>
      </c>
      <c r="BU1577" t="s">
        <v>675</v>
      </c>
      <c r="BV1577" t="s">
        <v>89</v>
      </c>
      <c r="BW1577" t="s">
        <v>618</v>
      </c>
      <c r="BX1577" t="s">
        <v>2005</v>
      </c>
      <c r="BY1577">
        <v>1200</v>
      </c>
      <c r="CA1577" t="s">
        <v>620</v>
      </c>
      <c r="CC1577" t="s">
        <v>76</v>
      </c>
      <c r="CD1577">
        <v>1600</v>
      </c>
      <c r="CE1577" t="s">
        <v>88</v>
      </c>
      <c r="CF1577" s="3">
        <v>43826</v>
      </c>
      <c r="CI1577">
        <v>1</v>
      </c>
      <c r="CJ1577">
        <v>4</v>
      </c>
      <c r="CK1577">
        <v>22</v>
      </c>
      <c r="CL1577" t="s">
        <v>89</v>
      </c>
    </row>
    <row r="1578" spans="1:90">
      <c r="A1578" t="s">
        <v>72</v>
      </c>
      <c r="B1578" t="s">
        <v>73</v>
      </c>
      <c r="C1578" t="s">
        <v>74</v>
      </c>
      <c r="E1578" t="str">
        <f>"FES1162728669"</f>
        <v>FES1162728669</v>
      </c>
      <c r="F1578" s="3">
        <v>43816</v>
      </c>
      <c r="G1578">
        <v>202006</v>
      </c>
      <c r="H1578" t="s">
        <v>75</v>
      </c>
      <c r="I1578" t="s">
        <v>76</v>
      </c>
      <c r="J1578" t="s">
        <v>77</v>
      </c>
      <c r="K1578" t="s">
        <v>78</v>
      </c>
      <c r="L1578" t="s">
        <v>132</v>
      </c>
      <c r="M1578" t="s">
        <v>133</v>
      </c>
      <c r="N1578" t="s">
        <v>2006</v>
      </c>
      <c r="O1578" t="s">
        <v>82</v>
      </c>
      <c r="P1578" t="str">
        <f>"2170720040                    "</f>
        <v xml:space="preserve">2170720040                    </v>
      </c>
      <c r="Q1578">
        <v>0</v>
      </c>
      <c r="R1578">
        <v>0</v>
      </c>
      <c r="S1578">
        <v>0</v>
      </c>
      <c r="T1578">
        <v>0</v>
      </c>
      <c r="U1578">
        <v>0</v>
      </c>
      <c r="V1578">
        <v>0</v>
      </c>
      <c r="W1578">
        <v>0</v>
      </c>
      <c r="X1578">
        <v>0</v>
      </c>
      <c r="Y1578">
        <v>0</v>
      </c>
      <c r="Z1578">
        <v>0</v>
      </c>
      <c r="AA1578">
        <v>0</v>
      </c>
      <c r="AB1578">
        <v>0</v>
      </c>
      <c r="AC1578">
        <v>0</v>
      </c>
      <c r="AD1578">
        <v>0</v>
      </c>
      <c r="AE1578">
        <v>0</v>
      </c>
      <c r="AF1578">
        <v>0</v>
      </c>
      <c r="AG1578">
        <v>0</v>
      </c>
      <c r="AH1578">
        <v>0</v>
      </c>
      <c r="AI1578">
        <v>0</v>
      </c>
      <c r="AJ1578">
        <v>0</v>
      </c>
      <c r="AK1578">
        <v>0</v>
      </c>
      <c r="AL1578">
        <v>0</v>
      </c>
      <c r="AM1578">
        <v>8.58</v>
      </c>
      <c r="AN1578">
        <v>0</v>
      </c>
      <c r="AO1578">
        <v>0</v>
      </c>
      <c r="AP1578">
        <v>0</v>
      </c>
      <c r="AQ1578">
        <v>0</v>
      </c>
      <c r="AR1578">
        <v>0</v>
      </c>
      <c r="AS1578">
        <v>0</v>
      </c>
      <c r="AT1578">
        <v>0</v>
      </c>
      <c r="AU1578">
        <v>0</v>
      </c>
      <c r="AV1578">
        <v>0</v>
      </c>
      <c r="AW1578">
        <v>0</v>
      </c>
      <c r="AX1578">
        <v>0</v>
      </c>
      <c r="AY1578">
        <v>0</v>
      </c>
      <c r="AZ1578">
        <v>0</v>
      </c>
      <c r="BA1578">
        <v>0</v>
      </c>
      <c r="BB1578">
        <v>0</v>
      </c>
      <c r="BC1578">
        <v>0</v>
      </c>
      <c r="BD1578">
        <v>0</v>
      </c>
      <c r="BE1578">
        <v>0</v>
      </c>
      <c r="BF1578">
        <v>0</v>
      </c>
      <c r="BG1578">
        <v>0</v>
      </c>
      <c r="BH1578">
        <v>1</v>
      </c>
      <c r="BI1578">
        <v>1</v>
      </c>
      <c r="BJ1578">
        <v>0.2</v>
      </c>
      <c r="BK1578">
        <v>1</v>
      </c>
      <c r="BL1578" s="4">
        <v>50.45</v>
      </c>
      <c r="BM1578" s="4">
        <v>7.57</v>
      </c>
      <c r="BN1578" s="4">
        <v>58.02</v>
      </c>
      <c r="BO1578" s="4">
        <v>58.02</v>
      </c>
      <c r="BR1578" t="s">
        <v>84</v>
      </c>
      <c r="BS1578" s="3">
        <v>43817</v>
      </c>
      <c r="BT1578" s="5">
        <v>0.48819444444444443</v>
      </c>
      <c r="BU1578" t="s">
        <v>2007</v>
      </c>
      <c r="BV1578" t="s">
        <v>89</v>
      </c>
      <c r="BY1578">
        <v>1200</v>
      </c>
      <c r="CA1578" t="s">
        <v>2008</v>
      </c>
      <c r="CC1578" t="s">
        <v>133</v>
      </c>
      <c r="CD1578">
        <v>157</v>
      </c>
      <c r="CE1578" t="s">
        <v>88</v>
      </c>
      <c r="CF1578" s="3">
        <v>43818</v>
      </c>
      <c r="CI1578">
        <v>1</v>
      </c>
      <c r="CJ1578">
        <v>1</v>
      </c>
      <c r="CK1578">
        <v>21</v>
      </c>
      <c r="CL1578" t="s">
        <v>89</v>
      </c>
    </row>
    <row r="1579" spans="1:90">
      <c r="A1579" t="s">
        <v>72</v>
      </c>
      <c r="B1579" t="s">
        <v>73</v>
      </c>
      <c r="C1579" t="s">
        <v>74</v>
      </c>
      <c r="E1579" t="str">
        <f>"FES1162728663"</f>
        <v>FES1162728663</v>
      </c>
      <c r="F1579" s="3">
        <v>43816</v>
      </c>
      <c r="G1579">
        <v>202006</v>
      </c>
      <c r="H1579" t="s">
        <v>75</v>
      </c>
      <c r="I1579" t="s">
        <v>76</v>
      </c>
      <c r="J1579" t="s">
        <v>77</v>
      </c>
      <c r="K1579" t="s">
        <v>78</v>
      </c>
      <c r="L1579" t="s">
        <v>430</v>
      </c>
      <c r="M1579" t="s">
        <v>431</v>
      </c>
      <c r="N1579" t="s">
        <v>432</v>
      </c>
      <c r="O1579" t="s">
        <v>82</v>
      </c>
      <c r="P1579" t="str">
        <f>"21707197631                   "</f>
        <v xml:space="preserve">21707197631                   </v>
      </c>
      <c r="Q1579">
        <v>0</v>
      </c>
      <c r="R1579">
        <v>0</v>
      </c>
      <c r="S1579">
        <v>0</v>
      </c>
      <c r="T1579">
        <v>0</v>
      </c>
      <c r="U1579">
        <v>0</v>
      </c>
      <c r="V1579">
        <v>0</v>
      </c>
      <c r="W1579">
        <v>0</v>
      </c>
      <c r="X1579">
        <v>0</v>
      </c>
      <c r="Y1579">
        <v>0</v>
      </c>
      <c r="Z1579">
        <v>0</v>
      </c>
      <c r="AA1579">
        <v>0</v>
      </c>
      <c r="AB1579">
        <v>0</v>
      </c>
      <c r="AC1579">
        <v>0</v>
      </c>
      <c r="AD1579">
        <v>0</v>
      </c>
      <c r="AE1579">
        <v>0</v>
      </c>
      <c r="AF1579">
        <v>0</v>
      </c>
      <c r="AG1579">
        <v>0</v>
      </c>
      <c r="AH1579">
        <v>0</v>
      </c>
      <c r="AI1579">
        <v>0</v>
      </c>
      <c r="AJ1579">
        <v>0</v>
      </c>
      <c r="AK1579">
        <v>0</v>
      </c>
      <c r="AL1579">
        <v>0</v>
      </c>
      <c r="AM1579">
        <v>12.07</v>
      </c>
      <c r="AN1579">
        <v>0</v>
      </c>
      <c r="AO1579">
        <v>0</v>
      </c>
      <c r="AP1579">
        <v>0</v>
      </c>
      <c r="AQ1579">
        <v>0</v>
      </c>
      <c r="AR1579">
        <v>0</v>
      </c>
      <c r="AS1579">
        <v>0</v>
      </c>
      <c r="AT1579">
        <v>0</v>
      </c>
      <c r="AU1579">
        <v>0</v>
      </c>
      <c r="AV1579">
        <v>0</v>
      </c>
      <c r="AW1579">
        <v>0</v>
      </c>
      <c r="AX1579">
        <v>0</v>
      </c>
      <c r="AY1579">
        <v>0</v>
      </c>
      <c r="AZ1579">
        <v>0</v>
      </c>
      <c r="BA1579">
        <v>0</v>
      </c>
      <c r="BB1579">
        <v>0</v>
      </c>
      <c r="BC1579">
        <v>0</v>
      </c>
      <c r="BD1579">
        <v>0</v>
      </c>
      <c r="BE1579">
        <v>0</v>
      </c>
      <c r="BF1579">
        <v>0</v>
      </c>
      <c r="BG1579">
        <v>0</v>
      </c>
      <c r="BH1579">
        <v>1</v>
      </c>
      <c r="BI1579">
        <v>1</v>
      </c>
      <c r="BJ1579">
        <v>0.2</v>
      </c>
      <c r="BK1579">
        <v>1</v>
      </c>
      <c r="BL1579" s="4">
        <v>70.95</v>
      </c>
      <c r="BM1579" s="4">
        <v>10.64</v>
      </c>
      <c r="BN1579" s="4">
        <v>81.59</v>
      </c>
      <c r="BO1579" s="4">
        <v>81.59</v>
      </c>
      <c r="BQ1579" t="s">
        <v>147</v>
      </c>
      <c r="BR1579" t="s">
        <v>84</v>
      </c>
      <c r="BS1579" s="3">
        <v>43817</v>
      </c>
      <c r="BT1579" s="5">
        <v>0.3576388888888889</v>
      </c>
      <c r="BU1579" t="s">
        <v>2009</v>
      </c>
      <c r="BV1579" t="s">
        <v>86</v>
      </c>
      <c r="BY1579">
        <v>1200</v>
      </c>
      <c r="CA1579" t="s">
        <v>434</v>
      </c>
      <c r="CC1579" t="s">
        <v>431</v>
      </c>
      <c r="CD1579">
        <v>250</v>
      </c>
      <c r="CE1579" t="s">
        <v>88</v>
      </c>
      <c r="CF1579" s="3">
        <v>43819</v>
      </c>
      <c r="CI1579">
        <v>1</v>
      </c>
      <c r="CJ1579">
        <v>1</v>
      </c>
      <c r="CK1579">
        <v>24</v>
      </c>
      <c r="CL1579" t="s">
        <v>89</v>
      </c>
    </row>
    <row r="1580" spans="1:90">
      <c r="A1580" t="s">
        <v>72</v>
      </c>
      <c r="B1580" t="s">
        <v>73</v>
      </c>
      <c r="C1580" t="s">
        <v>74</v>
      </c>
      <c r="E1580" t="str">
        <f>"FES1162728726"</f>
        <v>FES1162728726</v>
      </c>
      <c r="F1580" s="3">
        <v>43816</v>
      </c>
      <c r="G1580">
        <v>202006</v>
      </c>
      <c r="H1580" t="s">
        <v>75</v>
      </c>
      <c r="I1580" t="s">
        <v>76</v>
      </c>
      <c r="J1580" t="s">
        <v>77</v>
      </c>
      <c r="K1580" t="s">
        <v>78</v>
      </c>
      <c r="L1580" t="s">
        <v>446</v>
      </c>
      <c r="M1580" t="s">
        <v>447</v>
      </c>
      <c r="N1580" t="s">
        <v>448</v>
      </c>
      <c r="O1580" t="s">
        <v>82</v>
      </c>
      <c r="P1580" t="str">
        <f>"2170719415                    "</f>
        <v xml:space="preserve">2170719415                    </v>
      </c>
      <c r="Q1580">
        <v>0</v>
      </c>
      <c r="R1580">
        <v>0</v>
      </c>
      <c r="S1580">
        <v>0</v>
      </c>
      <c r="T1580">
        <v>0</v>
      </c>
      <c r="U1580">
        <v>0</v>
      </c>
      <c r="V1580">
        <v>0</v>
      </c>
      <c r="W1580">
        <v>0</v>
      </c>
      <c r="X1580">
        <v>0</v>
      </c>
      <c r="Y1580">
        <v>0</v>
      </c>
      <c r="Z1580">
        <v>0</v>
      </c>
      <c r="AA1580">
        <v>0</v>
      </c>
      <c r="AB1580">
        <v>0</v>
      </c>
      <c r="AC1580">
        <v>0</v>
      </c>
      <c r="AD1580">
        <v>0</v>
      </c>
      <c r="AE1580">
        <v>0</v>
      </c>
      <c r="AF1580">
        <v>0</v>
      </c>
      <c r="AG1580">
        <v>0</v>
      </c>
      <c r="AH1580">
        <v>0</v>
      </c>
      <c r="AI1580">
        <v>0</v>
      </c>
      <c r="AJ1580">
        <v>0</v>
      </c>
      <c r="AK1580">
        <v>0</v>
      </c>
      <c r="AL1580">
        <v>0</v>
      </c>
      <c r="AM1580">
        <v>10.73</v>
      </c>
      <c r="AN1580">
        <v>0</v>
      </c>
      <c r="AO1580">
        <v>0</v>
      </c>
      <c r="AP1580">
        <v>0</v>
      </c>
      <c r="AQ1580">
        <v>0</v>
      </c>
      <c r="AR1580">
        <v>0</v>
      </c>
      <c r="AS1580">
        <v>0</v>
      </c>
      <c r="AT1580">
        <v>0</v>
      </c>
      <c r="AU1580">
        <v>0</v>
      </c>
      <c r="AV1580">
        <v>0</v>
      </c>
      <c r="AW1580">
        <v>0</v>
      </c>
      <c r="AX1580">
        <v>0</v>
      </c>
      <c r="AY1580">
        <v>0</v>
      </c>
      <c r="AZ1580">
        <v>0</v>
      </c>
      <c r="BA1580">
        <v>0</v>
      </c>
      <c r="BB1580">
        <v>0</v>
      </c>
      <c r="BC1580">
        <v>0</v>
      </c>
      <c r="BD1580">
        <v>0</v>
      </c>
      <c r="BE1580">
        <v>0</v>
      </c>
      <c r="BF1580">
        <v>0</v>
      </c>
      <c r="BG1580">
        <v>0</v>
      </c>
      <c r="BH1580">
        <v>1</v>
      </c>
      <c r="BI1580">
        <v>2.1</v>
      </c>
      <c r="BJ1580">
        <v>0.9</v>
      </c>
      <c r="BK1580">
        <v>2.5</v>
      </c>
      <c r="BL1580" s="4">
        <v>63.06</v>
      </c>
      <c r="BM1580" s="4">
        <v>9.4600000000000009</v>
      </c>
      <c r="BN1580" s="4">
        <v>72.52</v>
      </c>
      <c r="BO1580" s="4">
        <v>72.52</v>
      </c>
      <c r="BQ1580" t="s">
        <v>256</v>
      </c>
      <c r="BR1580" t="s">
        <v>84</v>
      </c>
      <c r="BS1580" s="3">
        <v>43817</v>
      </c>
      <c r="BT1580" s="5">
        <v>0.42569444444444443</v>
      </c>
      <c r="BU1580" t="s">
        <v>730</v>
      </c>
      <c r="BV1580" t="s">
        <v>86</v>
      </c>
      <c r="BY1580">
        <v>4600.2299999999996</v>
      </c>
      <c r="CA1580" t="s">
        <v>212</v>
      </c>
      <c r="CC1580" t="s">
        <v>447</v>
      </c>
      <c r="CD1580">
        <v>4113</v>
      </c>
      <c r="CE1580" t="s">
        <v>96</v>
      </c>
      <c r="CF1580" s="3">
        <v>43818</v>
      </c>
      <c r="CI1580">
        <v>1</v>
      </c>
      <c r="CJ1580">
        <v>1</v>
      </c>
      <c r="CK1580">
        <v>21</v>
      </c>
      <c r="CL1580" t="s">
        <v>89</v>
      </c>
    </row>
    <row r="1581" spans="1:90">
      <c r="A1581" t="s">
        <v>72</v>
      </c>
      <c r="B1581" t="s">
        <v>73</v>
      </c>
      <c r="C1581" t="s">
        <v>74</v>
      </c>
      <c r="E1581" t="str">
        <f>"FES1162728544"</f>
        <v>FES1162728544</v>
      </c>
      <c r="F1581" s="3">
        <v>43816</v>
      </c>
      <c r="G1581">
        <v>202006</v>
      </c>
      <c r="H1581" t="s">
        <v>75</v>
      </c>
      <c r="I1581" t="s">
        <v>76</v>
      </c>
      <c r="J1581" t="s">
        <v>77</v>
      </c>
      <c r="K1581" t="s">
        <v>78</v>
      </c>
      <c r="L1581" t="s">
        <v>79</v>
      </c>
      <c r="M1581" t="s">
        <v>80</v>
      </c>
      <c r="N1581" t="s">
        <v>689</v>
      </c>
      <c r="O1581" t="s">
        <v>82</v>
      </c>
      <c r="P1581" t="str">
        <f>"2170721786                    "</f>
        <v xml:space="preserve">2170721786                    </v>
      </c>
      <c r="Q1581">
        <v>0</v>
      </c>
      <c r="R1581">
        <v>0</v>
      </c>
      <c r="S1581">
        <v>0</v>
      </c>
      <c r="T1581">
        <v>0</v>
      </c>
      <c r="U1581">
        <v>0</v>
      </c>
      <c r="V1581">
        <v>0</v>
      </c>
      <c r="W1581">
        <v>0</v>
      </c>
      <c r="X1581">
        <v>0</v>
      </c>
      <c r="Y1581">
        <v>0</v>
      </c>
      <c r="Z1581">
        <v>0</v>
      </c>
      <c r="AA1581">
        <v>0</v>
      </c>
      <c r="AB1581">
        <v>0</v>
      </c>
      <c r="AC1581">
        <v>0</v>
      </c>
      <c r="AD1581">
        <v>0</v>
      </c>
      <c r="AE1581">
        <v>0</v>
      </c>
      <c r="AF1581">
        <v>0</v>
      </c>
      <c r="AG1581">
        <v>0</v>
      </c>
      <c r="AH1581">
        <v>0</v>
      </c>
      <c r="AI1581">
        <v>0</v>
      </c>
      <c r="AJ1581">
        <v>0</v>
      </c>
      <c r="AK1581">
        <v>0</v>
      </c>
      <c r="AL1581">
        <v>0</v>
      </c>
      <c r="AM1581">
        <v>8.58</v>
      </c>
      <c r="AN1581">
        <v>0</v>
      </c>
      <c r="AO1581">
        <v>0</v>
      </c>
      <c r="AP1581">
        <v>0</v>
      </c>
      <c r="AQ1581">
        <v>0</v>
      </c>
      <c r="AR1581">
        <v>0</v>
      </c>
      <c r="AS1581">
        <v>0</v>
      </c>
      <c r="AT1581">
        <v>0</v>
      </c>
      <c r="AU1581">
        <v>0</v>
      </c>
      <c r="AV1581">
        <v>0</v>
      </c>
      <c r="AW1581">
        <v>0</v>
      </c>
      <c r="AX1581">
        <v>0</v>
      </c>
      <c r="AY1581">
        <v>0</v>
      </c>
      <c r="AZ1581">
        <v>0</v>
      </c>
      <c r="BA1581">
        <v>0</v>
      </c>
      <c r="BB1581">
        <v>0</v>
      </c>
      <c r="BC1581">
        <v>0</v>
      </c>
      <c r="BD1581">
        <v>0</v>
      </c>
      <c r="BE1581">
        <v>0</v>
      </c>
      <c r="BF1581">
        <v>0</v>
      </c>
      <c r="BG1581">
        <v>0</v>
      </c>
      <c r="BH1581">
        <v>1</v>
      </c>
      <c r="BI1581">
        <v>1</v>
      </c>
      <c r="BJ1581">
        <v>0.2</v>
      </c>
      <c r="BK1581">
        <v>1</v>
      </c>
      <c r="BL1581" s="4">
        <v>50.45</v>
      </c>
      <c r="BM1581" s="4">
        <v>7.57</v>
      </c>
      <c r="BN1581" s="4">
        <v>58.02</v>
      </c>
      <c r="BO1581" s="4">
        <v>58.02</v>
      </c>
      <c r="BQ1581" t="s">
        <v>147</v>
      </c>
      <c r="BR1581" t="s">
        <v>84</v>
      </c>
      <c r="BS1581" s="3">
        <v>43817</v>
      </c>
      <c r="BT1581" s="5">
        <v>0.34652777777777777</v>
      </c>
      <c r="BU1581" t="s">
        <v>2010</v>
      </c>
      <c r="BV1581" t="s">
        <v>86</v>
      </c>
      <c r="BY1581">
        <v>1200</v>
      </c>
      <c r="CA1581" t="s">
        <v>185</v>
      </c>
      <c r="CC1581" t="s">
        <v>80</v>
      </c>
      <c r="CD1581">
        <v>6001</v>
      </c>
      <c r="CE1581" t="s">
        <v>88</v>
      </c>
      <c r="CF1581" s="3">
        <v>43818</v>
      </c>
      <c r="CI1581">
        <v>1</v>
      </c>
      <c r="CJ1581">
        <v>1</v>
      </c>
      <c r="CK1581">
        <v>21</v>
      </c>
      <c r="CL1581" t="s">
        <v>89</v>
      </c>
    </row>
    <row r="1582" spans="1:90">
      <c r="A1582" t="s">
        <v>72</v>
      </c>
      <c r="B1582" t="s">
        <v>73</v>
      </c>
      <c r="C1582" t="s">
        <v>74</v>
      </c>
      <c r="E1582" t="str">
        <f>"FES1162728675"</f>
        <v>FES1162728675</v>
      </c>
      <c r="F1582" s="3">
        <v>43816</v>
      </c>
      <c r="G1582">
        <v>202006</v>
      </c>
      <c r="H1582" t="s">
        <v>75</v>
      </c>
      <c r="I1582" t="s">
        <v>76</v>
      </c>
      <c r="J1582" t="s">
        <v>77</v>
      </c>
      <c r="K1582" t="s">
        <v>78</v>
      </c>
      <c r="L1582" t="s">
        <v>164</v>
      </c>
      <c r="M1582" t="s">
        <v>165</v>
      </c>
      <c r="N1582" t="s">
        <v>238</v>
      </c>
      <c r="O1582" t="s">
        <v>82</v>
      </c>
      <c r="P1582" t="str">
        <f>"2170721871                    "</f>
        <v xml:space="preserve">2170721871                    </v>
      </c>
      <c r="Q1582">
        <v>0</v>
      </c>
      <c r="R1582">
        <v>0</v>
      </c>
      <c r="S1582">
        <v>0</v>
      </c>
      <c r="T1582">
        <v>0</v>
      </c>
      <c r="U1582">
        <v>0</v>
      </c>
      <c r="V1582">
        <v>0</v>
      </c>
      <c r="W1582">
        <v>0</v>
      </c>
      <c r="X1582">
        <v>0</v>
      </c>
      <c r="Y1582">
        <v>0</v>
      </c>
      <c r="Z1582">
        <v>0</v>
      </c>
      <c r="AA1582">
        <v>0</v>
      </c>
      <c r="AB1582">
        <v>0</v>
      </c>
      <c r="AC1582">
        <v>0</v>
      </c>
      <c r="AD1582">
        <v>0</v>
      </c>
      <c r="AE1582">
        <v>0</v>
      </c>
      <c r="AF1582">
        <v>0</v>
      </c>
      <c r="AG1582">
        <v>0</v>
      </c>
      <c r="AH1582">
        <v>0</v>
      </c>
      <c r="AI1582">
        <v>0</v>
      </c>
      <c r="AJ1582">
        <v>0</v>
      </c>
      <c r="AK1582">
        <v>0</v>
      </c>
      <c r="AL1582">
        <v>0</v>
      </c>
      <c r="AM1582">
        <v>8.58</v>
      </c>
      <c r="AN1582">
        <v>0</v>
      </c>
      <c r="AO1582">
        <v>0</v>
      </c>
      <c r="AP1582">
        <v>0</v>
      </c>
      <c r="AQ1582">
        <v>0</v>
      </c>
      <c r="AR1582">
        <v>0</v>
      </c>
      <c r="AS1582">
        <v>0</v>
      </c>
      <c r="AT1582">
        <v>0</v>
      </c>
      <c r="AU1582">
        <v>0</v>
      </c>
      <c r="AV1582">
        <v>0</v>
      </c>
      <c r="AW1582">
        <v>0</v>
      </c>
      <c r="AX1582">
        <v>0</v>
      </c>
      <c r="AY1582">
        <v>0</v>
      </c>
      <c r="AZ1582">
        <v>0</v>
      </c>
      <c r="BA1582">
        <v>0</v>
      </c>
      <c r="BB1582">
        <v>0</v>
      </c>
      <c r="BC1582">
        <v>0</v>
      </c>
      <c r="BD1582">
        <v>0</v>
      </c>
      <c r="BE1582">
        <v>0</v>
      </c>
      <c r="BF1582">
        <v>0</v>
      </c>
      <c r="BG1582">
        <v>0</v>
      </c>
      <c r="BH1582">
        <v>1</v>
      </c>
      <c r="BI1582">
        <v>1</v>
      </c>
      <c r="BJ1582">
        <v>0.2</v>
      </c>
      <c r="BK1582">
        <v>1</v>
      </c>
      <c r="BL1582" s="4">
        <v>50.45</v>
      </c>
      <c r="BM1582" s="4">
        <v>7.57</v>
      </c>
      <c r="BN1582" s="4">
        <v>58.02</v>
      </c>
      <c r="BO1582" s="4">
        <v>58.02</v>
      </c>
      <c r="BQ1582" t="s">
        <v>147</v>
      </c>
      <c r="BR1582" t="s">
        <v>84</v>
      </c>
      <c r="BS1582" s="3">
        <v>43817</v>
      </c>
      <c r="BT1582" s="5">
        <v>0.37777777777777777</v>
      </c>
      <c r="BU1582" t="s">
        <v>1977</v>
      </c>
      <c r="BV1582" t="s">
        <v>86</v>
      </c>
      <c r="BY1582">
        <v>1200</v>
      </c>
      <c r="CA1582" t="s">
        <v>168</v>
      </c>
      <c r="CC1582" t="s">
        <v>165</v>
      </c>
      <c r="CD1582">
        <v>5201</v>
      </c>
      <c r="CE1582" t="s">
        <v>88</v>
      </c>
      <c r="CF1582" s="3">
        <v>43819</v>
      </c>
      <c r="CI1582">
        <v>1</v>
      </c>
      <c r="CJ1582">
        <v>1</v>
      </c>
      <c r="CK1582">
        <v>21</v>
      </c>
      <c r="CL1582" t="s">
        <v>89</v>
      </c>
    </row>
    <row r="1583" spans="1:90">
      <c r="A1583" t="s">
        <v>72</v>
      </c>
      <c r="B1583" t="s">
        <v>73</v>
      </c>
      <c r="C1583" t="s">
        <v>74</v>
      </c>
      <c r="E1583" t="str">
        <f>"FES1162728614"</f>
        <v>FES1162728614</v>
      </c>
      <c r="F1583" s="3">
        <v>43816</v>
      </c>
      <c r="G1583">
        <v>202006</v>
      </c>
      <c r="H1583" t="s">
        <v>75</v>
      </c>
      <c r="I1583" t="s">
        <v>76</v>
      </c>
      <c r="J1583" t="s">
        <v>77</v>
      </c>
      <c r="K1583" t="s">
        <v>78</v>
      </c>
      <c r="L1583" t="s">
        <v>132</v>
      </c>
      <c r="M1583" t="s">
        <v>133</v>
      </c>
      <c r="N1583" t="s">
        <v>134</v>
      </c>
      <c r="O1583" t="s">
        <v>82</v>
      </c>
      <c r="P1583" t="str">
        <f>"2170721833                    "</f>
        <v xml:space="preserve">2170721833                    </v>
      </c>
      <c r="Q1583">
        <v>0</v>
      </c>
      <c r="R1583">
        <v>0</v>
      </c>
      <c r="S1583">
        <v>0</v>
      </c>
      <c r="T1583">
        <v>0</v>
      </c>
      <c r="U1583">
        <v>0</v>
      </c>
      <c r="V1583">
        <v>0</v>
      </c>
      <c r="W1583">
        <v>0</v>
      </c>
      <c r="X1583">
        <v>0</v>
      </c>
      <c r="Y1583">
        <v>0</v>
      </c>
      <c r="Z1583">
        <v>0</v>
      </c>
      <c r="AA1583">
        <v>0</v>
      </c>
      <c r="AB1583">
        <v>0</v>
      </c>
      <c r="AC1583">
        <v>0</v>
      </c>
      <c r="AD1583">
        <v>0</v>
      </c>
      <c r="AE1583">
        <v>0</v>
      </c>
      <c r="AF1583">
        <v>0</v>
      </c>
      <c r="AG1583">
        <v>0</v>
      </c>
      <c r="AH1583">
        <v>0</v>
      </c>
      <c r="AI1583">
        <v>0</v>
      </c>
      <c r="AJ1583">
        <v>0</v>
      </c>
      <c r="AK1583">
        <v>0</v>
      </c>
      <c r="AL1583">
        <v>0</v>
      </c>
      <c r="AM1583">
        <v>8.58</v>
      </c>
      <c r="AN1583">
        <v>0</v>
      </c>
      <c r="AO1583">
        <v>0</v>
      </c>
      <c r="AP1583">
        <v>0</v>
      </c>
      <c r="AQ1583">
        <v>0</v>
      </c>
      <c r="AR1583">
        <v>0</v>
      </c>
      <c r="AS1583">
        <v>0</v>
      </c>
      <c r="AT1583">
        <v>0</v>
      </c>
      <c r="AU1583">
        <v>0</v>
      </c>
      <c r="AV1583">
        <v>0</v>
      </c>
      <c r="AW1583">
        <v>0</v>
      </c>
      <c r="AX1583">
        <v>0</v>
      </c>
      <c r="AY1583">
        <v>0</v>
      </c>
      <c r="AZ1583">
        <v>0</v>
      </c>
      <c r="BA1583">
        <v>0</v>
      </c>
      <c r="BB1583">
        <v>0</v>
      </c>
      <c r="BC1583">
        <v>0</v>
      </c>
      <c r="BD1583">
        <v>0</v>
      </c>
      <c r="BE1583">
        <v>0</v>
      </c>
      <c r="BF1583">
        <v>0</v>
      </c>
      <c r="BG1583">
        <v>0</v>
      </c>
      <c r="BH1583">
        <v>1</v>
      </c>
      <c r="BI1583">
        <v>1</v>
      </c>
      <c r="BJ1583">
        <v>0.2</v>
      </c>
      <c r="BK1583">
        <v>1</v>
      </c>
      <c r="BL1583" s="4">
        <v>50.45</v>
      </c>
      <c r="BM1583" s="4">
        <v>7.57</v>
      </c>
      <c r="BN1583" s="4">
        <v>58.02</v>
      </c>
      <c r="BO1583" s="4">
        <v>58.02</v>
      </c>
      <c r="BQ1583" t="s">
        <v>172</v>
      </c>
      <c r="BR1583" t="s">
        <v>84</v>
      </c>
      <c r="BS1583" s="3">
        <v>43817</v>
      </c>
      <c r="BT1583" s="5">
        <v>0.40347222222222223</v>
      </c>
      <c r="BU1583" t="s">
        <v>1996</v>
      </c>
      <c r="BV1583" t="s">
        <v>86</v>
      </c>
      <c r="BY1583">
        <v>1200</v>
      </c>
      <c r="CA1583" t="s">
        <v>344</v>
      </c>
      <c r="CC1583" t="s">
        <v>133</v>
      </c>
      <c r="CD1583">
        <v>157</v>
      </c>
      <c r="CE1583" t="s">
        <v>88</v>
      </c>
      <c r="CF1583" s="3">
        <v>43818</v>
      </c>
      <c r="CI1583">
        <v>1</v>
      </c>
      <c r="CJ1583">
        <v>1</v>
      </c>
      <c r="CK1583">
        <v>21</v>
      </c>
      <c r="CL1583" t="s">
        <v>89</v>
      </c>
    </row>
    <row r="1584" spans="1:90">
      <c r="A1584" t="s">
        <v>72</v>
      </c>
      <c r="B1584" t="s">
        <v>73</v>
      </c>
      <c r="C1584" t="s">
        <v>74</v>
      </c>
      <c r="E1584" t="str">
        <f>"FES1162728776"</f>
        <v>FES1162728776</v>
      </c>
      <c r="F1584" s="3">
        <v>43816</v>
      </c>
      <c r="G1584">
        <v>202006</v>
      </c>
      <c r="H1584" t="s">
        <v>75</v>
      </c>
      <c r="I1584" t="s">
        <v>76</v>
      </c>
      <c r="J1584" t="s">
        <v>77</v>
      </c>
      <c r="K1584" t="s">
        <v>78</v>
      </c>
      <c r="L1584" t="s">
        <v>90</v>
      </c>
      <c r="M1584" t="s">
        <v>91</v>
      </c>
      <c r="N1584" t="s">
        <v>1068</v>
      </c>
      <c r="O1584" t="s">
        <v>82</v>
      </c>
      <c r="P1584" t="str">
        <f>"2170721368                    "</f>
        <v xml:space="preserve">2170721368                    </v>
      </c>
      <c r="Q1584">
        <v>0</v>
      </c>
      <c r="R1584">
        <v>0</v>
      </c>
      <c r="S1584">
        <v>0</v>
      </c>
      <c r="T1584">
        <v>0</v>
      </c>
      <c r="U1584">
        <v>0</v>
      </c>
      <c r="V1584">
        <v>0</v>
      </c>
      <c r="W1584">
        <v>0</v>
      </c>
      <c r="X1584">
        <v>0</v>
      </c>
      <c r="Y1584">
        <v>0</v>
      </c>
      <c r="Z1584">
        <v>0</v>
      </c>
      <c r="AA1584">
        <v>0</v>
      </c>
      <c r="AB1584">
        <v>0</v>
      </c>
      <c r="AC1584">
        <v>0</v>
      </c>
      <c r="AD1584">
        <v>0</v>
      </c>
      <c r="AE1584">
        <v>0</v>
      </c>
      <c r="AF1584">
        <v>0</v>
      </c>
      <c r="AG1584">
        <v>0</v>
      </c>
      <c r="AH1584">
        <v>0</v>
      </c>
      <c r="AI1584">
        <v>0</v>
      </c>
      <c r="AJ1584">
        <v>0</v>
      </c>
      <c r="AK1584">
        <v>0</v>
      </c>
      <c r="AL1584">
        <v>0</v>
      </c>
      <c r="AM1584">
        <v>8.58</v>
      </c>
      <c r="AN1584">
        <v>0</v>
      </c>
      <c r="AO1584">
        <v>0</v>
      </c>
      <c r="AP1584">
        <v>0</v>
      </c>
      <c r="AQ1584">
        <v>0</v>
      </c>
      <c r="AR1584">
        <v>0</v>
      </c>
      <c r="AS1584">
        <v>0</v>
      </c>
      <c r="AT1584">
        <v>0</v>
      </c>
      <c r="AU1584">
        <v>0</v>
      </c>
      <c r="AV1584">
        <v>0</v>
      </c>
      <c r="AW1584">
        <v>0</v>
      </c>
      <c r="AX1584">
        <v>0</v>
      </c>
      <c r="AY1584">
        <v>0</v>
      </c>
      <c r="AZ1584">
        <v>0</v>
      </c>
      <c r="BA1584">
        <v>0</v>
      </c>
      <c r="BB1584">
        <v>0</v>
      </c>
      <c r="BC1584">
        <v>0</v>
      </c>
      <c r="BD1584">
        <v>0</v>
      </c>
      <c r="BE1584">
        <v>0</v>
      </c>
      <c r="BF1584">
        <v>0</v>
      </c>
      <c r="BG1584">
        <v>0</v>
      </c>
      <c r="BH1584">
        <v>1</v>
      </c>
      <c r="BI1584">
        <v>1</v>
      </c>
      <c r="BJ1584">
        <v>0.2</v>
      </c>
      <c r="BK1584">
        <v>1</v>
      </c>
      <c r="BL1584" s="4">
        <v>50.45</v>
      </c>
      <c r="BM1584" s="4">
        <v>7.57</v>
      </c>
      <c r="BN1584" s="4">
        <v>58.02</v>
      </c>
      <c r="BO1584" s="4">
        <v>58.02</v>
      </c>
      <c r="BQ1584" t="s">
        <v>466</v>
      </c>
      <c r="BR1584" t="s">
        <v>84</v>
      </c>
      <c r="BS1584" s="3">
        <v>43817</v>
      </c>
      <c r="BT1584" s="5">
        <v>0.3444444444444445</v>
      </c>
      <c r="BU1584" t="s">
        <v>2011</v>
      </c>
      <c r="BV1584" t="s">
        <v>86</v>
      </c>
      <c r="BY1584">
        <v>1200</v>
      </c>
      <c r="CA1584" t="s">
        <v>2012</v>
      </c>
      <c r="CC1584" t="s">
        <v>91</v>
      </c>
      <c r="CD1584">
        <v>7405</v>
      </c>
      <c r="CE1584" t="s">
        <v>88</v>
      </c>
      <c r="CF1584" s="3">
        <v>43818</v>
      </c>
      <c r="CI1584">
        <v>1</v>
      </c>
      <c r="CJ1584">
        <v>1</v>
      </c>
      <c r="CK1584">
        <v>21</v>
      </c>
      <c r="CL1584" t="s">
        <v>89</v>
      </c>
    </row>
    <row r="1585" spans="1:90">
      <c r="A1585" t="s">
        <v>72</v>
      </c>
      <c r="B1585" t="s">
        <v>73</v>
      </c>
      <c r="C1585" t="s">
        <v>74</v>
      </c>
      <c r="E1585" t="str">
        <f>"FES1162728576"</f>
        <v>FES1162728576</v>
      </c>
      <c r="F1585" s="3">
        <v>43816</v>
      </c>
      <c r="G1585">
        <v>202006</v>
      </c>
      <c r="H1585" t="s">
        <v>75</v>
      </c>
      <c r="I1585" t="s">
        <v>76</v>
      </c>
      <c r="J1585" t="s">
        <v>77</v>
      </c>
      <c r="K1585" t="s">
        <v>78</v>
      </c>
      <c r="L1585" t="s">
        <v>361</v>
      </c>
      <c r="M1585" t="s">
        <v>362</v>
      </c>
      <c r="N1585" t="s">
        <v>634</v>
      </c>
      <c r="O1585" t="s">
        <v>82</v>
      </c>
      <c r="P1585" t="str">
        <f>"2170721430                    "</f>
        <v xml:space="preserve">2170721430                    </v>
      </c>
      <c r="Q1585">
        <v>0</v>
      </c>
      <c r="R1585">
        <v>0</v>
      </c>
      <c r="S1585">
        <v>0</v>
      </c>
      <c r="T1585">
        <v>0</v>
      </c>
      <c r="U1585">
        <v>0</v>
      </c>
      <c r="V1585">
        <v>0</v>
      </c>
      <c r="W1585">
        <v>0</v>
      </c>
      <c r="X1585">
        <v>0</v>
      </c>
      <c r="Y1585">
        <v>0</v>
      </c>
      <c r="Z1585">
        <v>0</v>
      </c>
      <c r="AA1585">
        <v>0</v>
      </c>
      <c r="AB1585">
        <v>0</v>
      </c>
      <c r="AC1585">
        <v>0</v>
      </c>
      <c r="AD1585">
        <v>0</v>
      </c>
      <c r="AE1585">
        <v>0</v>
      </c>
      <c r="AF1585">
        <v>0</v>
      </c>
      <c r="AG1585">
        <v>0</v>
      </c>
      <c r="AH1585">
        <v>0</v>
      </c>
      <c r="AI1585">
        <v>0</v>
      </c>
      <c r="AJ1585">
        <v>0</v>
      </c>
      <c r="AK1585">
        <v>0</v>
      </c>
      <c r="AL1585">
        <v>0</v>
      </c>
      <c r="AM1585">
        <v>8.58</v>
      </c>
      <c r="AN1585">
        <v>0</v>
      </c>
      <c r="AO1585">
        <v>0</v>
      </c>
      <c r="AP1585">
        <v>0</v>
      </c>
      <c r="AQ1585">
        <v>0</v>
      </c>
      <c r="AR1585">
        <v>0</v>
      </c>
      <c r="AS1585">
        <v>0</v>
      </c>
      <c r="AT1585">
        <v>0</v>
      </c>
      <c r="AU1585">
        <v>0</v>
      </c>
      <c r="AV1585">
        <v>0</v>
      </c>
      <c r="AW1585">
        <v>0</v>
      </c>
      <c r="AX1585">
        <v>0</v>
      </c>
      <c r="AY1585">
        <v>0</v>
      </c>
      <c r="AZ1585">
        <v>0</v>
      </c>
      <c r="BA1585">
        <v>0</v>
      </c>
      <c r="BB1585">
        <v>0</v>
      </c>
      <c r="BC1585">
        <v>0</v>
      </c>
      <c r="BD1585">
        <v>0</v>
      </c>
      <c r="BE1585">
        <v>0</v>
      </c>
      <c r="BF1585">
        <v>0</v>
      </c>
      <c r="BG1585">
        <v>0</v>
      </c>
      <c r="BH1585">
        <v>1</v>
      </c>
      <c r="BI1585">
        <v>1</v>
      </c>
      <c r="BJ1585">
        <v>0.2</v>
      </c>
      <c r="BK1585">
        <v>1</v>
      </c>
      <c r="BL1585" s="4">
        <v>50.45</v>
      </c>
      <c r="BM1585" s="4">
        <v>7.57</v>
      </c>
      <c r="BN1585" s="4">
        <v>58.02</v>
      </c>
      <c r="BO1585" s="4">
        <v>58.02</v>
      </c>
      <c r="BQ1585" t="s">
        <v>147</v>
      </c>
      <c r="BR1585" t="s">
        <v>84</v>
      </c>
      <c r="BS1585" s="3">
        <v>43817</v>
      </c>
      <c r="BT1585" s="5">
        <v>0.40972222222222227</v>
      </c>
      <c r="BU1585" t="s">
        <v>1503</v>
      </c>
      <c r="BV1585" t="s">
        <v>86</v>
      </c>
      <c r="BY1585">
        <v>1200</v>
      </c>
      <c r="CA1585" t="s">
        <v>185</v>
      </c>
      <c r="CC1585" t="s">
        <v>362</v>
      </c>
      <c r="CD1585">
        <v>6220</v>
      </c>
      <c r="CE1585" t="s">
        <v>88</v>
      </c>
      <c r="CF1585" s="3">
        <v>43818</v>
      </c>
      <c r="CI1585">
        <v>1</v>
      </c>
      <c r="CJ1585">
        <v>1</v>
      </c>
      <c r="CK1585">
        <v>21</v>
      </c>
      <c r="CL1585" t="s">
        <v>89</v>
      </c>
    </row>
    <row r="1586" spans="1:90">
      <c r="A1586" t="s">
        <v>72</v>
      </c>
      <c r="B1586" t="s">
        <v>73</v>
      </c>
      <c r="C1586" t="s">
        <v>74</v>
      </c>
      <c r="E1586" t="str">
        <f>"FES1162728598"</f>
        <v>FES1162728598</v>
      </c>
      <c r="F1586" s="3">
        <v>43816</v>
      </c>
      <c r="G1586">
        <v>202006</v>
      </c>
      <c r="H1586" t="s">
        <v>75</v>
      </c>
      <c r="I1586" t="s">
        <v>76</v>
      </c>
      <c r="J1586" t="s">
        <v>77</v>
      </c>
      <c r="K1586" t="s">
        <v>78</v>
      </c>
      <c r="L1586" t="s">
        <v>79</v>
      </c>
      <c r="M1586" t="s">
        <v>80</v>
      </c>
      <c r="N1586" t="s">
        <v>420</v>
      </c>
      <c r="O1586" t="s">
        <v>82</v>
      </c>
      <c r="P1586" t="str">
        <f>"2170721812                    "</f>
        <v xml:space="preserve">2170721812                    </v>
      </c>
      <c r="Q1586">
        <v>0</v>
      </c>
      <c r="R1586">
        <v>0</v>
      </c>
      <c r="S1586">
        <v>0</v>
      </c>
      <c r="T1586">
        <v>0</v>
      </c>
      <c r="U1586">
        <v>0</v>
      </c>
      <c r="V1586">
        <v>0</v>
      </c>
      <c r="W1586">
        <v>0</v>
      </c>
      <c r="X1586">
        <v>0</v>
      </c>
      <c r="Y1586">
        <v>0</v>
      </c>
      <c r="Z1586">
        <v>0</v>
      </c>
      <c r="AA1586">
        <v>0</v>
      </c>
      <c r="AB1586">
        <v>0</v>
      </c>
      <c r="AC1586">
        <v>0</v>
      </c>
      <c r="AD1586">
        <v>0</v>
      </c>
      <c r="AE1586">
        <v>0</v>
      </c>
      <c r="AF1586">
        <v>0</v>
      </c>
      <c r="AG1586">
        <v>0</v>
      </c>
      <c r="AH1586">
        <v>0</v>
      </c>
      <c r="AI1586">
        <v>0</v>
      </c>
      <c r="AJ1586">
        <v>0</v>
      </c>
      <c r="AK1586">
        <v>0</v>
      </c>
      <c r="AL1586">
        <v>0</v>
      </c>
      <c r="AM1586">
        <v>8.58</v>
      </c>
      <c r="AN1586">
        <v>0</v>
      </c>
      <c r="AO1586">
        <v>0</v>
      </c>
      <c r="AP1586">
        <v>0</v>
      </c>
      <c r="AQ1586">
        <v>0</v>
      </c>
      <c r="AR1586">
        <v>0</v>
      </c>
      <c r="AS1586">
        <v>0</v>
      </c>
      <c r="AT1586">
        <v>0</v>
      </c>
      <c r="AU1586">
        <v>0</v>
      </c>
      <c r="AV1586">
        <v>0</v>
      </c>
      <c r="AW1586">
        <v>0</v>
      </c>
      <c r="AX1586">
        <v>0</v>
      </c>
      <c r="AY1586">
        <v>0</v>
      </c>
      <c r="AZ1586">
        <v>0</v>
      </c>
      <c r="BA1586">
        <v>0</v>
      </c>
      <c r="BB1586">
        <v>0</v>
      </c>
      <c r="BC1586">
        <v>0</v>
      </c>
      <c r="BD1586">
        <v>0</v>
      </c>
      <c r="BE1586">
        <v>0</v>
      </c>
      <c r="BF1586">
        <v>0</v>
      </c>
      <c r="BG1586">
        <v>0</v>
      </c>
      <c r="BH1586">
        <v>1</v>
      </c>
      <c r="BI1586">
        <v>1</v>
      </c>
      <c r="BJ1586">
        <v>0.2</v>
      </c>
      <c r="BK1586">
        <v>1</v>
      </c>
      <c r="BL1586" s="4">
        <v>50.45</v>
      </c>
      <c r="BM1586" s="4">
        <v>7.57</v>
      </c>
      <c r="BN1586" s="4">
        <v>58.02</v>
      </c>
      <c r="BO1586" s="4">
        <v>58.02</v>
      </c>
      <c r="BQ1586" t="s">
        <v>147</v>
      </c>
      <c r="BR1586" t="s">
        <v>84</v>
      </c>
      <c r="BS1586" s="3">
        <v>43817</v>
      </c>
      <c r="BT1586" s="5">
        <v>0.3576388888888889</v>
      </c>
      <c r="BU1586" t="s">
        <v>1968</v>
      </c>
      <c r="BV1586" t="s">
        <v>86</v>
      </c>
      <c r="BY1586">
        <v>1200</v>
      </c>
      <c r="CA1586" t="s">
        <v>185</v>
      </c>
      <c r="CC1586" t="s">
        <v>80</v>
      </c>
      <c r="CD1586">
        <v>6001</v>
      </c>
      <c r="CE1586" t="s">
        <v>88</v>
      </c>
      <c r="CF1586" s="3">
        <v>43818</v>
      </c>
      <c r="CI1586">
        <v>1</v>
      </c>
      <c r="CJ1586">
        <v>1</v>
      </c>
      <c r="CK1586">
        <v>21</v>
      </c>
      <c r="CL1586" t="s">
        <v>89</v>
      </c>
    </row>
    <row r="1587" spans="1:90">
      <c r="A1587" t="s">
        <v>72</v>
      </c>
      <c r="B1587" t="s">
        <v>73</v>
      </c>
      <c r="C1587" t="s">
        <v>74</v>
      </c>
      <c r="E1587" t="str">
        <f>"FES1162728689"</f>
        <v>FES1162728689</v>
      </c>
      <c r="F1587" s="3">
        <v>43816</v>
      </c>
      <c r="G1587">
        <v>202006</v>
      </c>
      <c r="H1587" t="s">
        <v>75</v>
      </c>
      <c r="I1587" t="s">
        <v>76</v>
      </c>
      <c r="J1587" t="s">
        <v>77</v>
      </c>
      <c r="K1587" t="s">
        <v>78</v>
      </c>
      <c r="L1587" t="s">
        <v>151</v>
      </c>
      <c r="M1587" t="s">
        <v>102</v>
      </c>
      <c r="N1587" t="s">
        <v>2013</v>
      </c>
      <c r="O1587" t="s">
        <v>82</v>
      </c>
      <c r="P1587" t="str">
        <f>"2170721887                    "</f>
        <v xml:space="preserve">2170721887                    </v>
      </c>
      <c r="Q1587">
        <v>0</v>
      </c>
      <c r="R1587">
        <v>0</v>
      </c>
      <c r="S1587">
        <v>0</v>
      </c>
      <c r="T1587">
        <v>0</v>
      </c>
      <c r="U1587">
        <v>0</v>
      </c>
      <c r="V1587">
        <v>0</v>
      </c>
      <c r="W1587">
        <v>0</v>
      </c>
      <c r="X1587">
        <v>0</v>
      </c>
      <c r="Y1587">
        <v>0</v>
      </c>
      <c r="Z1587">
        <v>0</v>
      </c>
      <c r="AA1587">
        <v>0</v>
      </c>
      <c r="AB1587">
        <v>0</v>
      </c>
      <c r="AC1587">
        <v>0</v>
      </c>
      <c r="AD1587">
        <v>0</v>
      </c>
      <c r="AE1587">
        <v>0</v>
      </c>
      <c r="AF1587">
        <v>0</v>
      </c>
      <c r="AG1587">
        <v>0</v>
      </c>
      <c r="AH1587">
        <v>0</v>
      </c>
      <c r="AI1587">
        <v>0</v>
      </c>
      <c r="AJ1587">
        <v>0</v>
      </c>
      <c r="AK1587">
        <v>0</v>
      </c>
      <c r="AL1587">
        <v>0</v>
      </c>
      <c r="AM1587">
        <v>8.58</v>
      </c>
      <c r="AN1587">
        <v>0</v>
      </c>
      <c r="AO1587">
        <v>0</v>
      </c>
      <c r="AP1587">
        <v>0</v>
      </c>
      <c r="AQ1587">
        <v>0</v>
      </c>
      <c r="AR1587">
        <v>0</v>
      </c>
      <c r="AS1587">
        <v>0</v>
      </c>
      <c r="AT1587">
        <v>0</v>
      </c>
      <c r="AU1587">
        <v>0</v>
      </c>
      <c r="AV1587">
        <v>0</v>
      </c>
      <c r="AW1587">
        <v>0</v>
      </c>
      <c r="AX1587">
        <v>0</v>
      </c>
      <c r="AY1587">
        <v>0</v>
      </c>
      <c r="AZ1587">
        <v>0</v>
      </c>
      <c r="BA1587">
        <v>0</v>
      </c>
      <c r="BB1587">
        <v>0</v>
      </c>
      <c r="BC1587">
        <v>0</v>
      </c>
      <c r="BD1587">
        <v>0</v>
      </c>
      <c r="BE1587">
        <v>0</v>
      </c>
      <c r="BF1587">
        <v>0</v>
      </c>
      <c r="BG1587">
        <v>0</v>
      </c>
      <c r="BH1587">
        <v>1</v>
      </c>
      <c r="BI1587">
        <v>1</v>
      </c>
      <c r="BJ1587">
        <v>0.2</v>
      </c>
      <c r="BK1587">
        <v>1</v>
      </c>
      <c r="BL1587" s="4">
        <v>50.45</v>
      </c>
      <c r="BM1587" s="4">
        <v>7.57</v>
      </c>
      <c r="BN1587" s="4">
        <v>58.02</v>
      </c>
      <c r="BO1587" s="4">
        <v>58.02</v>
      </c>
      <c r="BQ1587" t="s">
        <v>147</v>
      </c>
      <c r="BR1587" t="s">
        <v>84</v>
      </c>
      <c r="BS1587" s="3">
        <v>43817</v>
      </c>
      <c r="BT1587" s="5">
        <v>0.39583333333333331</v>
      </c>
      <c r="BU1587" t="s">
        <v>2014</v>
      </c>
      <c r="BV1587" t="s">
        <v>86</v>
      </c>
      <c r="BY1587">
        <v>1200</v>
      </c>
      <c r="CA1587" t="s">
        <v>1357</v>
      </c>
      <c r="CC1587" t="s">
        <v>102</v>
      </c>
      <c r="CD1587">
        <v>200</v>
      </c>
      <c r="CE1587" t="s">
        <v>88</v>
      </c>
      <c r="CF1587" s="3">
        <v>43818</v>
      </c>
      <c r="CI1587">
        <v>1</v>
      </c>
      <c r="CJ1587">
        <v>1</v>
      </c>
      <c r="CK1587">
        <v>21</v>
      </c>
      <c r="CL1587" t="s">
        <v>89</v>
      </c>
    </row>
    <row r="1588" spans="1:90">
      <c r="A1588" t="s">
        <v>72</v>
      </c>
      <c r="B1588" t="s">
        <v>73</v>
      </c>
      <c r="C1588" t="s">
        <v>74</v>
      </c>
      <c r="E1588" t="str">
        <f>"FES1162728534"</f>
        <v>FES1162728534</v>
      </c>
      <c r="F1588" s="3">
        <v>43816</v>
      </c>
      <c r="G1588">
        <v>202006</v>
      </c>
      <c r="H1588" t="s">
        <v>75</v>
      </c>
      <c r="I1588" t="s">
        <v>76</v>
      </c>
      <c r="J1588" t="s">
        <v>77</v>
      </c>
      <c r="K1588" t="s">
        <v>78</v>
      </c>
      <c r="L1588" t="s">
        <v>213</v>
      </c>
      <c r="M1588" t="s">
        <v>214</v>
      </c>
      <c r="N1588" t="s">
        <v>303</v>
      </c>
      <c r="O1588" t="s">
        <v>82</v>
      </c>
      <c r="P1588" t="str">
        <f>"2170721603                    "</f>
        <v xml:space="preserve">2170721603                    </v>
      </c>
      <c r="Q1588">
        <v>0</v>
      </c>
      <c r="R1588">
        <v>0</v>
      </c>
      <c r="S1588">
        <v>0</v>
      </c>
      <c r="T1588">
        <v>0</v>
      </c>
      <c r="U1588">
        <v>0</v>
      </c>
      <c r="V1588">
        <v>0</v>
      </c>
      <c r="W1588">
        <v>0</v>
      </c>
      <c r="X1588">
        <v>0</v>
      </c>
      <c r="Y1588">
        <v>0</v>
      </c>
      <c r="Z1588">
        <v>0</v>
      </c>
      <c r="AA1588">
        <v>0</v>
      </c>
      <c r="AB1588">
        <v>0</v>
      </c>
      <c r="AC1588">
        <v>0</v>
      </c>
      <c r="AD1588">
        <v>0</v>
      </c>
      <c r="AE1588">
        <v>0</v>
      </c>
      <c r="AF1588">
        <v>0</v>
      </c>
      <c r="AG1588">
        <v>0</v>
      </c>
      <c r="AH1588">
        <v>0</v>
      </c>
      <c r="AI1588">
        <v>0</v>
      </c>
      <c r="AJ1588">
        <v>0</v>
      </c>
      <c r="AK1588">
        <v>0</v>
      </c>
      <c r="AL1588">
        <v>0</v>
      </c>
      <c r="AM1588">
        <v>8.58</v>
      </c>
      <c r="AN1588">
        <v>0</v>
      </c>
      <c r="AO1588">
        <v>0</v>
      </c>
      <c r="AP1588">
        <v>0</v>
      </c>
      <c r="AQ1588">
        <v>0</v>
      </c>
      <c r="AR1588">
        <v>0</v>
      </c>
      <c r="AS1588">
        <v>0</v>
      </c>
      <c r="AT1588">
        <v>0</v>
      </c>
      <c r="AU1588">
        <v>0</v>
      </c>
      <c r="AV1588">
        <v>0</v>
      </c>
      <c r="AW1588">
        <v>0</v>
      </c>
      <c r="AX1588">
        <v>0</v>
      </c>
      <c r="AY1588">
        <v>0</v>
      </c>
      <c r="AZ1588">
        <v>0</v>
      </c>
      <c r="BA1588">
        <v>0</v>
      </c>
      <c r="BB1588">
        <v>0</v>
      </c>
      <c r="BC1588">
        <v>0</v>
      </c>
      <c r="BD1588">
        <v>0</v>
      </c>
      <c r="BE1588">
        <v>0</v>
      </c>
      <c r="BF1588">
        <v>0</v>
      </c>
      <c r="BG1588">
        <v>0</v>
      </c>
      <c r="BH1588">
        <v>1</v>
      </c>
      <c r="BI1588">
        <v>1</v>
      </c>
      <c r="BJ1588">
        <v>0.2</v>
      </c>
      <c r="BK1588">
        <v>1</v>
      </c>
      <c r="BL1588" s="4">
        <v>50.45</v>
      </c>
      <c r="BM1588" s="4">
        <v>7.57</v>
      </c>
      <c r="BN1588" s="4">
        <v>58.02</v>
      </c>
      <c r="BO1588" s="4">
        <v>58.02</v>
      </c>
      <c r="BQ1588" t="s">
        <v>147</v>
      </c>
      <c r="BR1588" t="s">
        <v>84</v>
      </c>
      <c r="BS1588" s="3">
        <v>43817</v>
      </c>
      <c r="BT1588" s="5">
        <v>0.3263888888888889</v>
      </c>
      <c r="BU1588" t="s">
        <v>1970</v>
      </c>
      <c r="BV1588" t="s">
        <v>86</v>
      </c>
      <c r="BY1588">
        <v>1200</v>
      </c>
      <c r="CA1588" t="s">
        <v>302</v>
      </c>
      <c r="CC1588" t="s">
        <v>214</v>
      </c>
      <c r="CD1588">
        <v>6230</v>
      </c>
      <c r="CE1588" t="s">
        <v>88</v>
      </c>
      <c r="CF1588" s="3">
        <v>43818</v>
      </c>
      <c r="CI1588">
        <v>1</v>
      </c>
      <c r="CJ1588">
        <v>1</v>
      </c>
      <c r="CK1588">
        <v>21</v>
      </c>
      <c r="CL1588" t="s">
        <v>89</v>
      </c>
    </row>
    <row r="1589" spans="1:90">
      <c r="A1589" t="s">
        <v>72</v>
      </c>
      <c r="B1589" t="s">
        <v>73</v>
      </c>
      <c r="C1589" t="s">
        <v>74</v>
      </c>
      <c r="E1589" t="str">
        <f>"FES1162728774"</f>
        <v>FES1162728774</v>
      </c>
      <c r="F1589" s="3">
        <v>43816</v>
      </c>
      <c r="G1589">
        <v>202006</v>
      </c>
      <c r="H1589" t="s">
        <v>75</v>
      </c>
      <c r="I1589" t="s">
        <v>76</v>
      </c>
      <c r="J1589" t="s">
        <v>77</v>
      </c>
      <c r="K1589" t="s">
        <v>78</v>
      </c>
      <c r="L1589" t="s">
        <v>90</v>
      </c>
      <c r="M1589" t="s">
        <v>91</v>
      </c>
      <c r="N1589" t="s">
        <v>2015</v>
      </c>
      <c r="O1589" t="s">
        <v>82</v>
      </c>
      <c r="P1589" t="str">
        <f>"2170721300                    "</f>
        <v xml:space="preserve">2170721300                    </v>
      </c>
      <c r="Q1589">
        <v>0</v>
      </c>
      <c r="R1589">
        <v>0</v>
      </c>
      <c r="S1589">
        <v>0</v>
      </c>
      <c r="T1589">
        <v>0</v>
      </c>
      <c r="U1589">
        <v>0</v>
      </c>
      <c r="V1589">
        <v>0</v>
      </c>
      <c r="W1589">
        <v>0</v>
      </c>
      <c r="X1589">
        <v>0</v>
      </c>
      <c r="Y1589">
        <v>0</v>
      </c>
      <c r="Z1589">
        <v>0</v>
      </c>
      <c r="AA1589">
        <v>0</v>
      </c>
      <c r="AB1589">
        <v>0</v>
      </c>
      <c r="AC1589">
        <v>0</v>
      </c>
      <c r="AD1589">
        <v>0</v>
      </c>
      <c r="AE1589">
        <v>0</v>
      </c>
      <c r="AF1589">
        <v>0</v>
      </c>
      <c r="AG1589">
        <v>0</v>
      </c>
      <c r="AH1589">
        <v>0</v>
      </c>
      <c r="AI1589">
        <v>0</v>
      </c>
      <c r="AJ1589">
        <v>0</v>
      </c>
      <c r="AK1589">
        <v>0</v>
      </c>
      <c r="AL1589">
        <v>0</v>
      </c>
      <c r="AM1589">
        <v>8.58</v>
      </c>
      <c r="AN1589">
        <v>0</v>
      </c>
      <c r="AO1589">
        <v>0</v>
      </c>
      <c r="AP1589">
        <v>0</v>
      </c>
      <c r="AQ1589">
        <v>0</v>
      </c>
      <c r="AR1589">
        <v>0</v>
      </c>
      <c r="AS1589">
        <v>0</v>
      </c>
      <c r="AT1589">
        <v>0</v>
      </c>
      <c r="AU1589">
        <v>0</v>
      </c>
      <c r="AV1589">
        <v>0</v>
      </c>
      <c r="AW1589">
        <v>0</v>
      </c>
      <c r="AX1589">
        <v>0</v>
      </c>
      <c r="AY1589">
        <v>0</v>
      </c>
      <c r="AZ1589">
        <v>0</v>
      </c>
      <c r="BA1589">
        <v>0</v>
      </c>
      <c r="BB1589">
        <v>0</v>
      </c>
      <c r="BC1589">
        <v>0</v>
      </c>
      <c r="BD1589">
        <v>0</v>
      </c>
      <c r="BE1589">
        <v>0</v>
      </c>
      <c r="BF1589">
        <v>0</v>
      </c>
      <c r="BG1589">
        <v>0</v>
      </c>
      <c r="BH1589">
        <v>1</v>
      </c>
      <c r="BI1589">
        <v>1</v>
      </c>
      <c r="BJ1589">
        <v>0.2</v>
      </c>
      <c r="BK1589">
        <v>1</v>
      </c>
      <c r="BL1589" s="4">
        <v>50.45</v>
      </c>
      <c r="BM1589" s="4">
        <v>7.57</v>
      </c>
      <c r="BN1589" s="4">
        <v>58.02</v>
      </c>
      <c r="BO1589" s="4">
        <v>58.02</v>
      </c>
      <c r="BQ1589" t="s">
        <v>93</v>
      </c>
      <c r="BR1589" t="s">
        <v>84</v>
      </c>
      <c r="BS1589" s="3">
        <v>43817</v>
      </c>
      <c r="BT1589" s="5">
        <v>0.3611111111111111</v>
      </c>
      <c r="BU1589" t="s">
        <v>2016</v>
      </c>
      <c r="BV1589" t="s">
        <v>86</v>
      </c>
      <c r="BY1589">
        <v>1200</v>
      </c>
      <c r="CA1589" t="s">
        <v>809</v>
      </c>
      <c r="CC1589" t="s">
        <v>91</v>
      </c>
      <c r="CD1589">
        <v>7925</v>
      </c>
      <c r="CE1589" t="s">
        <v>88</v>
      </c>
      <c r="CF1589" s="3">
        <v>43818</v>
      </c>
      <c r="CI1589">
        <v>1</v>
      </c>
      <c r="CJ1589">
        <v>1</v>
      </c>
      <c r="CK1589">
        <v>21</v>
      </c>
      <c r="CL1589" t="s">
        <v>89</v>
      </c>
    </row>
    <row r="1590" spans="1:90">
      <c r="A1590" t="s">
        <v>72</v>
      </c>
      <c r="B1590" t="s">
        <v>73</v>
      </c>
      <c r="C1590" t="s">
        <v>74</v>
      </c>
      <c r="E1590" t="str">
        <f>"FES1162728735"</f>
        <v>FES1162728735</v>
      </c>
      <c r="F1590" s="3">
        <v>43816</v>
      </c>
      <c r="G1590">
        <v>202006</v>
      </c>
      <c r="H1590" t="s">
        <v>75</v>
      </c>
      <c r="I1590" t="s">
        <v>76</v>
      </c>
      <c r="J1590" t="s">
        <v>77</v>
      </c>
      <c r="K1590" t="s">
        <v>78</v>
      </c>
      <c r="L1590" t="s">
        <v>1497</v>
      </c>
      <c r="M1590" t="s">
        <v>1498</v>
      </c>
      <c r="N1590" t="s">
        <v>2017</v>
      </c>
      <c r="O1590" t="s">
        <v>82</v>
      </c>
      <c r="P1590" t="str">
        <f>"2170721923                    "</f>
        <v xml:space="preserve">2170721923                    </v>
      </c>
      <c r="Q1590">
        <v>0</v>
      </c>
      <c r="R1590">
        <v>0</v>
      </c>
      <c r="S1590">
        <v>0</v>
      </c>
      <c r="T1590">
        <v>0</v>
      </c>
      <c r="U1590">
        <v>0</v>
      </c>
      <c r="V1590">
        <v>0</v>
      </c>
      <c r="W1590">
        <v>0</v>
      </c>
      <c r="X1590">
        <v>0</v>
      </c>
      <c r="Y1590">
        <v>0</v>
      </c>
      <c r="Z1590">
        <v>0</v>
      </c>
      <c r="AA1590">
        <v>0</v>
      </c>
      <c r="AB1590">
        <v>0</v>
      </c>
      <c r="AC1590">
        <v>0</v>
      </c>
      <c r="AD1590">
        <v>0</v>
      </c>
      <c r="AE1590">
        <v>0</v>
      </c>
      <c r="AF1590">
        <v>0</v>
      </c>
      <c r="AG1590">
        <v>0</v>
      </c>
      <c r="AH1590">
        <v>0</v>
      </c>
      <c r="AI1590">
        <v>0</v>
      </c>
      <c r="AJ1590">
        <v>0</v>
      </c>
      <c r="AK1590">
        <v>0</v>
      </c>
      <c r="AL1590">
        <v>0</v>
      </c>
      <c r="AM1590">
        <v>12.07</v>
      </c>
      <c r="AN1590">
        <v>0</v>
      </c>
      <c r="AO1590">
        <v>0</v>
      </c>
      <c r="AP1590">
        <v>0</v>
      </c>
      <c r="AQ1590">
        <v>0</v>
      </c>
      <c r="AR1590">
        <v>0</v>
      </c>
      <c r="AS1590">
        <v>0</v>
      </c>
      <c r="AT1590">
        <v>0</v>
      </c>
      <c r="AU1590">
        <v>0</v>
      </c>
      <c r="AV1590">
        <v>0</v>
      </c>
      <c r="AW1590">
        <v>0</v>
      </c>
      <c r="AX1590">
        <v>0</v>
      </c>
      <c r="AY1590">
        <v>0</v>
      </c>
      <c r="AZ1590">
        <v>0</v>
      </c>
      <c r="BA1590">
        <v>0</v>
      </c>
      <c r="BB1590">
        <v>0</v>
      </c>
      <c r="BC1590">
        <v>0</v>
      </c>
      <c r="BD1590">
        <v>0</v>
      </c>
      <c r="BE1590">
        <v>0</v>
      </c>
      <c r="BF1590">
        <v>0</v>
      </c>
      <c r="BG1590">
        <v>0</v>
      </c>
      <c r="BH1590">
        <v>1</v>
      </c>
      <c r="BI1590">
        <v>1</v>
      </c>
      <c r="BJ1590">
        <v>0.2</v>
      </c>
      <c r="BK1590">
        <v>1</v>
      </c>
      <c r="BL1590" s="4">
        <v>70.95</v>
      </c>
      <c r="BM1590" s="4">
        <v>10.64</v>
      </c>
      <c r="BN1590" s="4">
        <v>81.59</v>
      </c>
      <c r="BO1590" s="4">
        <v>81.59</v>
      </c>
      <c r="BQ1590" t="s">
        <v>2018</v>
      </c>
      <c r="BR1590" t="s">
        <v>84</v>
      </c>
      <c r="BS1590" s="3">
        <v>43817</v>
      </c>
      <c r="BT1590" s="5">
        <v>0.53680555555555554</v>
      </c>
      <c r="BU1590" t="s">
        <v>2019</v>
      </c>
      <c r="BV1590" t="s">
        <v>86</v>
      </c>
      <c r="BY1590">
        <v>1200</v>
      </c>
      <c r="CA1590" t="s">
        <v>2020</v>
      </c>
      <c r="CC1590" t="s">
        <v>1498</v>
      </c>
      <c r="CD1590">
        <v>208</v>
      </c>
      <c r="CE1590" t="s">
        <v>88</v>
      </c>
      <c r="CF1590" s="3">
        <v>43818</v>
      </c>
      <c r="CI1590">
        <v>1</v>
      </c>
      <c r="CJ1590">
        <v>1</v>
      </c>
      <c r="CK1590">
        <v>24</v>
      </c>
      <c r="CL1590" t="s">
        <v>89</v>
      </c>
    </row>
    <row r="1591" spans="1:90">
      <c r="A1591" t="s">
        <v>72</v>
      </c>
      <c r="B1591" t="s">
        <v>73</v>
      </c>
      <c r="C1591" t="s">
        <v>74</v>
      </c>
      <c r="E1591" t="str">
        <f>"FES1162728564"</f>
        <v>FES1162728564</v>
      </c>
      <c r="F1591" s="3">
        <v>43816</v>
      </c>
      <c r="G1591">
        <v>202006</v>
      </c>
      <c r="H1591" t="s">
        <v>75</v>
      </c>
      <c r="I1591" t="s">
        <v>76</v>
      </c>
      <c r="J1591" t="s">
        <v>77</v>
      </c>
      <c r="K1591" t="s">
        <v>78</v>
      </c>
      <c r="L1591" t="s">
        <v>340</v>
      </c>
      <c r="M1591" t="s">
        <v>341</v>
      </c>
      <c r="N1591" t="s">
        <v>2021</v>
      </c>
      <c r="O1591" t="s">
        <v>82</v>
      </c>
      <c r="P1591" t="str">
        <f>"2170719107                    "</f>
        <v xml:space="preserve">2170719107                    </v>
      </c>
      <c r="Q1591">
        <v>0</v>
      </c>
      <c r="R1591">
        <v>0</v>
      </c>
      <c r="S1591">
        <v>0</v>
      </c>
      <c r="T1591">
        <v>0</v>
      </c>
      <c r="U1591">
        <v>0</v>
      </c>
      <c r="V1591">
        <v>0</v>
      </c>
      <c r="W1591">
        <v>0</v>
      </c>
      <c r="X1591">
        <v>0</v>
      </c>
      <c r="Y1591">
        <v>0</v>
      </c>
      <c r="Z1591">
        <v>0</v>
      </c>
      <c r="AA1591">
        <v>0</v>
      </c>
      <c r="AB1591">
        <v>0</v>
      </c>
      <c r="AC1591">
        <v>0</v>
      </c>
      <c r="AD1591">
        <v>0</v>
      </c>
      <c r="AE1591">
        <v>0</v>
      </c>
      <c r="AF1591">
        <v>0</v>
      </c>
      <c r="AG1591">
        <v>0</v>
      </c>
      <c r="AH1591">
        <v>0</v>
      </c>
      <c r="AI1591">
        <v>0</v>
      </c>
      <c r="AJ1591">
        <v>0</v>
      </c>
      <c r="AK1591">
        <v>0</v>
      </c>
      <c r="AL1591">
        <v>0</v>
      </c>
      <c r="AM1591">
        <v>16.63</v>
      </c>
      <c r="AN1591">
        <v>0</v>
      </c>
      <c r="AO1591">
        <v>0</v>
      </c>
      <c r="AP1591">
        <v>0</v>
      </c>
      <c r="AQ1591">
        <v>0</v>
      </c>
      <c r="AR1591">
        <v>0</v>
      </c>
      <c r="AS1591">
        <v>0</v>
      </c>
      <c r="AT1591">
        <v>0</v>
      </c>
      <c r="AU1591">
        <v>0</v>
      </c>
      <c r="AV1591">
        <v>0</v>
      </c>
      <c r="AW1591">
        <v>0</v>
      </c>
      <c r="AX1591">
        <v>0</v>
      </c>
      <c r="AY1591">
        <v>0</v>
      </c>
      <c r="AZ1591">
        <v>0</v>
      </c>
      <c r="BA1591">
        <v>0</v>
      </c>
      <c r="BB1591">
        <v>0</v>
      </c>
      <c r="BC1591">
        <v>0</v>
      </c>
      <c r="BD1591">
        <v>0</v>
      </c>
      <c r="BE1591">
        <v>0</v>
      </c>
      <c r="BF1591">
        <v>0</v>
      </c>
      <c r="BG1591">
        <v>0</v>
      </c>
      <c r="BH1591">
        <v>1</v>
      </c>
      <c r="BI1591">
        <v>1.1000000000000001</v>
      </c>
      <c r="BJ1591">
        <v>1.1000000000000001</v>
      </c>
      <c r="BK1591">
        <v>1.5</v>
      </c>
      <c r="BL1591" s="4">
        <v>97.75</v>
      </c>
      <c r="BM1591" s="4">
        <v>14.66</v>
      </c>
      <c r="BN1591" s="4">
        <v>112.41</v>
      </c>
      <c r="BO1591" s="4">
        <v>112.41</v>
      </c>
      <c r="BQ1591" t="s">
        <v>147</v>
      </c>
      <c r="BR1591" t="s">
        <v>84</v>
      </c>
      <c r="BS1591" s="3">
        <v>43817</v>
      </c>
      <c r="BT1591" s="5">
        <v>0.4375</v>
      </c>
      <c r="BU1591" t="s">
        <v>2022</v>
      </c>
      <c r="BV1591" t="s">
        <v>86</v>
      </c>
      <c r="BY1591">
        <v>5700.91</v>
      </c>
      <c r="CA1591" t="s">
        <v>344</v>
      </c>
      <c r="CC1591" t="s">
        <v>341</v>
      </c>
      <c r="CD1591">
        <v>1947</v>
      </c>
      <c r="CE1591" t="s">
        <v>116</v>
      </c>
      <c r="CF1591" s="3">
        <v>43818</v>
      </c>
      <c r="CI1591">
        <v>1</v>
      </c>
      <c r="CJ1591">
        <v>1</v>
      </c>
      <c r="CK1591">
        <v>23</v>
      </c>
      <c r="CL1591" t="s">
        <v>89</v>
      </c>
    </row>
    <row r="1592" spans="1:90">
      <c r="A1592" t="s">
        <v>72</v>
      </c>
      <c r="B1592" t="s">
        <v>73</v>
      </c>
      <c r="C1592" t="s">
        <v>74</v>
      </c>
      <c r="E1592" t="str">
        <f>"FES1162728653"</f>
        <v>FES1162728653</v>
      </c>
      <c r="F1592" s="3">
        <v>43816</v>
      </c>
      <c r="G1592">
        <v>202006</v>
      </c>
      <c r="H1592" t="s">
        <v>75</v>
      </c>
      <c r="I1592" t="s">
        <v>76</v>
      </c>
      <c r="J1592" t="s">
        <v>77</v>
      </c>
      <c r="K1592" t="s">
        <v>78</v>
      </c>
      <c r="L1592" t="s">
        <v>151</v>
      </c>
      <c r="M1592" t="s">
        <v>102</v>
      </c>
      <c r="N1592" t="s">
        <v>681</v>
      </c>
      <c r="O1592" t="s">
        <v>82</v>
      </c>
      <c r="P1592" t="str">
        <f>"2170721863                    "</f>
        <v xml:space="preserve">2170721863                    </v>
      </c>
      <c r="Q1592">
        <v>0</v>
      </c>
      <c r="R1592">
        <v>0</v>
      </c>
      <c r="S1592">
        <v>0</v>
      </c>
      <c r="T1592">
        <v>0</v>
      </c>
      <c r="U1592">
        <v>0</v>
      </c>
      <c r="V1592">
        <v>0</v>
      </c>
      <c r="W1592">
        <v>0</v>
      </c>
      <c r="X1592">
        <v>0</v>
      </c>
      <c r="Y1592">
        <v>0</v>
      </c>
      <c r="Z1592">
        <v>0</v>
      </c>
      <c r="AA1592">
        <v>0</v>
      </c>
      <c r="AB1592">
        <v>0</v>
      </c>
      <c r="AC1592">
        <v>0</v>
      </c>
      <c r="AD1592">
        <v>0</v>
      </c>
      <c r="AE1592">
        <v>0</v>
      </c>
      <c r="AF1592">
        <v>0</v>
      </c>
      <c r="AG1592">
        <v>0</v>
      </c>
      <c r="AH1592">
        <v>0</v>
      </c>
      <c r="AI1592">
        <v>0</v>
      </c>
      <c r="AJ1592">
        <v>0</v>
      </c>
      <c r="AK1592">
        <v>0</v>
      </c>
      <c r="AL1592">
        <v>0</v>
      </c>
      <c r="AM1592">
        <v>8.58</v>
      </c>
      <c r="AN1592">
        <v>0</v>
      </c>
      <c r="AO1592">
        <v>0</v>
      </c>
      <c r="AP1592">
        <v>0</v>
      </c>
      <c r="AQ1592">
        <v>0</v>
      </c>
      <c r="AR1592">
        <v>0</v>
      </c>
      <c r="AS1592">
        <v>0</v>
      </c>
      <c r="AT1592">
        <v>0</v>
      </c>
      <c r="AU1592">
        <v>0</v>
      </c>
      <c r="AV1592">
        <v>0</v>
      </c>
      <c r="AW1592">
        <v>0</v>
      </c>
      <c r="AX1592">
        <v>0</v>
      </c>
      <c r="AY1592">
        <v>0</v>
      </c>
      <c r="AZ1592">
        <v>0</v>
      </c>
      <c r="BA1592">
        <v>0</v>
      </c>
      <c r="BB1592">
        <v>0</v>
      </c>
      <c r="BC1592">
        <v>0</v>
      </c>
      <c r="BD1592">
        <v>0</v>
      </c>
      <c r="BE1592">
        <v>0</v>
      </c>
      <c r="BF1592">
        <v>0</v>
      </c>
      <c r="BG1592">
        <v>0</v>
      </c>
      <c r="BH1592">
        <v>1</v>
      </c>
      <c r="BI1592">
        <v>1</v>
      </c>
      <c r="BJ1592">
        <v>0.2</v>
      </c>
      <c r="BK1592">
        <v>1</v>
      </c>
      <c r="BL1592" s="4">
        <v>50.45</v>
      </c>
      <c r="BM1592" s="4">
        <v>7.57</v>
      </c>
      <c r="BN1592" s="4">
        <v>58.02</v>
      </c>
      <c r="BO1592" s="4">
        <v>58.02</v>
      </c>
      <c r="BR1592" t="s">
        <v>84</v>
      </c>
      <c r="BS1592" s="3">
        <v>43817</v>
      </c>
      <c r="BT1592" s="5">
        <v>0.40347222222222223</v>
      </c>
      <c r="BU1592" t="s">
        <v>2023</v>
      </c>
      <c r="BV1592" t="s">
        <v>86</v>
      </c>
      <c r="BY1592">
        <v>1200</v>
      </c>
      <c r="CA1592" t="s">
        <v>788</v>
      </c>
      <c r="CC1592" t="s">
        <v>102</v>
      </c>
      <c r="CD1592">
        <v>1</v>
      </c>
      <c r="CE1592" t="s">
        <v>88</v>
      </c>
      <c r="CF1592" s="3">
        <v>43818</v>
      </c>
      <c r="CI1592">
        <v>1</v>
      </c>
      <c r="CJ1592">
        <v>1</v>
      </c>
      <c r="CK1592">
        <v>21</v>
      </c>
      <c r="CL1592" t="s">
        <v>89</v>
      </c>
    </row>
    <row r="1593" spans="1:90">
      <c r="A1593" t="s">
        <v>72</v>
      </c>
      <c r="B1593" t="s">
        <v>73</v>
      </c>
      <c r="C1593" t="s">
        <v>74</v>
      </c>
      <c r="E1593" t="str">
        <f>"FES1162728775"</f>
        <v>FES1162728775</v>
      </c>
      <c r="F1593" s="3">
        <v>43816</v>
      </c>
      <c r="G1593">
        <v>202006</v>
      </c>
      <c r="H1593" t="s">
        <v>75</v>
      </c>
      <c r="I1593" t="s">
        <v>76</v>
      </c>
      <c r="J1593" t="s">
        <v>77</v>
      </c>
      <c r="K1593" t="s">
        <v>78</v>
      </c>
      <c r="L1593" t="s">
        <v>186</v>
      </c>
      <c r="M1593" t="s">
        <v>187</v>
      </c>
      <c r="N1593" t="s">
        <v>266</v>
      </c>
      <c r="O1593" t="s">
        <v>82</v>
      </c>
      <c r="P1593" t="str">
        <f>"2170721361                    "</f>
        <v xml:space="preserve">2170721361                    </v>
      </c>
      <c r="Q1593">
        <v>0</v>
      </c>
      <c r="R1593">
        <v>0</v>
      </c>
      <c r="S1593">
        <v>0</v>
      </c>
      <c r="T1593">
        <v>0</v>
      </c>
      <c r="U1593">
        <v>0</v>
      </c>
      <c r="V1593">
        <v>0</v>
      </c>
      <c r="W1593">
        <v>0</v>
      </c>
      <c r="X1593">
        <v>0</v>
      </c>
      <c r="Y1593">
        <v>0</v>
      </c>
      <c r="Z1593">
        <v>0</v>
      </c>
      <c r="AA1593">
        <v>0</v>
      </c>
      <c r="AB1593">
        <v>0</v>
      </c>
      <c r="AC1593">
        <v>0</v>
      </c>
      <c r="AD1593">
        <v>0</v>
      </c>
      <c r="AE1593">
        <v>0</v>
      </c>
      <c r="AF1593">
        <v>0</v>
      </c>
      <c r="AG1593">
        <v>0</v>
      </c>
      <c r="AH1593">
        <v>0</v>
      </c>
      <c r="AI1593">
        <v>0</v>
      </c>
      <c r="AJ1593">
        <v>0</v>
      </c>
      <c r="AK1593">
        <v>0</v>
      </c>
      <c r="AL1593">
        <v>0</v>
      </c>
      <c r="AM1593">
        <v>16.63</v>
      </c>
      <c r="AN1593">
        <v>0</v>
      </c>
      <c r="AO1593">
        <v>0</v>
      </c>
      <c r="AP1593">
        <v>0</v>
      </c>
      <c r="AQ1593">
        <v>0</v>
      </c>
      <c r="AR1593">
        <v>0</v>
      </c>
      <c r="AS1593">
        <v>0</v>
      </c>
      <c r="AT1593">
        <v>0</v>
      </c>
      <c r="AU1593">
        <v>0</v>
      </c>
      <c r="AV1593">
        <v>0</v>
      </c>
      <c r="AW1593">
        <v>0</v>
      </c>
      <c r="AX1593">
        <v>0</v>
      </c>
      <c r="AY1593">
        <v>0</v>
      </c>
      <c r="AZ1593">
        <v>0</v>
      </c>
      <c r="BA1593">
        <v>0</v>
      </c>
      <c r="BB1593">
        <v>0</v>
      </c>
      <c r="BC1593">
        <v>0</v>
      </c>
      <c r="BD1593">
        <v>0</v>
      </c>
      <c r="BE1593">
        <v>0</v>
      </c>
      <c r="BF1593">
        <v>0</v>
      </c>
      <c r="BG1593">
        <v>0</v>
      </c>
      <c r="BH1593">
        <v>1</v>
      </c>
      <c r="BI1593">
        <v>1</v>
      </c>
      <c r="BJ1593">
        <v>0.2</v>
      </c>
      <c r="BK1593">
        <v>1</v>
      </c>
      <c r="BL1593" s="4">
        <v>97.75</v>
      </c>
      <c r="BM1593" s="4">
        <v>14.66</v>
      </c>
      <c r="BN1593" s="4">
        <v>112.41</v>
      </c>
      <c r="BO1593" s="4">
        <v>112.41</v>
      </c>
      <c r="BQ1593" t="s">
        <v>135</v>
      </c>
      <c r="BR1593" t="s">
        <v>84</v>
      </c>
      <c r="BS1593" s="3">
        <v>43818</v>
      </c>
      <c r="BT1593" s="5">
        <v>0.39930555555555558</v>
      </c>
      <c r="BU1593" t="s">
        <v>1665</v>
      </c>
      <c r="BV1593" t="s">
        <v>86</v>
      </c>
      <c r="BY1593">
        <v>1200</v>
      </c>
      <c r="CA1593" t="s">
        <v>1205</v>
      </c>
      <c r="CC1593" t="s">
        <v>187</v>
      </c>
      <c r="CD1593">
        <v>6850</v>
      </c>
      <c r="CE1593" t="s">
        <v>88</v>
      </c>
      <c r="CF1593" s="3">
        <v>43819</v>
      </c>
      <c r="CI1593">
        <v>3</v>
      </c>
      <c r="CJ1593">
        <v>2</v>
      </c>
      <c r="CK1593">
        <v>23</v>
      </c>
      <c r="CL1593" t="s">
        <v>89</v>
      </c>
    </row>
    <row r="1594" spans="1:90">
      <c r="A1594" t="s">
        <v>72</v>
      </c>
      <c r="B1594" t="s">
        <v>73</v>
      </c>
      <c r="C1594" t="s">
        <v>74</v>
      </c>
      <c r="E1594" t="str">
        <f>"FES1162728543"</f>
        <v>FES1162728543</v>
      </c>
      <c r="F1594" s="3">
        <v>43816</v>
      </c>
      <c r="G1594">
        <v>202006</v>
      </c>
      <c r="H1594" t="s">
        <v>75</v>
      </c>
      <c r="I1594" t="s">
        <v>76</v>
      </c>
      <c r="J1594" t="s">
        <v>77</v>
      </c>
      <c r="K1594" t="s">
        <v>78</v>
      </c>
      <c r="L1594" t="s">
        <v>213</v>
      </c>
      <c r="M1594" t="s">
        <v>214</v>
      </c>
      <c r="N1594" t="s">
        <v>1444</v>
      </c>
      <c r="O1594" t="s">
        <v>82</v>
      </c>
      <c r="P1594" t="str">
        <f>"2170721783                    "</f>
        <v xml:space="preserve">2170721783                    </v>
      </c>
      <c r="Q1594">
        <v>0</v>
      </c>
      <c r="R1594">
        <v>0</v>
      </c>
      <c r="S1594">
        <v>0</v>
      </c>
      <c r="T1594">
        <v>0</v>
      </c>
      <c r="U1594">
        <v>0</v>
      </c>
      <c r="V1594">
        <v>0</v>
      </c>
      <c r="W1594">
        <v>0</v>
      </c>
      <c r="X1594">
        <v>0</v>
      </c>
      <c r="Y1594">
        <v>0</v>
      </c>
      <c r="Z1594">
        <v>0</v>
      </c>
      <c r="AA1594">
        <v>0</v>
      </c>
      <c r="AB1594">
        <v>0</v>
      </c>
      <c r="AC1594">
        <v>0</v>
      </c>
      <c r="AD1594">
        <v>0</v>
      </c>
      <c r="AE1594">
        <v>0</v>
      </c>
      <c r="AF1594">
        <v>0</v>
      </c>
      <c r="AG1594">
        <v>0</v>
      </c>
      <c r="AH1594">
        <v>0</v>
      </c>
      <c r="AI1594">
        <v>0</v>
      </c>
      <c r="AJ1594">
        <v>0</v>
      </c>
      <c r="AK1594">
        <v>0</v>
      </c>
      <c r="AL1594">
        <v>0</v>
      </c>
      <c r="AM1594">
        <v>8.58</v>
      </c>
      <c r="AN1594">
        <v>0</v>
      </c>
      <c r="AO1594">
        <v>0</v>
      </c>
      <c r="AP1594">
        <v>0</v>
      </c>
      <c r="AQ1594">
        <v>0</v>
      </c>
      <c r="AR1594">
        <v>0</v>
      </c>
      <c r="AS1594">
        <v>0</v>
      </c>
      <c r="AT1594">
        <v>0</v>
      </c>
      <c r="AU1594">
        <v>0</v>
      </c>
      <c r="AV1594">
        <v>0</v>
      </c>
      <c r="AW1594">
        <v>0</v>
      </c>
      <c r="AX1594">
        <v>0</v>
      </c>
      <c r="AY1594">
        <v>0</v>
      </c>
      <c r="AZ1594">
        <v>0</v>
      </c>
      <c r="BA1594">
        <v>0</v>
      </c>
      <c r="BB1594">
        <v>0</v>
      </c>
      <c r="BC1594">
        <v>0</v>
      </c>
      <c r="BD1594">
        <v>0</v>
      </c>
      <c r="BE1594">
        <v>0</v>
      </c>
      <c r="BF1594">
        <v>0</v>
      </c>
      <c r="BG1594">
        <v>0</v>
      </c>
      <c r="BH1594">
        <v>1</v>
      </c>
      <c r="BI1594">
        <v>1</v>
      </c>
      <c r="BJ1594">
        <v>0.2</v>
      </c>
      <c r="BK1594">
        <v>1</v>
      </c>
      <c r="BL1594" s="4">
        <v>50.45</v>
      </c>
      <c r="BM1594" s="4">
        <v>7.57</v>
      </c>
      <c r="BN1594" s="4">
        <v>58.02</v>
      </c>
      <c r="BO1594" s="4">
        <v>58.02</v>
      </c>
      <c r="BQ1594" t="s">
        <v>147</v>
      </c>
      <c r="BR1594" t="s">
        <v>84</v>
      </c>
      <c r="BS1594" s="3">
        <v>43817</v>
      </c>
      <c r="BT1594" s="5">
        <v>0.35416666666666669</v>
      </c>
      <c r="BU1594" t="s">
        <v>2024</v>
      </c>
      <c r="BV1594" t="s">
        <v>86</v>
      </c>
      <c r="BY1594">
        <v>1200</v>
      </c>
      <c r="CA1594" t="s">
        <v>302</v>
      </c>
      <c r="CC1594" t="s">
        <v>214</v>
      </c>
      <c r="CD1594">
        <v>6230</v>
      </c>
      <c r="CE1594" t="s">
        <v>88</v>
      </c>
      <c r="CF1594" s="3">
        <v>43818</v>
      </c>
      <c r="CI1594">
        <v>1</v>
      </c>
      <c r="CJ1594">
        <v>1</v>
      </c>
      <c r="CK1594">
        <v>21</v>
      </c>
      <c r="CL1594" t="s">
        <v>89</v>
      </c>
    </row>
    <row r="1595" spans="1:90">
      <c r="A1595" t="s">
        <v>72</v>
      </c>
      <c r="B1595" t="s">
        <v>73</v>
      </c>
      <c r="C1595" t="s">
        <v>74</v>
      </c>
      <c r="E1595" t="str">
        <f>"FES1162728621"</f>
        <v>FES1162728621</v>
      </c>
      <c r="F1595" s="3">
        <v>43816</v>
      </c>
      <c r="G1595">
        <v>202006</v>
      </c>
      <c r="H1595" t="s">
        <v>75</v>
      </c>
      <c r="I1595" t="s">
        <v>76</v>
      </c>
      <c r="J1595" t="s">
        <v>77</v>
      </c>
      <c r="K1595" t="s">
        <v>78</v>
      </c>
      <c r="L1595" t="s">
        <v>164</v>
      </c>
      <c r="M1595" t="s">
        <v>165</v>
      </c>
      <c r="N1595" t="s">
        <v>369</v>
      </c>
      <c r="O1595" t="s">
        <v>82</v>
      </c>
      <c r="P1595" t="str">
        <f>"2170721745                    "</f>
        <v xml:space="preserve">2170721745                    </v>
      </c>
      <c r="Q1595">
        <v>0</v>
      </c>
      <c r="R1595">
        <v>0</v>
      </c>
      <c r="S1595">
        <v>0</v>
      </c>
      <c r="T1595">
        <v>0</v>
      </c>
      <c r="U1595">
        <v>0</v>
      </c>
      <c r="V1595">
        <v>0</v>
      </c>
      <c r="W1595">
        <v>0</v>
      </c>
      <c r="X1595">
        <v>0</v>
      </c>
      <c r="Y1595">
        <v>0</v>
      </c>
      <c r="Z1595">
        <v>0</v>
      </c>
      <c r="AA1595">
        <v>0</v>
      </c>
      <c r="AB1595">
        <v>0</v>
      </c>
      <c r="AC1595">
        <v>0</v>
      </c>
      <c r="AD1595">
        <v>0</v>
      </c>
      <c r="AE1595">
        <v>0</v>
      </c>
      <c r="AF1595">
        <v>0</v>
      </c>
      <c r="AG1595">
        <v>0</v>
      </c>
      <c r="AH1595">
        <v>0</v>
      </c>
      <c r="AI1595">
        <v>0</v>
      </c>
      <c r="AJ1595">
        <v>0</v>
      </c>
      <c r="AK1595">
        <v>0</v>
      </c>
      <c r="AL1595">
        <v>0</v>
      </c>
      <c r="AM1595">
        <v>8.58</v>
      </c>
      <c r="AN1595">
        <v>0</v>
      </c>
      <c r="AO1595">
        <v>0</v>
      </c>
      <c r="AP1595">
        <v>0</v>
      </c>
      <c r="AQ1595">
        <v>0</v>
      </c>
      <c r="AR1595">
        <v>0</v>
      </c>
      <c r="AS1595">
        <v>0</v>
      </c>
      <c r="AT1595">
        <v>0</v>
      </c>
      <c r="AU1595">
        <v>0</v>
      </c>
      <c r="AV1595">
        <v>0</v>
      </c>
      <c r="AW1595">
        <v>0</v>
      </c>
      <c r="AX1595">
        <v>0</v>
      </c>
      <c r="AY1595">
        <v>0</v>
      </c>
      <c r="AZ1595">
        <v>0</v>
      </c>
      <c r="BA1595">
        <v>0</v>
      </c>
      <c r="BB1595">
        <v>0</v>
      </c>
      <c r="BC1595">
        <v>0</v>
      </c>
      <c r="BD1595">
        <v>0</v>
      </c>
      <c r="BE1595">
        <v>0</v>
      </c>
      <c r="BF1595">
        <v>0</v>
      </c>
      <c r="BG1595">
        <v>0</v>
      </c>
      <c r="BH1595">
        <v>1</v>
      </c>
      <c r="BI1595">
        <v>1</v>
      </c>
      <c r="BJ1595">
        <v>0.2</v>
      </c>
      <c r="BK1595">
        <v>1</v>
      </c>
      <c r="BL1595" s="4">
        <v>50.45</v>
      </c>
      <c r="BM1595" s="4">
        <v>7.57</v>
      </c>
      <c r="BN1595" s="4">
        <v>58.02</v>
      </c>
      <c r="BO1595" s="4">
        <v>58.02</v>
      </c>
      <c r="BQ1595" t="s">
        <v>93</v>
      </c>
      <c r="BR1595" t="s">
        <v>84</v>
      </c>
      <c r="BS1595" s="3">
        <v>43817</v>
      </c>
      <c r="BT1595" s="5">
        <v>0.37708333333333338</v>
      </c>
      <c r="BU1595" t="s">
        <v>1916</v>
      </c>
      <c r="BV1595" t="s">
        <v>86</v>
      </c>
      <c r="BY1595">
        <v>1200</v>
      </c>
      <c r="CA1595" t="s">
        <v>1361</v>
      </c>
      <c r="CC1595" t="s">
        <v>165</v>
      </c>
      <c r="CD1595">
        <v>5201</v>
      </c>
      <c r="CE1595" t="s">
        <v>88</v>
      </c>
      <c r="CF1595" s="3">
        <v>43819</v>
      </c>
      <c r="CI1595">
        <v>1</v>
      </c>
      <c r="CJ1595">
        <v>1</v>
      </c>
      <c r="CK1595">
        <v>21</v>
      </c>
      <c r="CL1595" t="s">
        <v>89</v>
      </c>
    </row>
    <row r="1596" spans="1:90">
      <c r="A1596" t="s">
        <v>72</v>
      </c>
      <c r="B1596" t="s">
        <v>73</v>
      </c>
      <c r="C1596" t="s">
        <v>74</v>
      </c>
      <c r="E1596" t="str">
        <f>"FES1162728599"</f>
        <v>FES1162728599</v>
      </c>
      <c r="F1596" s="3">
        <v>43816</v>
      </c>
      <c r="G1596">
        <v>202006</v>
      </c>
      <c r="H1596" t="s">
        <v>75</v>
      </c>
      <c r="I1596" t="s">
        <v>76</v>
      </c>
      <c r="J1596" t="s">
        <v>77</v>
      </c>
      <c r="K1596" t="s">
        <v>78</v>
      </c>
      <c r="L1596" t="s">
        <v>79</v>
      </c>
      <c r="M1596" t="s">
        <v>80</v>
      </c>
      <c r="N1596" t="s">
        <v>420</v>
      </c>
      <c r="O1596" t="s">
        <v>82</v>
      </c>
      <c r="P1596" t="str">
        <f>"2170721813                    "</f>
        <v xml:space="preserve">2170721813                    </v>
      </c>
      <c r="Q1596">
        <v>0</v>
      </c>
      <c r="R1596">
        <v>0</v>
      </c>
      <c r="S1596">
        <v>0</v>
      </c>
      <c r="T1596">
        <v>0</v>
      </c>
      <c r="U1596">
        <v>0</v>
      </c>
      <c r="V1596">
        <v>0</v>
      </c>
      <c r="W1596">
        <v>0</v>
      </c>
      <c r="X1596">
        <v>0</v>
      </c>
      <c r="Y1596">
        <v>0</v>
      </c>
      <c r="Z1596">
        <v>0</v>
      </c>
      <c r="AA1596">
        <v>0</v>
      </c>
      <c r="AB1596">
        <v>0</v>
      </c>
      <c r="AC1596">
        <v>0</v>
      </c>
      <c r="AD1596">
        <v>0</v>
      </c>
      <c r="AE1596">
        <v>0</v>
      </c>
      <c r="AF1596">
        <v>0</v>
      </c>
      <c r="AG1596">
        <v>0</v>
      </c>
      <c r="AH1596">
        <v>0</v>
      </c>
      <c r="AI1596">
        <v>0</v>
      </c>
      <c r="AJ1596">
        <v>0</v>
      </c>
      <c r="AK1596">
        <v>0</v>
      </c>
      <c r="AL1596">
        <v>0</v>
      </c>
      <c r="AM1596">
        <v>8.58</v>
      </c>
      <c r="AN1596">
        <v>0</v>
      </c>
      <c r="AO1596">
        <v>0</v>
      </c>
      <c r="AP1596">
        <v>0</v>
      </c>
      <c r="AQ1596">
        <v>0</v>
      </c>
      <c r="AR1596">
        <v>0</v>
      </c>
      <c r="AS1596">
        <v>0</v>
      </c>
      <c r="AT1596">
        <v>0</v>
      </c>
      <c r="AU1596">
        <v>0</v>
      </c>
      <c r="AV1596">
        <v>0</v>
      </c>
      <c r="AW1596">
        <v>0</v>
      </c>
      <c r="AX1596">
        <v>0</v>
      </c>
      <c r="AY1596">
        <v>0</v>
      </c>
      <c r="AZ1596">
        <v>0</v>
      </c>
      <c r="BA1596">
        <v>0</v>
      </c>
      <c r="BB1596">
        <v>0</v>
      </c>
      <c r="BC1596">
        <v>0</v>
      </c>
      <c r="BD1596">
        <v>0</v>
      </c>
      <c r="BE1596">
        <v>0</v>
      </c>
      <c r="BF1596">
        <v>0</v>
      </c>
      <c r="BG1596">
        <v>0</v>
      </c>
      <c r="BH1596">
        <v>1</v>
      </c>
      <c r="BI1596">
        <v>1</v>
      </c>
      <c r="BJ1596">
        <v>0.2</v>
      </c>
      <c r="BK1596">
        <v>1</v>
      </c>
      <c r="BL1596" s="4">
        <v>50.45</v>
      </c>
      <c r="BM1596" s="4">
        <v>7.57</v>
      </c>
      <c r="BN1596" s="4">
        <v>58.02</v>
      </c>
      <c r="BO1596" s="4">
        <v>58.02</v>
      </c>
      <c r="BQ1596" t="s">
        <v>147</v>
      </c>
      <c r="BR1596" t="s">
        <v>84</v>
      </c>
      <c r="BS1596" s="3">
        <v>43817</v>
      </c>
      <c r="BT1596" s="5">
        <v>0.3576388888888889</v>
      </c>
      <c r="BU1596" t="s">
        <v>1968</v>
      </c>
      <c r="BV1596" t="s">
        <v>86</v>
      </c>
      <c r="BY1596">
        <v>1200</v>
      </c>
      <c r="CA1596" t="s">
        <v>185</v>
      </c>
      <c r="CC1596" t="s">
        <v>80</v>
      </c>
      <c r="CD1596">
        <v>6001</v>
      </c>
      <c r="CE1596" t="s">
        <v>88</v>
      </c>
      <c r="CF1596" s="3">
        <v>43818</v>
      </c>
      <c r="CI1596">
        <v>1</v>
      </c>
      <c r="CJ1596">
        <v>1</v>
      </c>
      <c r="CK1596">
        <v>21</v>
      </c>
      <c r="CL1596" t="s">
        <v>89</v>
      </c>
    </row>
    <row r="1597" spans="1:90">
      <c r="A1597" t="s">
        <v>72</v>
      </c>
      <c r="B1597" t="s">
        <v>73</v>
      </c>
      <c r="C1597" t="s">
        <v>74</v>
      </c>
      <c r="E1597" t="str">
        <f>"FES1162728727"</f>
        <v>FES1162728727</v>
      </c>
      <c r="F1597" s="3">
        <v>43816</v>
      </c>
      <c r="G1597">
        <v>202006</v>
      </c>
      <c r="H1597" t="s">
        <v>75</v>
      </c>
      <c r="I1597" t="s">
        <v>76</v>
      </c>
      <c r="J1597" t="s">
        <v>77</v>
      </c>
      <c r="K1597" t="s">
        <v>78</v>
      </c>
      <c r="L1597" t="s">
        <v>90</v>
      </c>
      <c r="M1597" t="s">
        <v>91</v>
      </c>
      <c r="N1597" t="s">
        <v>900</v>
      </c>
      <c r="O1597" t="s">
        <v>82</v>
      </c>
      <c r="P1597" t="str">
        <f>"2170719510                    "</f>
        <v xml:space="preserve">2170719510                    </v>
      </c>
      <c r="Q1597">
        <v>0</v>
      </c>
      <c r="R1597">
        <v>0</v>
      </c>
      <c r="S1597">
        <v>0</v>
      </c>
      <c r="T1597">
        <v>0</v>
      </c>
      <c r="U1597">
        <v>0</v>
      </c>
      <c r="V1597">
        <v>0</v>
      </c>
      <c r="W1597">
        <v>0</v>
      </c>
      <c r="X1597">
        <v>0</v>
      </c>
      <c r="Y1597">
        <v>0</v>
      </c>
      <c r="Z1597">
        <v>0</v>
      </c>
      <c r="AA1597">
        <v>0</v>
      </c>
      <c r="AB1597">
        <v>0</v>
      </c>
      <c r="AC1597">
        <v>0</v>
      </c>
      <c r="AD1597">
        <v>0</v>
      </c>
      <c r="AE1597">
        <v>0</v>
      </c>
      <c r="AF1597">
        <v>0</v>
      </c>
      <c r="AG1597">
        <v>0</v>
      </c>
      <c r="AH1597">
        <v>0</v>
      </c>
      <c r="AI1597">
        <v>0</v>
      </c>
      <c r="AJ1597">
        <v>0</v>
      </c>
      <c r="AK1597">
        <v>0</v>
      </c>
      <c r="AL1597">
        <v>0</v>
      </c>
      <c r="AM1597">
        <v>8.58</v>
      </c>
      <c r="AN1597">
        <v>0</v>
      </c>
      <c r="AO1597">
        <v>0</v>
      </c>
      <c r="AP1597">
        <v>0</v>
      </c>
      <c r="AQ1597">
        <v>0</v>
      </c>
      <c r="AR1597">
        <v>0</v>
      </c>
      <c r="AS1597">
        <v>0</v>
      </c>
      <c r="AT1597">
        <v>0</v>
      </c>
      <c r="AU1597">
        <v>0</v>
      </c>
      <c r="AV1597">
        <v>0</v>
      </c>
      <c r="AW1597">
        <v>0</v>
      </c>
      <c r="AX1597">
        <v>0</v>
      </c>
      <c r="AY1597">
        <v>0</v>
      </c>
      <c r="AZ1597">
        <v>0</v>
      </c>
      <c r="BA1597">
        <v>0</v>
      </c>
      <c r="BB1597">
        <v>0</v>
      </c>
      <c r="BC1597">
        <v>0</v>
      </c>
      <c r="BD1597">
        <v>0</v>
      </c>
      <c r="BE1597">
        <v>0</v>
      </c>
      <c r="BF1597">
        <v>0</v>
      </c>
      <c r="BG1597">
        <v>0</v>
      </c>
      <c r="BH1597">
        <v>1</v>
      </c>
      <c r="BI1597">
        <v>0.2</v>
      </c>
      <c r="BJ1597">
        <v>1.2</v>
      </c>
      <c r="BK1597">
        <v>1.5</v>
      </c>
      <c r="BL1597" s="4">
        <v>50.45</v>
      </c>
      <c r="BM1597" s="4">
        <v>7.57</v>
      </c>
      <c r="BN1597" s="4">
        <v>58.02</v>
      </c>
      <c r="BO1597" s="4">
        <v>58.02</v>
      </c>
      <c r="BQ1597" t="s">
        <v>93</v>
      </c>
      <c r="BR1597" t="s">
        <v>84</v>
      </c>
      <c r="BS1597" s="3">
        <v>43817</v>
      </c>
      <c r="BT1597" s="5">
        <v>0.43194444444444446</v>
      </c>
      <c r="BU1597" t="s">
        <v>2025</v>
      </c>
      <c r="BV1597" t="s">
        <v>86</v>
      </c>
      <c r="BY1597">
        <v>5872.93</v>
      </c>
      <c r="CA1597" t="s">
        <v>1901</v>
      </c>
      <c r="CC1597" t="s">
        <v>91</v>
      </c>
      <c r="CD1597">
        <v>7500</v>
      </c>
      <c r="CE1597" t="s">
        <v>96</v>
      </c>
      <c r="CF1597" s="3">
        <v>43818</v>
      </c>
      <c r="CI1597">
        <v>1</v>
      </c>
      <c r="CJ1597">
        <v>1</v>
      </c>
      <c r="CK1597">
        <v>21</v>
      </c>
      <c r="CL1597" t="s">
        <v>89</v>
      </c>
    </row>
    <row r="1598" spans="1:90">
      <c r="A1598" t="s">
        <v>72</v>
      </c>
      <c r="B1598" t="s">
        <v>73</v>
      </c>
      <c r="C1598" t="s">
        <v>74</v>
      </c>
      <c r="E1598" t="str">
        <f>"FES1162728725"</f>
        <v>FES1162728725</v>
      </c>
      <c r="F1598" s="3">
        <v>43816</v>
      </c>
      <c r="G1598">
        <v>202006</v>
      </c>
      <c r="H1598" t="s">
        <v>75</v>
      </c>
      <c r="I1598" t="s">
        <v>76</v>
      </c>
      <c r="J1598" t="s">
        <v>77</v>
      </c>
      <c r="K1598" t="s">
        <v>78</v>
      </c>
      <c r="L1598" t="s">
        <v>308</v>
      </c>
      <c r="M1598" t="s">
        <v>308</v>
      </c>
      <c r="N1598" t="s">
        <v>540</v>
      </c>
      <c r="O1598" t="s">
        <v>82</v>
      </c>
      <c r="P1598" t="str">
        <f>"2170719382                    "</f>
        <v xml:space="preserve">2170719382                    </v>
      </c>
      <c r="Q1598">
        <v>0</v>
      </c>
      <c r="R1598">
        <v>0</v>
      </c>
      <c r="S1598">
        <v>0</v>
      </c>
      <c r="T1598">
        <v>0</v>
      </c>
      <c r="U1598">
        <v>0</v>
      </c>
      <c r="V1598">
        <v>0</v>
      </c>
      <c r="W1598">
        <v>0</v>
      </c>
      <c r="X1598">
        <v>0</v>
      </c>
      <c r="Y1598">
        <v>0</v>
      </c>
      <c r="Z1598">
        <v>0</v>
      </c>
      <c r="AA1598">
        <v>0</v>
      </c>
      <c r="AB1598">
        <v>0</v>
      </c>
      <c r="AC1598">
        <v>0</v>
      </c>
      <c r="AD1598">
        <v>0</v>
      </c>
      <c r="AE1598">
        <v>0</v>
      </c>
      <c r="AF1598">
        <v>0</v>
      </c>
      <c r="AG1598">
        <v>0</v>
      </c>
      <c r="AH1598">
        <v>0</v>
      </c>
      <c r="AI1598">
        <v>0</v>
      </c>
      <c r="AJ1598">
        <v>0</v>
      </c>
      <c r="AK1598">
        <v>0</v>
      </c>
      <c r="AL1598">
        <v>0</v>
      </c>
      <c r="AM1598">
        <v>16.63</v>
      </c>
      <c r="AN1598">
        <v>0</v>
      </c>
      <c r="AO1598">
        <v>0</v>
      </c>
      <c r="AP1598">
        <v>0</v>
      </c>
      <c r="AQ1598">
        <v>0</v>
      </c>
      <c r="AR1598">
        <v>0</v>
      </c>
      <c r="AS1598">
        <v>0</v>
      </c>
      <c r="AT1598">
        <v>0</v>
      </c>
      <c r="AU1598">
        <v>0</v>
      </c>
      <c r="AV1598">
        <v>0</v>
      </c>
      <c r="AW1598">
        <v>0</v>
      </c>
      <c r="AX1598">
        <v>0</v>
      </c>
      <c r="AY1598">
        <v>0</v>
      </c>
      <c r="AZ1598">
        <v>0</v>
      </c>
      <c r="BA1598">
        <v>0</v>
      </c>
      <c r="BB1598">
        <v>0</v>
      </c>
      <c r="BC1598">
        <v>0</v>
      </c>
      <c r="BD1598">
        <v>0</v>
      </c>
      <c r="BE1598">
        <v>0</v>
      </c>
      <c r="BF1598">
        <v>0</v>
      </c>
      <c r="BG1598">
        <v>0</v>
      </c>
      <c r="BH1598">
        <v>1</v>
      </c>
      <c r="BI1598">
        <v>0.2</v>
      </c>
      <c r="BJ1598">
        <v>1.1000000000000001</v>
      </c>
      <c r="BK1598">
        <v>1.5</v>
      </c>
      <c r="BL1598" s="4">
        <v>97.75</v>
      </c>
      <c r="BM1598" s="4">
        <v>14.66</v>
      </c>
      <c r="BN1598" s="4">
        <v>112.41</v>
      </c>
      <c r="BO1598" s="4">
        <v>112.41</v>
      </c>
      <c r="BQ1598" t="s">
        <v>147</v>
      </c>
      <c r="BR1598" t="s">
        <v>84</v>
      </c>
      <c r="BS1598" s="3">
        <v>43817</v>
      </c>
      <c r="BT1598" s="5">
        <v>0.45833333333333331</v>
      </c>
      <c r="BU1598" t="s">
        <v>2026</v>
      </c>
      <c r="BV1598" t="s">
        <v>86</v>
      </c>
      <c r="BY1598">
        <v>5588.27</v>
      </c>
      <c r="CA1598" t="s">
        <v>311</v>
      </c>
      <c r="CC1598" t="s">
        <v>308</v>
      </c>
      <c r="CD1598">
        <v>7646</v>
      </c>
      <c r="CE1598" t="s">
        <v>96</v>
      </c>
      <c r="CF1598" s="3">
        <v>43818</v>
      </c>
      <c r="CI1598">
        <v>1</v>
      </c>
      <c r="CJ1598">
        <v>1</v>
      </c>
      <c r="CK1598">
        <v>23</v>
      </c>
      <c r="CL1598" t="s">
        <v>89</v>
      </c>
    </row>
    <row r="1599" spans="1:90">
      <c r="A1599" t="s">
        <v>72</v>
      </c>
      <c r="B1599" t="s">
        <v>73</v>
      </c>
      <c r="C1599" t="s">
        <v>74</v>
      </c>
      <c r="E1599" t="str">
        <f>"FES1162728471"</f>
        <v>FES1162728471</v>
      </c>
      <c r="F1599" s="3">
        <v>43816</v>
      </c>
      <c r="G1599">
        <v>202006</v>
      </c>
      <c r="H1599" t="s">
        <v>75</v>
      </c>
      <c r="I1599" t="s">
        <v>76</v>
      </c>
      <c r="J1599" t="s">
        <v>77</v>
      </c>
      <c r="K1599" t="s">
        <v>78</v>
      </c>
      <c r="L1599" t="s">
        <v>164</v>
      </c>
      <c r="M1599" t="s">
        <v>165</v>
      </c>
      <c r="N1599" t="s">
        <v>369</v>
      </c>
      <c r="O1599" t="s">
        <v>82</v>
      </c>
      <c r="P1599" t="str">
        <f>"217071452                     "</f>
        <v xml:space="preserve">217071452                     </v>
      </c>
      <c r="Q1599">
        <v>0</v>
      </c>
      <c r="R1599">
        <v>0</v>
      </c>
      <c r="S1599">
        <v>0</v>
      </c>
      <c r="T1599">
        <v>0</v>
      </c>
      <c r="U1599">
        <v>0</v>
      </c>
      <c r="V1599">
        <v>0</v>
      </c>
      <c r="W1599">
        <v>0</v>
      </c>
      <c r="X1599">
        <v>0</v>
      </c>
      <c r="Y1599">
        <v>0</v>
      </c>
      <c r="Z1599">
        <v>0</v>
      </c>
      <c r="AA1599">
        <v>0</v>
      </c>
      <c r="AB1599">
        <v>0</v>
      </c>
      <c r="AC1599">
        <v>0</v>
      </c>
      <c r="AD1599">
        <v>0</v>
      </c>
      <c r="AE1599">
        <v>0</v>
      </c>
      <c r="AF1599">
        <v>0</v>
      </c>
      <c r="AG1599">
        <v>0</v>
      </c>
      <c r="AH1599">
        <v>0</v>
      </c>
      <c r="AI1599">
        <v>0</v>
      </c>
      <c r="AJ1599">
        <v>0</v>
      </c>
      <c r="AK1599">
        <v>0</v>
      </c>
      <c r="AL1599">
        <v>0</v>
      </c>
      <c r="AM1599">
        <v>23.59</v>
      </c>
      <c r="AN1599">
        <v>0</v>
      </c>
      <c r="AO1599">
        <v>0</v>
      </c>
      <c r="AP1599">
        <v>0</v>
      </c>
      <c r="AQ1599">
        <v>0</v>
      </c>
      <c r="AR1599">
        <v>0</v>
      </c>
      <c r="AS1599">
        <v>0</v>
      </c>
      <c r="AT1599">
        <v>0</v>
      </c>
      <c r="AU1599">
        <v>0</v>
      </c>
      <c r="AV1599">
        <v>0</v>
      </c>
      <c r="AW1599">
        <v>0</v>
      </c>
      <c r="AX1599">
        <v>0</v>
      </c>
      <c r="AY1599">
        <v>0</v>
      </c>
      <c r="AZ1599">
        <v>0</v>
      </c>
      <c r="BA1599">
        <v>0</v>
      </c>
      <c r="BB1599">
        <v>0</v>
      </c>
      <c r="BC1599">
        <v>0</v>
      </c>
      <c r="BD1599">
        <v>0</v>
      </c>
      <c r="BE1599">
        <v>0</v>
      </c>
      <c r="BF1599">
        <v>0</v>
      </c>
      <c r="BG1599">
        <v>0</v>
      </c>
      <c r="BH1599">
        <v>1</v>
      </c>
      <c r="BI1599">
        <v>5.2</v>
      </c>
      <c r="BJ1599">
        <v>2.1</v>
      </c>
      <c r="BK1599">
        <v>5.5</v>
      </c>
      <c r="BL1599" s="4">
        <v>138.68</v>
      </c>
      <c r="BM1599" s="4">
        <v>20.8</v>
      </c>
      <c r="BN1599" s="4">
        <v>159.47999999999999</v>
      </c>
      <c r="BO1599" s="4">
        <v>159.47999999999999</v>
      </c>
      <c r="BQ1599" t="s">
        <v>93</v>
      </c>
      <c r="BR1599" t="s">
        <v>84</v>
      </c>
      <c r="BS1599" s="3">
        <v>43817</v>
      </c>
      <c r="BT1599" s="5">
        <v>0.37777777777777777</v>
      </c>
      <c r="BU1599" t="s">
        <v>1916</v>
      </c>
      <c r="BV1599" t="s">
        <v>86</v>
      </c>
      <c r="BY1599">
        <v>10259.66</v>
      </c>
      <c r="CA1599" t="s">
        <v>1361</v>
      </c>
      <c r="CC1599" t="s">
        <v>165</v>
      </c>
      <c r="CD1599">
        <v>5201</v>
      </c>
      <c r="CE1599" t="s">
        <v>116</v>
      </c>
      <c r="CF1599" s="3">
        <v>43819</v>
      </c>
      <c r="CI1599">
        <v>1</v>
      </c>
      <c r="CJ1599">
        <v>1</v>
      </c>
      <c r="CK1599">
        <v>21</v>
      </c>
      <c r="CL1599" t="s">
        <v>89</v>
      </c>
    </row>
    <row r="1600" spans="1:90">
      <c r="A1600" t="s">
        <v>72</v>
      </c>
      <c r="B1600" t="s">
        <v>73</v>
      </c>
      <c r="C1600" t="s">
        <v>74</v>
      </c>
      <c r="E1600" t="str">
        <f>"FES1162728507"</f>
        <v>FES1162728507</v>
      </c>
      <c r="F1600" s="3">
        <v>43816</v>
      </c>
      <c r="G1600">
        <v>202006</v>
      </c>
      <c r="H1600" t="s">
        <v>75</v>
      </c>
      <c r="I1600" t="s">
        <v>76</v>
      </c>
      <c r="J1600" t="s">
        <v>77</v>
      </c>
      <c r="K1600" t="s">
        <v>78</v>
      </c>
      <c r="L1600" t="s">
        <v>213</v>
      </c>
      <c r="M1600" t="s">
        <v>214</v>
      </c>
      <c r="N1600" t="s">
        <v>598</v>
      </c>
      <c r="O1600" t="s">
        <v>82</v>
      </c>
      <c r="P1600" t="str">
        <f>"217071741                     "</f>
        <v xml:space="preserve">217071741                     </v>
      </c>
      <c r="Q1600">
        <v>0</v>
      </c>
      <c r="R1600">
        <v>0</v>
      </c>
      <c r="S1600">
        <v>0</v>
      </c>
      <c r="T1600">
        <v>0</v>
      </c>
      <c r="U1600">
        <v>0</v>
      </c>
      <c r="V1600">
        <v>0</v>
      </c>
      <c r="W1600">
        <v>0</v>
      </c>
      <c r="X1600">
        <v>0</v>
      </c>
      <c r="Y1600">
        <v>0</v>
      </c>
      <c r="Z1600">
        <v>0</v>
      </c>
      <c r="AA1600">
        <v>0</v>
      </c>
      <c r="AB1600">
        <v>0</v>
      </c>
      <c r="AC1600">
        <v>0</v>
      </c>
      <c r="AD1600">
        <v>0</v>
      </c>
      <c r="AE1600">
        <v>0</v>
      </c>
      <c r="AF1600">
        <v>0</v>
      </c>
      <c r="AG1600">
        <v>0</v>
      </c>
      <c r="AH1600">
        <v>0</v>
      </c>
      <c r="AI1600">
        <v>0</v>
      </c>
      <c r="AJ1600">
        <v>0</v>
      </c>
      <c r="AK1600">
        <v>0</v>
      </c>
      <c r="AL1600">
        <v>0</v>
      </c>
      <c r="AM1600">
        <v>19.3</v>
      </c>
      <c r="AN1600">
        <v>0</v>
      </c>
      <c r="AO1600">
        <v>0</v>
      </c>
      <c r="AP1600">
        <v>0</v>
      </c>
      <c r="AQ1600">
        <v>0</v>
      </c>
      <c r="AR1600">
        <v>0</v>
      </c>
      <c r="AS1600">
        <v>0</v>
      </c>
      <c r="AT1600">
        <v>0</v>
      </c>
      <c r="AU1600">
        <v>0</v>
      </c>
      <c r="AV1600">
        <v>0</v>
      </c>
      <c r="AW1600">
        <v>0</v>
      </c>
      <c r="AX1600">
        <v>0</v>
      </c>
      <c r="AY1600">
        <v>0</v>
      </c>
      <c r="AZ1600">
        <v>0</v>
      </c>
      <c r="BA1600">
        <v>0</v>
      </c>
      <c r="BB1600">
        <v>0</v>
      </c>
      <c r="BC1600">
        <v>0</v>
      </c>
      <c r="BD1600">
        <v>0</v>
      </c>
      <c r="BE1600">
        <v>0</v>
      </c>
      <c r="BF1600">
        <v>0</v>
      </c>
      <c r="BG1600">
        <v>0</v>
      </c>
      <c r="BH1600">
        <v>1</v>
      </c>
      <c r="BI1600">
        <v>4.5</v>
      </c>
      <c r="BJ1600">
        <v>1.6</v>
      </c>
      <c r="BK1600">
        <v>4.5</v>
      </c>
      <c r="BL1600" s="4">
        <v>113.47</v>
      </c>
      <c r="BM1600" s="4">
        <v>17.02</v>
      </c>
      <c r="BN1600" s="4">
        <v>130.49</v>
      </c>
      <c r="BO1600" s="4">
        <v>130.49</v>
      </c>
      <c r="BQ1600" t="s">
        <v>147</v>
      </c>
      <c r="BR1600" t="s">
        <v>84</v>
      </c>
      <c r="BS1600" s="3">
        <v>43817</v>
      </c>
      <c r="BT1600" s="5">
        <v>0.34097222222222223</v>
      </c>
      <c r="BU1600" t="s">
        <v>2027</v>
      </c>
      <c r="BV1600" t="s">
        <v>86</v>
      </c>
      <c r="BY1600">
        <v>7989.84</v>
      </c>
      <c r="CA1600" t="s">
        <v>302</v>
      </c>
      <c r="CC1600" t="s">
        <v>214</v>
      </c>
      <c r="CD1600">
        <v>6229</v>
      </c>
      <c r="CE1600" t="s">
        <v>96</v>
      </c>
      <c r="CF1600" s="3">
        <v>43818</v>
      </c>
      <c r="CI1600">
        <v>1</v>
      </c>
      <c r="CJ1600">
        <v>1</v>
      </c>
      <c r="CK1600">
        <v>21</v>
      </c>
      <c r="CL1600" t="s">
        <v>89</v>
      </c>
    </row>
    <row r="1601" spans="1:90">
      <c r="A1601" t="s">
        <v>72</v>
      </c>
      <c r="B1601" t="s">
        <v>73</v>
      </c>
      <c r="C1601" t="s">
        <v>74</v>
      </c>
      <c r="E1601" t="str">
        <f>"FES1162728586"</f>
        <v>FES1162728586</v>
      </c>
      <c r="F1601" s="3">
        <v>43816</v>
      </c>
      <c r="G1601">
        <v>202006</v>
      </c>
      <c r="H1601" t="s">
        <v>75</v>
      </c>
      <c r="I1601" t="s">
        <v>76</v>
      </c>
      <c r="J1601" t="s">
        <v>77</v>
      </c>
      <c r="K1601" t="s">
        <v>78</v>
      </c>
      <c r="L1601" t="s">
        <v>455</v>
      </c>
      <c r="M1601" t="s">
        <v>456</v>
      </c>
      <c r="N1601" t="s">
        <v>457</v>
      </c>
      <c r="O1601" t="s">
        <v>82</v>
      </c>
      <c r="P1601" t="str">
        <f>"217071699                     "</f>
        <v xml:space="preserve">217071699                     </v>
      </c>
      <c r="Q1601">
        <v>0</v>
      </c>
      <c r="R1601">
        <v>0</v>
      </c>
      <c r="S1601">
        <v>0</v>
      </c>
      <c r="T1601">
        <v>0</v>
      </c>
      <c r="U1601">
        <v>0</v>
      </c>
      <c r="V1601">
        <v>0</v>
      </c>
      <c r="W1601">
        <v>0</v>
      </c>
      <c r="X1601">
        <v>0</v>
      </c>
      <c r="Y1601">
        <v>0</v>
      </c>
      <c r="Z1601">
        <v>0</v>
      </c>
      <c r="AA1601">
        <v>0</v>
      </c>
      <c r="AB1601">
        <v>0</v>
      </c>
      <c r="AC1601">
        <v>0</v>
      </c>
      <c r="AD1601">
        <v>0</v>
      </c>
      <c r="AE1601">
        <v>0</v>
      </c>
      <c r="AF1601">
        <v>0</v>
      </c>
      <c r="AG1601">
        <v>0</v>
      </c>
      <c r="AH1601">
        <v>0</v>
      </c>
      <c r="AI1601">
        <v>0</v>
      </c>
      <c r="AJ1601">
        <v>0</v>
      </c>
      <c r="AK1601">
        <v>0</v>
      </c>
      <c r="AL1601">
        <v>0</v>
      </c>
      <c r="AM1601">
        <v>25.74</v>
      </c>
      <c r="AN1601">
        <v>0</v>
      </c>
      <c r="AO1601">
        <v>0</v>
      </c>
      <c r="AP1601">
        <v>0</v>
      </c>
      <c r="AQ1601">
        <v>0</v>
      </c>
      <c r="AR1601">
        <v>0</v>
      </c>
      <c r="AS1601">
        <v>0</v>
      </c>
      <c r="AT1601">
        <v>0</v>
      </c>
      <c r="AU1601">
        <v>0</v>
      </c>
      <c r="AV1601">
        <v>0</v>
      </c>
      <c r="AW1601">
        <v>0</v>
      </c>
      <c r="AX1601">
        <v>0</v>
      </c>
      <c r="AY1601">
        <v>0</v>
      </c>
      <c r="AZ1601">
        <v>0</v>
      </c>
      <c r="BA1601">
        <v>0</v>
      </c>
      <c r="BB1601">
        <v>0</v>
      </c>
      <c r="BC1601">
        <v>0</v>
      </c>
      <c r="BD1601">
        <v>0</v>
      </c>
      <c r="BE1601">
        <v>0</v>
      </c>
      <c r="BF1601">
        <v>0</v>
      </c>
      <c r="BG1601">
        <v>0</v>
      </c>
      <c r="BH1601">
        <v>1</v>
      </c>
      <c r="BI1601">
        <v>2.2999999999999998</v>
      </c>
      <c r="BJ1601">
        <v>5.8</v>
      </c>
      <c r="BK1601">
        <v>6</v>
      </c>
      <c r="BL1601" s="4">
        <v>151.29</v>
      </c>
      <c r="BM1601" s="4">
        <v>22.69</v>
      </c>
      <c r="BN1601" s="4">
        <v>173.98</v>
      </c>
      <c r="BO1601" s="4">
        <v>173.98</v>
      </c>
      <c r="BR1601" t="s">
        <v>84</v>
      </c>
      <c r="BS1601" s="3">
        <v>43817</v>
      </c>
      <c r="BT1601" s="5">
        <v>0.4861111111111111</v>
      </c>
      <c r="BU1601" t="s">
        <v>2028</v>
      </c>
      <c r="BV1601" t="s">
        <v>86</v>
      </c>
      <c r="BY1601">
        <v>29055.360000000001</v>
      </c>
      <c r="CA1601" t="s">
        <v>225</v>
      </c>
      <c r="CC1601" t="s">
        <v>456</v>
      </c>
      <c r="CD1601">
        <v>3699</v>
      </c>
      <c r="CE1601" t="s">
        <v>116</v>
      </c>
      <c r="CF1601" s="3">
        <v>43818</v>
      </c>
      <c r="CI1601">
        <v>1</v>
      </c>
      <c r="CJ1601">
        <v>1</v>
      </c>
      <c r="CK1601">
        <v>21</v>
      </c>
      <c r="CL1601" t="s">
        <v>89</v>
      </c>
    </row>
    <row r="1602" spans="1:90">
      <c r="A1602" t="s">
        <v>72</v>
      </c>
      <c r="B1602" t="s">
        <v>73</v>
      </c>
      <c r="C1602" t="s">
        <v>74</v>
      </c>
      <c r="E1602" t="str">
        <f>"FES1162728671"</f>
        <v>FES1162728671</v>
      </c>
      <c r="F1602" s="3">
        <v>43816</v>
      </c>
      <c r="G1602">
        <v>202006</v>
      </c>
      <c r="H1602" t="s">
        <v>75</v>
      </c>
      <c r="I1602" t="s">
        <v>76</v>
      </c>
      <c r="J1602" t="s">
        <v>77</v>
      </c>
      <c r="K1602" t="s">
        <v>78</v>
      </c>
      <c r="L1602" t="s">
        <v>849</v>
      </c>
      <c r="M1602" t="s">
        <v>850</v>
      </c>
      <c r="N1602" t="s">
        <v>1733</v>
      </c>
      <c r="O1602" t="s">
        <v>82</v>
      </c>
      <c r="P1602" t="str">
        <f>"217071593                     "</f>
        <v xml:space="preserve">217071593                     </v>
      </c>
      <c r="Q1602">
        <v>0</v>
      </c>
      <c r="R1602">
        <v>0</v>
      </c>
      <c r="S1602">
        <v>0</v>
      </c>
      <c r="T1602">
        <v>0</v>
      </c>
      <c r="U1602">
        <v>0</v>
      </c>
      <c r="V1602">
        <v>0</v>
      </c>
      <c r="W1602">
        <v>0</v>
      </c>
      <c r="X1602">
        <v>0</v>
      </c>
      <c r="Y1602">
        <v>0</v>
      </c>
      <c r="Z1602">
        <v>0</v>
      </c>
      <c r="AA1602">
        <v>0</v>
      </c>
      <c r="AB1602">
        <v>0</v>
      </c>
      <c r="AC1602">
        <v>0</v>
      </c>
      <c r="AD1602">
        <v>0</v>
      </c>
      <c r="AE1602">
        <v>0</v>
      </c>
      <c r="AF1602">
        <v>0</v>
      </c>
      <c r="AG1602">
        <v>0</v>
      </c>
      <c r="AH1602">
        <v>0</v>
      </c>
      <c r="AI1602">
        <v>0</v>
      </c>
      <c r="AJ1602">
        <v>0</v>
      </c>
      <c r="AK1602">
        <v>0</v>
      </c>
      <c r="AL1602">
        <v>0</v>
      </c>
      <c r="AM1602">
        <v>15.02</v>
      </c>
      <c r="AN1602">
        <v>0</v>
      </c>
      <c r="AO1602">
        <v>0</v>
      </c>
      <c r="AP1602">
        <v>0</v>
      </c>
      <c r="AQ1602">
        <v>0</v>
      </c>
      <c r="AR1602">
        <v>0</v>
      </c>
      <c r="AS1602">
        <v>0</v>
      </c>
      <c r="AT1602">
        <v>0</v>
      </c>
      <c r="AU1602">
        <v>0</v>
      </c>
      <c r="AV1602">
        <v>0</v>
      </c>
      <c r="AW1602">
        <v>0</v>
      </c>
      <c r="AX1602">
        <v>0</v>
      </c>
      <c r="AY1602">
        <v>0</v>
      </c>
      <c r="AZ1602">
        <v>0</v>
      </c>
      <c r="BA1602">
        <v>0</v>
      </c>
      <c r="BB1602">
        <v>0</v>
      </c>
      <c r="BC1602">
        <v>0</v>
      </c>
      <c r="BD1602">
        <v>0</v>
      </c>
      <c r="BE1602">
        <v>0</v>
      </c>
      <c r="BF1602">
        <v>0</v>
      </c>
      <c r="BG1602">
        <v>0</v>
      </c>
      <c r="BH1602">
        <v>1</v>
      </c>
      <c r="BI1602">
        <v>3.1</v>
      </c>
      <c r="BJ1602">
        <v>3.3</v>
      </c>
      <c r="BK1602">
        <v>3.5</v>
      </c>
      <c r="BL1602" s="4">
        <v>88.27</v>
      </c>
      <c r="BM1602" s="4">
        <v>13.24</v>
      </c>
      <c r="BN1602" s="4">
        <v>101.51</v>
      </c>
      <c r="BO1602" s="4">
        <v>101.51</v>
      </c>
      <c r="BQ1602" t="s">
        <v>1734</v>
      </c>
      <c r="BR1602" t="s">
        <v>84</v>
      </c>
      <c r="BS1602" s="3">
        <v>43817</v>
      </c>
      <c r="BT1602" s="5">
        <v>0.5</v>
      </c>
      <c r="BU1602" t="s">
        <v>1975</v>
      </c>
      <c r="BV1602" t="s">
        <v>86</v>
      </c>
      <c r="BY1602">
        <v>16323.29</v>
      </c>
      <c r="CA1602" t="s">
        <v>1026</v>
      </c>
      <c r="CC1602" t="s">
        <v>850</v>
      </c>
      <c r="CD1602">
        <v>3290</v>
      </c>
      <c r="CE1602" t="s">
        <v>96</v>
      </c>
      <c r="CF1602" s="3">
        <v>43818</v>
      </c>
      <c r="CI1602">
        <v>1</v>
      </c>
      <c r="CJ1602">
        <v>1</v>
      </c>
      <c r="CK1602">
        <v>21</v>
      </c>
      <c r="CL1602" t="s">
        <v>89</v>
      </c>
    </row>
    <row r="1603" spans="1:90">
      <c r="A1603" t="s">
        <v>72</v>
      </c>
      <c r="B1603" t="s">
        <v>73</v>
      </c>
      <c r="C1603" t="s">
        <v>74</v>
      </c>
      <c r="E1603" t="str">
        <f>"FES1162728537"</f>
        <v>FES1162728537</v>
      </c>
      <c r="F1603" s="3">
        <v>43816</v>
      </c>
      <c r="G1603">
        <v>202006</v>
      </c>
      <c r="H1603" t="s">
        <v>75</v>
      </c>
      <c r="I1603" t="s">
        <v>76</v>
      </c>
      <c r="J1603" t="s">
        <v>77</v>
      </c>
      <c r="K1603" t="s">
        <v>78</v>
      </c>
      <c r="L1603" t="s">
        <v>451</v>
      </c>
      <c r="M1603" t="s">
        <v>452</v>
      </c>
      <c r="N1603" t="s">
        <v>453</v>
      </c>
      <c r="O1603" t="s">
        <v>82</v>
      </c>
      <c r="P1603" t="str">
        <f>"217071770                     "</f>
        <v xml:space="preserve">217071770                     </v>
      </c>
      <c r="Q1603">
        <v>0</v>
      </c>
      <c r="R1603">
        <v>0</v>
      </c>
      <c r="S1603">
        <v>0</v>
      </c>
      <c r="T1603">
        <v>0</v>
      </c>
      <c r="U1603">
        <v>0</v>
      </c>
      <c r="V1603">
        <v>0</v>
      </c>
      <c r="W1603">
        <v>0</v>
      </c>
      <c r="X1603">
        <v>0</v>
      </c>
      <c r="Y1603">
        <v>0</v>
      </c>
      <c r="Z1603">
        <v>0</v>
      </c>
      <c r="AA1603">
        <v>0</v>
      </c>
      <c r="AB1603">
        <v>0</v>
      </c>
      <c r="AC1603">
        <v>0</v>
      </c>
      <c r="AD1603">
        <v>0</v>
      </c>
      <c r="AE1603">
        <v>0</v>
      </c>
      <c r="AF1603">
        <v>0</v>
      </c>
      <c r="AG1603">
        <v>0</v>
      </c>
      <c r="AH1603">
        <v>0</v>
      </c>
      <c r="AI1603">
        <v>0</v>
      </c>
      <c r="AJ1603">
        <v>0</v>
      </c>
      <c r="AK1603">
        <v>0</v>
      </c>
      <c r="AL1603">
        <v>0</v>
      </c>
      <c r="AM1603">
        <v>32.17</v>
      </c>
      <c r="AN1603">
        <v>0</v>
      </c>
      <c r="AO1603">
        <v>0</v>
      </c>
      <c r="AP1603">
        <v>0</v>
      </c>
      <c r="AQ1603">
        <v>0</v>
      </c>
      <c r="AR1603">
        <v>0</v>
      </c>
      <c r="AS1603">
        <v>0</v>
      </c>
      <c r="AT1603">
        <v>0</v>
      </c>
      <c r="AU1603">
        <v>0</v>
      </c>
      <c r="AV1603">
        <v>0</v>
      </c>
      <c r="AW1603">
        <v>0</v>
      </c>
      <c r="AX1603">
        <v>0</v>
      </c>
      <c r="AY1603">
        <v>0</v>
      </c>
      <c r="AZ1603">
        <v>0</v>
      </c>
      <c r="BA1603">
        <v>0</v>
      </c>
      <c r="BB1603">
        <v>0</v>
      </c>
      <c r="BC1603">
        <v>0</v>
      </c>
      <c r="BD1603">
        <v>0</v>
      </c>
      <c r="BE1603">
        <v>0</v>
      </c>
      <c r="BF1603">
        <v>0</v>
      </c>
      <c r="BG1603">
        <v>0</v>
      </c>
      <c r="BH1603">
        <v>1</v>
      </c>
      <c r="BI1603">
        <v>7.2</v>
      </c>
      <c r="BJ1603">
        <v>3.5</v>
      </c>
      <c r="BK1603">
        <v>7.5</v>
      </c>
      <c r="BL1603" s="4">
        <v>189.1</v>
      </c>
      <c r="BM1603" s="4">
        <v>28.37</v>
      </c>
      <c r="BN1603" s="4">
        <v>217.47</v>
      </c>
      <c r="BO1603" s="4">
        <v>217.47</v>
      </c>
      <c r="BQ1603" t="s">
        <v>147</v>
      </c>
      <c r="BR1603" t="s">
        <v>84</v>
      </c>
      <c r="BS1603" s="3">
        <v>43817</v>
      </c>
      <c r="BT1603" s="5">
        <v>0.54166666666666663</v>
      </c>
      <c r="BU1603" t="s">
        <v>1794</v>
      </c>
      <c r="BV1603" t="s">
        <v>86</v>
      </c>
      <c r="BY1603">
        <v>17532.75</v>
      </c>
      <c r="CA1603" t="s">
        <v>225</v>
      </c>
      <c r="CC1603" t="s">
        <v>452</v>
      </c>
      <c r="CD1603">
        <v>3760</v>
      </c>
      <c r="CE1603" t="s">
        <v>116</v>
      </c>
      <c r="CF1603" s="3">
        <v>43818</v>
      </c>
      <c r="CI1603">
        <v>4</v>
      </c>
      <c r="CJ1603">
        <v>1</v>
      </c>
      <c r="CK1603">
        <v>21</v>
      </c>
      <c r="CL1603" t="s">
        <v>89</v>
      </c>
    </row>
    <row r="1604" spans="1:90">
      <c r="A1604" t="s">
        <v>72</v>
      </c>
      <c r="B1604" t="s">
        <v>73</v>
      </c>
      <c r="C1604" t="s">
        <v>74</v>
      </c>
      <c r="E1604" t="str">
        <f>"FES1162728728"</f>
        <v>FES1162728728</v>
      </c>
      <c r="F1604" s="3">
        <v>43816</v>
      </c>
      <c r="G1604">
        <v>202006</v>
      </c>
      <c r="H1604" t="s">
        <v>75</v>
      </c>
      <c r="I1604" t="s">
        <v>76</v>
      </c>
      <c r="J1604" t="s">
        <v>77</v>
      </c>
      <c r="K1604" t="s">
        <v>78</v>
      </c>
      <c r="L1604" t="s">
        <v>90</v>
      </c>
      <c r="M1604" t="s">
        <v>91</v>
      </c>
      <c r="N1604" t="s">
        <v>1899</v>
      </c>
      <c r="O1604" t="s">
        <v>82</v>
      </c>
      <c r="P1604" t="str">
        <f>"2170719552                    "</f>
        <v xml:space="preserve">2170719552                    </v>
      </c>
      <c r="Q1604">
        <v>0</v>
      </c>
      <c r="R1604">
        <v>0</v>
      </c>
      <c r="S1604">
        <v>0</v>
      </c>
      <c r="T1604">
        <v>0</v>
      </c>
      <c r="U1604">
        <v>0</v>
      </c>
      <c r="V1604">
        <v>0</v>
      </c>
      <c r="W1604">
        <v>0</v>
      </c>
      <c r="X1604">
        <v>0</v>
      </c>
      <c r="Y1604">
        <v>0</v>
      </c>
      <c r="Z1604">
        <v>0</v>
      </c>
      <c r="AA1604">
        <v>0</v>
      </c>
      <c r="AB1604">
        <v>0</v>
      </c>
      <c r="AC1604">
        <v>0</v>
      </c>
      <c r="AD1604">
        <v>0</v>
      </c>
      <c r="AE1604">
        <v>0</v>
      </c>
      <c r="AF1604">
        <v>0</v>
      </c>
      <c r="AG1604">
        <v>0</v>
      </c>
      <c r="AH1604">
        <v>0</v>
      </c>
      <c r="AI1604">
        <v>0</v>
      </c>
      <c r="AJ1604">
        <v>0</v>
      </c>
      <c r="AK1604">
        <v>0</v>
      </c>
      <c r="AL1604">
        <v>0</v>
      </c>
      <c r="AM1604">
        <v>12.87</v>
      </c>
      <c r="AN1604">
        <v>0</v>
      </c>
      <c r="AO1604">
        <v>0</v>
      </c>
      <c r="AP1604">
        <v>0</v>
      </c>
      <c r="AQ1604">
        <v>0</v>
      </c>
      <c r="AR1604">
        <v>0</v>
      </c>
      <c r="AS1604">
        <v>0</v>
      </c>
      <c r="AT1604">
        <v>0</v>
      </c>
      <c r="AU1604">
        <v>0</v>
      </c>
      <c r="AV1604">
        <v>0</v>
      </c>
      <c r="AW1604">
        <v>0</v>
      </c>
      <c r="AX1604">
        <v>0</v>
      </c>
      <c r="AY1604">
        <v>0</v>
      </c>
      <c r="AZ1604">
        <v>0</v>
      </c>
      <c r="BA1604">
        <v>0</v>
      </c>
      <c r="BB1604">
        <v>0</v>
      </c>
      <c r="BC1604">
        <v>0</v>
      </c>
      <c r="BD1604">
        <v>0</v>
      </c>
      <c r="BE1604">
        <v>0</v>
      </c>
      <c r="BF1604">
        <v>0</v>
      </c>
      <c r="BG1604">
        <v>0</v>
      </c>
      <c r="BH1604">
        <v>1</v>
      </c>
      <c r="BI1604">
        <v>1.2</v>
      </c>
      <c r="BJ1604">
        <v>2.8</v>
      </c>
      <c r="BK1604">
        <v>3</v>
      </c>
      <c r="BL1604" s="4">
        <v>75.66</v>
      </c>
      <c r="BM1604" s="4">
        <v>11.35</v>
      </c>
      <c r="BN1604" s="4">
        <v>87.01</v>
      </c>
      <c r="BO1604" s="4">
        <v>87.01</v>
      </c>
      <c r="BQ1604" t="s">
        <v>256</v>
      </c>
      <c r="BR1604" t="s">
        <v>84</v>
      </c>
      <c r="BS1604" s="3">
        <v>43817</v>
      </c>
      <c r="BT1604" s="5">
        <v>0.42430555555555555</v>
      </c>
      <c r="BU1604" t="s">
        <v>1900</v>
      </c>
      <c r="BV1604" t="s">
        <v>86</v>
      </c>
      <c r="BY1604">
        <v>14167.92</v>
      </c>
      <c r="CA1604" t="s">
        <v>1901</v>
      </c>
      <c r="CC1604" t="s">
        <v>91</v>
      </c>
      <c r="CD1604">
        <v>7500</v>
      </c>
      <c r="CE1604" t="s">
        <v>116</v>
      </c>
      <c r="CF1604" s="3">
        <v>43818</v>
      </c>
      <c r="CI1604">
        <v>1</v>
      </c>
      <c r="CJ1604">
        <v>1</v>
      </c>
      <c r="CK1604">
        <v>21</v>
      </c>
      <c r="CL1604" t="s">
        <v>89</v>
      </c>
    </row>
    <row r="1605" spans="1:90">
      <c r="A1605" t="s">
        <v>72</v>
      </c>
      <c r="B1605" t="s">
        <v>73</v>
      </c>
      <c r="C1605" t="s">
        <v>74</v>
      </c>
      <c r="E1605" t="str">
        <f>"FES1162728639"</f>
        <v>FES1162728639</v>
      </c>
      <c r="F1605" s="3">
        <v>43816</v>
      </c>
      <c r="G1605">
        <v>202006</v>
      </c>
      <c r="H1605" t="s">
        <v>75</v>
      </c>
      <c r="I1605" t="s">
        <v>76</v>
      </c>
      <c r="J1605" t="s">
        <v>77</v>
      </c>
      <c r="K1605" t="s">
        <v>78</v>
      </c>
      <c r="L1605" t="s">
        <v>221</v>
      </c>
      <c r="M1605" t="s">
        <v>222</v>
      </c>
      <c r="N1605" t="s">
        <v>521</v>
      </c>
      <c r="O1605" t="s">
        <v>82</v>
      </c>
      <c r="P1605" t="str">
        <f>"2170719669                    "</f>
        <v xml:space="preserve">2170719669                    </v>
      </c>
      <c r="Q1605">
        <v>0</v>
      </c>
      <c r="R1605">
        <v>0</v>
      </c>
      <c r="S1605">
        <v>0</v>
      </c>
      <c r="T1605">
        <v>0</v>
      </c>
      <c r="U1605">
        <v>0</v>
      </c>
      <c r="V1605">
        <v>0</v>
      </c>
      <c r="W1605">
        <v>0</v>
      </c>
      <c r="X1605">
        <v>0</v>
      </c>
      <c r="Y1605">
        <v>0</v>
      </c>
      <c r="Z1605">
        <v>0</v>
      </c>
      <c r="AA1605">
        <v>0</v>
      </c>
      <c r="AB1605">
        <v>0</v>
      </c>
      <c r="AC1605">
        <v>0</v>
      </c>
      <c r="AD1605">
        <v>0</v>
      </c>
      <c r="AE1605">
        <v>0</v>
      </c>
      <c r="AF1605">
        <v>0</v>
      </c>
      <c r="AG1605">
        <v>0</v>
      </c>
      <c r="AH1605">
        <v>0</v>
      </c>
      <c r="AI1605">
        <v>0</v>
      </c>
      <c r="AJ1605">
        <v>0</v>
      </c>
      <c r="AK1605">
        <v>0</v>
      </c>
      <c r="AL1605">
        <v>0</v>
      </c>
      <c r="AM1605">
        <v>8.58</v>
      </c>
      <c r="AN1605">
        <v>0</v>
      </c>
      <c r="AO1605">
        <v>0</v>
      </c>
      <c r="AP1605">
        <v>0</v>
      </c>
      <c r="AQ1605">
        <v>0</v>
      </c>
      <c r="AR1605">
        <v>0</v>
      </c>
      <c r="AS1605">
        <v>0</v>
      </c>
      <c r="AT1605">
        <v>0</v>
      </c>
      <c r="AU1605">
        <v>0</v>
      </c>
      <c r="AV1605">
        <v>0</v>
      </c>
      <c r="AW1605">
        <v>0</v>
      </c>
      <c r="AX1605">
        <v>0</v>
      </c>
      <c r="AY1605">
        <v>0</v>
      </c>
      <c r="AZ1605">
        <v>0</v>
      </c>
      <c r="BA1605">
        <v>0</v>
      </c>
      <c r="BB1605">
        <v>0</v>
      </c>
      <c r="BC1605">
        <v>0</v>
      </c>
      <c r="BD1605">
        <v>0</v>
      </c>
      <c r="BE1605">
        <v>0</v>
      </c>
      <c r="BF1605">
        <v>0</v>
      </c>
      <c r="BG1605">
        <v>0</v>
      </c>
      <c r="BH1605">
        <v>1</v>
      </c>
      <c r="BI1605">
        <v>1</v>
      </c>
      <c r="BJ1605">
        <v>0.2</v>
      </c>
      <c r="BK1605">
        <v>1</v>
      </c>
      <c r="BL1605" s="4">
        <v>50.45</v>
      </c>
      <c r="BM1605" s="4">
        <v>7.57</v>
      </c>
      <c r="BN1605" s="4">
        <v>58.02</v>
      </c>
      <c r="BO1605" s="4">
        <v>58.02</v>
      </c>
      <c r="BQ1605" t="s">
        <v>522</v>
      </c>
      <c r="BR1605" t="s">
        <v>84</v>
      </c>
      <c r="BS1605" s="3">
        <v>43819</v>
      </c>
      <c r="BT1605" s="5">
        <v>0.50694444444444442</v>
      </c>
      <c r="BU1605" t="s">
        <v>522</v>
      </c>
      <c r="BV1605" t="s">
        <v>89</v>
      </c>
      <c r="BW1605" t="s">
        <v>506</v>
      </c>
      <c r="BX1605" t="s">
        <v>524</v>
      </c>
      <c r="BY1605">
        <v>1200</v>
      </c>
      <c r="CA1605" t="s">
        <v>475</v>
      </c>
      <c r="CC1605" t="s">
        <v>222</v>
      </c>
      <c r="CD1605">
        <v>3201</v>
      </c>
      <c r="CE1605" t="s">
        <v>88</v>
      </c>
      <c r="CF1605" s="3">
        <v>43822</v>
      </c>
      <c r="CI1605">
        <v>1</v>
      </c>
      <c r="CJ1605">
        <v>3</v>
      </c>
      <c r="CK1605">
        <v>21</v>
      </c>
      <c r="CL1605" t="s">
        <v>89</v>
      </c>
    </row>
    <row r="1606" spans="1:90">
      <c r="A1606" t="s">
        <v>72</v>
      </c>
      <c r="B1606" t="s">
        <v>73</v>
      </c>
      <c r="C1606" t="s">
        <v>74</v>
      </c>
      <c r="E1606" t="str">
        <f>"FES1162728594"</f>
        <v>FES1162728594</v>
      </c>
      <c r="F1606" s="3">
        <v>43816</v>
      </c>
      <c r="G1606">
        <v>202006</v>
      </c>
      <c r="H1606" t="s">
        <v>75</v>
      </c>
      <c r="I1606" t="s">
        <v>76</v>
      </c>
      <c r="J1606" t="s">
        <v>77</v>
      </c>
      <c r="K1606" t="s">
        <v>78</v>
      </c>
      <c r="L1606" t="s">
        <v>198</v>
      </c>
      <c r="M1606" t="s">
        <v>199</v>
      </c>
      <c r="N1606" t="s">
        <v>1937</v>
      </c>
      <c r="O1606" t="s">
        <v>82</v>
      </c>
      <c r="P1606" t="str">
        <f>"217071823                     "</f>
        <v xml:space="preserve">217071823                     </v>
      </c>
      <c r="Q1606">
        <v>0</v>
      </c>
      <c r="R1606">
        <v>0</v>
      </c>
      <c r="S1606">
        <v>0</v>
      </c>
      <c r="T1606">
        <v>0</v>
      </c>
      <c r="U1606">
        <v>0</v>
      </c>
      <c r="V1606">
        <v>0</v>
      </c>
      <c r="W1606">
        <v>0</v>
      </c>
      <c r="X1606">
        <v>0</v>
      </c>
      <c r="Y1606">
        <v>0</v>
      </c>
      <c r="Z1606">
        <v>0</v>
      </c>
      <c r="AA1606">
        <v>0</v>
      </c>
      <c r="AB1606">
        <v>0</v>
      </c>
      <c r="AC1606">
        <v>0</v>
      </c>
      <c r="AD1606">
        <v>0</v>
      </c>
      <c r="AE1606">
        <v>0</v>
      </c>
      <c r="AF1606">
        <v>0</v>
      </c>
      <c r="AG1606">
        <v>0</v>
      </c>
      <c r="AH1606">
        <v>0</v>
      </c>
      <c r="AI1606">
        <v>0</v>
      </c>
      <c r="AJ1606">
        <v>0</v>
      </c>
      <c r="AK1606">
        <v>0</v>
      </c>
      <c r="AL1606">
        <v>0</v>
      </c>
      <c r="AM1606">
        <v>8.58</v>
      </c>
      <c r="AN1606">
        <v>0</v>
      </c>
      <c r="AO1606">
        <v>0</v>
      </c>
      <c r="AP1606">
        <v>0</v>
      </c>
      <c r="AQ1606">
        <v>0</v>
      </c>
      <c r="AR1606">
        <v>0</v>
      </c>
      <c r="AS1606">
        <v>0</v>
      </c>
      <c r="AT1606">
        <v>0</v>
      </c>
      <c r="AU1606">
        <v>0</v>
      </c>
      <c r="AV1606">
        <v>0</v>
      </c>
      <c r="AW1606">
        <v>0</v>
      </c>
      <c r="AX1606">
        <v>0</v>
      </c>
      <c r="AY1606">
        <v>0</v>
      </c>
      <c r="AZ1606">
        <v>0</v>
      </c>
      <c r="BA1606">
        <v>0</v>
      </c>
      <c r="BB1606">
        <v>0</v>
      </c>
      <c r="BC1606">
        <v>0</v>
      </c>
      <c r="BD1606">
        <v>0</v>
      </c>
      <c r="BE1606">
        <v>0</v>
      </c>
      <c r="BF1606">
        <v>0</v>
      </c>
      <c r="BG1606">
        <v>0</v>
      </c>
      <c r="BH1606">
        <v>1</v>
      </c>
      <c r="BI1606">
        <v>1</v>
      </c>
      <c r="BJ1606">
        <v>0.2</v>
      </c>
      <c r="BK1606">
        <v>1</v>
      </c>
      <c r="BL1606" s="4">
        <v>50.45</v>
      </c>
      <c r="BM1606" s="4">
        <v>7.57</v>
      </c>
      <c r="BN1606" s="4">
        <v>58.02</v>
      </c>
      <c r="BO1606" s="4">
        <v>58.02</v>
      </c>
      <c r="BR1606" t="s">
        <v>84</v>
      </c>
      <c r="BS1606" s="3">
        <v>43818</v>
      </c>
      <c r="BT1606" s="5">
        <v>0.47222222222222227</v>
      </c>
      <c r="BU1606" t="s">
        <v>2029</v>
      </c>
      <c r="BV1606" t="s">
        <v>89</v>
      </c>
      <c r="BY1606">
        <v>1200</v>
      </c>
      <c r="CC1606" t="s">
        <v>199</v>
      </c>
      <c r="CD1606">
        <v>4000</v>
      </c>
      <c r="CE1606" t="s">
        <v>88</v>
      </c>
      <c r="CF1606" s="3">
        <v>43819</v>
      </c>
      <c r="CI1606">
        <v>1</v>
      </c>
      <c r="CJ1606">
        <v>2</v>
      </c>
      <c r="CK1606">
        <v>21</v>
      </c>
      <c r="CL1606" t="s">
        <v>89</v>
      </c>
    </row>
    <row r="1607" spans="1:90">
      <c r="A1607" t="s">
        <v>72</v>
      </c>
      <c r="B1607" t="s">
        <v>73</v>
      </c>
      <c r="C1607" t="s">
        <v>74</v>
      </c>
      <c r="E1607" t="str">
        <f>"FES1162728662"</f>
        <v>FES1162728662</v>
      </c>
      <c r="F1607" s="3">
        <v>43816</v>
      </c>
      <c r="G1607">
        <v>202006</v>
      </c>
      <c r="H1607" t="s">
        <v>75</v>
      </c>
      <c r="I1607" t="s">
        <v>76</v>
      </c>
      <c r="J1607" t="s">
        <v>77</v>
      </c>
      <c r="K1607" t="s">
        <v>78</v>
      </c>
      <c r="L1607" t="s">
        <v>198</v>
      </c>
      <c r="M1607" t="s">
        <v>199</v>
      </c>
      <c r="N1607" t="s">
        <v>1884</v>
      </c>
      <c r="O1607" t="s">
        <v>82</v>
      </c>
      <c r="P1607" t="str">
        <f>"217071631                     "</f>
        <v xml:space="preserve">217071631                     </v>
      </c>
      <c r="Q1607">
        <v>0</v>
      </c>
      <c r="R1607">
        <v>0</v>
      </c>
      <c r="S1607">
        <v>0</v>
      </c>
      <c r="T1607">
        <v>0</v>
      </c>
      <c r="U1607">
        <v>0</v>
      </c>
      <c r="V1607">
        <v>0</v>
      </c>
      <c r="W1607">
        <v>0</v>
      </c>
      <c r="X1607">
        <v>0</v>
      </c>
      <c r="Y1607">
        <v>0</v>
      </c>
      <c r="Z1607">
        <v>0</v>
      </c>
      <c r="AA1607">
        <v>0</v>
      </c>
      <c r="AB1607">
        <v>0</v>
      </c>
      <c r="AC1607">
        <v>0</v>
      </c>
      <c r="AD1607">
        <v>0</v>
      </c>
      <c r="AE1607">
        <v>0</v>
      </c>
      <c r="AF1607">
        <v>0</v>
      </c>
      <c r="AG1607">
        <v>0</v>
      </c>
      <c r="AH1607">
        <v>0</v>
      </c>
      <c r="AI1607">
        <v>0</v>
      </c>
      <c r="AJ1607">
        <v>0</v>
      </c>
      <c r="AK1607">
        <v>0</v>
      </c>
      <c r="AL1607">
        <v>0</v>
      </c>
      <c r="AM1607">
        <v>8.58</v>
      </c>
      <c r="AN1607">
        <v>0</v>
      </c>
      <c r="AO1607">
        <v>0</v>
      </c>
      <c r="AP1607">
        <v>0</v>
      </c>
      <c r="AQ1607">
        <v>0</v>
      </c>
      <c r="AR1607">
        <v>0</v>
      </c>
      <c r="AS1607">
        <v>0</v>
      </c>
      <c r="AT1607">
        <v>0</v>
      </c>
      <c r="AU1607">
        <v>0</v>
      </c>
      <c r="AV1607">
        <v>0</v>
      </c>
      <c r="AW1607">
        <v>0</v>
      </c>
      <c r="AX1607">
        <v>0</v>
      </c>
      <c r="AY1607">
        <v>0</v>
      </c>
      <c r="AZ1607">
        <v>0</v>
      </c>
      <c r="BA1607">
        <v>0</v>
      </c>
      <c r="BB1607">
        <v>0</v>
      </c>
      <c r="BC1607">
        <v>0</v>
      </c>
      <c r="BD1607">
        <v>0</v>
      </c>
      <c r="BE1607">
        <v>0</v>
      </c>
      <c r="BF1607">
        <v>0</v>
      </c>
      <c r="BG1607">
        <v>0</v>
      </c>
      <c r="BH1607">
        <v>1</v>
      </c>
      <c r="BI1607">
        <v>1</v>
      </c>
      <c r="BJ1607">
        <v>1</v>
      </c>
      <c r="BK1607">
        <v>1</v>
      </c>
      <c r="BL1607" s="4">
        <v>50.45</v>
      </c>
      <c r="BM1607" s="4">
        <v>7.57</v>
      </c>
      <c r="BN1607" s="4">
        <v>58.02</v>
      </c>
      <c r="BO1607" s="4">
        <v>58.02</v>
      </c>
      <c r="BQ1607" t="s">
        <v>93</v>
      </c>
      <c r="BR1607" t="s">
        <v>84</v>
      </c>
      <c r="BS1607" s="3">
        <v>43836</v>
      </c>
      <c r="BT1607" s="5">
        <v>0.35694444444444445</v>
      </c>
      <c r="BU1607" t="s">
        <v>1972</v>
      </c>
      <c r="BV1607" t="s">
        <v>89</v>
      </c>
      <c r="BY1607">
        <v>5242.8</v>
      </c>
      <c r="CA1607" t="s">
        <v>281</v>
      </c>
      <c r="CC1607" t="s">
        <v>199</v>
      </c>
      <c r="CD1607">
        <v>4001</v>
      </c>
      <c r="CE1607" t="s">
        <v>96</v>
      </c>
      <c r="CI1607">
        <v>1</v>
      </c>
      <c r="CJ1607">
        <v>14</v>
      </c>
      <c r="CK1607">
        <v>21</v>
      </c>
      <c r="CL1607" t="s">
        <v>89</v>
      </c>
    </row>
    <row r="1608" spans="1:90">
      <c r="A1608" t="s">
        <v>72</v>
      </c>
      <c r="B1608" t="s">
        <v>73</v>
      </c>
      <c r="C1608" t="s">
        <v>74</v>
      </c>
      <c r="E1608" t="str">
        <f>"FES1162728678"</f>
        <v>FES1162728678</v>
      </c>
      <c r="F1608" s="3">
        <v>43816</v>
      </c>
      <c r="G1608">
        <v>202006</v>
      </c>
      <c r="H1608" t="s">
        <v>75</v>
      </c>
      <c r="I1608" t="s">
        <v>76</v>
      </c>
      <c r="J1608" t="s">
        <v>77</v>
      </c>
      <c r="K1608" t="s">
        <v>78</v>
      </c>
      <c r="L1608" t="s">
        <v>198</v>
      </c>
      <c r="M1608" t="s">
        <v>199</v>
      </c>
      <c r="N1608" t="s">
        <v>2030</v>
      </c>
      <c r="O1608" t="s">
        <v>82</v>
      </c>
      <c r="P1608" t="str">
        <f>"217071874                     "</f>
        <v xml:space="preserve">217071874                     </v>
      </c>
      <c r="Q1608">
        <v>0</v>
      </c>
      <c r="R1608">
        <v>0</v>
      </c>
      <c r="S1608">
        <v>0</v>
      </c>
      <c r="T1608">
        <v>0</v>
      </c>
      <c r="U1608">
        <v>0</v>
      </c>
      <c r="V1608">
        <v>0</v>
      </c>
      <c r="W1608">
        <v>0</v>
      </c>
      <c r="X1608">
        <v>0</v>
      </c>
      <c r="Y1608">
        <v>0</v>
      </c>
      <c r="Z1608">
        <v>0</v>
      </c>
      <c r="AA1608">
        <v>0</v>
      </c>
      <c r="AB1608">
        <v>0</v>
      </c>
      <c r="AC1608">
        <v>0</v>
      </c>
      <c r="AD1608">
        <v>0</v>
      </c>
      <c r="AE1608">
        <v>0</v>
      </c>
      <c r="AF1608">
        <v>0</v>
      </c>
      <c r="AG1608">
        <v>0</v>
      </c>
      <c r="AH1608">
        <v>0</v>
      </c>
      <c r="AI1608">
        <v>0</v>
      </c>
      <c r="AJ1608">
        <v>0</v>
      </c>
      <c r="AK1608">
        <v>0</v>
      </c>
      <c r="AL1608">
        <v>0</v>
      </c>
      <c r="AM1608">
        <v>8.58</v>
      </c>
      <c r="AN1608">
        <v>0</v>
      </c>
      <c r="AO1608">
        <v>0</v>
      </c>
      <c r="AP1608">
        <v>0</v>
      </c>
      <c r="AQ1608">
        <v>0</v>
      </c>
      <c r="AR1608">
        <v>0</v>
      </c>
      <c r="AS1608">
        <v>0</v>
      </c>
      <c r="AT1608">
        <v>0</v>
      </c>
      <c r="AU1608">
        <v>0</v>
      </c>
      <c r="AV1608">
        <v>0</v>
      </c>
      <c r="AW1608">
        <v>0</v>
      </c>
      <c r="AX1608">
        <v>0</v>
      </c>
      <c r="AY1608">
        <v>0</v>
      </c>
      <c r="AZ1608">
        <v>0</v>
      </c>
      <c r="BA1608">
        <v>0</v>
      </c>
      <c r="BB1608">
        <v>0</v>
      </c>
      <c r="BC1608">
        <v>0</v>
      </c>
      <c r="BD1608">
        <v>0</v>
      </c>
      <c r="BE1608">
        <v>0</v>
      </c>
      <c r="BF1608">
        <v>0</v>
      </c>
      <c r="BG1608">
        <v>0</v>
      </c>
      <c r="BH1608">
        <v>1</v>
      </c>
      <c r="BI1608">
        <v>1</v>
      </c>
      <c r="BJ1608">
        <v>0.2</v>
      </c>
      <c r="BK1608">
        <v>1</v>
      </c>
      <c r="BL1608" s="4">
        <v>50.45</v>
      </c>
      <c r="BM1608" s="4">
        <v>7.57</v>
      </c>
      <c r="BN1608" s="4">
        <v>58.02</v>
      </c>
      <c r="BO1608" s="4">
        <v>58.02</v>
      </c>
      <c r="BQ1608" t="s">
        <v>2031</v>
      </c>
      <c r="BR1608" t="s">
        <v>84</v>
      </c>
      <c r="BS1608" t="s">
        <v>717</v>
      </c>
      <c r="BY1608">
        <v>1200</v>
      </c>
      <c r="CC1608" t="s">
        <v>199</v>
      </c>
      <c r="CD1608">
        <v>4001</v>
      </c>
      <c r="CE1608" t="s">
        <v>88</v>
      </c>
      <c r="CI1608">
        <v>1</v>
      </c>
      <c r="CJ1608" t="s">
        <v>717</v>
      </c>
      <c r="CK1608">
        <v>21</v>
      </c>
      <c r="CL1608" t="s">
        <v>89</v>
      </c>
    </row>
    <row r="1609" spans="1:90">
      <c r="A1609" t="s">
        <v>72</v>
      </c>
      <c r="B1609" t="s">
        <v>73</v>
      </c>
      <c r="C1609" t="s">
        <v>74</v>
      </c>
      <c r="E1609" t="str">
        <f>"FES1162728496"</f>
        <v>FES1162728496</v>
      </c>
      <c r="F1609" s="3">
        <v>43816</v>
      </c>
      <c r="G1609">
        <v>202006</v>
      </c>
      <c r="H1609" t="s">
        <v>75</v>
      </c>
      <c r="I1609" t="s">
        <v>76</v>
      </c>
      <c r="J1609" t="s">
        <v>77</v>
      </c>
      <c r="K1609" t="s">
        <v>78</v>
      </c>
      <c r="L1609" t="s">
        <v>164</v>
      </c>
      <c r="M1609" t="s">
        <v>165</v>
      </c>
      <c r="N1609" t="s">
        <v>238</v>
      </c>
      <c r="O1609" t="s">
        <v>82</v>
      </c>
      <c r="P1609" t="str">
        <f>"217071847                     "</f>
        <v xml:space="preserve">217071847                     </v>
      </c>
      <c r="Q1609">
        <v>0</v>
      </c>
      <c r="R1609">
        <v>0</v>
      </c>
      <c r="S1609">
        <v>0</v>
      </c>
      <c r="T1609">
        <v>0</v>
      </c>
      <c r="U1609">
        <v>0</v>
      </c>
      <c r="V1609">
        <v>0</v>
      </c>
      <c r="W1609">
        <v>0</v>
      </c>
      <c r="X1609">
        <v>0</v>
      </c>
      <c r="Y1609">
        <v>0</v>
      </c>
      <c r="Z1609">
        <v>0</v>
      </c>
      <c r="AA1609">
        <v>0</v>
      </c>
      <c r="AB1609">
        <v>0</v>
      </c>
      <c r="AC1609">
        <v>0</v>
      </c>
      <c r="AD1609">
        <v>0</v>
      </c>
      <c r="AE1609">
        <v>0</v>
      </c>
      <c r="AF1609">
        <v>0</v>
      </c>
      <c r="AG1609">
        <v>0</v>
      </c>
      <c r="AH1609">
        <v>0</v>
      </c>
      <c r="AI1609">
        <v>0</v>
      </c>
      <c r="AJ1609">
        <v>0</v>
      </c>
      <c r="AK1609">
        <v>0</v>
      </c>
      <c r="AL1609">
        <v>0</v>
      </c>
      <c r="AM1609">
        <v>23.59</v>
      </c>
      <c r="AN1609">
        <v>0</v>
      </c>
      <c r="AO1609">
        <v>0</v>
      </c>
      <c r="AP1609">
        <v>0</v>
      </c>
      <c r="AQ1609">
        <v>0</v>
      </c>
      <c r="AR1609">
        <v>0</v>
      </c>
      <c r="AS1609">
        <v>0</v>
      </c>
      <c r="AT1609">
        <v>0</v>
      </c>
      <c r="AU1609">
        <v>0</v>
      </c>
      <c r="AV1609">
        <v>0</v>
      </c>
      <c r="AW1609">
        <v>0</v>
      </c>
      <c r="AX1609">
        <v>0</v>
      </c>
      <c r="AY1609">
        <v>0</v>
      </c>
      <c r="AZ1609">
        <v>0</v>
      </c>
      <c r="BA1609">
        <v>0</v>
      </c>
      <c r="BB1609">
        <v>0</v>
      </c>
      <c r="BC1609">
        <v>0</v>
      </c>
      <c r="BD1609">
        <v>0</v>
      </c>
      <c r="BE1609">
        <v>0</v>
      </c>
      <c r="BF1609">
        <v>0</v>
      </c>
      <c r="BG1609">
        <v>0</v>
      </c>
      <c r="BH1609">
        <v>1</v>
      </c>
      <c r="BI1609">
        <v>5.4</v>
      </c>
      <c r="BJ1609">
        <v>2.2000000000000002</v>
      </c>
      <c r="BK1609">
        <v>5.5</v>
      </c>
      <c r="BL1609" s="4">
        <v>138.68</v>
      </c>
      <c r="BM1609" s="4">
        <v>20.8</v>
      </c>
      <c r="BN1609" s="4">
        <v>159.47999999999999</v>
      </c>
      <c r="BO1609" s="4">
        <v>159.47999999999999</v>
      </c>
      <c r="BQ1609" t="s">
        <v>147</v>
      </c>
      <c r="BR1609" t="s">
        <v>84</v>
      </c>
      <c r="BS1609" s="3">
        <v>43817</v>
      </c>
      <c r="BT1609" s="5">
        <v>0.37708333333333338</v>
      </c>
      <c r="BU1609" t="s">
        <v>1977</v>
      </c>
      <c r="BV1609" t="s">
        <v>86</v>
      </c>
      <c r="BY1609">
        <v>10894.82</v>
      </c>
      <c r="CA1609" t="s">
        <v>168</v>
      </c>
      <c r="CC1609" t="s">
        <v>165</v>
      </c>
      <c r="CD1609">
        <v>5201</v>
      </c>
      <c r="CE1609" t="s">
        <v>2032</v>
      </c>
      <c r="CF1609" s="3">
        <v>43819</v>
      </c>
      <c r="CI1609">
        <v>1</v>
      </c>
      <c r="CJ1609">
        <v>1</v>
      </c>
      <c r="CK1609">
        <v>21</v>
      </c>
      <c r="CL1609" t="s">
        <v>89</v>
      </c>
    </row>
    <row r="1610" spans="1:90">
      <c r="A1610" t="s">
        <v>72</v>
      </c>
      <c r="B1610" t="s">
        <v>73</v>
      </c>
      <c r="C1610" t="s">
        <v>74</v>
      </c>
      <c r="E1610" t="str">
        <f>"FES1162728673"</f>
        <v>FES1162728673</v>
      </c>
      <c r="F1610" s="3">
        <v>43816</v>
      </c>
      <c r="G1610">
        <v>202006</v>
      </c>
      <c r="H1610" t="s">
        <v>75</v>
      </c>
      <c r="I1610" t="s">
        <v>76</v>
      </c>
      <c r="J1610" t="s">
        <v>77</v>
      </c>
      <c r="K1610" t="s">
        <v>78</v>
      </c>
      <c r="L1610" t="s">
        <v>201</v>
      </c>
      <c r="M1610" t="s">
        <v>202</v>
      </c>
      <c r="N1610" t="s">
        <v>335</v>
      </c>
      <c r="O1610" t="s">
        <v>82</v>
      </c>
      <c r="P1610" t="str">
        <f>"217071868                     "</f>
        <v xml:space="preserve">217071868                     </v>
      </c>
      <c r="Q1610">
        <v>0</v>
      </c>
      <c r="R1610">
        <v>0</v>
      </c>
      <c r="S1610">
        <v>0</v>
      </c>
      <c r="T1610">
        <v>0</v>
      </c>
      <c r="U1610">
        <v>0</v>
      </c>
      <c r="V1610">
        <v>0</v>
      </c>
      <c r="W1610">
        <v>0</v>
      </c>
      <c r="X1610">
        <v>0</v>
      </c>
      <c r="Y1610">
        <v>0</v>
      </c>
      <c r="Z1610">
        <v>0</v>
      </c>
      <c r="AA1610">
        <v>0</v>
      </c>
      <c r="AB1610">
        <v>0</v>
      </c>
      <c r="AC1610">
        <v>0</v>
      </c>
      <c r="AD1610">
        <v>0</v>
      </c>
      <c r="AE1610">
        <v>0</v>
      </c>
      <c r="AF1610">
        <v>0</v>
      </c>
      <c r="AG1610">
        <v>0</v>
      </c>
      <c r="AH1610">
        <v>0</v>
      </c>
      <c r="AI1610">
        <v>0</v>
      </c>
      <c r="AJ1610">
        <v>0</v>
      </c>
      <c r="AK1610">
        <v>0</v>
      </c>
      <c r="AL1610">
        <v>0</v>
      </c>
      <c r="AM1610">
        <v>8.58</v>
      </c>
      <c r="AN1610">
        <v>0</v>
      </c>
      <c r="AO1610">
        <v>0</v>
      </c>
      <c r="AP1610">
        <v>0</v>
      </c>
      <c r="AQ1610">
        <v>0</v>
      </c>
      <c r="AR1610">
        <v>0</v>
      </c>
      <c r="AS1610">
        <v>0</v>
      </c>
      <c r="AT1610">
        <v>0</v>
      </c>
      <c r="AU1610">
        <v>0</v>
      </c>
      <c r="AV1610">
        <v>0</v>
      </c>
      <c r="AW1610">
        <v>0</v>
      </c>
      <c r="AX1610">
        <v>0</v>
      </c>
      <c r="AY1610">
        <v>0</v>
      </c>
      <c r="AZ1610">
        <v>0</v>
      </c>
      <c r="BA1610">
        <v>0</v>
      </c>
      <c r="BB1610">
        <v>0</v>
      </c>
      <c r="BC1610">
        <v>0</v>
      </c>
      <c r="BD1610">
        <v>0</v>
      </c>
      <c r="BE1610">
        <v>0</v>
      </c>
      <c r="BF1610">
        <v>0</v>
      </c>
      <c r="BG1610">
        <v>0</v>
      </c>
      <c r="BH1610">
        <v>1</v>
      </c>
      <c r="BI1610">
        <v>1</v>
      </c>
      <c r="BJ1610">
        <v>0.2</v>
      </c>
      <c r="BK1610">
        <v>1</v>
      </c>
      <c r="BL1610" s="4">
        <v>50.45</v>
      </c>
      <c r="BM1610" s="4">
        <v>7.57</v>
      </c>
      <c r="BN1610" s="4">
        <v>58.02</v>
      </c>
      <c r="BO1610" s="4">
        <v>58.02</v>
      </c>
      <c r="BQ1610" t="s">
        <v>147</v>
      </c>
      <c r="BR1610" t="s">
        <v>84</v>
      </c>
      <c r="BS1610" s="3">
        <v>43817</v>
      </c>
      <c r="BT1610" s="5">
        <v>0.41180555555555554</v>
      </c>
      <c r="BU1610" t="s">
        <v>336</v>
      </c>
      <c r="BV1610" t="s">
        <v>86</v>
      </c>
      <c r="BY1610">
        <v>1200</v>
      </c>
      <c r="CA1610" t="s">
        <v>288</v>
      </c>
      <c r="CC1610" t="s">
        <v>202</v>
      </c>
      <c r="CD1610">
        <v>3600</v>
      </c>
      <c r="CE1610" t="s">
        <v>88</v>
      </c>
      <c r="CF1610" s="3">
        <v>43818</v>
      </c>
      <c r="CI1610">
        <v>1</v>
      </c>
      <c r="CJ1610">
        <v>1</v>
      </c>
      <c r="CK1610">
        <v>21</v>
      </c>
      <c r="CL1610" t="s">
        <v>89</v>
      </c>
    </row>
    <row r="1611" spans="1:90">
      <c r="A1611" t="s">
        <v>72</v>
      </c>
      <c r="B1611" t="s">
        <v>73</v>
      </c>
      <c r="C1611" t="s">
        <v>74</v>
      </c>
      <c r="E1611" t="str">
        <f>"FES1162728641"</f>
        <v>FES1162728641</v>
      </c>
      <c r="F1611" s="3">
        <v>43816</v>
      </c>
      <c r="G1611">
        <v>202006</v>
      </c>
      <c r="H1611" t="s">
        <v>75</v>
      </c>
      <c r="I1611" t="s">
        <v>76</v>
      </c>
      <c r="J1611" t="s">
        <v>77</v>
      </c>
      <c r="K1611" t="s">
        <v>78</v>
      </c>
      <c r="L1611" t="s">
        <v>198</v>
      </c>
      <c r="M1611" t="s">
        <v>199</v>
      </c>
      <c r="N1611" t="s">
        <v>557</v>
      </c>
      <c r="O1611" t="s">
        <v>82</v>
      </c>
      <c r="P1611" t="str">
        <f>"21707198758                   "</f>
        <v xml:space="preserve">21707198758                   </v>
      </c>
      <c r="Q1611">
        <v>0</v>
      </c>
      <c r="R1611">
        <v>0</v>
      </c>
      <c r="S1611">
        <v>0</v>
      </c>
      <c r="T1611">
        <v>0</v>
      </c>
      <c r="U1611">
        <v>0</v>
      </c>
      <c r="V1611">
        <v>0</v>
      </c>
      <c r="W1611">
        <v>0</v>
      </c>
      <c r="X1611">
        <v>0</v>
      </c>
      <c r="Y1611">
        <v>0</v>
      </c>
      <c r="Z1611">
        <v>0</v>
      </c>
      <c r="AA1611">
        <v>0</v>
      </c>
      <c r="AB1611">
        <v>0</v>
      </c>
      <c r="AC1611">
        <v>0</v>
      </c>
      <c r="AD1611">
        <v>0</v>
      </c>
      <c r="AE1611">
        <v>0</v>
      </c>
      <c r="AF1611">
        <v>0</v>
      </c>
      <c r="AG1611">
        <v>0</v>
      </c>
      <c r="AH1611">
        <v>0</v>
      </c>
      <c r="AI1611">
        <v>0</v>
      </c>
      <c r="AJ1611">
        <v>0</v>
      </c>
      <c r="AK1611">
        <v>0</v>
      </c>
      <c r="AL1611">
        <v>0</v>
      </c>
      <c r="AM1611">
        <v>8.58</v>
      </c>
      <c r="AN1611">
        <v>0</v>
      </c>
      <c r="AO1611">
        <v>0</v>
      </c>
      <c r="AP1611">
        <v>0</v>
      </c>
      <c r="AQ1611">
        <v>0</v>
      </c>
      <c r="AR1611">
        <v>0</v>
      </c>
      <c r="AS1611">
        <v>0</v>
      </c>
      <c r="AT1611">
        <v>0</v>
      </c>
      <c r="AU1611">
        <v>0</v>
      </c>
      <c r="AV1611">
        <v>0</v>
      </c>
      <c r="AW1611">
        <v>0</v>
      </c>
      <c r="AX1611">
        <v>0</v>
      </c>
      <c r="AY1611">
        <v>0</v>
      </c>
      <c r="AZ1611">
        <v>0</v>
      </c>
      <c r="BA1611">
        <v>0</v>
      </c>
      <c r="BB1611">
        <v>0</v>
      </c>
      <c r="BC1611">
        <v>0</v>
      </c>
      <c r="BD1611">
        <v>0</v>
      </c>
      <c r="BE1611">
        <v>0</v>
      </c>
      <c r="BF1611">
        <v>0</v>
      </c>
      <c r="BG1611">
        <v>0</v>
      </c>
      <c r="BH1611">
        <v>1</v>
      </c>
      <c r="BI1611">
        <v>1</v>
      </c>
      <c r="BJ1611">
        <v>0.2</v>
      </c>
      <c r="BK1611">
        <v>1</v>
      </c>
      <c r="BL1611" s="4">
        <v>50.45</v>
      </c>
      <c r="BM1611" s="4">
        <v>7.57</v>
      </c>
      <c r="BN1611" s="4">
        <v>58.02</v>
      </c>
      <c r="BO1611" s="4">
        <v>58.02</v>
      </c>
      <c r="BQ1611" t="s">
        <v>93</v>
      </c>
      <c r="BR1611" t="s">
        <v>84</v>
      </c>
      <c r="BS1611" s="3">
        <v>43817</v>
      </c>
      <c r="BT1611" s="5">
        <v>0.35416666666666669</v>
      </c>
      <c r="BU1611" t="s">
        <v>2033</v>
      </c>
      <c r="BV1611" t="s">
        <v>86</v>
      </c>
      <c r="BY1611">
        <v>1200</v>
      </c>
      <c r="CA1611" t="s">
        <v>212</v>
      </c>
      <c r="CC1611" t="s">
        <v>199</v>
      </c>
      <c r="CD1611">
        <v>4052</v>
      </c>
      <c r="CE1611" t="s">
        <v>88</v>
      </c>
      <c r="CF1611" s="3">
        <v>43818</v>
      </c>
      <c r="CI1611">
        <v>1</v>
      </c>
      <c r="CJ1611">
        <v>1</v>
      </c>
      <c r="CK1611">
        <v>21</v>
      </c>
      <c r="CL1611" t="s">
        <v>89</v>
      </c>
    </row>
    <row r="1612" spans="1:90">
      <c r="A1612" t="s">
        <v>72</v>
      </c>
      <c r="B1612" t="s">
        <v>73</v>
      </c>
      <c r="C1612" t="s">
        <v>74</v>
      </c>
      <c r="E1612" t="str">
        <f>"FES1162728741"</f>
        <v>FES1162728741</v>
      </c>
      <c r="F1612" s="3">
        <v>43816</v>
      </c>
      <c r="G1612">
        <v>202006</v>
      </c>
      <c r="H1612" t="s">
        <v>75</v>
      </c>
      <c r="I1612" t="s">
        <v>76</v>
      </c>
      <c r="J1612" t="s">
        <v>77</v>
      </c>
      <c r="K1612" t="s">
        <v>78</v>
      </c>
      <c r="L1612" t="s">
        <v>90</v>
      </c>
      <c r="M1612" t="s">
        <v>91</v>
      </c>
      <c r="N1612" t="s">
        <v>900</v>
      </c>
      <c r="O1612" t="s">
        <v>82</v>
      </c>
      <c r="P1612" t="str">
        <f>"2170719281                    "</f>
        <v xml:space="preserve">2170719281                    </v>
      </c>
      <c r="Q1612">
        <v>0</v>
      </c>
      <c r="R1612">
        <v>0</v>
      </c>
      <c r="S1612">
        <v>0</v>
      </c>
      <c r="T1612">
        <v>0</v>
      </c>
      <c r="U1612">
        <v>0</v>
      </c>
      <c r="V1612">
        <v>0</v>
      </c>
      <c r="W1612">
        <v>0</v>
      </c>
      <c r="X1612">
        <v>0</v>
      </c>
      <c r="Y1612">
        <v>0</v>
      </c>
      <c r="Z1612">
        <v>0</v>
      </c>
      <c r="AA1612">
        <v>0</v>
      </c>
      <c r="AB1612">
        <v>0</v>
      </c>
      <c r="AC1612">
        <v>0</v>
      </c>
      <c r="AD1612">
        <v>0</v>
      </c>
      <c r="AE1612">
        <v>0</v>
      </c>
      <c r="AF1612">
        <v>0</v>
      </c>
      <c r="AG1612">
        <v>0</v>
      </c>
      <c r="AH1612">
        <v>0</v>
      </c>
      <c r="AI1612">
        <v>0</v>
      </c>
      <c r="AJ1612">
        <v>0</v>
      </c>
      <c r="AK1612">
        <v>0</v>
      </c>
      <c r="AL1612">
        <v>0</v>
      </c>
      <c r="AM1612">
        <v>8.58</v>
      </c>
      <c r="AN1612">
        <v>0</v>
      </c>
      <c r="AO1612">
        <v>0</v>
      </c>
      <c r="AP1612">
        <v>0</v>
      </c>
      <c r="AQ1612">
        <v>0</v>
      </c>
      <c r="AR1612">
        <v>0</v>
      </c>
      <c r="AS1612">
        <v>0</v>
      </c>
      <c r="AT1612">
        <v>0</v>
      </c>
      <c r="AU1612">
        <v>0</v>
      </c>
      <c r="AV1612">
        <v>0</v>
      </c>
      <c r="AW1612">
        <v>0</v>
      </c>
      <c r="AX1612">
        <v>0</v>
      </c>
      <c r="AY1612">
        <v>0</v>
      </c>
      <c r="AZ1612">
        <v>0</v>
      </c>
      <c r="BA1612">
        <v>0</v>
      </c>
      <c r="BB1612">
        <v>0</v>
      </c>
      <c r="BC1612">
        <v>0</v>
      </c>
      <c r="BD1612">
        <v>0</v>
      </c>
      <c r="BE1612">
        <v>0</v>
      </c>
      <c r="BF1612">
        <v>0</v>
      </c>
      <c r="BG1612">
        <v>0</v>
      </c>
      <c r="BH1612">
        <v>1</v>
      </c>
      <c r="BI1612">
        <v>1</v>
      </c>
      <c r="BJ1612">
        <v>0.2</v>
      </c>
      <c r="BK1612">
        <v>1</v>
      </c>
      <c r="BL1612" s="4">
        <v>50.45</v>
      </c>
      <c r="BM1612" s="4">
        <v>7.57</v>
      </c>
      <c r="BN1612" s="4">
        <v>58.02</v>
      </c>
      <c r="BO1612" s="4">
        <v>58.02</v>
      </c>
      <c r="BQ1612" t="s">
        <v>93</v>
      </c>
      <c r="BR1612" t="s">
        <v>84</v>
      </c>
      <c r="BS1612" s="3">
        <v>43817</v>
      </c>
      <c r="BT1612" s="5">
        <v>0.43194444444444446</v>
      </c>
      <c r="BU1612" t="s">
        <v>2025</v>
      </c>
      <c r="BV1612" t="s">
        <v>86</v>
      </c>
      <c r="BY1612">
        <v>1200</v>
      </c>
      <c r="CA1612" t="s">
        <v>1901</v>
      </c>
      <c r="CC1612" t="s">
        <v>91</v>
      </c>
      <c r="CD1612">
        <v>7500</v>
      </c>
      <c r="CE1612" t="s">
        <v>88</v>
      </c>
      <c r="CF1612" s="3">
        <v>43818</v>
      </c>
      <c r="CI1612">
        <v>1</v>
      </c>
      <c r="CJ1612">
        <v>1</v>
      </c>
      <c r="CK1612">
        <v>21</v>
      </c>
      <c r="CL1612" t="s">
        <v>89</v>
      </c>
    </row>
    <row r="1613" spans="1:90">
      <c r="A1613" t="s">
        <v>72</v>
      </c>
      <c r="B1613" t="s">
        <v>73</v>
      </c>
      <c r="C1613" t="s">
        <v>74</v>
      </c>
      <c r="E1613" t="str">
        <f>"FES1162728703"</f>
        <v>FES1162728703</v>
      </c>
      <c r="F1613" s="3">
        <v>43816</v>
      </c>
      <c r="G1613">
        <v>202006</v>
      </c>
      <c r="H1613" t="s">
        <v>75</v>
      </c>
      <c r="I1613" t="s">
        <v>76</v>
      </c>
      <c r="J1613" t="s">
        <v>77</v>
      </c>
      <c r="K1613" t="s">
        <v>78</v>
      </c>
      <c r="L1613" t="s">
        <v>90</v>
      </c>
      <c r="M1613" t="s">
        <v>91</v>
      </c>
      <c r="N1613" t="s">
        <v>2034</v>
      </c>
      <c r="O1613" t="s">
        <v>82</v>
      </c>
      <c r="P1613" t="str">
        <f>"217071904                     "</f>
        <v xml:space="preserve">217071904                     </v>
      </c>
      <c r="Q1613">
        <v>0</v>
      </c>
      <c r="R1613">
        <v>0</v>
      </c>
      <c r="S1613">
        <v>0</v>
      </c>
      <c r="T1613">
        <v>0</v>
      </c>
      <c r="U1613">
        <v>0</v>
      </c>
      <c r="V1613">
        <v>0</v>
      </c>
      <c r="W1613">
        <v>0</v>
      </c>
      <c r="X1613">
        <v>0</v>
      </c>
      <c r="Y1613">
        <v>0</v>
      </c>
      <c r="Z1613">
        <v>0</v>
      </c>
      <c r="AA1613">
        <v>0</v>
      </c>
      <c r="AB1613">
        <v>0</v>
      </c>
      <c r="AC1613">
        <v>0</v>
      </c>
      <c r="AD1613">
        <v>0</v>
      </c>
      <c r="AE1613">
        <v>0</v>
      </c>
      <c r="AF1613">
        <v>0</v>
      </c>
      <c r="AG1613">
        <v>0</v>
      </c>
      <c r="AH1613">
        <v>0</v>
      </c>
      <c r="AI1613">
        <v>0</v>
      </c>
      <c r="AJ1613">
        <v>0</v>
      </c>
      <c r="AK1613">
        <v>0</v>
      </c>
      <c r="AL1613">
        <v>0</v>
      </c>
      <c r="AM1613">
        <v>8.58</v>
      </c>
      <c r="AN1613">
        <v>0</v>
      </c>
      <c r="AO1613">
        <v>0</v>
      </c>
      <c r="AP1613">
        <v>0</v>
      </c>
      <c r="AQ1613">
        <v>0</v>
      </c>
      <c r="AR1613">
        <v>0</v>
      </c>
      <c r="AS1613">
        <v>0</v>
      </c>
      <c r="AT1613">
        <v>0</v>
      </c>
      <c r="AU1613">
        <v>0</v>
      </c>
      <c r="AV1613">
        <v>0</v>
      </c>
      <c r="AW1613">
        <v>0</v>
      </c>
      <c r="AX1613">
        <v>0</v>
      </c>
      <c r="AY1613">
        <v>0</v>
      </c>
      <c r="AZ1613">
        <v>0</v>
      </c>
      <c r="BA1613">
        <v>0</v>
      </c>
      <c r="BB1613">
        <v>0</v>
      </c>
      <c r="BC1613">
        <v>0</v>
      </c>
      <c r="BD1613">
        <v>0</v>
      </c>
      <c r="BE1613">
        <v>0</v>
      </c>
      <c r="BF1613">
        <v>0</v>
      </c>
      <c r="BG1613">
        <v>0</v>
      </c>
      <c r="BH1613">
        <v>1</v>
      </c>
      <c r="BI1613">
        <v>1</v>
      </c>
      <c r="BJ1613">
        <v>0.2</v>
      </c>
      <c r="BK1613">
        <v>1</v>
      </c>
      <c r="BL1613" s="4">
        <v>50.45</v>
      </c>
      <c r="BM1613" s="4">
        <v>7.57</v>
      </c>
      <c r="BN1613" s="4">
        <v>58.02</v>
      </c>
      <c r="BO1613" s="4">
        <v>58.02</v>
      </c>
      <c r="BQ1613" t="s">
        <v>2035</v>
      </c>
      <c r="BR1613" t="s">
        <v>84</v>
      </c>
      <c r="BS1613" s="3">
        <v>43817</v>
      </c>
      <c r="BT1613" s="5">
        <v>0.38819444444444445</v>
      </c>
      <c r="BU1613" t="s">
        <v>2036</v>
      </c>
      <c r="BV1613" t="s">
        <v>86</v>
      </c>
      <c r="BY1613">
        <v>1200</v>
      </c>
      <c r="CA1613" t="s">
        <v>2012</v>
      </c>
      <c r="CC1613" t="s">
        <v>91</v>
      </c>
      <c r="CD1613">
        <v>7405</v>
      </c>
      <c r="CE1613" t="s">
        <v>88</v>
      </c>
      <c r="CF1613" s="3">
        <v>43818</v>
      </c>
      <c r="CI1613">
        <v>1</v>
      </c>
      <c r="CJ1613">
        <v>1</v>
      </c>
      <c r="CK1613">
        <v>21</v>
      </c>
      <c r="CL1613" t="s">
        <v>89</v>
      </c>
    </row>
    <row r="1614" spans="1:90">
      <c r="A1614" t="s">
        <v>72</v>
      </c>
      <c r="B1614" t="s">
        <v>73</v>
      </c>
      <c r="C1614" t="s">
        <v>74</v>
      </c>
      <c r="E1614" t="str">
        <f>"FES1162728552"</f>
        <v>FES1162728552</v>
      </c>
      <c r="F1614" s="3">
        <v>43816</v>
      </c>
      <c r="G1614">
        <v>202006</v>
      </c>
      <c r="H1614" t="s">
        <v>75</v>
      </c>
      <c r="I1614" t="s">
        <v>76</v>
      </c>
      <c r="J1614" t="s">
        <v>77</v>
      </c>
      <c r="K1614" t="s">
        <v>78</v>
      </c>
      <c r="L1614" t="s">
        <v>151</v>
      </c>
      <c r="M1614" t="s">
        <v>102</v>
      </c>
      <c r="N1614" t="s">
        <v>634</v>
      </c>
      <c r="O1614" t="s">
        <v>82</v>
      </c>
      <c r="P1614" t="str">
        <f>"217071818                     "</f>
        <v xml:space="preserve">217071818                     </v>
      </c>
      <c r="Q1614">
        <v>0</v>
      </c>
      <c r="R1614">
        <v>0</v>
      </c>
      <c r="S1614">
        <v>0</v>
      </c>
      <c r="T1614">
        <v>0</v>
      </c>
      <c r="U1614">
        <v>0</v>
      </c>
      <c r="V1614">
        <v>0</v>
      </c>
      <c r="W1614">
        <v>0</v>
      </c>
      <c r="X1614">
        <v>0</v>
      </c>
      <c r="Y1614">
        <v>0</v>
      </c>
      <c r="Z1614">
        <v>0</v>
      </c>
      <c r="AA1614">
        <v>0</v>
      </c>
      <c r="AB1614">
        <v>0</v>
      </c>
      <c r="AC1614">
        <v>0</v>
      </c>
      <c r="AD1614">
        <v>0</v>
      </c>
      <c r="AE1614">
        <v>0</v>
      </c>
      <c r="AF1614">
        <v>0</v>
      </c>
      <c r="AG1614">
        <v>0</v>
      </c>
      <c r="AH1614">
        <v>0</v>
      </c>
      <c r="AI1614">
        <v>0</v>
      </c>
      <c r="AJ1614">
        <v>0</v>
      </c>
      <c r="AK1614">
        <v>0</v>
      </c>
      <c r="AL1614">
        <v>0</v>
      </c>
      <c r="AM1614">
        <v>8.58</v>
      </c>
      <c r="AN1614">
        <v>0</v>
      </c>
      <c r="AO1614">
        <v>0</v>
      </c>
      <c r="AP1614">
        <v>0</v>
      </c>
      <c r="AQ1614">
        <v>0</v>
      </c>
      <c r="AR1614">
        <v>0</v>
      </c>
      <c r="AS1614">
        <v>0</v>
      </c>
      <c r="AT1614">
        <v>0</v>
      </c>
      <c r="AU1614">
        <v>0</v>
      </c>
      <c r="AV1614">
        <v>0</v>
      </c>
      <c r="AW1614">
        <v>0</v>
      </c>
      <c r="AX1614">
        <v>0</v>
      </c>
      <c r="AY1614">
        <v>0</v>
      </c>
      <c r="AZ1614">
        <v>0</v>
      </c>
      <c r="BA1614">
        <v>0</v>
      </c>
      <c r="BB1614">
        <v>0</v>
      </c>
      <c r="BC1614">
        <v>0</v>
      </c>
      <c r="BD1614">
        <v>0</v>
      </c>
      <c r="BE1614">
        <v>0</v>
      </c>
      <c r="BF1614">
        <v>0</v>
      </c>
      <c r="BG1614">
        <v>0</v>
      </c>
      <c r="BH1614">
        <v>1</v>
      </c>
      <c r="BI1614">
        <v>1</v>
      </c>
      <c r="BJ1614">
        <v>0.2</v>
      </c>
      <c r="BK1614">
        <v>1</v>
      </c>
      <c r="BL1614" s="4">
        <v>50.45</v>
      </c>
      <c r="BM1614" s="4">
        <v>7.57</v>
      </c>
      <c r="BN1614" s="4">
        <v>58.02</v>
      </c>
      <c r="BO1614" s="4">
        <v>58.02</v>
      </c>
      <c r="BQ1614" t="s">
        <v>147</v>
      </c>
      <c r="BR1614" t="s">
        <v>84</v>
      </c>
      <c r="BS1614" s="3">
        <v>43817</v>
      </c>
      <c r="BT1614" s="5">
        <v>0.40972222222222227</v>
      </c>
      <c r="BU1614" t="s">
        <v>2037</v>
      </c>
      <c r="BV1614" t="s">
        <v>86</v>
      </c>
      <c r="BY1614">
        <v>1200</v>
      </c>
      <c r="CA1614" t="s">
        <v>1357</v>
      </c>
      <c r="CC1614" t="s">
        <v>102</v>
      </c>
      <c r="CD1614">
        <v>200</v>
      </c>
      <c r="CE1614" t="s">
        <v>88</v>
      </c>
      <c r="CF1614" s="3">
        <v>43818</v>
      </c>
      <c r="CI1614">
        <v>1</v>
      </c>
      <c r="CJ1614">
        <v>1</v>
      </c>
      <c r="CK1614">
        <v>21</v>
      </c>
      <c r="CL1614" t="s">
        <v>89</v>
      </c>
    </row>
    <row r="1615" spans="1:90">
      <c r="A1615" t="s">
        <v>72</v>
      </c>
      <c r="B1615" t="s">
        <v>73</v>
      </c>
      <c r="C1615" t="s">
        <v>74</v>
      </c>
      <c r="E1615" t="str">
        <f>"FES1162728374"</f>
        <v>FES1162728374</v>
      </c>
      <c r="F1615" s="3">
        <v>43816</v>
      </c>
      <c r="G1615">
        <v>202006</v>
      </c>
      <c r="H1615" t="s">
        <v>75</v>
      </c>
      <c r="I1615" t="s">
        <v>76</v>
      </c>
      <c r="J1615" t="s">
        <v>77</v>
      </c>
      <c r="K1615" t="s">
        <v>78</v>
      </c>
      <c r="L1615" t="s">
        <v>213</v>
      </c>
      <c r="M1615" t="s">
        <v>214</v>
      </c>
      <c r="N1615" t="s">
        <v>303</v>
      </c>
      <c r="O1615" t="s">
        <v>82</v>
      </c>
      <c r="P1615" t="str">
        <f>"217071646                     "</f>
        <v xml:space="preserve">217071646                     </v>
      </c>
      <c r="Q1615">
        <v>0</v>
      </c>
      <c r="R1615">
        <v>0</v>
      </c>
      <c r="S1615">
        <v>0</v>
      </c>
      <c r="T1615">
        <v>0</v>
      </c>
      <c r="U1615">
        <v>0</v>
      </c>
      <c r="V1615">
        <v>0</v>
      </c>
      <c r="W1615">
        <v>0</v>
      </c>
      <c r="X1615">
        <v>0</v>
      </c>
      <c r="Y1615">
        <v>0</v>
      </c>
      <c r="Z1615">
        <v>0</v>
      </c>
      <c r="AA1615">
        <v>0</v>
      </c>
      <c r="AB1615">
        <v>0</v>
      </c>
      <c r="AC1615">
        <v>0</v>
      </c>
      <c r="AD1615">
        <v>0</v>
      </c>
      <c r="AE1615">
        <v>0</v>
      </c>
      <c r="AF1615">
        <v>0</v>
      </c>
      <c r="AG1615">
        <v>0</v>
      </c>
      <c r="AH1615">
        <v>0</v>
      </c>
      <c r="AI1615">
        <v>0</v>
      </c>
      <c r="AJ1615">
        <v>0</v>
      </c>
      <c r="AK1615">
        <v>0</v>
      </c>
      <c r="AL1615">
        <v>0</v>
      </c>
      <c r="AM1615">
        <v>8.58</v>
      </c>
      <c r="AN1615">
        <v>0</v>
      </c>
      <c r="AO1615">
        <v>0</v>
      </c>
      <c r="AP1615">
        <v>0</v>
      </c>
      <c r="AQ1615">
        <v>0</v>
      </c>
      <c r="AR1615">
        <v>0</v>
      </c>
      <c r="AS1615">
        <v>0</v>
      </c>
      <c r="AT1615">
        <v>0</v>
      </c>
      <c r="AU1615">
        <v>0</v>
      </c>
      <c r="AV1615">
        <v>0</v>
      </c>
      <c r="AW1615">
        <v>0</v>
      </c>
      <c r="AX1615">
        <v>0</v>
      </c>
      <c r="AY1615">
        <v>0</v>
      </c>
      <c r="AZ1615">
        <v>0</v>
      </c>
      <c r="BA1615">
        <v>0</v>
      </c>
      <c r="BB1615">
        <v>0</v>
      </c>
      <c r="BC1615">
        <v>0</v>
      </c>
      <c r="BD1615">
        <v>0</v>
      </c>
      <c r="BE1615">
        <v>0</v>
      </c>
      <c r="BF1615">
        <v>0</v>
      </c>
      <c r="BG1615">
        <v>0</v>
      </c>
      <c r="BH1615">
        <v>1</v>
      </c>
      <c r="BI1615">
        <v>1</v>
      </c>
      <c r="BJ1615">
        <v>0.2</v>
      </c>
      <c r="BK1615">
        <v>1</v>
      </c>
      <c r="BL1615" s="4">
        <v>50.45</v>
      </c>
      <c r="BM1615" s="4">
        <v>7.57</v>
      </c>
      <c r="BN1615" s="4">
        <v>58.02</v>
      </c>
      <c r="BO1615" s="4">
        <v>58.02</v>
      </c>
      <c r="BQ1615" t="s">
        <v>147</v>
      </c>
      <c r="BR1615" t="s">
        <v>84</v>
      </c>
      <c r="BS1615" s="3">
        <v>43817</v>
      </c>
      <c r="BT1615" s="5">
        <v>0.3263888888888889</v>
      </c>
      <c r="BU1615" t="s">
        <v>1970</v>
      </c>
      <c r="BV1615" t="s">
        <v>86</v>
      </c>
      <c r="BY1615">
        <v>1200</v>
      </c>
      <c r="CA1615" t="s">
        <v>302</v>
      </c>
      <c r="CC1615" t="s">
        <v>214</v>
      </c>
      <c r="CD1615">
        <v>6230</v>
      </c>
      <c r="CE1615" t="s">
        <v>88</v>
      </c>
      <c r="CF1615" s="3">
        <v>43818</v>
      </c>
      <c r="CI1615">
        <v>1</v>
      </c>
      <c r="CJ1615">
        <v>1</v>
      </c>
      <c r="CK1615">
        <v>21</v>
      </c>
      <c r="CL1615" t="s">
        <v>89</v>
      </c>
    </row>
    <row r="1616" spans="1:90">
      <c r="A1616" t="s">
        <v>72</v>
      </c>
      <c r="B1616" t="s">
        <v>73</v>
      </c>
      <c r="C1616" t="s">
        <v>74</v>
      </c>
      <c r="E1616" t="str">
        <f>"FES1162728500"</f>
        <v>FES1162728500</v>
      </c>
      <c r="F1616" s="3">
        <v>43816</v>
      </c>
      <c r="G1616">
        <v>202006</v>
      </c>
      <c r="H1616" t="s">
        <v>75</v>
      </c>
      <c r="I1616" t="s">
        <v>76</v>
      </c>
      <c r="J1616" t="s">
        <v>77</v>
      </c>
      <c r="K1616" t="s">
        <v>78</v>
      </c>
      <c r="L1616" t="s">
        <v>392</v>
      </c>
      <c r="M1616" t="s">
        <v>393</v>
      </c>
      <c r="N1616" t="s">
        <v>394</v>
      </c>
      <c r="O1616" t="s">
        <v>82</v>
      </c>
      <c r="P1616" t="str">
        <f>"217071733                     "</f>
        <v xml:space="preserve">217071733                     </v>
      </c>
      <c r="Q1616">
        <v>0</v>
      </c>
      <c r="R1616">
        <v>0</v>
      </c>
      <c r="S1616">
        <v>0</v>
      </c>
      <c r="T1616">
        <v>0</v>
      </c>
      <c r="U1616">
        <v>0</v>
      </c>
      <c r="V1616">
        <v>0</v>
      </c>
      <c r="W1616">
        <v>0</v>
      </c>
      <c r="X1616">
        <v>0</v>
      </c>
      <c r="Y1616">
        <v>0</v>
      </c>
      <c r="Z1616">
        <v>0</v>
      </c>
      <c r="AA1616">
        <v>0</v>
      </c>
      <c r="AB1616">
        <v>0</v>
      </c>
      <c r="AC1616">
        <v>0</v>
      </c>
      <c r="AD1616">
        <v>0</v>
      </c>
      <c r="AE1616">
        <v>0</v>
      </c>
      <c r="AF1616">
        <v>0</v>
      </c>
      <c r="AG1616">
        <v>0</v>
      </c>
      <c r="AH1616">
        <v>0</v>
      </c>
      <c r="AI1616">
        <v>0</v>
      </c>
      <c r="AJ1616">
        <v>0</v>
      </c>
      <c r="AK1616">
        <v>0</v>
      </c>
      <c r="AL1616">
        <v>0</v>
      </c>
      <c r="AM1616">
        <v>16.63</v>
      </c>
      <c r="AN1616">
        <v>0</v>
      </c>
      <c r="AO1616">
        <v>0</v>
      </c>
      <c r="AP1616">
        <v>0</v>
      </c>
      <c r="AQ1616">
        <v>0</v>
      </c>
      <c r="AR1616">
        <v>0</v>
      </c>
      <c r="AS1616">
        <v>0</v>
      </c>
      <c r="AT1616">
        <v>0</v>
      </c>
      <c r="AU1616">
        <v>0</v>
      </c>
      <c r="AV1616">
        <v>0</v>
      </c>
      <c r="AW1616">
        <v>0</v>
      </c>
      <c r="AX1616">
        <v>0</v>
      </c>
      <c r="AY1616">
        <v>0</v>
      </c>
      <c r="AZ1616">
        <v>0</v>
      </c>
      <c r="BA1616">
        <v>0</v>
      </c>
      <c r="BB1616">
        <v>0</v>
      </c>
      <c r="BC1616">
        <v>0</v>
      </c>
      <c r="BD1616">
        <v>0</v>
      </c>
      <c r="BE1616">
        <v>0</v>
      </c>
      <c r="BF1616">
        <v>0</v>
      </c>
      <c r="BG1616">
        <v>0</v>
      </c>
      <c r="BH1616">
        <v>1</v>
      </c>
      <c r="BI1616">
        <v>1</v>
      </c>
      <c r="BJ1616">
        <v>0.2</v>
      </c>
      <c r="BK1616">
        <v>1</v>
      </c>
      <c r="BL1616" s="4">
        <v>97.75</v>
      </c>
      <c r="BM1616" s="4">
        <v>14.66</v>
      </c>
      <c r="BN1616" s="4">
        <v>112.41</v>
      </c>
      <c r="BO1616" s="4">
        <v>112.41</v>
      </c>
      <c r="BQ1616" t="s">
        <v>135</v>
      </c>
      <c r="BR1616" t="s">
        <v>84</v>
      </c>
      <c r="BS1616" t="s">
        <v>717</v>
      </c>
      <c r="BY1616">
        <v>1200</v>
      </c>
      <c r="CC1616" t="s">
        <v>393</v>
      </c>
      <c r="CD1616">
        <v>6300</v>
      </c>
      <c r="CE1616" t="s">
        <v>88</v>
      </c>
      <c r="CF1616" s="3">
        <v>43823</v>
      </c>
      <c r="CI1616">
        <v>3</v>
      </c>
      <c r="CJ1616" t="s">
        <v>717</v>
      </c>
      <c r="CK1616">
        <v>23</v>
      </c>
      <c r="CL1616" t="s">
        <v>89</v>
      </c>
    </row>
    <row r="1617" spans="1:90">
      <c r="A1617" t="s">
        <v>72</v>
      </c>
      <c r="B1617" t="s">
        <v>73</v>
      </c>
      <c r="C1617" t="s">
        <v>74</v>
      </c>
      <c r="E1617" t="str">
        <f>"FES1162728358"</f>
        <v>FES1162728358</v>
      </c>
      <c r="F1617" s="3">
        <v>43816</v>
      </c>
      <c r="G1617">
        <v>202006</v>
      </c>
      <c r="H1617" t="s">
        <v>75</v>
      </c>
      <c r="I1617" t="s">
        <v>76</v>
      </c>
      <c r="J1617" t="s">
        <v>77</v>
      </c>
      <c r="K1617" t="s">
        <v>78</v>
      </c>
      <c r="L1617" t="s">
        <v>164</v>
      </c>
      <c r="M1617" t="s">
        <v>165</v>
      </c>
      <c r="N1617" t="s">
        <v>1747</v>
      </c>
      <c r="O1617" t="s">
        <v>82</v>
      </c>
      <c r="P1617" t="str">
        <f>"217071654                     "</f>
        <v xml:space="preserve">217071654                     </v>
      </c>
      <c r="Q1617">
        <v>0</v>
      </c>
      <c r="R1617">
        <v>0</v>
      </c>
      <c r="S1617">
        <v>0</v>
      </c>
      <c r="T1617">
        <v>0</v>
      </c>
      <c r="U1617">
        <v>0</v>
      </c>
      <c r="V1617">
        <v>0</v>
      </c>
      <c r="W1617">
        <v>0</v>
      </c>
      <c r="X1617">
        <v>0</v>
      </c>
      <c r="Y1617">
        <v>0</v>
      </c>
      <c r="Z1617">
        <v>0</v>
      </c>
      <c r="AA1617">
        <v>0</v>
      </c>
      <c r="AB1617">
        <v>0</v>
      </c>
      <c r="AC1617">
        <v>0</v>
      </c>
      <c r="AD1617">
        <v>0</v>
      </c>
      <c r="AE1617">
        <v>0</v>
      </c>
      <c r="AF1617">
        <v>0</v>
      </c>
      <c r="AG1617">
        <v>0</v>
      </c>
      <c r="AH1617">
        <v>0</v>
      </c>
      <c r="AI1617">
        <v>0</v>
      </c>
      <c r="AJ1617">
        <v>0</v>
      </c>
      <c r="AK1617">
        <v>0</v>
      </c>
      <c r="AL1617">
        <v>0</v>
      </c>
      <c r="AM1617">
        <v>8.58</v>
      </c>
      <c r="AN1617">
        <v>0</v>
      </c>
      <c r="AO1617">
        <v>0</v>
      </c>
      <c r="AP1617">
        <v>0</v>
      </c>
      <c r="AQ1617">
        <v>0</v>
      </c>
      <c r="AR1617">
        <v>0</v>
      </c>
      <c r="AS1617">
        <v>0</v>
      </c>
      <c r="AT1617">
        <v>0</v>
      </c>
      <c r="AU1617">
        <v>0</v>
      </c>
      <c r="AV1617">
        <v>0</v>
      </c>
      <c r="AW1617">
        <v>0</v>
      </c>
      <c r="AX1617">
        <v>0</v>
      </c>
      <c r="AY1617">
        <v>0</v>
      </c>
      <c r="AZ1617">
        <v>0</v>
      </c>
      <c r="BA1617">
        <v>0</v>
      </c>
      <c r="BB1617">
        <v>0</v>
      </c>
      <c r="BC1617">
        <v>0</v>
      </c>
      <c r="BD1617">
        <v>0</v>
      </c>
      <c r="BE1617">
        <v>0</v>
      </c>
      <c r="BF1617">
        <v>0</v>
      </c>
      <c r="BG1617">
        <v>0</v>
      </c>
      <c r="BH1617">
        <v>1</v>
      </c>
      <c r="BI1617">
        <v>1</v>
      </c>
      <c r="BJ1617">
        <v>0.2</v>
      </c>
      <c r="BK1617">
        <v>1</v>
      </c>
      <c r="BL1617" s="4">
        <v>50.45</v>
      </c>
      <c r="BM1617" s="4">
        <v>7.57</v>
      </c>
      <c r="BN1617" s="4">
        <v>58.02</v>
      </c>
      <c r="BO1617" s="4">
        <v>58.02</v>
      </c>
      <c r="BQ1617" t="s">
        <v>93</v>
      </c>
      <c r="BR1617" t="s">
        <v>84</v>
      </c>
      <c r="BS1617" s="3">
        <v>43817</v>
      </c>
      <c r="BT1617" s="5">
        <v>0.38125000000000003</v>
      </c>
      <c r="BU1617" t="s">
        <v>1748</v>
      </c>
      <c r="BV1617" t="s">
        <v>86</v>
      </c>
      <c r="BY1617">
        <v>1200</v>
      </c>
      <c r="CA1617" t="s">
        <v>168</v>
      </c>
      <c r="CC1617" t="s">
        <v>165</v>
      </c>
      <c r="CD1617">
        <v>5201</v>
      </c>
      <c r="CE1617" t="s">
        <v>88</v>
      </c>
      <c r="CF1617" s="3">
        <v>43819</v>
      </c>
      <c r="CI1617">
        <v>1</v>
      </c>
      <c r="CJ1617">
        <v>1</v>
      </c>
      <c r="CK1617">
        <v>21</v>
      </c>
      <c r="CL1617" t="s">
        <v>89</v>
      </c>
    </row>
    <row r="1618" spans="1:90">
      <c r="A1618" t="s">
        <v>72</v>
      </c>
      <c r="B1618" t="s">
        <v>73</v>
      </c>
      <c r="C1618" t="s">
        <v>74</v>
      </c>
      <c r="E1618" t="str">
        <f>"FES1162728518"</f>
        <v>FES1162728518</v>
      </c>
      <c r="F1618" s="3">
        <v>43816</v>
      </c>
      <c r="G1618">
        <v>202006</v>
      </c>
      <c r="H1618" t="s">
        <v>75</v>
      </c>
      <c r="I1618" t="s">
        <v>76</v>
      </c>
      <c r="J1618" t="s">
        <v>77</v>
      </c>
      <c r="K1618" t="s">
        <v>78</v>
      </c>
      <c r="L1618" t="s">
        <v>164</v>
      </c>
      <c r="M1618" t="s">
        <v>165</v>
      </c>
      <c r="N1618" t="s">
        <v>369</v>
      </c>
      <c r="O1618" t="s">
        <v>82</v>
      </c>
      <c r="P1618" t="str">
        <f>"217071745                     "</f>
        <v xml:space="preserve">217071745                     </v>
      </c>
      <c r="Q1618">
        <v>0</v>
      </c>
      <c r="R1618">
        <v>0</v>
      </c>
      <c r="S1618">
        <v>0</v>
      </c>
      <c r="T1618">
        <v>0</v>
      </c>
      <c r="U1618">
        <v>0</v>
      </c>
      <c r="V1618">
        <v>0</v>
      </c>
      <c r="W1618">
        <v>0</v>
      </c>
      <c r="X1618">
        <v>0</v>
      </c>
      <c r="Y1618">
        <v>0</v>
      </c>
      <c r="Z1618">
        <v>0</v>
      </c>
      <c r="AA1618">
        <v>0</v>
      </c>
      <c r="AB1618">
        <v>0</v>
      </c>
      <c r="AC1618">
        <v>0</v>
      </c>
      <c r="AD1618">
        <v>0</v>
      </c>
      <c r="AE1618">
        <v>0</v>
      </c>
      <c r="AF1618">
        <v>0</v>
      </c>
      <c r="AG1618">
        <v>0</v>
      </c>
      <c r="AH1618">
        <v>0</v>
      </c>
      <c r="AI1618">
        <v>0</v>
      </c>
      <c r="AJ1618">
        <v>0</v>
      </c>
      <c r="AK1618">
        <v>0</v>
      </c>
      <c r="AL1618">
        <v>0</v>
      </c>
      <c r="AM1618">
        <v>8.58</v>
      </c>
      <c r="AN1618">
        <v>0</v>
      </c>
      <c r="AO1618">
        <v>0</v>
      </c>
      <c r="AP1618">
        <v>0</v>
      </c>
      <c r="AQ1618">
        <v>0</v>
      </c>
      <c r="AR1618">
        <v>0</v>
      </c>
      <c r="AS1618">
        <v>0</v>
      </c>
      <c r="AT1618">
        <v>0</v>
      </c>
      <c r="AU1618">
        <v>0</v>
      </c>
      <c r="AV1618">
        <v>0</v>
      </c>
      <c r="AW1618">
        <v>0</v>
      </c>
      <c r="AX1618">
        <v>0</v>
      </c>
      <c r="AY1618">
        <v>0</v>
      </c>
      <c r="AZ1618">
        <v>0</v>
      </c>
      <c r="BA1618">
        <v>0</v>
      </c>
      <c r="BB1618">
        <v>0</v>
      </c>
      <c r="BC1618">
        <v>0</v>
      </c>
      <c r="BD1618">
        <v>0</v>
      </c>
      <c r="BE1618">
        <v>0</v>
      </c>
      <c r="BF1618">
        <v>0</v>
      </c>
      <c r="BG1618">
        <v>0</v>
      </c>
      <c r="BH1618">
        <v>1</v>
      </c>
      <c r="BI1618">
        <v>1</v>
      </c>
      <c r="BJ1618">
        <v>0.2</v>
      </c>
      <c r="BK1618">
        <v>1</v>
      </c>
      <c r="BL1618" s="4">
        <v>50.45</v>
      </c>
      <c r="BM1618" s="4">
        <v>7.57</v>
      </c>
      <c r="BN1618" s="4">
        <v>58.02</v>
      </c>
      <c r="BO1618" s="4">
        <v>58.02</v>
      </c>
      <c r="BQ1618" t="s">
        <v>93</v>
      </c>
      <c r="BR1618" t="s">
        <v>84</v>
      </c>
      <c r="BS1618" s="3">
        <v>43817</v>
      </c>
      <c r="BT1618" s="5">
        <v>0.37638888888888888</v>
      </c>
      <c r="BU1618" t="s">
        <v>1916</v>
      </c>
      <c r="BV1618" t="s">
        <v>86</v>
      </c>
      <c r="BY1618">
        <v>1200</v>
      </c>
      <c r="CA1618" t="s">
        <v>1361</v>
      </c>
      <c r="CC1618" t="s">
        <v>165</v>
      </c>
      <c r="CD1618">
        <v>5201</v>
      </c>
      <c r="CE1618" t="s">
        <v>88</v>
      </c>
      <c r="CF1618" s="3">
        <v>43819</v>
      </c>
      <c r="CI1618">
        <v>1</v>
      </c>
      <c r="CJ1618">
        <v>1</v>
      </c>
      <c r="CK1618">
        <v>21</v>
      </c>
      <c r="CL1618" t="s">
        <v>89</v>
      </c>
    </row>
    <row r="1619" spans="1:90">
      <c r="A1619" t="s">
        <v>72</v>
      </c>
      <c r="B1619" t="s">
        <v>73</v>
      </c>
      <c r="C1619" t="s">
        <v>74</v>
      </c>
      <c r="E1619" t="str">
        <f>"FES1162728289"</f>
        <v>FES1162728289</v>
      </c>
      <c r="F1619" s="3">
        <v>43816</v>
      </c>
      <c r="G1619">
        <v>202006</v>
      </c>
      <c r="H1619" t="s">
        <v>75</v>
      </c>
      <c r="I1619" t="s">
        <v>76</v>
      </c>
      <c r="J1619" t="s">
        <v>77</v>
      </c>
      <c r="K1619" t="s">
        <v>78</v>
      </c>
      <c r="L1619" t="s">
        <v>164</v>
      </c>
      <c r="M1619" t="s">
        <v>165</v>
      </c>
      <c r="N1619" t="s">
        <v>1983</v>
      </c>
      <c r="O1619" t="s">
        <v>82</v>
      </c>
      <c r="P1619" t="str">
        <f>"2170721611                    "</f>
        <v xml:space="preserve">2170721611                    </v>
      </c>
      <c r="Q1619">
        <v>0</v>
      </c>
      <c r="R1619">
        <v>0</v>
      </c>
      <c r="S1619">
        <v>0</v>
      </c>
      <c r="T1619">
        <v>0</v>
      </c>
      <c r="U1619">
        <v>0</v>
      </c>
      <c r="V1619">
        <v>0</v>
      </c>
      <c r="W1619">
        <v>0</v>
      </c>
      <c r="X1619">
        <v>0</v>
      </c>
      <c r="Y1619">
        <v>0</v>
      </c>
      <c r="Z1619">
        <v>0</v>
      </c>
      <c r="AA1619">
        <v>0</v>
      </c>
      <c r="AB1619">
        <v>0</v>
      </c>
      <c r="AC1619">
        <v>0</v>
      </c>
      <c r="AD1619">
        <v>0</v>
      </c>
      <c r="AE1619">
        <v>0</v>
      </c>
      <c r="AF1619">
        <v>0</v>
      </c>
      <c r="AG1619">
        <v>0</v>
      </c>
      <c r="AH1619">
        <v>0</v>
      </c>
      <c r="AI1619">
        <v>0</v>
      </c>
      <c r="AJ1619">
        <v>0</v>
      </c>
      <c r="AK1619">
        <v>0</v>
      </c>
      <c r="AL1619">
        <v>0</v>
      </c>
      <c r="AM1619">
        <v>15.02</v>
      </c>
      <c r="AN1619">
        <v>0</v>
      </c>
      <c r="AO1619">
        <v>0</v>
      </c>
      <c r="AP1619">
        <v>0</v>
      </c>
      <c r="AQ1619">
        <v>0</v>
      </c>
      <c r="AR1619">
        <v>0</v>
      </c>
      <c r="AS1619">
        <v>0</v>
      </c>
      <c r="AT1619">
        <v>0</v>
      </c>
      <c r="AU1619">
        <v>0</v>
      </c>
      <c r="AV1619">
        <v>0</v>
      </c>
      <c r="AW1619">
        <v>0</v>
      </c>
      <c r="AX1619">
        <v>0</v>
      </c>
      <c r="AY1619">
        <v>0</v>
      </c>
      <c r="AZ1619">
        <v>0</v>
      </c>
      <c r="BA1619">
        <v>0</v>
      </c>
      <c r="BB1619">
        <v>0</v>
      </c>
      <c r="BC1619">
        <v>0</v>
      </c>
      <c r="BD1619">
        <v>0</v>
      </c>
      <c r="BE1619">
        <v>0</v>
      </c>
      <c r="BF1619">
        <v>0</v>
      </c>
      <c r="BG1619">
        <v>0</v>
      </c>
      <c r="BH1619">
        <v>1</v>
      </c>
      <c r="BI1619">
        <v>1.4</v>
      </c>
      <c r="BJ1619">
        <v>3.2</v>
      </c>
      <c r="BK1619">
        <v>3.5</v>
      </c>
      <c r="BL1619" s="4">
        <v>88.27</v>
      </c>
      <c r="BM1619" s="4">
        <v>13.24</v>
      </c>
      <c r="BN1619" s="4">
        <v>101.51</v>
      </c>
      <c r="BO1619" s="4">
        <v>101.51</v>
      </c>
      <c r="BQ1619" t="s">
        <v>93</v>
      </c>
      <c r="BR1619" t="s">
        <v>84</v>
      </c>
      <c r="BS1619" s="3">
        <v>43817</v>
      </c>
      <c r="BT1619" s="5">
        <v>0.39999999999999997</v>
      </c>
      <c r="BU1619" t="s">
        <v>1984</v>
      </c>
      <c r="BV1619" t="s">
        <v>86</v>
      </c>
      <c r="BY1619">
        <v>15873.64</v>
      </c>
      <c r="CA1619" t="s">
        <v>168</v>
      </c>
      <c r="CC1619" t="s">
        <v>165</v>
      </c>
      <c r="CD1619">
        <v>5201</v>
      </c>
      <c r="CE1619" t="s">
        <v>96</v>
      </c>
      <c r="CF1619" s="3">
        <v>43819</v>
      </c>
      <c r="CI1619">
        <v>1</v>
      </c>
      <c r="CJ1619">
        <v>1</v>
      </c>
      <c r="CK1619">
        <v>21</v>
      </c>
      <c r="CL1619" t="s">
        <v>89</v>
      </c>
    </row>
    <row r="1620" spans="1:90">
      <c r="A1620" t="s">
        <v>72</v>
      </c>
      <c r="B1620" t="s">
        <v>73</v>
      </c>
      <c r="C1620" t="s">
        <v>74</v>
      </c>
      <c r="E1620" t="str">
        <f>"FES1162728752"</f>
        <v>FES1162728752</v>
      </c>
      <c r="F1620" s="3">
        <v>43816</v>
      </c>
      <c r="G1620">
        <v>202006</v>
      </c>
      <c r="H1620" t="s">
        <v>75</v>
      </c>
      <c r="I1620" t="s">
        <v>76</v>
      </c>
      <c r="J1620" t="s">
        <v>77</v>
      </c>
      <c r="K1620" t="s">
        <v>78</v>
      </c>
      <c r="L1620" t="s">
        <v>164</v>
      </c>
      <c r="M1620" t="s">
        <v>165</v>
      </c>
      <c r="N1620" t="s">
        <v>1027</v>
      </c>
      <c r="O1620" t="s">
        <v>82</v>
      </c>
      <c r="P1620" t="str">
        <f>"2170721914                    "</f>
        <v xml:space="preserve">2170721914                    </v>
      </c>
      <c r="Q1620">
        <v>0</v>
      </c>
      <c r="R1620">
        <v>0</v>
      </c>
      <c r="S1620">
        <v>0</v>
      </c>
      <c r="T1620">
        <v>0</v>
      </c>
      <c r="U1620">
        <v>0</v>
      </c>
      <c r="V1620">
        <v>0</v>
      </c>
      <c r="W1620">
        <v>0</v>
      </c>
      <c r="X1620">
        <v>0</v>
      </c>
      <c r="Y1620">
        <v>0</v>
      </c>
      <c r="Z1620">
        <v>0</v>
      </c>
      <c r="AA1620">
        <v>0</v>
      </c>
      <c r="AB1620">
        <v>0</v>
      </c>
      <c r="AC1620">
        <v>0</v>
      </c>
      <c r="AD1620">
        <v>0</v>
      </c>
      <c r="AE1620">
        <v>0</v>
      </c>
      <c r="AF1620">
        <v>0</v>
      </c>
      <c r="AG1620">
        <v>0</v>
      </c>
      <c r="AH1620">
        <v>0</v>
      </c>
      <c r="AI1620">
        <v>0</v>
      </c>
      <c r="AJ1620">
        <v>0</v>
      </c>
      <c r="AK1620">
        <v>0</v>
      </c>
      <c r="AL1620">
        <v>0</v>
      </c>
      <c r="AM1620">
        <v>8.58</v>
      </c>
      <c r="AN1620">
        <v>0</v>
      </c>
      <c r="AO1620">
        <v>0</v>
      </c>
      <c r="AP1620">
        <v>0</v>
      </c>
      <c r="AQ1620">
        <v>0</v>
      </c>
      <c r="AR1620">
        <v>0</v>
      </c>
      <c r="AS1620">
        <v>0</v>
      </c>
      <c r="AT1620">
        <v>0</v>
      </c>
      <c r="AU1620">
        <v>0</v>
      </c>
      <c r="AV1620">
        <v>0</v>
      </c>
      <c r="AW1620">
        <v>0</v>
      </c>
      <c r="AX1620">
        <v>0</v>
      </c>
      <c r="AY1620">
        <v>0</v>
      </c>
      <c r="AZ1620">
        <v>0</v>
      </c>
      <c r="BA1620">
        <v>0</v>
      </c>
      <c r="BB1620">
        <v>0</v>
      </c>
      <c r="BC1620">
        <v>0</v>
      </c>
      <c r="BD1620">
        <v>0</v>
      </c>
      <c r="BE1620">
        <v>0</v>
      </c>
      <c r="BF1620">
        <v>0</v>
      </c>
      <c r="BG1620">
        <v>0</v>
      </c>
      <c r="BH1620">
        <v>1</v>
      </c>
      <c r="BI1620">
        <v>1</v>
      </c>
      <c r="BJ1620">
        <v>0.2</v>
      </c>
      <c r="BK1620">
        <v>1</v>
      </c>
      <c r="BL1620" s="4">
        <v>50.45</v>
      </c>
      <c r="BM1620" s="4">
        <v>7.57</v>
      </c>
      <c r="BN1620" s="4">
        <v>58.02</v>
      </c>
      <c r="BO1620" s="4">
        <v>58.02</v>
      </c>
      <c r="BR1620" t="s">
        <v>84</v>
      </c>
      <c r="BS1620" s="3">
        <v>43817</v>
      </c>
      <c r="BT1620" s="5">
        <v>0.40763888888888888</v>
      </c>
      <c r="BU1620" t="s">
        <v>2038</v>
      </c>
      <c r="BV1620" t="s">
        <v>86</v>
      </c>
      <c r="BY1620">
        <v>1200</v>
      </c>
      <c r="CA1620" t="s">
        <v>168</v>
      </c>
      <c r="CC1620" t="s">
        <v>165</v>
      </c>
      <c r="CD1620">
        <v>5201</v>
      </c>
      <c r="CE1620" t="s">
        <v>88</v>
      </c>
      <c r="CF1620" s="3">
        <v>43819</v>
      </c>
      <c r="CI1620">
        <v>1</v>
      </c>
      <c r="CJ1620">
        <v>1</v>
      </c>
      <c r="CK1620">
        <v>21</v>
      </c>
      <c r="CL1620" t="s">
        <v>89</v>
      </c>
    </row>
    <row r="1621" spans="1:90">
      <c r="A1621" t="s">
        <v>72</v>
      </c>
      <c r="B1621" t="s">
        <v>73</v>
      </c>
      <c r="C1621" t="s">
        <v>74</v>
      </c>
      <c r="E1621" t="str">
        <f>"FES1162728596"</f>
        <v>FES1162728596</v>
      </c>
      <c r="F1621" s="3">
        <v>43816</v>
      </c>
      <c r="G1621">
        <v>202006</v>
      </c>
      <c r="H1621" t="s">
        <v>75</v>
      </c>
      <c r="I1621" t="s">
        <v>76</v>
      </c>
      <c r="J1621" t="s">
        <v>77</v>
      </c>
      <c r="K1621" t="s">
        <v>78</v>
      </c>
      <c r="L1621" t="s">
        <v>714</v>
      </c>
      <c r="M1621" t="s">
        <v>715</v>
      </c>
      <c r="N1621" t="s">
        <v>1015</v>
      </c>
      <c r="O1621" t="s">
        <v>82</v>
      </c>
      <c r="P1621" t="str">
        <f>"217071802                     "</f>
        <v xml:space="preserve">217071802                     </v>
      </c>
      <c r="Q1621">
        <v>0</v>
      </c>
      <c r="R1621">
        <v>0</v>
      </c>
      <c r="S1621">
        <v>0</v>
      </c>
      <c r="T1621">
        <v>0</v>
      </c>
      <c r="U1621">
        <v>0</v>
      </c>
      <c r="V1621">
        <v>0</v>
      </c>
      <c r="W1621">
        <v>0</v>
      </c>
      <c r="X1621">
        <v>0</v>
      </c>
      <c r="Y1621">
        <v>0</v>
      </c>
      <c r="Z1621">
        <v>0</v>
      </c>
      <c r="AA1621">
        <v>0</v>
      </c>
      <c r="AB1621">
        <v>0</v>
      </c>
      <c r="AC1621">
        <v>0</v>
      </c>
      <c r="AD1621">
        <v>0</v>
      </c>
      <c r="AE1621">
        <v>0</v>
      </c>
      <c r="AF1621">
        <v>0</v>
      </c>
      <c r="AG1621">
        <v>0</v>
      </c>
      <c r="AH1621">
        <v>0</v>
      </c>
      <c r="AI1621">
        <v>0</v>
      </c>
      <c r="AJ1621">
        <v>0</v>
      </c>
      <c r="AK1621">
        <v>0</v>
      </c>
      <c r="AL1621">
        <v>0</v>
      </c>
      <c r="AM1621">
        <v>6.71</v>
      </c>
      <c r="AN1621">
        <v>0</v>
      </c>
      <c r="AO1621">
        <v>0</v>
      </c>
      <c r="AP1621">
        <v>0</v>
      </c>
      <c r="AQ1621">
        <v>0</v>
      </c>
      <c r="AR1621">
        <v>0</v>
      </c>
      <c r="AS1621">
        <v>0</v>
      </c>
      <c r="AT1621">
        <v>0</v>
      </c>
      <c r="AU1621">
        <v>0</v>
      </c>
      <c r="AV1621">
        <v>0</v>
      </c>
      <c r="AW1621">
        <v>0</v>
      </c>
      <c r="AX1621">
        <v>0</v>
      </c>
      <c r="AY1621">
        <v>0</v>
      </c>
      <c r="AZ1621">
        <v>0</v>
      </c>
      <c r="BA1621">
        <v>0</v>
      </c>
      <c r="BB1621">
        <v>0</v>
      </c>
      <c r="BC1621">
        <v>0</v>
      </c>
      <c r="BD1621">
        <v>0</v>
      </c>
      <c r="BE1621">
        <v>0</v>
      </c>
      <c r="BF1621">
        <v>0</v>
      </c>
      <c r="BG1621">
        <v>0</v>
      </c>
      <c r="BH1621">
        <v>1</v>
      </c>
      <c r="BI1621">
        <v>1</v>
      </c>
      <c r="BJ1621">
        <v>0.2</v>
      </c>
      <c r="BK1621">
        <v>1</v>
      </c>
      <c r="BL1621" s="4">
        <v>39.42</v>
      </c>
      <c r="BM1621" s="4">
        <v>5.91</v>
      </c>
      <c r="BN1621" s="4">
        <v>45.33</v>
      </c>
      <c r="BO1621" s="4">
        <v>45.33</v>
      </c>
      <c r="BQ1621" t="s">
        <v>1016</v>
      </c>
      <c r="BR1621" t="s">
        <v>84</v>
      </c>
      <c r="BS1621" s="3">
        <v>43817</v>
      </c>
      <c r="BT1621" s="5">
        <v>0.375</v>
      </c>
      <c r="BU1621" t="s">
        <v>1870</v>
      </c>
      <c r="BV1621" t="s">
        <v>86</v>
      </c>
      <c r="BY1621">
        <v>1200</v>
      </c>
      <c r="CA1621" t="s">
        <v>1350</v>
      </c>
      <c r="CC1621" t="s">
        <v>715</v>
      </c>
      <c r="CD1621">
        <v>1559</v>
      </c>
      <c r="CE1621" t="s">
        <v>88</v>
      </c>
      <c r="CF1621" s="3">
        <v>43818</v>
      </c>
      <c r="CI1621">
        <v>1</v>
      </c>
      <c r="CJ1621">
        <v>1</v>
      </c>
      <c r="CK1621">
        <v>22</v>
      </c>
      <c r="CL1621" t="s">
        <v>89</v>
      </c>
    </row>
    <row r="1622" spans="1:90">
      <c r="A1622" t="s">
        <v>72</v>
      </c>
      <c r="B1622" t="s">
        <v>73</v>
      </c>
      <c r="C1622" t="s">
        <v>74</v>
      </c>
      <c r="E1622" t="str">
        <f>"FES1162728578"</f>
        <v>FES1162728578</v>
      </c>
      <c r="F1622" s="3">
        <v>43816</v>
      </c>
      <c r="G1622">
        <v>202006</v>
      </c>
      <c r="H1622" t="s">
        <v>75</v>
      </c>
      <c r="I1622" t="s">
        <v>76</v>
      </c>
      <c r="J1622" t="s">
        <v>77</v>
      </c>
      <c r="K1622" t="s">
        <v>78</v>
      </c>
      <c r="L1622" t="s">
        <v>714</v>
      </c>
      <c r="M1622" t="s">
        <v>715</v>
      </c>
      <c r="N1622" t="s">
        <v>716</v>
      </c>
      <c r="O1622" t="s">
        <v>82</v>
      </c>
      <c r="P1622" t="str">
        <f>"217071439                     "</f>
        <v xml:space="preserve">217071439                     </v>
      </c>
      <c r="Q1622">
        <v>0</v>
      </c>
      <c r="R1622">
        <v>0</v>
      </c>
      <c r="S1622">
        <v>0</v>
      </c>
      <c r="T1622">
        <v>0</v>
      </c>
      <c r="U1622">
        <v>0</v>
      </c>
      <c r="V1622">
        <v>0</v>
      </c>
      <c r="W1622">
        <v>0</v>
      </c>
      <c r="X1622">
        <v>0</v>
      </c>
      <c r="Y1622">
        <v>0</v>
      </c>
      <c r="Z1622">
        <v>0</v>
      </c>
      <c r="AA1622">
        <v>0</v>
      </c>
      <c r="AB1622">
        <v>0</v>
      </c>
      <c r="AC1622">
        <v>0</v>
      </c>
      <c r="AD1622">
        <v>0</v>
      </c>
      <c r="AE1622">
        <v>0</v>
      </c>
      <c r="AF1622">
        <v>0</v>
      </c>
      <c r="AG1622">
        <v>0</v>
      </c>
      <c r="AH1622">
        <v>0</v>
      </c>
      <c r="AI1622">
        <v>0</v>
      </c>
      <c r="AJ1622">
        <v>0</v>
      </c>
      <c r="AK1622">
        <v>0</v>
      </c>
      <c r="AL1622">
        <v>0</v>
      </c>
      <c r="AM1622">
        <v>6.71</v>
      </c>
      <c r="AN1622">
        <v>0</v>
      </c>
      <c r="AO1622">
        <v>0</v>
      </c>
      <c r="AP1622">
        <v>0</v>
      </c>
      <c r="AQ1622">
        <v>0</v>
      </c>
      <c r="AR1622">
        <v>0</v>
      </c>
      <c r="AS1622">
        <v>0</v>
      </c>
      <c r="AT1622">
        <v>0</v>
      </c>
      <c r="AU1622">
        <v>0</v>
      </c>
      <c r="AV1622">
        <v>0</v>
      </c>
      <c r="AW1622">
        <v>0</v>
      </c>
      <c r="AX1622">
        <v>0</v>
      </c>
      <c r="AY1622">
        <v>0</v>
      </c>
      <c r="AZ1622">
        <v>0</v>
      </c>
      <c r="BA1622">
        <v>0</v>
      </c>
      <c r="BB1622">
        <v>0</v>
      </c>
      <c r="BC1622">
        <v>0</v>
      </c>
      <c r="BD1622">
        <v>0</v>
      </c>
      <c r="BE1622">
        <v>0</v>
      </c>
      <c r="BF1622">
        <v>0</v>
      </c>
      <c r="BG1622">
        <v>0</v>
      </c>
      <c r="BH1622">
        <v>1</v>
      </c>
      <c r="BI1622">
        <v>1</v>
      </c>
      <c r="BJ1622">
        <v>0.2</v>
      </c>
      <c r="BK1622">
        <v>1</v>
      </c>
      <c r="BL1622" s="4">
        <v>39.42</v>
      </c>
      <c r="BM1622" s="4">
        <v>5.91</v>
      </c>
      <c r="BN1622" s="4">
        <v>45.33</v>
      </c>
      <c r="BO1622" s="4">
        <v>45.33</v>
      </c>
      <c r="BQ1622" t="s">
        <v>135</v>
      </c>
      <c r="BR1622" t="s">
        <v>84</v>
      </c>
      <c r="BS1622" s="3">
        <v>43817</v>
      </c>
      <c r="BT1622" s="5">
        <v>0.375</v>
      </c>
      <c r="BU1622" t="s">
        <v>142</v>
      </c>
      <c r="BV1622" t="s">
        <v>86</v>
      </c>
      <c r="BY1622">
        <v>1200</v>
      </c>
      <c r="CC1622" t="s">
        <v>715</v>
      </c>
      <c r="CD1622">
        <v>1559</v>
      </c>
      <c r="CE1622" t="s">
        <v>88</v>
      </c>
      <c r="CF1622" s="3">
        <v>43818</v>
      </c>
      <c r="CI1622">
        <v>1</v>
      </c>
      <c r="CJ1622">
        <v>1</v>
      </c>
      <c r="CK1622">
        <v>22</v>
      </c>
      <c r="CL1622" t="s">
        <v>89</v>
      </c>
    </row>
    <row r="1623" spans="1:90">
      <c r="A1623" t="s">
        <v>72</v>
      </c>
      <c r="B1623" t="s">
        <v>73</v>
      </c>
      <c r="C1623" t="s">
        <v>74</v>
      </c>
      <c r="E1623" t="str">
        <f>"FES1162728479"</f>
        <v>FES1162728479</v>
      </c>
      <c r="F1623" s="3">
        <v>43816</v>
      </c>
      <c r="G1623">
        <v>202006</v>
      </c>
      <c r="H1623" t="s">
        <v>75</v>
      </c>
      <c r="I1623" t="s">
        <v>76</v>
      </c>
      <c r="J1623" t="s">
        <v>77</v>
      </c>
      <c r="K1623" t="s">
        <v>78</v>
      </c>
      <c r="L1623" t="s">
        <v>169</v>
      </c>
      <c r="M1623" t="s">
        <v>170</v>
      </c>
      <c r="N1623" t="s">
        <v>1754</v>
      </c>
      <c r="O1623" t="s">
        <v>82</v>
      </c>
      <c r="P1623" t="str">
        <f>"217071718                     "</f>
        <v xml:space="preserve">217071718                     </v>
      </c>
      <c r="Q1623">
        <v>0</v>
      </c>
      <c r="R1623">
        <v>0</v>
      </c>
      <c r="S1623">
        <v>0</v>
      </c>
      <c r="T1623">
        <v>0</v>
      </c>
      <c r="U1623">
        <v>0</v>
      </c>
      <c r="V1623">
        <v>0</v>
      </c>
      <c r="W1623">
        <v>0</v>
      </c>
      <c r="X1623">
        <v>0</v>
      </c>
      <c r="Y1623">
        <v>0</v>
      </c>
      <c r="Z1623">
        <v>0</v>
      </c>
      <c r="AA1623">
        <v>0</v>
      </c>
      <c r="AB1623">
        <v>0</v>
      </c>
      <c r="AC1623">
        <v>0</v>
      </c>
      <c r="AD1623">
        <v>0</v>
      </c>
      <c r="AE1623">
        <v>0</v>
      </c>
      <c r="AF1623">
        <v>0</v>
      </c>
      <c r="AG1623">
        <v>0</v>
      </c>
      <c r="AH1623">
        <v>0</v>
      </c>
      <c r="AI1623">
        <v>0</v>
      </c>
      <c r="AJ1623">
        <v>0</v>
      </c>
      <c r="AK1623">
        <v>0</v>
      </c>
      <c r="AL1623">
        <v>0</v>
      </c>
      <c r="AM1623">
        <v>6.71</v>
      </c>
      <c r="AN1623">
        <v>0</v>
      </c>
      <c r="AO1623">
        <v>0</v>
      </c>
      <c r="AP1623">
        <v>0</v>
      </c>
      <c r="AQ1623">
        <v>0</v>
      </c>
      <c r="AR1623">
        <v>0</v>
      </c>
      <c r="AS1623">
        <v>0</v>
      </c>
      <c r="AT1623">
        <v>0</v>
      </c>
      <c r="AU1623">
        <v>0</v>
      </c>
      <c r="AV1623">
        <v>0</v>
      </c>
      <c r="AW1623">
        <v>0</v>
      </c>
      <c r="AX1623">
        <v>0</v>
      </c>
      <c r="AY1623">
        <v>0</v>
      </c>
      <c r="AZ1623">
        <v>0</v>
      </c>
      <c r="BA1623">
        <v>0</v>
      </c>
      <c r="BB1623">
        <v>0</v>
      </c>
      <c r="BC1623">
        <v>0</v>
      </c>
      <c r="BD1623">
        <v>0</v>
      </c>
      <c r="BE1623">
        <v>0</v>
      </c>
      <c r="BF1623">
        <v>0</v>
      </c>
      <c r="BG1623">
        <v>0</v>
      </c>
      <c r="BH1623">
        <v>1</v>
      </c>
      <c r="BI1623">
        <v>1</v>
      </c>
      <c r="BJ1623">
        <v>0.2</v>
      </c>
      <c r="BK1623">
        <v>1</v>
      </c>
      <c r="BL1623" s="4">
        <v>39.42</v>
      </c>
      <c r="BM1623" s="4">
        <v>5.91</v>
      </c>
      <c r="BN1623" s="4">
        <v>45.33</v>
      </c>
      <c r="BO1623" s="4">
        <v>45.33</v>
      </c>
      <c r="BQ1623" t="s">
        <v>147</v>
      </c>
      <c r="BR1623" t="s">
        <v>84</v>
      </c>
      <c r="BS1623" s="3">
        <v>43817</v>
      </c>
      <c r="BT1623" s="5">
        <v>0.29722222222222222</v>
      </c>
      <c r="BU1623" t="s">
        <v>1857</v>
      </c>
      <c r="BV1623" t="s">
        <v>86</v>
      </c>
      <c r="BY1623">
        <v>1200</v>
      </c>
      <c r="CA1623" t="s">
        <v>174</v>
      </c>
      <c r="CC1623" t="s">
        <v>170</v>
      </c>
      <c r="CD1623">
        <v>1459</v>
      </c>
      <c r="CE1623" t="s">
        <v>88</v>
      </c>
      <c r="CF1623" s="3">
        <v>43818</v>
      </c>
      <c r="CI1623">
        <v>1</v>
      </c>
      <c r="CJ1623">
        <v>1</v>
      </c>
      <c r="CK1623">
        <v>22</v>
      </c>
      <c r="CL1623" t="s">
        <v>89</v>
      </c>
    </row>
    <row r="1624" spans="1:90">
      <c r="A1624" t="s">
        <v>72</v>
      </c>
      <c r="B1624" t="s">
        <v>73</v>
      </c>
      <c r="C1624" t="s">
        <v>74</v>
      </c>
      <c r="E1624" t="str">
        <f>"FES1162728491"</f>
        <v>FES1162728491</v>
      </c>
      <c r="F1624" s="3">
        <v>43816</v>
      </c>
      <c r="G1624">
        <v>202006</v>
      </c>
      <c r="H1624" t="s">
        <v>75</v>
      </c>
      <c r="I1624" t="s">
        <v>76</v>
      </c>
      <c r="J1624" t="s">
        <v>77</v>
      </c>
      <c r="K1624" t="s">
        <v>78</v>
      </c>
      <c r="L1624" t="s">
        <v>138</v>
      </c>
      <c r="M1624" t="s">
        <v>139</v>
      </c>
      <c r="N1624" t="s">
        <v>140</v>
      </c>
      <c r="O1624" t="s">
        <v>82</v>
      </c>
      <c r="P1624" t="str">
        <f>"217071728                     "</f>
        <v xml:space="preserve">217071728                     </v>
      </c>
      <c r="Q1624">
        <v>0</v>
      </c>
      <c r="R1624">
        <v>0</v>
      </c>
      <c r="S1624">
        <v>0</v>
      </c>
      <c r="T1624">
        <v>0</v>
      </c>
      <c r="U1624">
        <v>0</v>
      </c>
      <c r="V1624">
        <v>0</v>
      </c>
      <c r="W1624">
        <v>0</v>
      </c>
      <c r="X1624">
        <v>0</v>
      </c>
      <c r="Y1624">
        <v>0</v>
      </c>
      <c r="Z1624">
        <v>0</v>
      </c>
      <c r="AA1624">
        <v>0</v>
      </c>
      <c r="AB1624">
        <v>0</v>
      </c>
      <c r="AC1624">
        <v>0</v>
      </c>
      <c r="AD1624">
        <v>0</v>
      </c>
      <c r="AE1624">
        <v>0</v>
      </c>
      <c r="AF1624">
        <v>0</v>
      </c>
      <c r="AG1624">
        <v>0</v>
      </c>
      <c r="AH1624">
        <v>0</v>
      </c>
      <c r="AI1624">
        <v>0</v>
      </c>
      <c r="AJ1624">
        <v>0</v>
      </c>
      <c r="AK1624">
        <v>0</v>
      </c>
      <c r="AL1624">
        <v>0</v>
      </c>
      <c r="AM1624">
        <v>6.71</v>
      </c>
      <c r="AN1624">
        <v>0</v>
      </c>
      <c r="AO1624">
        <v>0</v>
      </c>
      <c r="AP1624">
        <v>0</v>
      </c>
      <c r="AQ1624">
        <v>0</v>
      </c>
      <c r="AR1624">
        <v>0</v>
      </c>
      <c r="AS1624">
        <v>0</v>
      </c>
      <c r="AT1624">
        <v>0</v>
      </c>
      <c r="AU1624">
        <v>0</v>
      </c>
      <c r="AV1624">
        <v>0</v>
      </c>
      <c r="AW1624">
        <v>0</v>
      </c>
      <c r="AX1624">
        <v>0</v>
      </c>
      <c r="AY1624">
        <v>0</v>
      </c>
      <c r="AZ1624">
        <v>0</v>
      </c>
      <c r="BA1624">
        <v>0</v>
      </c>
      <c r="BB1624">
        <v>0</v>
      </c>
      <c r="BC1624">
        <v>0</v>
      </c>
      <c r="BD1624">
        <v>0</v>
      </c>
      <c r="BE1624">
        <v>0</v>
      </c>
      <c r="BF1624">
        <v>0</v>
      </c>
      <c r="BG1624">
        <v>0</v>
      </c>
      <c r="BH1624">
        <v>1</v>
      </c>
      <c r="BI1624">
        <v>1</v>
      </c>
      <c r="BJ1624">
        <v>0.2</v>
      </c>
      <c r="BK1624">
        <v>1</v>
      </c>
      <c r="BL1624" s="4">
        <v>39.42</v>
      </c>
      <c r="BM1624" s="4">
        <v>5.91</v>
      </c>
      <c r="BN1624" s="4">
        <v>45.33</v>
      </c>
      <c r="BO1624" s="4">
        <v>45.33</v>
      </c>
      <c r="BQ1624" t="s">
        <v>436</v>
      </c>
      <c r="BR1624" t="s">
        <v>84</v>
      </c>
      <c r="BS1624" s="3">
        <v>43817</v>
      </c>
      <c r="BT1624" s="5">
        <v>0.56944444444444442</v>
      </c>
      <c r="BU1624" t="s">
        <v>2039</v>
      </c>
      <c r="BV1624" t="s">
        <v>89</v>
      </c>
      <c r="BW1624" t="s">
        <v>228</v>
      </c>
      <c r="BX1624" t="s">
        <v>1066</v>
      </c>
      <c r="BY1624">
        <v>1200</v>
      </c>
      <c r="CA1624" t="s">
        <v>344</v>
      </c>
      <c r="CC1624" t="s">
        <v>139</v>
      </c>
      <c r="CD1624">
        <v>1401</v>
      </c>
      <c r="CE1624" t="s">
        <v>88</v>
      </c>
      <c r="CF1624" s="3">
        <v>43818</v>
      </c>
      <c r="CI1624">
        <v>1</v>
      </c>
      <c r="CJ1624">
        <v>1</v>
      </c>
      <c r="CK1624">
        <v>22</v>
      </c>
      <c r="CL1624" t="s">
        <v>89</v>
      </c>
    </row>
    <row r="1625" spans="1:90">
      <c r="A1625" t="s">
        <v>72</v>
      </c>
      <c r="B1625" t="s">
        <v>73</v>
      </c>
      <c r="C1625" t="s">
        <v>74</v>
      </c>
      <c r="E1625" t="str">
        <f>"FES1162728597"</f>
        <v>FES1162728597</v>
      </c>
      <c r="F1625" s="3">
        <v>43816</v>
      </c>
      <c r="G1625">
        <v>202006</v>
      </c>
      <c r="H1625" t="s">
        <v>75</v>
      </c>
      <c r="I1625" t="s">
        <v>76</v>
      </c>
      <c r="J1625" t="s">
        <v>77</v>
      </c>
      <c r="K1625" t="s">
        <v>78</v>
      </c>
      <c r="L1625" t="s">
        <v>714</v>
      </c>
      <c r="M1625" t="s">
        <v>715</v>
      </c>
      <c r="N1625" t="s">
        <v>1015</v>
      </c>
      <c r="O1625" t="s">
        <v>82</v>
      </c>
      <c r="P1625" t="str">
        <f>"217071811                     "</f>
        <v xml:space="preserve">217071811                     </v>
      </c>
      <c r="Q1625">
        <v>0</v>
      </c>
      <c r="R1625">
        <v>0</v>
      </c>
      <c r="S1625">
        <v>0</v>
      </c>
      <c r="T1625">
        <v>0</v>
      </c>
      <c r="U1625">
        <v>0</v>
      </c>
      <c r="V1625">
        <v>0</v>
      </c>
      <c r="W1625">
        <v>0</v>
      </c>
      <c r="X1625">
        <v>0</v>
      </c>
      <c r="Y1625">
        <v>0</v>
      </c>
      <c r="Z1625">
        <v>0</v>
      </c>
      <c r="AA1625">
        <v>0</v>
      </c>
      <c r="AB1625">
        <v>0</v>
      </c>
      <c r="AC1625">
        <v>0</v>
      </c>
      <c r="AD1625">
        <v>0</v>
      </c>
      <c r="AE1625">
        <v>0</v>
      </c>
      <c r="AF1625">
        <v>0</v>
      </c>
      <c r="AG1625">
        <v>0</v>
      </c>
      <c r="AH1625">
        <v>0</v>
      </c>
      <c r="AI1625">
        <v>0</v>
      </c>
      <c r="AJ1625">
        <v>0</v>
      </c>
      <c r="AK1625">
        <v>0</v>
      </c>
      <c r="AL1625">
        <v>0</v>
      </c>
      <c r="AM1625">
        <v>6.71</v>
      </c>
      <c r="AN1625">
        <v>0</v>
      </c>
      <c r="AO1625">
        <v>0</v>
      </c>
      <c r="AP1625">
        <v>0</v>
      </c>
      <c r="AQ1625">
        <v>0</v>
      </c>
      <c r="AR1625">
        <v>0</v>
      </c>
      <c r="AS1625">
        <v>0</v>
      </c>
      <c r="AT1625">
        <v>0</v>
      </c>
      <c r="AU1625">
        <v>0</v>
      </c>
      <c r="AV1625">
        <v>0</v>
      </c>
      <c r="AW1625">
        <v>0</v>
      </c>
      <c r="AX1625">
        <v>0</v>
      </c>
      <c r="AY1625">
        <v>0</v>
      </c>
      <c r="AZ1625">
        <v>0</v>
      </c>
      <c r="BA1625">
        <v>0</v>
      </c>
      <c r="BB1625">
        <v>0</v>
      </c>
      <c r="BC1625">
        <v>0</v>
      </c>
      <c r="BD1625">
        <v>0</v>
      </c>
      <c r="BE1625">
        <v>0</v>
      </c>
      <c r="BF1625">
        <v>0</v>
      </c>
      <c r="BG1625">
        <v>0</v>
      </c>
      <c r="BH1625">
        <v>1</v>
      </c>
      <c r="BI1625">
        <v>1</v>
      </c>
      <c r="BJ1625">
        <v>0.2</v>
      </c>
      <c r="BK1625">
        <v>1</v>
      </c>
      <c r="BL1625" s="4">
        <v>39.42</v>
      </c>
      <c r="BM1625" s="4">
        <v>5.91</v>
      </c>
      <c r="BN1625" s="4">
        <v>45.33</v>
      </c>
      <c r="BO1625" s="4">
        <v>45.33</v>
      </c>
      <c r="BQ1625" t="s">
        <v>1016</v>
      </c>
      <c r="BR1625" t="s">
        <v>84</v>
      </c>
      <c r="BS1625" s="3">
        <v>43817</v>
      </c>
      <c r="BT1625" s="5">
        <v>0.375</v>
      </c>
      <c r="BU1625" t="s">
        <v>1870</v>
      </c>
      <c r="BV1625" t="s">
        <v>86</v>
      </c>
      <c r="BY1625">
        <v>1200</v>
      </c>
      <c r="CA1625" t="s">
        <v>1350</v>
      </c>
      <c r="CC1625" t="s">
        <v>715</v>
      </c>
      <c r="CD1625">
        <v>1559</v>
      </c>
      <c r="CE1625" t="s">
        <v>88</v>
      </c>
      <c r="CF1625" s="3">
        <v>43818</v>
      </c>
      <c r="CI1625">
        <v>1</v>
      </c>
      <c r="CJ1625">
        <v>1</v>
      </c>
      <c r="CK1625">
        <v>22</v>
      </c>
      <c r="CL1625" t="s">
        <v>89</v>
      </c>
    </row>
    <row r="1626" spans="1:90">
      <c r="A1626" t="s">
        <v>72</v>
      </c>
      <c r="B1626" t="s">
        <v>73</v>
      </c>
      <c r="C1626" t="s">
        <v>74</v>
      </c>
      <c r="E1626" t="str">
        <f>"FES1162728405"</f>
        <v>FES1162728405</v>
      </c>
      <c r="F1626" s="3">
        <v>43816</v>
      </c>
      <c r="G1626">
        <v>202006</v>
      </c>
      <c r="H1626" t="s">
        <v>75</v>
      </c>
      <c r="I1626" t="s">
        <v>76</v>
      </c>
      <c r="J1626" t="s">
        <v>77</v>
      </c>
      <c r="K1626" t="s">
        <v>78</v>
      </c>
      <c r="L1626" t="s">
        <v>714</v>
      </c>
      <c r="M1626" t="s">
        <v>715</v>
      </c>
      <c r="N1626" t="s">
        <v>1780</v>
      </c>
      <c r="O1626" t="s">
        <v>82</v>
      </c>
      <c r="P1626" t="str">
        <f>"2170718490                    "</f>
        <v xml:space="preserve">2170718490                    </v>
      </c>
      <c r="Q1626">
        <v>0</v>
      </c>
      <c r="R1626">
        <v>0</v>
      </c>
      <c r="S1626">
        <v>0</v>
      </c>
      <c r="T1626">
        <v>0</v>
      </c>
      <c r="U1626">
        <v>0</v>
      </c>
      <c r="V1626">
        <v>0</v>
      </c>
      <c r="W1626">
        <v>0</v>
      </c>
      <c r="X1626">
        <v>0</v>
      </c>
      <c r="Y1626">
        <v>0</v>
      </c>
      <c r="Z1626">
        <v>0</v>
      </c>
      <c r="AA1626">
        <v>0</v>
      </c>
      <c r="AB1626">
        <v>0</v>
      </c>
      <c r="AC1626">
        <v>0</v>
      </c>
      <c r="AD1626">
        <v>0</v>
      </c>
      <c r="AE1626">
        <v>0</v>
      </c>
      <c r="AF1626">
        <v>0</v>
      </c>
      <c r="AG1626">
        <v>0</v>
      </c>
      <c r="AH1626">
        <v>0</v>
      </c>
      <c r="AI1626">
        <v>0</v>
      </c>
      <c r="AJ1626">
        <v>0</v>
      </c>
      <c r="AK1626">
        <v>0</v>
      </c>
      <c r="AL1626">
        <v>0</v>
      </c>
      <c r="AM1626">
        <v>9.1199999999999992</v>
      </c>
      <c r="AN1626">
        <v>0</v>
      </c>
      <c r="AO1626">
        <v>0</v>
      </c>
      <c r="AP1626">
        <v>0</v>
      </c>
      <c r="AQ1626">
        <v>0</v>
      </c>
      <c r="AR1626">
        <v>0</v>
      </c>
      <c r="AS1626">
        <v>0</v>
      </c>
      <c r="AT1626">
        <v>0</v>
      </c>
      <c r="AU1626">
        <v>0</v>
      </c>
      <c r="AV1626">
        <v>0</v>
      </c>
      <c r="AW1626">
        <v>0</v>
      </c>
      <c r="AX1626">
        <v>0</v>
      </c>
      <c r="AY1626">
        <v>0</v>
      </c>
      <c r="AZ1626">
        <v>0</v>
      </c>
      <c r="BA1626">
        <v>0</v>
      </c>
      <c r="BB1626">
        <v>0</v>
      </c>
      <c r="BC1626">
        <v>0</v>
      </c>
      <c r="BD1626">
        <v>0</v>
      </c>
      <c r="BE1626">
        <v>0</v>
      </c>
      <c r="BF1626">
        <v>0</v>
      </c>
      <c r="BG1626">
        <v>0</v>
      </c>
      <c r="BH1626">
        <v>1</v>
      </c>
      <c r="BI1626">
        <v>1.6</v>
      </c>
      <c r="BJ1626">
        <v>3.1</v>
      </c>
      <c r="BK1626">
        <v>3.5</v>
      </c>
      <c r="BL1626" s="4">
        <v>53.59</v>
      </c>
      <c r="BM1626" s="4">
        <v>8.0399999999999991</v>
      </c>
      <c r="BN1626" s="4">
        <v>61.63</v>
      </c>
      <c r="BO1626" s="4">
        <v>61.63</v>
      </c>
      <c r="BQ1626" t="s">
        <v>1781</v>
      </c>
      <c r="BR1626" t="s">
        <v>84</v>
      </c>
      <c r="BS1626" s="3">
        <v>43817</v>
      </c>
      <c r="BT1626" s="5">
        <v>0.36249999999999999</v>
      </c>
      <c r="BU1626" t="s">
        <v>2040</v>
      </c>
      <c r="BV1626" t="s">
        <v>86</v>
      </c>
      <c r="BY1626">
        <v>15747.2</v>
      </c>
      <c r="CA1626" t="s">
        <v>1350</v>
      </c>
      <c r="CC1626" t="s">
        <v>715</v>
      </c>
      <c r="CD1626">
        <v>1559</v>
      </c>
      <c r="CE1626" t="s">
        <v>96</v>
      </c>
      <c r="CF1626" s="3">
        <v>43818</v>
      </c>
      <c r="CI1626">
        <v>1</v>
      </c>
      <c r="CJ1626">
        <v>1</v>
      </c>
      <c r="CK1626">
        <v>22</v>
      </c>
      <c r="CL1626" t="s">
        <v>89</v>
      </c>
    </row>
    <row r="1627" spans="1:90">
      <c r="A1627" t="s">
        <v>72</v>
      </c>
      <c r="B1627" t="s">
        <v>73</v>
      </c>
      <c r="C1627" t="s">
        <v>74</v>
      </c>
      <c r="E1627" t="str">
        <f>"FES1162728419"</f>
        <v>FES1162728419</v>
      </c>
      <c r="F1627" s="3">
        <v>43816</v>
      </c>
      <c r="G1627">
        <v>202006</v>
      </c>
      <c r="H1627" t="s">
        <v>75</v>
      </c>
      <c r="I1627" t="s">
        <v>76</v>
      </c>
      <c r="J1627" t="s">
        <v>77</v>
      </c>
      <c r="K1627" t="s">
        <v>78</v>
      </c>
      <c r="L1627" t="s">
        <v>169</v>
      </c>
      <c r="M1627" t="s">
        <v>170</v>
      </c>
      <c r="N1627" t="s">
        <v>772</v>
      </c>
      <c r="O1627" t="s">
        <v>82</v>
      </c>
      <c r="P1627" t="str">
        <f>"2170718810                    "</f>
        <v xml:space="preserve">2170718810                    </v>
      </c>
      <c r="Q1627">
        <v>0</v>
      </c>
      <c r="R1627">
        <v>0</v>
      </c>
      <c r="S1627">
        <v>0</v>
      </c>
      <c r="T1627">
        <v>0</v>
      </c>
      <c r="U1627">
        <v>0</v>
      </c>
      <c r="V1627">
        <v>0</v>
      </c>
      <c r="W1627">
        <v>0</v>
      </c>
      <c r="X1627">
        <v>0</v>
      </c>
      <c r="Y1627">
        <v>0</v>
      </c>
      <c r="Z1627">
        <v>0</v>
      </c>
      <c r="AA1627">
        <v>0</v>
      </c>
      <c r="AB1627">
        <v>0</v>
      </c>
      <c r="AC1627">
        <v>0</v>
      </c>
      <c r="AD1627">
        <v>0</v>
      </c>
      <c r="AE1627">
        <v>0</v>
      </c>
      <c r="AF1627">
        <v>0</v>
      </c>
      <c r="AG1627">
        <v>0</v>
      </c>
      <c r="AH1627">
        <v>0</v>
      </c>
      <c r="AI1627">
        <v>0</v>
      </c>
      <c r="AJ1627">
        <v>0</v>
      </c>
      <c r="AK1627">
        <v>0</v>
      </c>
      <c r="AL1627">
        <v>0</v>
      </c>
      <c r="AM1627">
        <v>11.53</v>
      </c>
      <c r="AN1627">
        <v>0</v>
      </c>
      <c r="AO1627">
        <v>0</v>
      </c>
      <c r="AP1627">
        <v>0</v>
      </c>
      <c r="AQ1627">
        <v>0</v>
      </c>
      <c r="AR1627">
        <v>0</v>
      </c>
      <c r="AS1627">
        <v>0</v>
      </c>
      <c r="AT1627">
        <v>0</v>
      </c>
      <c r="AU1627">
        <v>0</v>
      </c>
      <c r="AV1627">
        <v>0</v>
      </c>
      <c r="AW1627">
        <v>0</v>
      </c>
      <c r="AX1627">
        <v>0</v>
      </c>
      <c r="AY1627">
        <v>0</v>
      </c>
      <c r="AZ1627">
        <v>0</v>
      </c>
      <c r="BA1627">
        <v>0</v>
      </c>
      <c r="BB1627">
        <v>0</v>
      </c>
      <c r="BC1627">
        <v>0</v>
      </c>
      <c r="BD1627">
        <v>0</v>
      </c>
      <c r="BE1627">
        <v>0</v>
      </c>
      <c r="BF1627">
        <v>0</v>
      </c>
      <c r="BG1627">
        <v>0</v>
      </c>
      <c r="BH1627">
        <v>1</v>
      </c>
      <c r="BI1627">
        <v>4.9000000000000004</v>
      </c>
      <c r="BJ1627">
        <v>3</v>
      </c>
      <c r="BK1627">
        <v>5</v>
      </c>
      <c r="BL1627" s="4">
        <v>67.760000000000005</v>
      </c>
      <c r="BM1627" s="4">
        <v>10.16</v>
      </c>
      <c r="BN1627" s="4">
        <v>77.92</v>
      </c>
      <c r="BO1627" s="4">
        <v>77.92</v>
      </c>
      <c r="BQ1627" t="s">
        <v>147</v>
      </c>
      <c r="BR1627" t="s">
        <v>84</v>
      </c>
      <c r="BS1627" s="3">
        <v>43817</v>
      </c>
      <c r="BT1627" s="5">
        <v>0.375</v>
      </c>
      <c r="BU1627" t="s">
        <v>638</v>
      </c>
      <c r="BV1627" t="s">
        <v>86</v>
      </c>
      <c r="BY1627">
        <v>15238.3</v>
      </c>
      <c r="CC1627" t="s">
        <v>170</v>
      </c>
      <c r="CD1627">
        <v>1459</v>
      </c>
      <c r="CE1627" t="s">
        <v>96</v>
      </c>
      <c r="CF1627" s="3">
        <v>43818</v>
      </c>
      <c r="CI1627">
        <v>1</v>
      </c>
      <c r="CJ1627">
        <v>1</v>
      </c>
      <c r="CK1627">
        <v>22</v>
      </c>
      <c r="CL1627" t="s">
        <v>89</v>
      </c>
    </row>
    <row r="1628" spans="1:90">
      <c r="A1628" t="s">
        <v>72</v>
      </c>
      <c r="B1628" t="s">
        <v>73</v>
      </c>
      <c r="C1628" t="s">
        <v>74</v>
      </c>
      <c r="E1628" t="str">
        <f>"FES1162728508"</f>
        <v>FES1162728508</v>
      </c>
      <c r="F1628" s="3">
        <v>43816</v>
      </c>
      <c r="G1628">
        <v>202006</v>
      </c>
      <c r="H1628" t="s">
        <v>75</v>
      </c>
      <c r="I1628" t="s">
        <v>76</v>
      </c>
      <c r="J1628" t="s">
        <v>77</v>
      </c>
      <c r="K1628" t="s">
        <v>78</v>
      </c>
      <c r="L1628" t="s">
        <v>340</v>
      </c>
      <c r="M1628" t="s">
        <v>341</v>
      </c>
      <c r="N1628" t="s">
        <v>1180</v>
      </c>
      <c r="O1628" t="s">
        <v>82</v>
      </c>
      <c r="P1628" t="str">
        <f>"217071742                     "</f>
        <v xml:space="preserve">217071742                     </v>
      </c>
      <c r="Q1628">
        <v>0</v>
      </c>
      <c r="R1628">
        <v>0</v>
      </c>
      <c r="S1628">
        <v>0</v>
      </c>
      <c r="T1628">
        <v>0</v>
      </c>
      <c r="U1628">
        <v>0</v>
      </c>
      <c r="V1628">
        <v>0</v>
      </c>
      <c r="W1628">
        <v>0</v>
      </c>
      <c r="X1628">
        <v>0</v>
      </c>
      <c r="Y1628">
        <v>0</v>
      </c>
      <c r="Z1628">
        <v>0</v>
      </c>
      <c r="AA1628">
        <v>0</v>
      </c>
      <c r="AB1628">
        <v>0</v>
      </c>
      <c r="AC1628">
        <v>0</v>
      </c>
      <c r="AD1628">
        <v>0</v>
      </c>
      <c r="AE1628">
        <v>0</v>
      </c>
      <c r="AF1628">
        <v>0</v>
      </c>
      <c r="AG1628">
        <v>0</v>
      </c>
      <c r="AH1628">
        <v>0</v>
      </c>
      <c r="AI1628">
        <v>0</v>
      </c>
      <c r="AJ1628">
        <v>0</v>
      </c>
      <c r="AK1628">
        <v>0</v>
      </c>
      <c r="AL1628">
        <v>0</v>
      </c>
      <c r="AM1628">
        <v>16.63</v>
      </c>
      <c r="AN1628">
        <v>0</v>
      </c>
      <c r="AO1628">
        <v>0</v>
      </c>
      <c r="AP1628">
        <v>0</v>
      </c>
      <c r="AQ1628">
        <v>0</v>
      </c>
      <c r="AR1628">
        <v>0</v>
      </c>
      <c r="AS1628">
        <v>0</v>
      </c>
      <c r="AT1628">
        <v>0</v>
      </c>
      <c r="AU1628">
        <v>0</v>
      </c>
      <c r="AV1628">
        <v>0</v>
      </c>
      <c r="AW1628">
        <v>0</v>
      </c>
      <c r="AX1628">
        <v>0</v>
      </c>
      <c r="AY1628">
        <v>0</v>
      </c>
      <c r="AZ1628">
        <v>0</v>
      </c>
      <c r="BA1628">
        <v>0</v>
      </c>
      <c r="BB1628">
        <v>0</v>
      </c>
      <c r="BC1628">
        <v>0</v>
      </c>
      <c r="BD1628">
        <v>0</v>
      </c>
      <c r="BE1628">
        <v>0</v>
      </c>
      <c r="BF1628">
        <v>0</v>
      </c>
      <c r="BG1628">
        <v>0</v>
      </c>
      <c r="BH1628">
        <v>1</v>
      </c>
      <c r="BI1628">
        <v>2</v>
      </c>
      <c r="BJ1628">
        <v>1.1000000000000001</v>
      </c>
      <c r="BK1628">
        <v>2</v>
      </c>
      <c r="BL1628" s="4">
        <v>97.75</v>
      </c>
      <c r="BM1628" s="4">
        <v>14.66</v>
      </c>
      <c r="BN1628" s="4">
        <v>112.41</v>
      </c>
      <c r="BO1628" s="4">
        <v>112.41</v>
      </c>
      <c r="BQ1628" t="s">
        <v>2041</v>
      </c>
      <c r="BR1628" t="s">
        <v>84</v>
      </c>
      <c r="BS1628" s="3">
        <v>43817</v>
      </c>
      <c r="BT1628" s="5">
        <v>0.4375</v>
      </c>
      <c r="BU1628" t="s">
        <v>2042</v>
      </c>
      <c r="BV1628" t="s">
        <v>86</v>
      </c>
      <c r="BY1628">
        <v>5320</v>
      </c>
      <c r="CA1628" t="s">
        <v>344</v>
      </c>
      <c r="CC1628" t="s">
        <v>341</v>
      </c>
      <c r="CD1628">
        <v>1947</v>
      </c>
      <c r="CE1628" t="s">
        <v>96</v>
      </c>
      <c r="CF1628" s="3">
        <v>43818</v>
      </c>
      <c r="CI1628">
        <v>1</v>
      </c>
      <c r="CJ1628">
        <v>1</v>
      </c>
      <c r="CK1628">
        <v>23</v>
      </c>
      <c r="CL1628" t="s">
        <v>89</v>
      </c>
    </row>
    <row r="1629" spans="1:90">
      <c r="A1629" t="s">
        <v>72</v>
      </c>
      <c r="B1629" t="s">
        <v>73</v>
      </c>
      <c r="C1629" t="s">
        <v>74</v>
      </c>
      <c r="E1629" t="str">
        <f>"FES1162728607"</f>
        <v>FES1162728607</v>
      </c>
      <c r="F1629" s="3">
        <v>43816</v>
      </c>
      <c r="G1629">
        <v>202006</v>
      </c>
      <c r="H1629" t="s">
        <v>75</v>
      </c>
      <c r="I1629" t="s">
        <v>76</v>
      </c>
      <c r="J1629" t="s">
        <v>77</v>
      </c>
      <c r="K1629" t="s">
        <v>78</v>
      </c>
      <c r="L1629" t="s">
        <v>169</v>
      </c>
      <c r="M1629" t="s">
        <v>170</v>
      </c>
      <c r="N1629" t="s">
        <v>772</v>
      </c>
      <c r="O1629" t="s">
        <v>82</v>
      </c>
      <c r="P1629" t="str">
        <f>"217071829                     "</f>
        <v xml:space="preserve">217071829                     </v>
      </c>
      <c r="Q1629">
        <v>0</v>
      </c>
      <c r="R1629">
        <v>0</v>
      </c>
      <c r="S1629">
        <v>0</v>
      </c>
      <c r="T1629">
        <v>0</v>
      </c>
      <c r="U1629">
        <v>0</v>
      </c>
      <c r="V1629">
        <v>0</v>
      </c>
      <c r="W1629">
        <v>0</v>
      </c>
      <c r="X1629">
        <v>0</v>
      </c>
      <c r="Y1629">
        <v>0</v>
      </c>
      <c r="Z1629">
        <v>0</v>
      </c>
      <c r="AA1629">
        <v>0</v>
      </c>
      <c r="AB1629">
        <v>0</v>
      </c>
      <c r="AC1629">
        <v>0</v>
      </c>
      <c r="AD1629">
        <v>0</v>
      </c>
      <c r="AE1629">
        <v>0</v>
      </c>
      <c r="AF1629">
        <v>0</v>
      </c>
      <c r="AG1629">
        <v>0</v>
      </c>
      <c r="AH1629">
        <v>0</v>
      </c>
      <c r="AI1629">
        <v>0</v>
      </c>
      <c r="AJ1629">
        <v>0</v>
      </c>
      <c r="AK1629">
        <v>0</v>
      </c>
      <c r="AL1629">
        <v>0</v>
      </c>
      <c r="AM1629">
        <v>6.71</v>
      </c>
      <c r="AN1629">
        <v>0</v>
      </c>
      <c r="AO1629">
        <v>0</v>
      </c>
      <c r="AP1629">
        <v>0</v>
      </c>
      <c r="AQ1629">
        <v>0</v>
      </c>
      <c r="AR1629">
        <v>0</v>
      </c>
      <c r="AS1629">
        <v>0</v>
      </c>
      <c r="AT1629">
        <v>0</v>
      </c>
      <c r="AU1629">
        <v>0</v>
      </c>
      <c r="AV1629">
        <v>0</v>
      </c>
      <c r="AW1629">
        <v>0</v>
      </c>
      <c r="AX1629">
        <v>0</v>
      </c>
      <c r="AY1629">
        <v>0</v>
      </c>
      <c r="AZ1629">
        <v>0</v>
      </c>
      <c r="BA1629">
        <v>0</v>
      </c>
      <c r="BB1629">
        <v>0</v>
      </c>
      <c r="BC1629">
        <v>0</v>
      </c>
      <c r="BD1629">
        <v>0</v>
      </c>
      <c r="BE1629">
        <v>0</v>
      </c>
      <c r="BF1629">
        <v>0</v>
      </c>
      <c r="BG1629">
        <v>0</v>
      </c>
      <c r="BH1629">
        <v>1</v>
      </c>
      <c r="BI1629">
        <v>1.3</v>
      </c>
      <c r="BJ1629">
        <v>1.2</v>
      </c>
      <c r="BK1629">
        <v>1.5</v>
      </c>
      <c r="BL1629" s="4">
        <v>39.42</v>
      </c>
      <c r="BM1629" s="4">
        <v>5.91</v>
      </c>
      <c r="BN1629" s="4">
        <v>45.33</v>
      </c>
      <c r="BO1629" s="4">
        <v>45.33</v>
      </c>
      <c r="BQ1629" t="s">
        <v>147</v>
      </c>
      <c r="BR1629" t="s">
        <v>84</v>
      </c>
      <c r="BS1629" s="3">
        <v>43817</v>
      </c>
      <c r="BT1629" s="5">
        <v>0.375</v>
      </c>
      <c r="BU1629" t="s">
        <v>638</v>
      </c>
      <c r="BV1629" t="s">
        <v>86</v>
      </c>
      <c r="BY1629">
        <v>6164.37</v>
      </c>
      <c r="CC1629" t="s">
        <v>170</v>
      </c>
      <c r="CD1629">
        <v>1459</v>
      </c>
      <c r="CE1629" t="s">
        <v>96</v>
      </c>
      <c r="CF1629" s="3">
        <v>43818</v>
      </c>
      <c r="CI1629">
        <v>1</v>
      </c>
      <c r="CJ1629">
        <v>1</v>
      </c>
      <c r="CK1629">
        <v>22</v>
      </c>
      <c r="CL1629" t="s">
        <v>89</v>
      </c>
    </row>
    <row r="1630" spans="1:90">
      <c r="A1630" t="s">
        <v>72</v>
      </c>
      <c r="B1630" t="s">
        <v>73</v>
      </c>
      <c r="C1630" t="s">
        <v>74</v>
      </c>
      <c r="E1630" t="str">
        <f>"FES1162728634"</f>
        <v>FES1162728634</v>
      </c>
      <c r="F1630" s="3">
        <v>43816</v>
      </c>
      <c r="G1630">
        <v>202006</v>
      </c>
      <c r="H1630" t="s">
        <v>75</v>
      </c>
      <c r="I1630" t="s">
        <v>76</v>
      </c>
      <c r="J1630" t="s">
        <v>77</v>
      </c>
      <c r="K1630" t="s">
        <v>78</v>
      </c>
      <c r="L1630" t="s">
        <v>90</v>
      </c>
      <c r="M1630" t="s">
        <v>91</v>
      </c>
      <c r="N1630" t="s">
        <v>219</v>
      </c>
      <c r="O1630" t="s">
        <v>82</v>
      </c>
      <c r="P1630" t="str">
        <f>"217071853                     "</f>
        <v xml:space="preserve">217071853                     </v>
      </c>
      <c r="Q1630">
        <v>0</v>
      </c>
      <c r="R1630">
        <v>0</v>
      </c>
      <c r="S1630">
        <v>0</v>
      </c>
      <c r="T1630">
        <v>0</v>
      </c>
      <c r="U1630">
        <v>0</v>
      </c>
      <c r="V1630">
        <v>0</v>
      </c>
      <c r="W1630">
        <v>0</v>
      </c>
      <c r="X1630">
        <v>0</v>
      </c>
      <c r="Y1630">
        <v>0</v>
      </c>
      <c r="Z1630">
        <v>0</v>
      </c>
      <c r="AA1630">
        <v>0</v>
      </c>
      <c r="AB1630">
        <v>0</v>
      </c>
      <c r="AC1630">
        <v>0</v>
      </c>
      <c r="AD1630">
        <v>0</v>
      </c>
      <c r="AE1630">
        <v>0</v>
      </c>
      <c r="AF1630">
        <v>0</v>
      </c>
      <c r="AG1630">
        <v>0</v>
      </c>
      <c r="AH1630">
        <v>0</v>
      </c>
      <c r="AI1630">
        <v>0</v>
      </c>
      <c r="AJ1630">
        <v>0</v>
      </c>
      <c r="AK1630">
        <v>0</v>
      </c>
      <c r="AL1630">
        <v>0</v>
      </c>
      <c r="AM1630">
        <v>66.48</v>
      </c>
      <c r="AN1630">
        <v>0</v>
      </c>
      <c r="AO1630">
        <v>0</v>
      </c>
      <c r="AP1630">
        <v>0</v>
      </c>
      <c r="AQ1630">
        <v>0</v>
      </c>
      <c r="AR1630">
        <v>0</v>
      </c>
      <c r="AS1630">
        <v>0</v>
      </c>
      <c r="AT1630">
        <v>0</v>
      </c>
      <c r="AU1630">
        <v>0</v>
      </c>
      <c r="AV1630">
        <v>0</v>
      </c>
      <c r="AW1630">
        <v>0</v>
      </c>
      <c r="AX1630">
        <v>0</v>
      </c>
      <c r="AY1630">
        <v>0</v>
      </c>
      <c r="AZ1630">
        <v>0</v>
      </c>
      <c r="BA1630">
        <v>0</v>
      </c>
      <c r="BB1630">
        <v>0</v>
      </c>
      <c r="BC1630">
        <v>0</v>
      </c>
      <c r="BD1630">
        <v>0</v>
      </c>
      <c r="BE1630">
        <v>0</v>
      </c>
      <c r="BF1630">
        <v>0</v>
      </c>
      <c r="BG1630">
        <v>0</v>
      </c>
      <c r="BH1630">
        <v>2</v>
      </c>
      <c r="BI1630">
        <v>15.2</v>
      </c>
      <c r="BJ1630">
        <v>12.8</v>
      </c>
      <c r="BK1630">
        <v>15.5</v>
      </c>
      <c r="BL1630" s="4">
        <v>390.77</v>
      </c>
      <c r="BM1630" s="4">
        <v>58.62</v>
      </c>
      <c r="BN1630" s="4">
        <v>449.39</v>
      </c>
      <c r="BO1630" s="4">
        <v>449.39</v>
      </c>
      <c r="BQ1630" t="s">
        <v>147</v>
      </c>
      <c r="BR1630" t="s">
        <v>84</v>
      </c>
      <c r="BS1630" s="3">
        <v>43817</v>
      </c>
      <c r="BT1630" s="5">
        <v>0.36180555555555555</v>
      </c>
      <c r="BU1630" t="s">
        <v>220</v>
      </c>
      <c r="BV1630" t="s">
        <v>86</v>
      </c>
      <c r="BY1630">
        <v>64232.45</v>
      </c>
      <c r="CA1630" t="s">
        <v>112</v>
      </c>
      <c r="CC1630" t="s">
        <v>91</v>
      </c>
      <c r="CD1630">
        <v>7441</v>
      </c>
      <c r="CE1630" t="s">
        <v>122</v>
      </c>
      <c r="CF1630" s="3">
        <v>43818</v>
      </c>
      <c r="CI1630">
        <v>1</v>
      </c>
      <c r="CJ1630">
        <v>1</v>
      </c>
      <c r="CK1630">
        <v>21</v>
      </c>
      <c r="CL1630" t="s">
        <v>89</v>
      </c>
    </row>
    <row r="1631" spans="1:90">
      <c r="A1631" t="s">
        <v>72</v>
      </c>
      <c r="B1631" t="s">
        <v>73</v>
      </c>
      <c r="C1631" t="s">
        <v>74</v>
      </c>
      <c r="E1631" t="str">
        <f>"FES1162728585"</f>
        <v>FES1162728585</v>
      </c>
      <c r="F1631" s="3">
        <v>43816</v>
      </c>
      <c r="G1631">
        <v>202006</v>
      </c>
      <c r="H1631" t="s">
        <v>75</v>
      </c>
      <c r="I1631" t="s">
        <v>76</v>
      </c>
      <c r="J1631" t="s">
        <v>77</v>
      </c>
      <c r="K1631" t="s">
        <v>78</v>
      </c>
      <c r="L1631" t="s">
        <v>446</v>
      </c>
      <c r="M1631" t="s">
        <v>447</v>
      </c>
      <c r="N1631" t="s">
        <v>2043</v>
      </c>
      <c r="O1631" t="s">
        <v>82</v>
      </c>
      <c r="P1631" t="str">
        <f>"2170711693                    "</f>
        <v xml:space="preserve">2170711693                    </v>
      </c>
      <c r="Q1631">
        <v>0</v>
      </c>
      <c r="R1631">
        <v>0</v>
      </c>
      <c r="S1631">
        <v>0</v>
      </c>
      <c r="T1631">
        <v>0</v>
      </c>
      <c r="U1631">
        <v>0</v>
      </c>
      <c r="V1631">
        <v>0</v>
      </c>
      <c r="W1631">
        <v>0</v>
      </c>
      <c r="X1631">
        <v>0</v>
      </c>
      <c r="Y1631">
        <v>0</v>
      </c>
      <c r="Z1631">
        <v>0</v>
      </c>
      <c r="AA1631">
        <v>0</v>
      </c>
      <c r="AB1631">
        <v>0</v>
      </c>
      <c r="AC1631">
        <v>0</v>
      </c>
      <c r="AD1631">
        <v>0</v>
      </c>
      <c r="AE1631">
        <v>0</v>
      </c>
      <c r="AF1631">
        <v>0</v>
      </c>
      <c r="AG1631">
        <v>0</v>
      </c>
      <c r="AH1631">
        <v>0</v>
      </c>
      <c r="AI1631">
        <v>0</v>
      </c>
      <c r="AJ1631">
        <v>0</v>
      </c>
      <c r="AK1631">
        <v>0</v>
      </c>
      <c r="AL1631">
        <v>0</v>
      </c>
      <c r="AM1631">
        <v>23.59</v>
      </c>
      <c r="AN1631">
        <v>0</v>
      </c>
      <c r="AO1631">
        <v>0</v>
      </c>
      <c r="AP1631">
        <v>0</v>
      </c>
      <c r="AQ1631">
        <v>0</v>
      </c>
      <c r="AR1631">
        <v>0</v>
      </c>
      <c r="AS1631">
        <v>0</v>
      </c>
      <c r="AT1631">
        <v>0</v>
      </c>
      <c r="AU1631">
        <v>0</v>
      </c>
      <c r="AV1631">
        <v>0</v>
      </c>
      <c r="AW1631">
        <v>0</v>
      </c>
      <c r="AX1631">
        <v>0</v>
      </c>
      <c r="AY1631">
        <v>0</v>
      </c>
      <c r="AZ1631">
        <v>0</v>
      </c>
      <c r="BA1631">
        <v>0</v>
      </c>
      <c r="BB1631">
        <v>0</v>
      </c>
      <c r="BC1631">
        <v>0</v>
      </c>
      <c r="BD1631">
        <v>0</v>
      </c>
      <c r="BE1631">
        <v>0</v>
      </c>
      <c r="BF1631">
        <v>0</v>
      </c>
      <c r="BG1631">
        <v>0</v>
      </c>
      <c r="BH1631">
        <v>1</v>
      </c>
      <c r="BI1631">
        <v>5.3</v>
      </c>
      <c r="BJ1631">
        <v>3</v>
      </c>
      <c r="BK1631">
        <v>5.5</v>
      </c>
      <c r="BL1631" s="4">
        <v>138.68</v>
      </c>
      <c r="BM1631" s="4">
        <v>20.8</v>
      </c>
      <c r="BN1631" s="4">
        <v>159.47999999999999</v>
      </c>
      <c r="BO1631" s="4">
        <v>159.47999999999999</v>
      </c>
      <c r="BQ1631" t="s">
        <v>93</v>
      </c>
      <c r="BR1631" t="s">
        <v>84</v>
      </c>
      <c r="BS1631" s="3">
        <v>43817</v>
      </c>
      <c r="BT1631" s="5">
        <v>0.36180555555555555</v>
      </c>
      <c r="BU1631" t="s">
        <v>2044</v>
      </c>
      <c r="BV1631" t="s">
        <v>86</v>
      </c>
      <c r="BY1631">
        <v>15060.77</v>
      </c>
      <c r="CA1631" t="s">
        <v>212</v>
      </c>
      <c r="CC1631" t="s">
        <v>447</v>
      </c>
      <c r="CD1631">
        <v>4113</v>
      </c>
      <c r="CE1631" t="s">
        <v>96</v>
      </c>
      <c r="CF1631" s="3">
        <v>43818</v>
      </c>
      <c r="CI1631">
        <v>1</v>
      </c>
      <c r="CJ1631">
        <v>1</v>
      </c>
      <c r="CK1631">
        <v>21</v>
      </c>
      <c r="CL1631" t="s">
        <v>89</v>
      </c>
    </row>
    <row r="1632" spans="1:90">
      <c r="A1632" t="s">
        <v>72</v>
      </c>
      <c r="B1632" t="s">
        <v>73</v>
      </c>
      <c r="C1632" t="s">
        <v>74</v>
      </c>
      <c r="E1632" t="str">
        <f>"FES1162726921"</f>
        <v>FES1162726921</v>
      </c>
      <c r="F1632" s="3">
        <v>43816</v>
      </c>
      <c r="G1632">
        <v>202006</v>
      </c>
      <c r="H1632" t="s">
        <v>75</v>
      </c>
      <c r="I1632" t="s">
        <v>76</v>
      </c>
      <c r="J1632" t="s">
        <v>77</v>
      </c>
      <c r="K1632" t="s">
        <v>78</v>
      </c>
      <c r="L1632" t="s">
        <v>2045</v>
      </c>
      <c r="M1632" t="s">
        <v>2046</v>
      </c>
      <c r="N1632" t="s">
        <v>2047</v>
      </c>
      <c r="O1632" t="s">
        <v>82</v>
      </c>
      <c r="P1632" t="str">
        <f>"2170718568                    "</f>
        <v xml:space="preserve">2170718568                    </v>
      </c>
      <c r="Q1632">
        <v>0</v>
      </c>
      <c r="R1632">
        <v>0</v>
      </c>
      <c r="S1632">
        <v>0</v>
      </c>
      <c r="T1632">
        <v>0</v>
      </c>
      <c r="U1632">
        <v>0</v>
      </c>
      <c r="V1632">
        <v>0</v>
      </c>
      <c r="W1632">
        <v>0</v>
      </c>
      <c r="X1632">
        <v>0</v>
      </c>
      <c r="Y1632">
        <v>0</v>
      </c>
      <c r="Z1632">
        <v>0</v>
      </c>
      <c r="AA1632">
        <v>0</v>
      </c>
      <c r="AB1632">
        <v>0</v>
      </c>
      <c r="AC1632">
        <v>0</v>
      </c>
      <c r="AD1632">
        <v>0</v>
      </c>
      <c r="AE1632">
        <v>0</v>
      </c>
      <c r="AF1632">
        <v>0</v>
      </c>
      <c r="AG1632">
        <v>0</v>
      </c>
      <c r="AH1632">
        <v>0</v>
      </c>
      <c r="AI1632">
        <v>0</v>
      </c>
      <c r="AJ1632">
        <v>0</v>
      </c>
      <c r="AK1632">
        <v>0</v>
      </c>
      <c r="AL1632">
        <v>0</v>
      </c>
      <c r="AM1632">
        <v>46.67</v>
      </c>
      <c r="AN1632">
        <v>0</v>
      </c>
      <c r="AO1632">
        <v>0</v>
      </c>
      <c r="AP1632">
        <v>0</v>
      </c>
      <c r="AQ1632">
        <v>0</v>
      </c>
      <c r="AR1632">
        <v>0</v>
      </c>
      <c r="AS1632">
        <v>0</v>
      </c>
      <c r="AT1632">
        <v>0</v>
      </c>
      <c r="AU1632">
        <v>0</v>
      </c>
      <c r="AV1632">
        <v>0</v>
      </c>
      <c r="AW1632">
        <v>0</v>
      </c>
      <c r="AX1632">
        <v>0</v>
      </c>
      <c r="AY1632">
        <v>0</v>
      </c>
      <c r="AZ1632">
        <v>0</v>
      </c>
      <c r="BA1632">
        <v>0</v>
      </c>
      <c r="BB1632">
        <v>0</v>
      </c>
      <c r="BC1632">
        <v>0</v>
      </c>
      <c r="BD1632">
        <v>0</v>
      </c>
      <c r="BE1632">
        <v>0</v>
      </c>
      <c r="BF1632">
        <v>0</v>
      </c>
      <c r="BG1632">
        <v>0</v>
      </c>
      <c r="BH1632">
        <v>1</v>
      </c>
      <c r="BI1632">
        <v>5.7</v>
      </c>
      <c r="BJ1632">
        <v>3.4</v>
      </c>
      <c r="BK1632">
        <v>6</v>
      </c>
      <c r="BL1632" s="4">
        <v>274.35000000000002</v>
      </c>
      <c r="BM1632" s="4">
        <v>41.15</v>
      </c>
      <c r="BN1632" s="4">
        <v>315.5</v>
      </c>
      <c r="BO1632" s="4">
        <v>315.5</v>
      </c>
      <c r="BP1632" t="s">
        <v>2048</v>
      </c>
      <c r="BR1632" t="s">
        <v>84</v>
      </c>
      <c r="BS1632" s="3">
        <v>43817</v>
      </c>
      <c r="BT1632" s="5">
        <v>0.63263888888888886</v>
      </c>
      <c r="BU1632" t="s">
        <v>2049</v>
      </c>
      <c r="BV1632" t="s">
        <v>89</v>
      </c>
      <c r="BY1632">
        <v>17241.28</v>
      </c>
      <c r="CA1632" t="s">
        <v>434</v>
      </c>
      <c r="CC1632" t="s">
        <v>2046</v>
      </c>
      <c r="CD1632">
        <v>2835</v>
      </c>
      <c r="CE1632" t="s">
        <v>96</v>
      </c>
      <c r="CF1632" s="3">
        <v>43819</v>
      </c>
      <c r="CI1632">
        <v>1</v>
      </c>
      <c r="CJ1632">
        <v>1</v>
      </c>
      <c r="CK1632">
        <v>23</v>
      </c>
      <c r="CL1632" t="s">
        <v>89</v>
      </c>
    </row>
    <row r="1633" spans="1:90">
      <c r="A1633" t="s">
        <v>72</v>
      </c>
      <c r="B1633" t="s">
        <v>73</v>
      </c>
      <c r="C1633" t="s">
        <v>74</v>
      </c>
      <c r="E1633" t="str">
        <f>"FES1162728748"</f>
        <v>FES1162728748</v>
      </c>
      <c r="F1633" s="3">
        <v>43816</v>
      </c>
      <c r="G1633">
        <v>202006</v>
      </c>
      <c r="H1633" t="s">
        <v>75</v>
      </c>
      <c r="I1633" t="s">
        <v>76</v>
      </c>
      <c r="J1633" t="s">
        <v>77</v>
      </c>
      <c r="K1633" t="s">
        <v>78</v>
      </c>
      <c r="L1633" t="s">
        <v>90</v>
      </c>
      <c r="M1633" t="s">
        <v>91</v>
      </c>
      <c r="N1633" t="s">
        <v>2050</v>
      </c>
      <c r="O1633" t="s">
        <v>82</v>
      </c>
      <c r="P1633" t="str">
        <f>"21707521940                   "</f>
        <v xml:space="preserve">21707521940                   </v>
      </c>
      <c r="Q1633">
        <v>0</v>
      </c>
      <c r="R1633">
        <v>0</v>
      </c>
      <c r="S1633">
        <v>0</v>
      </c>
      <c r="T1633">
        <v>0</v>
      </c>
      <c r="U1633">
        <v>0</v>
      </c>
      <c r="V1633">
        <v>0</v>
      </c>
      <c r="W1633">
        <v>0</v>
      </c>
      <c r="X1633">
        <v>0</v>
      </c>
      <c r="Y1633">
        <v>0</v>
      </c>
      <c r="Z1633">
        <v>0</v>
      </c>
      <c r="AA1633">
        <v>0</v>
      </c>
      <c r="AB1633">
        <v>0</v>
      </c>
      <c r="AC1633">
        <v>0</v>
      </c>
      <c r="AD1633">
        <v>0</v>
      </c>
      <c r="AE1633">
        <v>0</v>
      </c>
      <c r="AF1633">
        <v>0</v>
      </c>
      <c r="AG1633">
        <v>0</v>
      </c>
      <c r="AH1633">
        <v>0</v>
      </c>
      <c r="AI1633">
        <v>0</v>
      </c>
      <c r="AJ1633">
        <v>0</v>
      </c>
      <c r="AK1633">
        <v>0</v>
      </c>
      <c r="AL1633">
        <v>0</v>
      </c>
      <c r="AM1633">
        <v>8.58</v>
      </c>
      <c r="AN1633">
        <v>0</v>
      </c>
      <c r="AO1633">
        <v>0</v>
      </c>
      <c r="AP1633">
        <v>0</v>
      </c>
      <c r="AQ1633">
        <v>0</v>
      </c>
      <c r="AR1633">
        <v>0</v>
      </c>
      <c r="AS1633">
        <v>0</v>
      </c>
      <c r="AT1633">
        <v>0</v>
      </c>
      <c r="AU1633">
        <v>0</v>
      </c>
      <c r="AV1633">
        <v>0</v>
      </c>
      <c r="AW1633">
        <v>0</v>
      </c>
      <c r="AX1633">
        <v>0</v>
      </c>
      <c r="AY1633">
        <v>0</v>
      </c>
      <c r="AZ1633">
        <v>0</v>
      </c>
      <c r="BA1633">
        <v>0</v>
      </c>
      <c r="BB1633">
        <v>0</v>
      </c>
      <c r="BC1633">
        <v>0</v>
      </c>
      <c r="BD1633">
        <v>0</v>
      </c>
      <c r="BE1633">
        <v>0</v>
      </c>
      <c r="BF1633">
        <v>0</v>
      </c>
      <c r="BG1633">
        <v>0</v>
      </c>
      <c r="BH1633">
        <v>1</v>
      </c>
      <c r="BI1633">
        <v>1</v>
      </c>
      <c r="BJ1633">
        <v>0.2</v>
      </c>
      <c r="BK1633">
        <v>1</v>
      </c>
      <c r="BL1633" s="4">
        <v>50.45</v>
      </c>
      <c r="BM1633" s="4">
        <v>7.57</v>
      </c>
      <c r="BN1633" s="4">
        <v>58.02</v>
      </c>
      <c r="BO1633" s="4">
        <v>58.02</v>
      </c>
      <c r="BR1633" t="s">
        <v>84</v>
      </c>
      <c r="BS1633" s="3">
        <v>43817</v>
      </c>
      <c r="BT1633" s="5">
        <v>0.3743055555555555</v>
      </c>
      <c r="BU1633" t="s">
        <v>2051</v>
      </c>
      <c r="BV1633" t="s">
        <v>86</v>
      </c>
      <c r="BY1633">
        <v>1200</v>
      </c>
      <c r="CA1633" t="s">
        <v>209</v>
      </c>
      <c r="CC1633" t="s">
        <v>91</v>
      </c>
      <c r="CD1633">
        <v>7441</v>
      </c>
      <c r="CE1633" t="s">
        <v>88</v>
      </c>
      <c r="CF1633" s="3">
        <v>43818</v>
      </c>
      <c r="CI1633">
        <v>1</v>
      </c>
      <c r="CJ1633">
        <v>1</v>
      </c>
      <c r="CK1633">
        <v>21</v>
      </c>
      <c r="CL1633" t="s">
        <v>89</v>
      </c>
    </row>
    <row r="1634" spans="1:90">
      <c r="A1634" t="s">
        <v>72</v>
      </c>
      <c r="B1634" t="s">
        <v>73</v>
      </c>
      <c r="C1634" t="s">
        <v>74</v>
      </c>
      <c r="E1634" t="str">
        <f>"FES1162728548"</f>
        <v>FES1162728548</v>
      </c>
      <c r="F1634" s="3">
        <v>43816</v>
      </c>
      <c r="G1634">
        <v>202006</v>
      </c>
      <c r="H1634" t="s">
        <v>75</v>
      </c>
      <c r="I1634" t="s">
        <v>76</v>
      </c>
      <c r="J1634" t="s">
        <v>77</v>
      </c>
      <c r="K1634" t="s">
        <v>78</v>
      </c>
      <c r="L1634" t="s">
        <v>860</v>
      </c>
      <c r="M1634" t="s">
        <v>861</v>
      </c>
      <c r="N1634" t="s">
        <v>2052</v>
      </c>
      <c r="O1634" t="s">
        <v>82</v>
      </c>
      <c r="P1634" t="str">
        <f>"217071804                     "</f>
        <v xml:space="preserve">217071804                     </v>
      </c>
      <c r="Q1634">
        <v>0</v>
      </c>
      <c r="R1634">
        <v>0</v>
      </c>
      <c r="S1634">
        <v>0</v>
      </c>
      <c r="T1634">
        <v>0</v>
      </c>
      <c r="U1634">
        <v>0</v>
      </c>
      <c r="V1634">
        <v>0</v>
      </c>
      <c r="W1634">
        <v>0</v>
      </c>
      <c r="X1634">
        <v>0</v>
      </c>
      <c r="Y1634">
        <v>0</v>
      </c>
      <c r="Z1634">
        <v>0</v>
      </c>
      <c r="AA1634">
        <v>0</v>
      </c>
      <c r="AB1634">
        <v>0</v>
      </c>
      <c r="AC1634">
        <v>0</v>
      </c>
      <c r="AD1634">
        <v>0</v>
      </c>
      <c r="AE1634">
        <v>0</v>
      </c>
      <c r="AF1634">
        <v>0</v>
      </c>
      <c r="AG1634">
        <v>0</v>
      </c>
      <c r="AH1634">
        <v>0</v>
      </c>
      <c r="AI1634">
        <v>0</v>
      </c>
      <c r="AJ1634">
        <v>0</v>
      </c>
      <c r="AK1634">
        <v>0</v>
      </c>
      <c r="AL1634">
        <v>0</v>
      </c>
      <c r="AM1634">
        <v>9.92</v>
      </c>
      <c r="AN1634">
        <v>0</v>
      </c>
      <c r="AO1634">
        <v>0</v>
      </c>
      <c r="AP1634">
        <v>0</v>
      </c>
      <c r="AQ1634">
        <v>0</v>
      </c>
      <c r="AR1634">
        <v>0</v>
      </c>
      <c r="AS1634">
        <v>0</v>
      </c>
      <c r="AT1634">
        <v>0</v>
      </c>
      <c r="AU1634">
        <v>0</v>
      </c>
      <c r="AV1634">
        <v>0</v>
      </c>
      <c r="AW1634">
        <v>0</v>
      </c>
      <c r="AX1634">
        <v>0</v>
      </c>
      <c r="AY1634">
        <v>0</v>
      </c>
      <c r="AZ1634">
        <v>0</v>
      </c>
      <c r="BA1634">
        <v>0</v>
      </c>
      <c r="BB1634">
        <v>0</v>
      </c>
      <c r="BC1634">
        <v>0</v>
      </c>
      <c r="BD1634">
        <v>0</v>
      </c>
      <c r="BE1634">
        <v>0</v>
      </c>
      <c r="BF1634">
        <v>0</v>
      </c>
      <c r="BG1634">
        <v>0</v>
      </c>
      <c r="BH1634">
        <v>1</v>
      </c>
      <c r="BI1634">
        <v>3.6</v>
      </c>
      <c r="BJ1634">
        <v>1.4</v>
      </c>
      <c r="BK1634">
        <v>4</v>
      </c>
      <c r="BL1634" s="4">
        <v>58.31</v>
      </c>
      <c r="BM1634" s="4">
        <v>8.75</v>
      </c>
      <c r="BN1634" s="4">
        <v>67.06</v>
      </c>
      <c r="BO1634" s="4">
        <v>67.06</v>
      </c>
      <c r="BQ1634" t="s">
        <v>2053</v>
      </c>
      <c r="BR1634" t="s">
        <v>84</v>
      </c>
      <c r="BS1634" s="3">
        <v>43817</v>
      </c>
      <c r="BT1634" s="5">
        <v>0.4375</v>
      </c>
      <c r="BU1634" t="s">
        <v>2054</v>
      </c>
      <c r="BV1634" t="s">
        <v>86</v>
      </c>
      <c r="BY1634">
        <v>7222.47</v>
      </c>
      <c r="CC1634" t="s">
        <v>861</v>
      </c>
      <c r="CD1634">
        <v>2170</v>
      </c>
      <c r="CE1634" t="s">
        <v>96</v>
      </c>
      <c r="CF1634" s="3">
        <v>43818</v>
      </c>
      <c r="CI1634">
        <v>1</v>
      </c>
      <c r="CJ1634">
        <v>1</v>
      </c>
      <c r="CK1634">
        <v>22</v>
      </c>
      <c r="CL1634" t="s">
        <v>89</v>
      </c>
    </row>
    <row r="1635" spans="1:90">
      <c r="A1635" t="s">
        <v>72</v>
      </c>
      <c r="B1635" t="s">
        <v>73</v>
      </c>
      <c r="C1635" t="s">
        <v>74</v>
      </c>
      <c r="E1635" t="str">
        <f>"FES1162728584"</f>
        <v>FES1162728584</v>
      </c>
      <c r="F1635" s="3">
        <v>43816</v>
      </c>
      <c r="G1635">
        <v>202006</v>
      </c>
      <c r="H1635" t="s">
        <v>75</v>
      </c>
      <c r="I1635" t="s">
        <v>76</v>
      </c>
      <c r="J1635" t="s">
        <v>77</v>
      </c>
      <c r="K1635" t="s">
        <v>78</v>
      </c>
      <c r="L1635" t="s">
        <v>446</v>
      </c>
      <c r="M1635" t="s">
        <v>447</v>
      </c>
      <c r="N1635" t="s">
        <v>2043</v>
      </c>
      <c r="O1635" t="s">
        <v>82</v>
      </c>
      <c r="P1635" t="str">
        <f>"2170721692                    "</f>
        <v xml:space="preserve">2170721692                    </v>
      </c>
      <c r="Q1635">
        <v>0</v>
      </c>
      <c r="R1635">
        <v>0</v>
      </c>
      <c r="S1635">
        <v>0</v>
      </c>
      <c r="T1635">
        <v>0</v>
      </c>
      <c r="U1635">
        <v>0</v>
      </c>
      <c r="V1635">
        <v>0</v>
      </c>
      <c r="W1635">
        <v>0</v>
      </c>
      <c r="X1635">
        <v>0</v>
      </c>
      <c r="Y1635">
        <v>0</v>
      </c>
      <c r="Z1635">
        <v>0</v>
      </c>
      <c r="AA1635">
        <v>0</v>
      </c>
      <c r="AB1635">
        <v>0</v>
      </c>
      <c r="AC1635">
        <v>0</v>
      </c>
      <c r="AD1635">
        <v>0</v>
      </c>
      <c r="AE1635">
        <v>0</v>
      </c>
      <c r="AF1635">
        <v>0</v>
      </c>
      <c r="AG1635">
        <v>0</v>
      </c>
      <c r="AH1635">
        <v>0</v>
      </c>
      <c r="AI1635">
        <v>0</v>
      </c>
      <c r="AJ1635">
        <v>0</v>
      </c>
      <c r="AK1635">
        <v>0</v>
      </c>
      <c r="AL1635">
        <v>0</v>
      </c>
      <c r="AM1635">
        <v>8.58</v>
      </c>
      <c r="AN1635">
        <v>0</v>
      </c>
      <c r="AO1635">
        <v>0</v>
      </c>
      <c r="AP1635">
        <v>0</v>
      </c>
      <c r="AQ1635">
        <v>0</v>
      </c>
      <c r="AR1635">
        <v>0</v>
      </c>
      <c r="AS1635">
        <v>0</v>
      </c>
      <c r="AT1635">
        <v>0</v>
      </c>
      <c r="AU1635">
        <v>0</v>
      </c>
      <c r="AV1635">
        <v>0</v>
      </c>
      <c r="AW1635">
        <v>0</v>
      </c>
      <c r="AX1635">
        <v>0</v>
      </c>
      <c r="AY1635">
        <v>0</v>
      </c>
      <c r="AZ1635">
        <v>0</v>
      </c>
      <c r="BA1635">
        <v>0</v>
      </c>
      <c r="BB1635">
        <v>0</v>
      </c>
      <c r="BC1635">
        <v>0</v>
      </c>
      <c r="BD1635">
        <v>0</v>
      </c>
      <c r="BE1635">
        <v>0</v>
      </c>
      <c r="BF1635">
        <v>0</v>
      </c>
      <c r="BG1635">
        <v>0</v>
      </c>
      <c r="BH1635">
        <v>1</v>
      </c>
      <c r="BI1635">
        <v>1.6</v>
      </c>
      <c r="BJ1635">
        <v>1.2</v>
      </c>
      <c r="BK1635">
        <v>2</v>
      </c>
      <c r="BL1635" s="4">
        <v>50.45</v>
      </c>
      <c r="BM1635" s="4">
        <v>7.57</v>
      </c>
      <c r="BN1635" s="4">
        <v>58.02</v>
      </c>
      <c r="BO1635" s="4">
        <v>58.02</v>
      </c>
      <c r="BQ1635" t="s">
        <v>93</v>
      </c>
      <c r="BR1635" t="s">
        <v>84</v>
      </c>
      <c r="BS1635" s="3">
        <v>43817</v>
      </c>
      <c r="BT1635" s="5">
        <v>0.36180555555555555</v>
      </c>
      <c r="BU1635" t="s">
        <v>2044</v>
      </c>
      <c r="BV1635" t="s">
        <v>86</v>
      </c>
      <c r="BY1635">
        <v>5779.8</v>
      </c>
      <c r="CA1635" t="s">
        <v>212</v>
      </c>
      <c r="CC1635" t="s">
        <v>447</v>
      </c>
      <c r="CD1635">
        <v>4113</v>
      </c>
      <c r="CE1635" t="s">
        <v>96</v>
      </c>
      <c r="CF1635" s="3">
        <v>43818</v>
      </c>
      <c r="CI1635">
        <v>1</v>
      </c>
      <c r="CJ1635">
        <v>1</v>
      </c>
      <c r="CK1635">
        <v>21</v>
      </c>
      <c r="CL1635" t="s">
        <v>89</v>
      </c>
    </row>
    <row r="1636" spans="1:90">
      <c r="A1636" t="s">
        <v>72</v>
      </c>
      <c r="B1636" t="s">
        <v>73</v>
      </c>
      <c r="C1636" t="s">
        <v>74</v>
      </c>
      <c r="E1636" t="str">
        <f>"FES1162728530"</f>
        <v>FES1162728530</v>
      </c>
      <c r="F1636" s="3">
        <v>43816</v>
      </c>
      <c r="G1636">
        <v>202006</v>
      </c>
      <c r="H1636" t="s">
        <v>75</v>
      </c>
      <c r="I1636" t="s">
        <v>76</v>
      </c>
      <c r="J1636" t="s">
        <v>77</v>
      </c>
      <c r="K1636" t="s">
        <v>78</v>
      </c>
      <c r="L1636" t="s">
        <v>455</v>
      </c>
      <c r="M1636" t="s">
        <v>456</v>
      </c>
      <c r="N1636" t="s">
        <v>457</v>
      </c>
      <c r="O1636" t="s">
        <v>82</v>
      </c>
      <c r="P1636" t="str">
        <f>"217071130                     "</f>
        <v xml:space="preserve">217071130                     </v>
      </c>
      <c r="Q1636">
        <v>0</v>
      </c>
      <c r="R1636">
        <v>0</v>
      </c>
      <c r="S1636">
        <v>0</v>
      </c>
      <c r="T1636">
        <v>0</v>
      </c>
      <c r="U1636">
        <v>0</v>
      </c>
      <c r="V1636">
        <v>0</v>
      </c>
      <c r="W1636">
        <v>0</v>
      </c>
      <c r="X1636">
        <v>0</v>
      </c>
      <c r="Y1636">
        <v>0</v>
      </c>
      <c r="Z1636">
        <v>0</v>
      </c>
      <c r="AA1636">
        <v>0</v>
      </c>
      <c r="AB1636">
        <v>0</v>
      </c>
      <c r="AC1636">
        <v>0</v>
      </c>
      <c r="AD1636">
        <v>0</v>
      </c>
      <c r="AE1636">
        <v>0</v>
      </c>
      <c r="AF1636">
        <v>0</v>
      </c>
      <c r="AG1636">
        <v>0</v>
      </c>
      <c r="AH1636">
        <v>0</v>
      </c>
      <c r="AI1636">
        <v>0</v>
      </c>
      <c r="AJ1636">
        <v>0</v>
      </c>
      <c r="AK1636">
        <v>0</v>
      </c>
      <c r="AL1636">
        <v>0</v>
      </c>
      <c r="AM1636">
        <v>8.58</v>
      </c>
      <c r="AN1636">
        <v>0</v>
      </c>
      <c r="AO1636">
        <v>0</v>
      </c>
      <c r="AP1636">
        <v>0</v>
      </c>
      <c r="AQ1636">
        <v>0</v>
      </c>
      <c r="AR1636">
        <v>0</v>
      </c>
      <c r="AS1636">
        <v>0</v>
      </c>
      <c r="AT1636">
        <v>0</v>
      </c>
      <c r="AU1636">
        <v>0</v>
      </c>
      <c r="AV1636">
        <v>0</v>
      </c>
      <c r="AW1636">
        <v>0</v>
      </c>
      <c r="AX1636">
        <v>0</v>
      </c>
      <c r="AY1636">
        <v>0</v>
      </c>
      <c r="AZ1636">
        <v>0</v>
      </c>
      <c r="BA1636">
        <v>0</v>
      </c>
      <c r="BB1636">
        <v>0</v>
      </c>
      <c r="BC1636">
        <v>0</v>
      </c>
      <c r="BD1636">
        <v>0</v>
      </c>
      <c r="BE1636">
        <v>0</v>
      </c>
      <c r="BF1636">
        <v>0</v>
      </c>
      <c r="BG1636">
        <v>0</v>
      </c>
      <c r="BH1636">
        <v>1</v>
      </c>
      <c r="BI1636">
        <v>1.2</v>
      </c>
      <c r="BJ1636">
        <v>1.2</v>
      </c>
      <c r="BK1636">
        <v>1.5</v>
      </c>
      <c r="BL1636" s="4">
        <v>50.45</v>
      </c>
      <c r="BM1636" s="4">
        <v>7.57</v>
      </c>
      <c r="BN1636" s="4">
        <v>58.02</v>
      </c>
      <c r="BO1636" s="4">
        <v>58.02</v>
      </c>
      <c r="BR1636" t="s">
        <v>84</v>
      </c>
      <c r="BS1636" s="3">
        <v>43817</v>
      </c>
      <c r="BT1636" s="5">
        <v>0.4861111111111111</v>
      </c>
      <c r="BU1636" t="s">
        <v>2028</v>
      </c>
      <c r="BV1636" t="s">
        <v>86</v>
      </c>
      <c r="BY1636">
        <v>5871.46</v>
      </c>
      <c r="CA1636" t="s">
        <v>225</v>
      </c>
      <c r="CC1636" t="s">
        <v>456</v>
      </c>
      <c r="CD1636">
        <v>3699</v>
      </c>
      <c r="CE1636" t="s">
        <v>556</v>
      </c>
      <c r="CF1636" s="3">
        <v>43818</v>
      </c>
      <c r="CI1636">
        <v>1</v>
      </c>
      <c r="CJ1636">
        <v>1</v>
      </c>
      <c r="CK1636">
        <v>21</v>
      </c>
      <c r="CL1636" t="s">
        <v>89</v>
      </c>
    </row>
    <row r="1637" spans="1:90">
      <c r="A1637" t="s">
        <v>72</v>
      </c>
      <c r="B1637" t="s">
        <v>73</v>
      </c>
      <c r="C1637" t="s">
        <v>74</v>
      </c>
      <c r="E1637" t="str">
        <f>"FES1162728549"</f>
        <v>FES1162728549</v>
      </c>
      <c r="F1637" s="3">
        <v>43816</v>
      </c>
      <c r="G1637">
        <v>202006</v>
      </c>
      <c r="H1637" t="s">
        <v>75</v>
      </c>
      <c r="I1637" t="s">
        <v>76</v>
      </c>
      <c r="J1637" t="s">
        <v>77</v>
      </c>
      <c r="K1637" t="s">
        <v>78</v>
      </c>
      <c r="L1637" t="s">
        <v>201</v>
      </c>
      <c r="M1637" t="s">
        <v>202</v>
      </c>
      <c r="N1637" t="s">
        <v>286</v>
      </c>
      <c r="O1637" t="s">
        <v>82</v>
      </c>
      <c r="P1637" t="str">
        <f>"21707121085                   "</f>
        <v xml:space="preserve">21707121085                   </v>
      </c>
      <c r="Q1637">
        <v>0</v>
      </c>
      <c r="R1637">
        <v>0</v>
      </c>
      <c r="S1637">
        <v>0</v>
      </c>
      <c r="T1637">
        <v>0</v>
      </c>
      <c r="U1637">
        <v>0</v>
      </c>
      <c r="V1637">
        <v>0</v>
      </c>
      <c r="W1637">
        <v>0</v>
      </c>
      <c r="X1637">
        <v>0</v>
      </c>
      <c r="Y1637">
        <v>0</v>
      </c>
      <c r="Z1637">
        <v>0</v>
      </c>
      <c r="AA1637">
        <v>0</v>
      </c>
      <c r="AB1637">
        <v>0</v>
      </c>
      <c r="AC1637">
        <v>0</v>
      </c>
      <c r="AD1637">
        <v>0</v>
      </c>
      <c r="AE1637">
        <v>0</v>
      </c>
      <c r="AF1637">
        <v>0</v>
      </c>
      <c r="AG1637">
        <v>0</v>
      </c>
      <c r="AH1637">
        <v>0</v>
      </c>
      <c r="AI1637">
        <v>0</v>
      </c>
      <c r="AJ1637">
        <v>0</v>
      </c>
      <c r="AK1637">
        <v>0</v>
      </c>
      <c r="AL1637">
        <v>0</v>
      </c>
      <c r="AM1637">
        <v>12.87</v>
      </c>
      <c r="AN1637">
        <v>0</v>
      </c>
      <c r="AO1637">
        <v>0</v>
      </c>
      <c r="AP1637">
        <v>0</v>
      </c>
      <c r="AQ1637">
        <v>0</v>
      </c>
      <c r="AR1637">
        <v>0</v>
      </c>
      <c r="AS1637">
        <v>0</v>
      </c>
      <c r="AT1637">
        <v>0</v>
      </c>
      <c r="AU1637">
        <v>0</v>
      </c>
      <c r="AV1637">
        <v>0</v>
      </c>
      <c r="AW1637">
        <v>0</v>
      </c>
      <c r="AX1637">
        <v>0</v>
      </c>
      <c r="AY1637">
        <v>0</v>
      </c>
      <c r="AZ1637">
        <v>0</v>
      </c>
      <c r="BA1637">
        <v>0</v>
      </c>
      <c r="BB1637">
        <v>0</v>
      </c>
      <c r="BC1637">
        <v>0</v>
      </c>
      <c r="BD1637">
        <v>0</v>
      </c>
      <c r="BE1637">
        <v>0</v>
      </c>
      <c r="BF1637">
        <v>0</v>
      </c>
      <c r="BG1637">
        <v>0</v>
      </c>
      <c r="BH1637">
        <v>1</v>
      </c>
      <c r="BI1637">
        <v>3</v>
      </c>
      <c r="BJ1637">
        <v>0.9</v>
      </c>
      <c r="BK1637">
        <v>3</v>
      </c>
      <c r="BL1637" s="4">
        <v>75.66</v>
      </c>
      <c r="BM1637" s="4">
        <v>11.35</v>
      </c>
      <c r="BN1637" s="4">
        <v>87.01</v>
      </c>
      <c r="BO1637" s="4">
        <v>87.01</v>
      </c>
      <c r="BQ1637" t="s">
        <v>93</v>
      </c>
      <c r="BR1637" t="s">
        <v>84</v>
      </c>
      <c r="BS1637" s="3">
        <v>43817</v>
      </c>
      <c r="BT1637" s="5">
        <v>0.40347222222222223</v>
      </c>
      <c r="BU1637" t="s">
        <v>287</v>
      </c>
      <c r="BV1637" t="s">
        <v>86</v>
      </c>
      <c r="BY1637">
        <v>4657.01</v>
      </c>
      <c r="CA1637" t="s">
        <v>288</v>
      </c>
      <c r="CC1637" t="s">
        <v>202</v>
      </c>
      <c r="CD1637">
        <v>3610</v>
      </c>
      <c r="CE1637" t="s">
        <v>96</v>
      </c>
      <c r="CF1637" s="3">
        <v>43818</v>
      </c>
      <c r="CI1637">
        <v>1</v>
      </c>
      <c r="CJ1637">
        <v>1</v>
      </c>
      <c r="CK1637">
        <v>21</v>
      </c>
      <c r="CL1637" t="s">
        <v>89</v>
      </c>
    </row>
    <row r="1638" spans="1:90">
      <c r="A1638" t="s">
        <v>72</v>
      </c>
      <c r="B1638" t="s">
        <v>73</v>
      </c>
      <c r="C1638" t="s">
        <v>74</v>
      </c>
      <c r="E1638" t="str">
        <f>"FES1162728626"</f>
        <v>FES1162728626</v>
      </c>
      <c r="F1638" s="3">
        <v>43816</v>
      </c>
      <c r="G1638">
        <v>202006</v>
      </c>
      <c r="H1638" t="s">
        <v>75</v>
      </c>
      <c r="I1638" t="s">
        <v>76</v>
      </c>
      <c r="J1638" t="s">
        <v>77</v>
      </c>
      <c r="K1638" t="s">
        <v>78</v>
      </c>
      <c r="L1638" t="s">
        <v>404</v>
      </c>
      <c r="M1638" t="s">
        <v>405</v>
      </c>
      <c r="N1638" t="s">
        <v>435</v>
      </c>
      <c r="O1638" t="s">
        <v>82</v>
      </c>
      <c r="P1638" t="str">
        <f>"217071845                     "</f>
        <v xml:space="preserve">217071845                     </v>
      </c>
      <c r="Q1638">
        <v>0</v>
      </c>
      <c r="R1638">
        <v>0</v>
      </c>
      <c r="S1638">
        <v>0</v>
      </c>
      <c r="T1638">
        <v>0</v>
      </c>
      <c r="U1638">
        <v>0</v>
      </c>
      <c r="V1638">
        <v>0</v>
      </c>
      <c r="W1638">
        <v>0</v>
      </c>
      <c r="X1638">
        <v>0</v>
      </c>
      <c r="Y1638">
        <v>0</v>
      </c>
      <c r="Z1638">
        <v>0</v>
      </c>
      <c r="AA1638">
        <v>0</v>
      </c>
      <c r="AB1638">
        <v>0</v>
      </c>
      <c r="AC1638">
        <v>0</v>
      </c>
      <c r="AD1638">
        <v>0</v>
      </c>
      <c r="AE1638">
        <v>0</v>
      </c>
      <c r="AF1638">
        <v>0</v>
      </c>
      <c r="AG1638">
        <v>0</v>
      </c>
      <c r="AH1638">
        <v>0</v>
      </c>
      <c r="AI1638">
        <v>0</v>
      </c>
      <c r="AJ1638">
        <v>0</v>
      </c>
      <c r="AK1638">
        <v>0</v>
      </c>
      <c r="AL1638">
        <v>0</v>
      </c>
      <c r="AM1638">
        <v>8.58</v>
      </c>
      <c r="AN1638">
        <v>0</v>
      </c>
      <c r="AO1638">
        <v>0</v>
      </c>
      <c r="AP1638">
        <v>0</v>
      </c>
      <c r="AQ1638">
        <v>0</v>
      </c>
      <c r="AR1638">
        <v>0</v>
      </c>
      <c r="AS1638">
        <v>0</v>
      </c>
      <c r="AT1638">
        <v>0</v>
      </c>
      <c r="AU1638">
        <v>0</v>
      </c>
      <c r="AV1638">
        <v>0</v>
      </c>
      <c r="AW1638">
        <v>0</v>
      </c>
      <c r="AX1638">
        <v>0</v>
      </c>
      <c r="AY1638">
        <v>0</v>
      </c>
      <c r="AZ1638">
        <v>0</v>
      </c>
      <c r="BA1638">
        <v>0</v>
      </c>
      <c r="BB1638">
        <v>0</v>
      </c>
      <c r="BC1638">
        <v>0</v>
      </c>
      <c r="BD1638">
        <v>0</v>
      </c>
      <c r="BE1638">
        <v>0</v>
      </c>
      <c r="BF1638">
        <v>0</v>
      </c>
      <c r="BG1638">
        <v>0</v>
      </c>
      <c r="BH1638">
        <v>1</v>
      </c>
      <c r="BI1638">
        <v>1.3</v>
      </c>
      <c r="BJ1638">
        <v>0.9</v>
      </c>
      <c r="BK1638">
        <v>1.5</v>
      </c>
      <c r="BL1638" s="4">
        <v>50.45</v>
      </c>
      <c r="BM1638" s="4">
        <v>7.57</v>
      </c>
      <c r="BN1638" s="4">
        <v>58.02</v>
      </c>
      <c r="BO1638" s="4">
        <v>58.02</v>
      </c>
      <c r="BQ1638" t="s">
        <v>436</v>
      </c>
      <c r="BR1638" t="s">
        <v>84</v>
      </c>
      <c r="BS1638" s="3">
        <v>43817</v>
      </c>
      <c r="BT1638" s="5">
        <v>0.37708333333333338</v>
      </c>
      <c r="BU1638" t="s">
        <v>1941</v>
      </c>
      <c r="BV1638" t="s">
        <v>86</v>
      </c>
      <c r="BY1638">
        <v>4273.34</v>
      </c>
      <c r="CA1638" t="s">
        <v>212</v>
      </c>
      <c r="CC1638" t="s">
        <v>405</v>
      </c>
      <c r="CD1638">
        <v>4026</v>
      </c>
      <c r="CE1638" t="s">
        <v>96</v>
      </c>
      <c r="CF1638" s="3">
        <v>43818</v>
      </c>
      <c r="CI1638">
        <v>1</v>
      </c>
      <c r="CJ1638">
        <v>1</v>
      </c>
      <c r="CK1638">
        <v>21</v>
      </c>
      <c r="CL1638" t="s">
        <v>89</v>
      </c>
    </row>
    <row r="1639" spans="1:90">
      <c r="A1639" t="s">
        <v>72</v>
      </c>
      <c r="B1639" t="s">
        <v>73</v>
      </c>
      <c r="C1639" t="s">
        <v>74</v>
      </c>
      <c r="E1639" t="str">
        <f>"FES1162728524"</f>
        <v>FES1162728524</v>
      </c>
      <c r="F1639" s="3">
        <v>43816</v>
      </c>
      <c r="G1639">
        <v>202006</v>
      </c>
      <c r="H1639" t="s">
        <v>75</v>
      </c>
      <c r="I1639" t="s">
        <v>76</v>
      </c>
      <c r="J1639" t="s">
        <v>77</v>
      </c>
      <c r="K1639" t="s">
        <v>78</v>
      </c>
      <c r="L1639" t="s">
        <v>2055</v>
      </c>
      <c r="M1639" t="s">
        <v>2056</v>
      </c>
      <c r="N1639" t="s">
        <v>2057</v>
      </c>
      <c r="O1639" t="s">
        <v>82</v>
      </c>
      <c r="P1639" t="str">
        <f>"2170717966                    "</f>
        <v xml:space="preserve">2170717966                    </v>
      </c>
      <c r="Q1639">
        <v>0</v>
      </c>
      <c r="R1639">
        <v>0</v>
      </c>
      <c r="S1639">
        <v>0</v>
      </c>
      <c r="T1639">
        <v>0</v>
      </c>
      <c r="U1639">
        <v>0</v>
      </c>
      <c r="V1639">
        <v>0</v>
      </c>
      <c r="W1639">
        <v>0</v>
      </c>
      <c r="X1639">
        <v>0</v>
      </c>
      <c r="Y1639">
        <v>0</v>
      </c>
      <c r="Z1639">
        <v>0</v>
      </c>
      <c r="AA1639">
        <v>0</v>
      </c>
      <c r="AB1639">
        <v>0</v>
      </c>
      <c r="AC1639">
        <v>0</v>
      </c>
      <c r="AD1639">
        <v>0</v>
      </c>
      <c r="AE1639">
        <v>0</v>
      </c>
      <c r="AF1639">
        <v>0</v>
      </c>
      <c r="AG1639">
        <v>0</v>
      </c>
      <c r="AH1639">
        <v>0</v>
      </c>
      <c r="AI1639">
        <v>0</v>
      </c>
      <c r="AJ1639">
        <v>0</v>
      </c>
      <c r="AK1639">
        <v>0</v>
      </c>
      <c r="AL1639">
        <v>0</v>
      </c>
      <c r="AM1639">
        <v>12.07</v>
      </c>
      <c r="AN1639">
        <v>0</v>
      </c>
      <c r="AO1639">
        <v>0</v>
      </c>
      <c r="AP1639">
        <v>0</v>
      </c>
      <c r="AQ1639">
        <v>0</v>
      </c>
      <c r="AR1639">
        <v>0</v>
      </c>
      <c r="AS1639">
        <v>0</v>
      </c>
      <c r="AT1639">
        <v>0</v>
      </c>
      <c r="AU1639">
        <v>0</v>
      </c>
      <c r="AV1639">
        <v>0</v>
      </c>
      <c r="AW1639">
        <v>0</v>
      </c>
      <c r="AX1639">
        <v>0</v>
      </c>
      <c r="AY1639">
        <v>0</v>
      </c>
      <c r="AZ1639">
        <v>0</v>
      </c>
      <c r="BA1639">
        <v>0</v>
      </c>
      <c r="BB1639">
        <v>0</v>
      </c>
      <c r="BC1639">
        <v>0</v>
      </c>
      <c r="BD1639">
        <v>0</v>
      </c>
      <c r="BE1639">
        <v>0</v>
      </c>
      <c r="BF1639">
        <v>0</v>
      </c>
      <c r="BG1639">
        <v>0</v>
      </c>
      <c r="BH1639">
        <v>1</v>
      </c>
      <c r="BI1639">
        <v>1</v>
      </c>
      <c r="BJ1639">
        <v>0.2</v>
      </c>
      <c r="BK1639">
        <v>1</v>
      </c>
      <c r="BL1639" s="4">
        <v>70.95</v>
      </c>
      <c r="BM1639" s="4">
        <v>10.64</v>
      </c>
      <c r="BN1639" s="4">
        <v>81.59</v>
      </c>
      <c r="BO1639" s="4">
        <v>81.59</v>
      </c>
      <c r="BQ1639" t="s">
        <v>93</v>
      </c>
      <c r="BR1639" t="s">
        <v>84</v>
      </c>
      <c r="BS1639" s="3">
        <v>43817</v>
      </c>
      <c r="BT1639" s="5">
        <v>0.29166666666666669</v>
      </c>
      <c r="BU1639" t="s">
        <v>2058</v>
      </c>
      <c r="BV1639" t="s">
        <v>86</v>
      </c>
      <c r="BY1639">
        <v>1200</v>
      </c>
      <c r="CA1639" t="s">
        <v>2059</v>
      </c>
      <c r="CC1639" t="s">
        <v>2056</v>
      </c>
      <c r="CD1639">
        <v>2410</v>
      </c>
      <c r="CE1639" t="s">
        <v>88</v>
      </c>
      <c r="CF1639" s="3">
        <v>43818</v>
      </c>
      <c r="CI1639">
        <v>1</v>
      </c>
      <c r="CJ1639">
        <v>1</v>
      </c>
      <c r="CK1639">
        <v>24</v>
      </c>
      <c r="CL1639" t="s">
        <v>89</v>
      </c>
    </row>
    <row r="1640" spans="1:90">
      <c r="A1640" t="s">
        <v>72</v>
      </c>
      <c r="B1640" t="s">
        <v>73</v>
      </c>
      <c r="C1640" t="s">
        <v>74</v>
      </c>
      <c r="E1640" t="str">
        <f>"FES1162728581"</f>
        <v>FES1162728581</v>
      </c>
      <c r="F1640" s="3">
        <v>43816</v>
      </c>
      <c r="G1640">
        <v>202006</v>
      </c>
      <c r="H1640" t="s">
        <v>75</v>
      </c>
      <c r="I1640" t="s">
        <v>76</v>
      </c>
      <c r="J1640" t="s">
        <v>77</v>
      </c>
      <c r="K1640" t="s">
        <v>78</v>
      </c>
      <c r="L1640" t="s">
        <v>332</v>
      </c>
      <c r="M1640" t="s">
        <v>333</v>
      </c>
      <c r="N1640" t="s">
        <v>1756</v>
      </c>
      <c r="O1640" t="s">
        <v>82</v>
      </c>
      <c r="P1640" t="str">
        <f>"2170712507                    "</f>
        <v xml:space="preserve">2170712507                    </v>
      </c>
      <c r="Q1640">
        <v>0</v>
      </c>
      <c r="R1640">
        <v>0</v>
      </c>
      <c r="S1640">
        <v>0</v>
      </c>
      <c r="T1640">
        <v>0</v>
      </c>
      <c r="U1640">
        <v>0</v>
      </c>
      <c r="V1640">
        <v>0</v>
      </c>
      <c r="W1640">
        <v>0</v>
      </c>
      <c r="X1640">
        <v>0</v>
      </c>
      <c r="Y1640">
        <v>0</v>
      </c>
      <c r="Z1640">
        <v>0</v>
      </c>
      <c r="AA1640">
        <v>0</v>
      </c>
      <c r="AB1640">
        <v>0</v>
      </c>
      <c r="AC1640">
        <v>0</v>
      </c>
      <c r="AD1640">
        <v>0</v>
      </c>
      <c r="AE1640">
        <v>0</v>
      </c>
      <c r="AF1640">
        <v>0</v>
      </c>
      <c r="AG1640">
        <v>0</v>
      </c>
      <c r="AH1640">
        <v>0</v>
      </c>
      <c r="AI1640">
        <v>0</v>
      </c>
      <c r="AJ1640">
        <v>0</v>
      </c>
      <c r="AK1640">
        <v>0</v>
      </c>
      <c r="AL1640">
        <v>0</v>
      </c>
      <c r="AM1640">
        <v>6.71</v>
      </c>
      <c r="AN1640">
        <v>0</v>
      </c>
      <c r="AO1640">
        <v>0</v>
      </c>
      <c r="AP1640">
        <v>0</v>
      </c>
      <c r="AQ1640">
        <v>0</v>
      </c>
      <c r="AR1640">
        <v>0</v>
      </c>
      <c r="AS1640">
        <v>0</v>
      </c>
      <c r="AT1640">
        <v>0</v>
      </c>
      <c r="AU1640">
        <v>0</v>
      </c>
      <c r="AV1640">
        <v>0</v>
      </c>
      <c r="AW1640">
        <v>0</v>
      </c>
      <c r="AX1640">
        <v>0</v>
      </c>
      <c r="AY1640">
        <v>0</v>
      </c>
      <c r="AZ1640">
        <v>0</v>
      </c>
      <c r="BA1640">
        <v>0</v>
      </c>
      <c r="BB1640">
        <v>0</v>
      </c>
      <c r="BC1640">
        <v>0</v>
      </c>
      <c r="BD1640">
        <v>0</v>
      </c>
      <c r="BE1640">
        <v>0</v>
      </c>
      <c r="BF1640">
        <v>0</v>
      </c>
      <c r="BG1640">
        <v>0</v>
      </c>
      <c r="BH1640">
        <v>1</v>
      </c>
      <c r="BI1640">
        <v>1</v>
      </c>
      <c r="BJ1640">
        <v>0.2</v>
      </c>
      <c r="BK1640">
        <v>1</v>
      </c>
      <c r="BL1640" s="4">
        <v>39.42</v>
      </c>
      <c r="BM1640" s="4">
        <v>5.91</v>
      </c>
      <c r="BN1640" s="4">
        <v>45.33</v>
      </c>
      <c r="BO1640" s="4">
        <v>45.33</v>
      </c>
      <c r="BQ1640" t="s">
        <v>135</v>
      </c>
      <c r="BR1640" t="s">
        <v>84</v>
      </c>
      <c r="BS1640" s="3">
        <v>43818</v>
      </c>
      <c r="BT1640" s="5">
        <v>0.62708333333333333</v>
      </c>
      <c r="BU1640" t="s">
        <v>617</v>
      </c>
      <c r="BV1640" t="s">
        <v>89</v>
      </c>
      <c r="BY1640">
        <v>1200</v>
      </c>
      <c r="CA1640" t="s">
        <v>620</v>
      </c>
      <c r="CC1640" t="s">
        <v>333</v>
      </c>
      <c r="CD1640">
        <v>2013</v>
      </c>
      <c r="CE1640" t="s">
        <v>88</v>
      </c>
      <c r="CF1640" s="3">
        <v>43819</v>
      </c>
      <c r="CI1640">
        <v>1</v>
      </c>
      <c r="CJ1640">
        <v>2</v>
      </c>
      <c r="CK1640">
        <v>22</v>
      </c>
      <c r="CL1640" t="s">
        <v>89</v>
      </c>
    </row>
    <row r="1641" spans="1:90">
      <c r="A1641" t="s">
        <v>72</v>
      </c>
      <c r="B1641" t="s">
        <v>73</v>
      </c>
      <c r="C1641" t="s">
        <v>74</v>
      </c>
      <c r="E1641" t="str">
        <f>"FES1162728700"</f>
        <v>FES1162728700</v>
      </c>
      <c r="F1641" s="3">
        <v>43816</v>
      </c>
      <c r="G1641">
        <v>202006</v>
      </c>
      <c r="H1641" t="s">
        <v>75</v>
      </c>
      <c r="I1641" t="s">
        <v>76</v>
      </c>
      <c r="J1641" t="s">
        <v>77</v>
      </c>
      <c r="K1641" t="s">
        <v>78</v>
      </c>
      <c r="L1641" t="s">
        <v>90</v>
      </c>
      <c r="M1641" t="s">
        <v>91</v>
      </c>
      <c r="N1641" t="s">
        <v>110</v>
      </c>
      <c r="O1641" t="s">
        <v>82</v>
      </c>
      <c r="P1641" t="str">
        <f>"2170721902                    "</f>
        <v xml:space="preserve">2170721902                    </v>
      </c>
      <c r="Q1641">
        <v>0</v>
      </c>
      <c r="R1641">
        <v>0</v>
      </c>
      <c r="S1641">
        <v>0</v>
      </c>
      <c r="T1641">
        <v>0</v>
      </c>
      <c r="U1641">
        <v>0</v>
      </c>
      <c r="V1641">
        <v>0</v>
      </c>
      <c r="W1641">
        <v>0</v>
      </c>
      <c r="X1641">
        <v>0</v>
      </c>
      <c r="Y1641">
        <v>0</v>
      </c>
      <c r="Z1641">
        <v>0</v>
      </c>
      <c r="AA1641">
        <v>0</v>
      </c>
      <c r="AB1641">
        <v>0</v>
      </c>
      <c r="AC1641">
        <v>0</v>
      </c>
      <c r="AD1641">
        <v>0</v>
      </c>
      <c r="AE1641">
        <v>0</v>
      </c>
      <c r="AF1641">
        <v>0</v>
      </c>
      <c r="AG1641">
        <v>0</v>
      </c>
      <c r="AH1641">
        <v>0</v>
      </c>
      <c r="AI1641">
        <v>0</v>
      </c>
      <c r="AJ1641">
        <v>0</v>
      </c>
      <c r="AK1641">
        <v>0</v>
      </c>
      <c r="AL1641">
        <v>0</v>
      </c>
      <c r="AM1641">
        <v>8.58</v>
      </c>
      <c r="AN1641">
        <v>0</v>
      </c>
      <c r="AO1641">
        <v>0</v>
      </c>
      <c r="AP1641">
        <v>0</v>
      </c>
      <c r="AQ1641">
        <v>0</v>
      </c>
      <c r="AR1641">
        <v>0</v>
      </c>
      <c r="AS1641">
        <v>0</v>
      </c>
      <c r="AT1641">
        <v>0</v>
      </c>
      <c r="AU1641">
        <v>0</v>
      </c>
      <c r="AV1641">
        <v>0</v>
      </c>
      <c r="AW1641">
        <v>0</v>
      </c>
      <c r="AX1641">
        <v>0</v>
      </c>
      <c r="AY1641">
        <v>0</v>
      </c>
      <c r="AZ1641">
        <v>0</v>
      </c>
      <c r="BA1641">
        <v>0</v>
      </c>
      <c r="BB1641">
        <v>0</v>
      </c>
      <c r="BC1641">
        <v>0</v>
      </c>
      <c r="BD1641">
        <v>0</v>
      </c>
      <c r="BE1641">
        <v>0</v>
      </c>
      <c r="BF1641">
        <v>0</v>
      </c>
      <c r="BG1641">
        <v>0</v>
      </c>
      <c r="BH1641">
        <v>1</v>
      </c>
      <c r="BI1641">
        <v>1</v>
      </c>
      <c r="BJ1641">
        <v>0.2</v>
      </c>
      <c r="BK1641">
        <v>1</v>
      </c>
      <c r="BL1641" s="4">
        <v>50.45</v>
      </c>
      <c r="BM1641" s="4">
        <v>7.57</v>
      </c>
      <c r="BN1641" s="4">
        <v>58.02</v>
      </c>
      <c r="BO1641" s="4">
        <v>58.02</v>
      </c>
      <c r="BQ1641" t="s">
        <v>147</v>
      </c>
      <c r="BR1641" t="s">
        <v>84</v>
      </c>
      <c r="BS1641" s="3">
        <v>43817</v>
      </c>
      <c r="BT1641" s="5">
        <v>0.32708333333333334</v>
      </c>
      <c r="BU1641" t="s">
        <v>2060</v>
      </c>
      <c r="BV1641" t="s">
        <v>86</v>
      </c>
      <c r="BY1641">
        <v>1200</v>
      </c>
      <c r="CA1641" t="s">
        <v>112</v>
      </c>
      <c r="CC1641" t="s">
        <v>91</v>
      </c>
      <c r="CD1641">
        <v>7405</v>
      </c>
      <c r="CE1641" t="s">
        <v>88</v>
      </c>
      <c r="CF1641" s="3">
        <v>43818</v>
      </c>
      <c r="CI1641">
        <v>1</v>
      </c>
      <c r="CJ1641">
        <v>1</v>
      </c>
      <c r="CK1641">
        <v>21</v>
      </c>
      <c r="CL1641" t="s">
        <v>89</v>
      </c>
    </row>
    <row r="1642" spans="1:90">
      <c r="A1642" t="s">
        <v>72</v>
      </c>
      <c r="B1642" t="s">
        <v>73</v>
      </c>
      <c r="C1642" t="s">
        <v>74</v>
      </c>
      <c r="E1642" t="str">
        <f>"FES1162728521"</f>
        <v>FES1162728521</v>
      </c>
      <c r="F1642" s="3">
        <v>43816</v>
      </c>
      <c r="G1642">
        <v>202006</v>
      </c>
      <c r="H1642" t="s">
        <v>75</v>
      </c>
      <c r="I1642" t="s">
        <v>76</v>
      </c>
      <c r="J1642" t="s">
        <v>77</v>
      </c>
      <c r="K1642" t="s">
        <v>78</v>
      </c>
      <c r="L1642" t="s">
        <v>2055</v>
      </c>
      <c r="M1642" t="s">
        <v>2056</v>
      </c>
      <c r="N1642" t="s">
        <v>2057</v>
      </c>
      <c r="O1642" t="s">
        <v>82</v>
      </c>
      <c r="P1642" t="str">
        <f>"217071765                     "</f>
        <v xml:space="preserve">217071765                     </v>
      </c>
      <c r="Q1642">
        <v>0</v>
      </c>
      <c r="R1642">
        <v>0</v>
      </c>
      <c r="S1642">
        <v>0</v>
      </c>
      <c r="T1642">
        <v>0</v>
      </c>
      <c r="U1642">
        <v>0</v>
      </c>
      <c r="V1642">
        <v>0</v>
      </c>
      <c r="W1642">
        <v>0</v>
      </c>
      <c r="X1642">
        <v>0</v>
      </c>
      <c r="Y1642">
        <v>0</v>
      </c>
      <c r="Z1642">
        <v>0</v>
      </c>
      <c r="AA1642">
        <v>0</v>
      </c>
      <c r="AB1642">
        <v>0</v>
      </c>
      <c r="AC1642">
        <v>0</v>
      </c>
      <c r="AD1642">
        <v>0</v>
      </c>
      <c r="AE1642">
        <v>0</v>
      </c>
      <c r="AF1642">
        <v>0</v>
      </c>
      <c r="AG1642">
        <v>0</v>
      </c>
      <c r="AH1642">
        <v>0</v>
      </c>
      <c r="AI1642">
        <v>0</v>
      </c>
      <c r="AJ1642">
        <v>0</v>
      </c>
      <c r="AK1642">
        <v>0</v>
      </c>
      <c r="AL1642">
        <v>0</v>
      </c>
      <c r="AM1642">
        <v>12.07</v>
      </c>
      <c r="AN1642">
        <v>0</v>
      </c>
      <c r="AO1642">
        <v>0</v>
      </c>
      <c r="AP1642">
        <v>0</v>
      </c>
      <c r="AQ1642">
        <v>0</v>
      </c>
      <c r="AR1642">
        <v>0</v>
      </c>
      <c r="AS1642">
        <v>0</v>
      </c>
      <c r="AT1642">
        <v>0</v>
      </c>
      <c r="AU1642">
        <v>0</v>
      </c>
      <c r="AV1642">
        <v>0</v>
      </c>
      <c r="AW1642">
        <v>0</v>
      </c>
      <c r="AX1642">
        <v>0</v>
      </c>
      <c r="AY1642">
        <v>0</v>
      </c>
      <c r="AZ1642">
        <v>0</v>
      </c>
      <c r="BA1642">
        <v>0</v>
      </c>
      <c r="BB1642">
        <v>0</v>
      </c>
      <c r="BC1642">
        <v>0</v>
      </c>
      <c r="BD1642">
        <v>0</v>
      </c>
      <c r="BE1642">
        <v>0</v>
      </c>
      <c r="BF1642">
        <v>0</v>
      </c>
      <c r="BG1642">
        <v>0</v>
      </c>
      <c r="BH1642">
        <v>1</v>
      </c>
      <c r="BI1642">
        <v>1</v>
      </c>
      <c r="BJ1642">
        <v>0.2</v>
      </c>
      <c r="BK1642">
        <v>1</v>
      </c>
      <c r="BL1642" s="4">
        <v>70.95</v>
      </c>
      <c r="BM1642" s="4">
        <v>10.64</v>
      </c>
      <c r="BN1642" s="4">
        <v>81.59</v>
      </c>
      <c r="BO1642" s="4">
        <v>81.59</v>
      </c>
      <c r="BQ1642" t="s">
        <v>93</v>
      </c>
      <c r="BR1642" t="s">
        <v>84</v>
      </c>
      <c r="BS1642" s="3">
        <v>43817</v>
      </c>
      <c r="BT1642" s="5">
        <v>0.29166666666666669</v>
      </c>
      <c r="BU1642" t="s">
        <v>2058</v>
      </c>
      <c r="BV1642" t="s">
        <v>86</v>
      </c>
      <c r="BY1642">
        <v>1200</v>
      </c>
      <c r="CA1642" t="s">
        <v>2059</v>
      </c>
      <c r="CC1642" t="s">
        <v>2056</v>
      </c>
      <c r="CD1642">
        <v>2410</v>
      </c>
      <c r="CE1642" t="s">
        <v>88</v>
      </c>
      <c r="CF1642" s="3">
        <v>43818</v>
      </c>
      <c r="CI1642">
        <v>1</v>
      </c>
      <c r="CJ1642">
        <v>1</v>
      </c>
      <c r="CK1642">
        <v>24</v>
      </c>
      <c r="CL1642" t="s">
        <v>89</v>
      </c>
    </row>
    <row r="1643" spans="1:90">
      <c r="A1643" t="s">
        <v>72</v>
      </c>
      <c r="B1643" t="s">
        <v>73</v>
      </c>
      <c r="C1643" t="s">
        <v>74</v>
      </c>
      <c r="E1643" t="str">
        <f>"FES1162728572"</f>
        <v>FES1162728572</v>
      </c>
      <c r="F1643" s="3">
        <v>43816</v>
      </c>
      <c r="G1643">
        <v>202006</v>
      </c>
      <c r="H1643" t="s">
        <v>75</v>
      </c>
      <c r="I1643" t="s">
        <v>76</v>
      </c>
      <c r="J1643" t="s">
        <v>77</v>
      </c>
      <c r="K1643" t="s">
        <v>78</v>
      </c>
      <c r="L1643" t="s">
        <v>198</v>
      </c>
      <c r="M1643" t="s">
        <v>199</v>
      </c>
      <c r="N1643" t="s">
        <v>639</v>
      </c>
      <c r="O1643" t="s">
        <v>82</v>
      </c>
      <c r="P1643" t="str">
        <f>"2170710880                    "</f>
        <v xml:space="preserve">2170710880                    </v>
      </c>
      <c r="Q1643">
        <v>0</v>
      </c>
      <c r="R1643">
        <v>0</v>
      </c>
      <c r="S1643">
        <v>0</v>
      </c>
      <c r="T1643">
        <v>0</v>
      </c>
      <c r="U1643">
        <v>0</v>
      </c>
      <c r="V1643">
        <v>0</v>
      </c>
      <c r="W1643">
        <v>0</v>
      </c>
      <c r="X1643">
        <v>0</v>
      </c>
      <c r="Y1643">
        <v>0</v>
      </c>
      <c r="Z1643">
        <v>0</v>
      </c>
      <c r="AA1643">
        <v>0</v>
      </c>
      <c r="AB1643">
        <v>0</v>
      </c>
      <c r="AC1643">
        <v>0</v>
      </c>
      <c r="AD1643">
        <v>0</v>
      </c>
      <c r="AE1643">
        <v>0</v>
      </c>
      <c r="AF1643">
        <v>0</v>
      </c>
      <c r="AG1643">
        <v>0</v>
      </c>
      <c r="AH1643">
        <v>0</v>
      </c>
      <c r="AI1643">
        <v>0</v>
      </c>
      <c r="AJ1643">
        <v>0</v>
      </c>
      <c r="AK1643">
        <v>0</v>
      </c>
      <c r="AL1643">
        <v>0</v>
      </c>
      <c r="AM1643">
        <v>8.58</v>
      </c>
      <c r="AN1643">
        <v>0</v>
      </c>
      <c r="AO1643">
        <v>0</v>
      </c>
      <c r="AP1643">
        <v>0</v>
      </c>
      <c r="AQ1643">
        <v>0</v>
      </c>
      <c r="AR1643">
        <v>0</v>
      </c>
      <c r="AS1643">
        <v>0</v>
      </c>
      <c r="AT1643">
        <v>0</v>
      </c>
      <c r="AU1643">
        <v>0</v>
      </c>
      <c r="AV1643">
        <v>0</v>
      </c>
      <c r="AW1643">
        <v>0</v>
      </c>
      <c r="AX1643">
        <v>0</v>
      </c>
      <c r="AY1643">
        <v>0</v>
      </c>
      <c r="AZ1643">
        <v>0</v>
      </c>
      <c r="BA1643">
        <v>0</v>
      </c>
      <c r="BB1643">
        <v>0</v>
      </c>
      <c r="BC1643">
        <v>0</v>
      </c>
      <c r="BD1643">
        <v>0</v>
      </c>
      <c r="BE1643">
        <v>0</v>
      </c>
      <c r="BF1643">
        <v>0</v>
      </c>
      <c r="BG1643">
        <v>0</v>
      </c>
      <c r="BH1643">
        <v>1</v>
      </c>
      <c r="BI1643">
        <v>1</v>
      </c>
      <c r="BJ1643">
        <v>0.2</v>
      </c>
      <c r="BK1643">
        <v>1</v>
      </c>
      <c r="BL1643" s="4">
        <v>50.45</v>
      </c>
      <c r="BM1643" s="4">
        <v>7.57</v>
      </c>
      <c r="BN1643" s="4">
        <v>58.02</v>
      </c>
      <c r="BO1643" s="4">
        <v>58.02</v>
      </c>
      <c r="BQ1643" t="s">
        <v>640</v>
      </c>
      <c r="BR1643" t="s">
        <v>84</v>
      </c>
      <c r="BS1643" s="3">
        <v>43817</v>
      </c>
      <c r="BT1643" s="5">
        <v>0.32847222222222222</v>
      </c>
      <c r="BU1643" t="s">
        <v>641</v>
      </c>
      <c r="BV1643" t="s">
        <v>86</v>
      </c>
      <c r="BY1643">
        <v>1200</v>
      </c>
      <c r="CA1643" t="s">
        <v>408</v>
      </c>
      <c r="CC1643" t="s">
        <v>199</v>
      </c>
      <c r="CD1643">
        <v>4052</v>
      </c>
      <c r="CE1643" t="s">
        <v>88</v>
      </c>
      <c r="CF1643" s="3">
        <v>43818</v>
      </c>
      <c r="CI1643">
        <v>1</v>
      </c>
      <c r="CJ1643">
        <v>1</v>
      </c>
      <c r="CK1643">
        <v>21</v>
      </c>
      <c r="CL1643" t="s">
        <v>89</v>
      </c>
    </row>
    <row r="1644" spans="1:90">
      <c r="A1644" t="s">
        <v>72</v>
      </c>
      <c r="B1644" t="s">
        <v>73</v>
      </c>
      <c r="C1644" t="s">
        <v>74</v>
      </c>
      <c r="E1644" t="str">
        <f>"FES1162728638"</f>
        <v>FES1162728638</v>
      </c>
      <c r="F1644" s="3">
        <v>43816</v>
      </c>
      <c r="G1644">
        <v>202006</v>
      </c>
      <c r="H1644" t="s">
        <v>75</v>
      </c>
      <c r="I1644" t="s">
        <v>76</v>
      </c>
      <c r="J1644" t="s">
        <v>77</v>
      </c>
      <c r="K1644" t="s">
        <v>78</v>
      </c>
      <c r="L1644" t="s">
        <v>198</v>
      </c>
      <c r="M1644" t="s">
        <v>199</v>
      </c>
      <c r="N1644" t="s">
        <v>1884</v>
      </c>
      <c r="O1644" t="s">
        <v>82</v>
      </c>
      <c r="P1644" t="str">
        <f>"2170719631                    "</f>
        <v xml:space="preserve">2170719631                    </v>
      </c>
      <c r="Q1644">
        <v>0</v>
      </c>
      <c r="R1644">
        <v>0</v>
      </c>
      <c r="S1644">
        <v>0</v>
      </c>
      <c r="T1644">
        <v>0</v>
      </c>
      <c r="U1644">
        <v>0</v>
      </c>
      <c r="V1644">
        <v>0</v>
      </c>
      <c r="W1644">
        <v>0</v>
      </c>
      <c r="X1644">
        <v>0</v>
      </c>
      <c r="Y1644">
        <v>0</v>
      </c>
      <c r="Z1644">
        <v>0</v>
      </c>
      <c r="AA1644">
        <v>0</v>
      </c>
      <c r="AB1644">
        <v>0</v>
      </c>
      <c r="AC1644">
        <v>0</v>
      </c>
      <c r="AD1644">
        <v>0</v>
      </c>
      <c r="AE1644">
        <v>0</v>
      </c>
      <c r="AF1644">
        <v>0</v>
      </c>
      <c r="AG1644">
        <v>0</v>
      </c>
      <c r="AH1644">
        <v>0</v>
      </c>
      <c r="AI1644">
        <v>0</v>
      </c>
      <c r="AJ1644">
        <v>0</v>
      </c>
      <c r="AK1644">
        <v>0</v>
      </c>
      <c r="AL1644">
        <v>0</v>
      </c>
      <c r="AM1644">
        <v>8.58</v>
      </c>
      <c r="AN1644">
        <v>0</v>
      </c>
      <c r="AO1644">
        <v>0</v>
      </c>
      <c r="AP1644">
        <v>0</v>
      </c>
      <c r="AQ1644">
        <v>0</v>
      </c>
      <c r="AR1644">
        <v>0</v>
      </c>
      <c r="AS1644">
        <v>0</v>
      </c>
      <c r="AT1644">
        <v>0</v>
      </c>
      <c r="AU1644">
        <v>0</v>
      </c>
      <c r="AV1644">
        <v>0</v>
      </c>
      <c r="AW1644">
        <v>0</v>
      </c>
      <c r="AX1644">
        <v>0</v>
      </c>
      <c r="AY1644">
        <v>0</v>
      </c>
      <c r="AZ1644">
        <v>0</v>
      </c>
      <c r="BA1644">
        <v>0</v>
      </c>
      <c r="BB1644">
        <v>0</v>
      </c>
      <c r="BC1644">
        <v>0</v>
      </c>
      <c r="BD1644">
        <v>0</v>
      </c>
      <c r="BE1644">
        <v>0</v>
      </c>
      <c r="BF1644">
        <v>0</v>
      </c>
      <c r="BG1644">
        <v>0</v>
      </c>
      <c r="BH1644">
        <v>1</v>
      </c>
      <c r="BI1644">
        <v>1</v>
      </c>
      <c r="BJ1644">
        <v>0.2</v>
      </c>
      <c r="BK1644">
        <v>1</v>
      </c>
      <c r="BL1644" s="4">
        <v>50.45</v>
      </c>
      <c r="BM1644" s="4">
        <v>7.57</v>
      </c>
      <c r="BN1644" s="4">
        <v>58.02</v>
      </c>
      <c r="BO1644" s="4">
        <v>58.02</v>
      </c>
      <c r="BQ1644" t="s">
        <v>93</v>
      </c>
      <c r="BR1644" t="s">
        <v>84</v>
      </c>
      <c r="BS1644" s="3">
        <v>43836</v>
      </c>
      <c r="BT1644" s="5">
        <v>0.35694444444444445</v>
      </c>
      <c r="BU1644" t="s">
        <v>1972</v>
      </c>
      <c r="BV1644" t="s">
        <v>89</v>
      </c>
      <c r="BY1644">
        <v>1200</v>
      </c>
      <c r="CA1644" t="s">
        <v>281</v>
      </c>
      <c r="CC1644" t="s">
        <v>199</v>
      </c>
      <c r="CD1644">
        <v>4001</v>
      </c>
      <c r="CE1644" t="s">
        <v>88</v>
      </c>
      <c r="CI1644">
        <v>1</v>
      </c>
      <c r="CJ1644">
        <v>14</v>
      </c>
      <c r="CK1644">
        <v>21</v>
      </c>
      <c r="CL1644" t="s">
        <v>89</v>
      </c>
    </row>
    <row r="1645" spans="1:90">
      <c r="A1645" t="s">
        <v>72</v>
      </c>
      <c r="B1645" t="s">
        <v>73</v>
      </c>
      <c r="C1645" t="s">
        <v>74</v>
      </c>
      <c r="E1645" t="str">
        <f>"FES1162728690"</f>
        <v>FES1162728690</v>
      </c>
      <c r="F1645" s="3">
        <v>43816</v>
      </c>
      <c r="G1645">
        <v>202006</v>
      </c>
      <c r="H1645" t="s">
        <v>75</v>
      </c>
      <c r="I1645" t="s">
        <v>76</v>
      </c>
      <c r="J1645" t="s">
        <v>77</v>
      </c>
      <c r="K1645" t="s">
        <v>78</v>
      </c>
      <c r="L1645" t="s">
        <v>396</v>
      </c>
      <c r="M1645" t="s">
        <v>397</v>
      </c>
      <c r="N1645" t="s">
        <v>2061</v>
      </c>
      <c r="O1645" t="s">
        <v>82</v>
      </c>
      <c r="P1645" t="str">
        <f>"2170721888                    "</f>
        <v xml:space="preserve">2170721888                    </v>
      </c>
      <c r="Q1645">
        <v>0</v>
      </c>
      <c r="R1645">
        <v>0</v>
      </c>
      <c r="S1645">
        <v>0</v>
      </c>
      <c r="T1645">
        <v>0</v>
      </c>
      <c r="U1645">
        <v>0</v>
      </c>
      <c r="V1645">
        <v>0</v>
      </c>
      <c r="W1645">
        <v>0</v>
      </c>
      <c r="X1645">
        <v>0</v>
      </c>
      <c r="Y1645">
        <v>0</v>
      </c>
      <c r="Z1645">
        <v>0</v>
      </c>
      <c r="AA1645">
        <v>0</v>
      </c>
      <c r="AB1645">
        <v>0</v>
      </c>
      <c r="AC1645">
        <v>0</v>
      </c>
      <c r="AD1645">
        <v>0</v>
      </c>
      <c r="AE1645">
        <v>0</v>
      </c>
      <c r="AF1645">
        <v>0</v>
      </c>
      <c r="AG1645">
        <v>0</v>
      </c>
      <c r="AH1645">
        <v>0</v>
      </c>
      <c r="AI1645">
        <v>0</v>
      </c>
      <c r="AJ1645">
        <v>0</v>
      </c>
      <c r="AK1645">
        <v>0</v>
      </c>
      <c r="AL1645">
        <v>0</v>
      </c>
      <c r="AM1645">
        <v>16.63</v>
      </c>
      <c r="AN1645">
        <v>0</v>
      </c>
      <c r="AO1645">
        <v>0</v>
      </c>
      <c r="AP1645">
        <v>0</v>
      </c>
      <c r="AQ1645">
        <v>0</v>
      </c>
      <c r="AR1645">
        <v>0</v>
      </c>
      <c r="AS1645">
        <v>0</v>
      </c>
      <c r="AT1645">
        <v>0</v>
      </c>
      <c r="AU1645">
        <v>0</v>
      </c>
      <c r="AV1645">
        <v>0</v>
      </c>
      <c r="AW1645">
        <v>0</v>
      </c>
      <c r="AX1645">
        <v>0</v>
      </c>
      <c r="AY1645">
        <v>0</v>
      </c>
      <c r="AZ1645">
        <v>0</v>
      </c>
      <c r="BA1645">
        <v>0</v>
      </c>
      <c r="BB1645">
        <v>0</v>
      </c>
      <c r="BC1645">
        <v>0</v>
      </c>
      <c r="BD1645">
        <v>0</v>
      </c>
      <c r="BE1645">
        <v>0</v>
      </c>
      <c r="BF1645">
        <v>0</v>
      </c>
      <c r="BG1645">
        <v>0</v>
      </c>
      <c r="BH1645">
        <v>1</v>
      </c>
      <c r="BI1645">
        <v>1</v>
      </c>
      <c r="BJ1645">
        <v>0.2</v>
      </c>
      <c r="BK1645">
        <v>1</v>
      </c>
      <c r="BL1645" s="4">
        <v>97.75</v>
      </c>
      <c r="BM1645" s="4">
        <v>14.66</v>
      </c>
      <c r="BN1645" s="4">
        <v>112.41</v>
      </c>
      <c r="BO1645" s="4">
        <v>112.41</v>
      </c>
      <c r="BQ1645" t="s">
        <v>93</v>
      </c>
      <c r="BR1645" t="s">
        <v>84</v>
      </c>
      <c r="BS1645" s="3">
        <v>43817</v>
      </c>
      <c r="BT1645" s="5">
        <v>0.51736111111111105</v>
      </c>
      <c r="BU1645" t="s">
        <v>2062</v>
      </c>
      <c r="BV1645" t="s">
        <v>86</v>
      </c>
      <c r="BY1645">
        <v>1200</v>
      </c>
      <c r="CA1645" t="s">
        <v>400</v>
      </c>
      <c r="CC1645" t="s">
        <v>397</v>
      </c>
      <c r="CD1645">
        <v>7130</v>
      </c>
      <c r="CE1645" t="s">
        <v>88</v>
      </c>
      <c r="CF1645" s="3">
        <v>43818</v>
      </c>
      <c r="CI1645">
        <v>1</v>
      </c>
      <c r="CJ1645">
        <v>1</v>
      </c>
      <c r="CK1645">
        <v>23</v>
      </c>
      <c r="CL1645" t="s">
        <v>89</v>
      </c>
    </row>
    <row r="1646" spans="1:90">
      <c r="A1646" t="s">
        <v>72</v>
      </c>
      <c r="B1646" t="s">
        <v>73</v>
      </c>
      <c r="C1646" t="s">
        <v>74</v>
      </c>
      <c r="E1646" t="str">
        <f>"FES1162728531"</f>
        <v>FES1162728531</v>
      </c>
      <c r="F1646" s="3">
        <v>43816</v>
      </c>
      <c r="G1646">
        <v>202006</v>
      </c>
      <c r="H1646" t="s">
        <v>75</v>
      </c>
      <c r="I1646" t="s">
        <v>76</v>
      </c>
      <c r="J1646" t="s">
        <v>77</v>
      </c>
      <c r="K1646" t="s">
        <v>78</v>
      </c>
      <c r="L1646" t="s">
        <v>455</v>
      </c>
      <c r="M1646" t="s">
        <v>456</v>
      </c>
      <c r="N1646" t="s">
        <v>457</v>
      </c>
      <c r="O1646" t="s">
        <v>82</v>
      </c>
      <c r="P1646" t="str">
        <f>"217071350                     "</f>
        <v xml:space="preserve">217071350                     </v>
      </c>
      <c r="Q1646">
        <v>0</v>
      </c>
      <c r="R1646">
        <v>0</v>
      </c>
      <c r="S1646">
        <v>0</v>
      </c>
      <c r="T1646">
        <v>0</v>
      </c>
      <c r="U1646">
        <v>0</v>
      </c>
      <c r="V1646">
        <v>0</v>
      </c>
      <c r="W1646">
        <v>0</v>
      </c>
      <c r="X1646">
        <v>0</v>
      </c>
      <c r="Y1646">
        <v>0</v>
      </c>
      <c r="Z1646">
        <v>0</v>
      </c>
      <c r="AA1646">
        <v>0</v>
      </c>
      <c r="AB1646">
        <v>0</v>
      </c>
      <c r="AC1646">
        <v>0</v>
      </c>
      <c r="AD1646">
        <v>0</v>
      </c>
      <c r="AE1646">
        <v>0</v>
      </c>
      <c r="AF1646">
        <v>0</v>
      </c>
      <c r="AG1646">
        <v>0</v>
      </c>
      <c r="AH1646">
        <v>0</v>
      </c>
      <c r="AI1646">
        <v>0</v>
      </c>
      <c r="AJ1646">
        <v>0</v>
      </c>
      <c r="AK1646">
        <v>0</v>
      </c>
      <c r="AL1646">
        <v>0</v>
      </c>
      <c r="AM1646">
        <v>8.58</v>
      </c>
      <c r="AN1646">
        <v>0</v>
      </c>
      <c r="AO1646">
        <v>0</v>
      </c>
      <c r="AP1646">
        <v>0</v>
      </c>
      <c r="AQ1646">
        <v>0</v>
      </c>
      <c r="AR1646">
        <v>0</v>
      </c>
      <c r="AS1646">
        <v>0</v>
      </c>
      <c r="AT1646">
        <v>0</v>
      </c>
      <c r="AU1646">
        <v>0</v>
      </c>
      <c r="AV1646">
        <v>0</v>
      </c>
      <c r="AW1646">
        <v>0</v>
      </c>
      <c r="AX1646">
        <v>0</v>
      </c>
      <c r="AY1646">
        <v>0</v>
      </c>
      <c r="AZ1646">
        <v>0</v>
      </c>
      <c r="BA1646">
        <v>0</v>
      </c>
      <c r="BB1646">
        <v>0</v>
      </c>
      <c r="BC1646">
        <v>0</v>
      </c>
      <c r="BD1646">
        <v>0</v>
      </c>
      <c r="BE1646">
        <v>0</v>
      </c>
      <c r="BF1646">
        <v>0</v>
      </c>
      <c r="BG1646">
        <v>0</v>
      </c>
      <c r="BH1646">
        <v>1</v>
      </c>
      <c r="BI1646">
        <v>1</v>
      </c>
      <c r="BJ1646">
        <v>0.2</v>
      </c>
      <c r="BK1646">
        <v>1</v>
      </c>
      <c r="BL1646" s="4">
        <v>50.45</v>
      </c>
      <c r="BM1646" s="4">
        <v>7.57</v>
      </c>
      <c r="BN1646" s="4">
        <v>58.02</v>
      </c>
      <c r="BO1646" s="4">
        <v>58.02</v>
      </c>
      <c r="BR1646" t="s">
        <v>84</v>
      </c>
      <c r="BS1646" s="3">
        <v>43817</v>
      </c>
      <c r="BT1646" s="5">
        <v>0.4861111111111111</v>
      </c>
      <c r="BU1646" t="s">
        <v>2028</v>
      </c>
      <c r="BV1646" t="s">
        <v>86</v>
      </c>
      <c r="BY1646">
        <v>1200</v>
      </c>
      <c r="CA1646" t="s">
        <v>225</v>
      </c>
      <c r="CC1646" t="s">
        <v>456</v>
      </c>
      <c r="CD1646">
        <v>3699</v>
      </c>
      <c r="CE1646" t="s">
        <v>88</v>
      </c>
      <c r="CF1646" s="3">
        <v>43818</v>
      </c>
      <c r="CI1646">
        <v>1</v>
      </c>
      <c r="CJ1646">
        <v>1</v>
      </c>
      <c r="CK1646">
        <v>21</v>
      </c>
      <c r="CL1646" t="s">
        <v>89</v>
      </c>
    </row>
    <row r="1647" spans="1:90">
      <c r="A1647" t="s">
        <v>72</v>
      </c>
      <c r="B1647" t="s">
        <v>73</v>
      </c>
      <c r="C1647" t="s">
        <v>74</v>
      </c>
      <c r="E1647" t="str">
        <f>"FES1162728573"</f>
        <v>FES1162728573</v>
      </c>
      <c r="F1647" s="3">
        <v>43816</v>
      </c>
      <c r="G1647">
        <v>202006</v>
      </c>
      <c r="H1647" t="s">
        <v>75</v>
      </c>
      <c r="I1647" t="s">
        <v>76</v>
      </c>
      <c r="J1647" t="s">
        <v>77</v>
      </c>
      <c r="K1647" t="s">
        <v>78</v>
      </c>
      <c r="L1647" t="s">
        <v>198</v>
      </c>
      <c r="M1647" t="s">
        <v>199</v>
      </c>
      <c r="N1647" t="s">
        <v>485</v>
      </c>
      <c r="O1647" t="s">
        <v>82</v>
      </c>
      <c r="P1647" t="str">
        <f>"2170710942                    "</f>
        <v xml:space="preserve">2170710942                    </v>
      </c>
      <c r="Q1647">
        <v>0</v>
      </c>
      <c r="R1647">
        <v>0</v>
      </c>
      <c r="S1647">
        <v>0</v>
      </c>
      <c r="T1647">
        <v>0</v>
      </c>
      <c r="U1647">
        <v>0</v>
      </c>
      <c r="V1647">
        <v>0</v>
      </c>
      <c r="W1647">
        <v>0</v>
      </c>
      <c r="X1647">
        <v>0</v>
      </c>
      <c r="Y1647">
        <v>0</v>
      </c>
      <c r="Z1647">
        <v>0</v>
      </c>
      <c r="AA1647">
        <v>0</v>
      </c>
      <c r="AB1647">
        <v>0</v>
      </c>
      <c r="AC1647">
        <v>0</v>
      </c>
      <c r="AD1647">
        <v>0</v>
      </c>
      <c r="AE1647">
        <v>0</v>
      </c>
      <c r="AF1647">
        <v>0</v>
      </c>
      <c r="AG1647">
        <v>0</v>
      </c>
      <c r="AH1647">
        <v>0</v>
      </c>
      <c r="AI1647">
        <v>0</v>
      </c>
      <c r="AJ1647">
        <v>0</v>
      </c>
      <c r="AK1647">
        <v>0</v>
      </c>
      <c r="AL1647">
        <v>0</v>
      </c>
      <c r="AM1647">
        <v>8.58</v>
      </c>
      <c r="AN1647">
        <v>0</v>
      </c>
      <c r="AO1647">
        <v>0</v>
      </c>
      <c r="AP1647">
        <v>0</v>
      </c>
      <c r="AQ1647">
        <v>0</v>
      </c>
      <c r="AR1647">
        <v>0</v>
      </c>
      <c r="AS1647">
        <v>0</v>
      </c>
      <c r="AT1647">
        <v>0</v>
      </c>
      <c r="AU1647">
        <v>0</v>
      </c>
      <c r="AV1647">
        <v>0</v>
      </c>
      <c r="AW1647">
        <v>0</v>
      </c>
      <c r="AX1647">
        <v>0</v>
      </c>
      <c r="AY1647">
        <v>0</v>
      </c>
      <c r="AZ1647">
        <v>0</v>
      </c>
      <c r="BA1647">
        <v>0</v>
      </c>
      <c r="BB1647">
        <v>0</v>
      </c>
      <c r="BC1647">
        <v>0</v>
      </c>
      <c r="BD1647">
        <v>0</v>
      </c>
      <c r="BE1647">
        <v>0</v>
      </c>
      <c r="BF1647">
        <v>0</v>
      </c>
      <c r="BG1647">
        <v>0</v>
      </c>
      <c r="BH1647">
        <v>1</v>
      </c>
      <c r="BI1647">
        <v>1</v>
      </c>
      <c r="BJ1647">
        <v>0.2</v>
      </c>
      <c r="BK1647">
        <v>1</v>
      </c>
      <c r="BL1647" s="4">
        <v>50.45</v>
      </c>
      <c r="BM1647" s="4">
        <v>7.57</v>
      </c>
      <c r="BN1647" s="4">
        <v>58.02</v>
      </c>
      <c r="BO1647" s="4">
        <v>58.02</v>
      </c>
      <c r="BQ1647" t="s">
        <v>486</v>
      </c>
      <c r="BR1647" t="s">
        <v>84</v>
      </c>
      <c r="BS1647" s="3">
        <v>43817</v>
      </c>
      <c r="BT1647" s="5">
        <v>0.30972222222222223</v>
      </c>
      <c r="BU1647" t="s">
        <v>2063</v>
      </c>
      <c r="BV1647" t="s">
        <v>86</v>
      </c>
      <c r="BY1647">
        <v>1200</v>
      </c>
      <c r="CA1647" t="s">
        <v>488</v>
      </c>
      <c r="CC1647" t="s">
        <v>199</v>
      </c>
      <c r="CD1647">
        <v>4001</v>
      </c>
      <c r="CE1647" t="s">
        <v>88</v>
      </c>
      <c r="CF1647" s="3">
        <v>43818</v>
      </c>
      <c r="CI1647">
        <v>1</v>
      </c>
      <c r="CJ1647">
        <v>1</v>
      </c>
      <c r="CK1647">
        <v>21</v>
      </c>
      <c r="CL1647" t="s">
        <v>89</v>
      </c>
    </row>
    <row r="1648" spans="1:90">
      <c r="A1648" t="s">
        <v>72</v>
      </c>
      <c r="B1648" t="s">
        <v>73</v>
      </c>
      <c r="C1648" t="s">
        <v>74</v>
      </c>
      <c r="E1648" t="str">
        <f>"FES1162728570"</f>
        <v>FES1162728570</v>
      </c>
      <c r="F1648" s="3">
        <v>43816</v>
      </c>
      <c r="G1648">
        <v>202006</v>
      </c>
      <c r="H1648" t="s">
        <v>75</v>
      </c>
      <c r="I1648" t="s">
        <v>76</v>
      </c>
      <c r="J1648" t="s">
        <v>77</v>
      </c>
      <c r="K1648" t="s">
        <v>78</v>
      </c>
      <c r="L1648" t="s">
        <v>221</v>
      </c>
      <c r="M1648" t="s">
        <v>222</v>
      </c>
      <c r="N1648" t="s">
        <v>245</v>
      </c>
      <c r="O1648" t="s">
        <v>82</v>
      </c>
      <c r="P1648" t="str">
        <f>"217071258                     "</f>
        <v xml:space="preserve">217071258                     </v>
      </c>
      <c r="Q1648">
        <v>0</v>
      </c>
      <c r="R1648">
        <v>0</v>
      </c>
      <c r="S1648">
        <v>0</v>
      </c>
      <c r="T1648">
        <v>0</v>
      </c>
      <c r="U1648">
        <v>0</v>
      </c>
      <c r="V1648">
        <v>0</v>
      </c>
      <c r="W1648">
        <v>0</v>
      </c>
      <c r="X1648">
        <v>0</v>
      </c>
      <c r="Y1648">
        <v>0</v>
      </c>
      <c r="Z1648">
        <v>0</v>
      </c>
      <c r="AA1648">
        <v>0</v>
      </c>
      <c r="AB1648">
        <v>0</v>
      </c>
      <c r="AC1648">
        <v>0</v>
      </c>
      <c r="AD1648">
        <v>0</v>
      </c>
      <c r="AE1648">
        <v>0</v>
      </c>
      <c r="AF1648">
        <v>0</v>
      </c>
      <c r="AG1648">
        <v>0</v>
      </c>
      <c r="AH1648">
        <v>0</v>
      </c>
      <c r="AI1648">
        <v>0</v>
      </c>
      <c r="AJ1648">
        <v>0</v>
      </c>
      <c r="AK1648">
        <v>0</v>
      </c>
      <c r="AL1648">
        <v>0</v>
      </c>
      <c r="AM1648">
        <v>8.58</v>
      </c>
      <c r="AN1648">
        <v>0</v>
      </c>
      <c r="AO1648">
        <v>0</v>
      </c>
      <c r="AP1648">
        <v>0</v>
      </c>
      <c r="AQ1648">
        <v>0</v>
      </c>
      <c r="AR1648">
        <v>0</v>
      </c>
      <c r="AS1648">
        <v>0</v>
      </c>
      <c r="AT1648">
        <v>0</v>
      </c>
      <c r="AU1648">
        <v>0</v>
      </c>
      <c r="AV1648">
        <v>0</v>
      </c>
      <c r="AW1648">
        <v>0</v>
      </c>
      <c r="AX1648">
        <v>0</v>
      </c>
      <c r="AY1648">
        <v>0</v>
      </c>
      <c r="AZ1648">
        <v>0</v>
      </c>
      <c r="BA1648">
        <v>0</v>
      </c>
      <c r="BB1648">
        <v>0</v>
      </c>
      <c r="BC1648">
        <v>0</v>
      </c>
      <c r="BD1648">
        <v>0</v>
      </c>
      <c r="BE1648">
        <v>0</v>
      </c>
      <c r="BF1648">
        <v>0</v>
      </c>
      <c r="BG1648">
        <v>0</v>
      </c>
      <c r="BH1648">
        <v>1</v>
      </c>
      <c r="BI1648">
        <v>1</v>
      </c>
      <c r="BJ1648">
        <v>0.2</v>
      </c>
      <c r="BK1648">
        <v>1</v>
      </c>
      <c r="BL1648" s="4">
        <v>50.45</v>
      </c>
      <c r="BM1648" s="4">
        <v>7.57</v>
      </c>
      <c r="BN1648" s="4">
        <v>58.02</v>
      </c>
      <c r="BO1648" s="4">
        <v>58.02</v>
      </c>
      <c r="BR1648" t="s">
        <v>84</v>
      </c>
      <c r="BS1648" s="3">
        <v>43817</v>
      </c>
      <c r="BT1648" s="5">
        <v>0.42569444444444443</v>
      </c>
      <c r="BU1648" t="s">
        <v>2064</v>
      </c>
      <c r="BV1648" t="s">
        <v>86</v>
      </c>
      <c r="BY1648">
        <v>1200</v>
      </c>
      <c r="CA1648" t="s">
        <v>1609</v>
      </c>
      <c r="CC1648" t="s">
        <v>222</v>
      </c>
      <c r="CD1648">
        <v>3200</v>
      </c>
      <c r="CE1648" t="s">
        <v>88</v>
      </c>
      <c r="CF1648" s="3">
        <v>43818</v>
      </c>
      <c r="CI1648">
        <v>1</v>
      </c>
      <c r="CJ1648">
        <v>1</v>
      </c>
      <c r="CK1648">
        <v>21</v>
      </c>
      <c r="CL1648" t="s">
        <v>89</v>
      </c>
    </row>
    <row r="1649" spans="1:90">
      <c r="A1649" t="s">
        <v>72</v>
      </c>
      <c r="B1649" t="s">
        <v>73</v>
      </c>
      <c r="C1649" t="s">
        <v>74</v>
      </c>
      <c r="E1649" t="str">
        <f>"FES1162728666"</f>
        <v>FES1162728666</v>
      </c>
      <c r="F1649" s="3">
        <v>43816</v>
      </c>
      <c r="G1649">
        <v>202006</v>
      </c>
      <c r="H1649" t="s">
        <v>75</v>
      </c>
      <c r="I1649" t="s">
        <v>76</v>
      </c>
      <c r="J1649" t="s">
        <v>77</v>
      </c>
      <c r="K1649" t="s">
        <v>78</v>
      </c>
      <c r="L1649" t="s">
        <v>455</v>
      </c>
      <c r="M1649" t="s">
        <v>456</v>
      </c>
      <c r="N1649" t="s">
        <v>457</v>
      </c>
      <c r="O1649" t="s">
        <v>82</v>
      </c>
      <c r="P1649" t="str">
        <f>"2170719885                    "</f>
        <v xml:space="preserve">2170719885                    </v>
      </c>
      <c r="Q1649">
        <v>0</v>
      </c>
      <c r="R1649">
        <v>0</v>
      </c>
      <c r="S1649">
        <v>0</v>
      </c>
      <c r="T1649">
        <v>0</v>
      </c>
      <c r="U1649">
        <v>0</v>
      </c>
      <c r="V1649">
        <v>0</v>
      </c>
      <c r="W1649">
        <v>0</v>
      </c>
      <c r="X1649">
        <v>0</v>
      </c>
      <c r="Y1649">
        <v>0</v>
      </c>
      <c r="Z1649">
        <v>0</v>
      </c>
      <c r="AA1649">
        <v>0</v>
      </c>
      <c r="AB1649">
        <v>0</v>
      </c>
      <c r="AC1649">
        <v>0</v>
      </c>
      <c r="AD1649">
        <v>0</v>
      </c>
      <c r="AE1649">
        <v>0</v>
      </c>
      <c r="AF1649">
        <v>0</v>
      </c>
      <c r="AG1649">
        <v>0</v>
      </c>
      <c r="AH1649">
        <v>0</v>
      </c>
      <c r="AI1649">
        <v>0</v>
      </c>
      <c r="AJ1649">
        <v>0</v>
      </c>
      <c r="AK1649">
        <v>0</v>
      </c>
      <c r="AL1649">
        <v>0</v>
      </c>
      <c r="AM1649">
        <v>8.58</v>
      </c>
      <c r="AN1649">
        <v>0</v>
      </c>
      <c r="AO1649">
        <v>0</v>
      </c>
      <c r="AP1649">
        <v>0</v>
      </c>
      <c r="AQ1649">
        <v>0</v>
      </c>
      <c r="AR1649">
        <v>0</v>
      </c>
      <c r="AS1649">
        <v>0</v>
      </c>
      <c r="AT1649">
        <v>0</v>
      </c>
      <c r="AU1649">
        <v>0</v>
      </c>
      <c r="AV1649">
        <v>0</v>
      </c>
      <c r="AW1649">
        <v>0</v>
      </c>
      <c r="AX1649">
        <v>0</v>
      </c>
      <c r="AY1649">
        <v>0</v>
      </c>
      <c r="AZ1649">
        <v>0</v>
      </c>
      <c r="BA1649">
        <v>0</v>
      </c>
      <c r="BB1649">
        <v>0</v>
      </c>
      <c r="BC1649">
        <v>0</v>
      </c>
      <c r="BD1649">
        <v>0</v>
      </c>
      <c r="BE1649">
        <v>0</v>
      </c>
      <c r="BF1649">
        <v>0</v>
      </c>
      <c r="BG1649">
        <v>0</v>
      </c>
      <c r="BH1649">
        <v>1</v>
      </c>
      <c r="BI1649">
        <v>1</v>
      </c>
      <c r="BJ1649">
        <v>0.2</v>
      </c>
      <c r="BK1649">
        <v>1</v>
      </c>
      <c r="BL1649" s="4">
        <v>50.45</v>
      </c>
      <c r="BM1649" s="4">
        <v>7.57</v>
      </c>
      <c r="BN1649" s="4">
        <v>58.02</v>
      </c>
      <c r="BO1649" s="4">
        <v>58.02</v>
      </c>
      <c r="BR1649" t="s">
        <v>84</v>
      </c>
      <c r="BS1649" s="3">
        <v>43817</v>
      </c>
      <c r="BT1649" s="5">
        <v>0.4861111111111111</v>
      </c>
      <c r="BU1649" t="s">
        <v>2028</v>
      </c>
      <c r="BV1649" t="s">
        <v>86</v>
      </c>
      <c r="BY1649">
        <v>1200</v>
      </c>
      <c r="CA1649" t="s">
        <v>225</v>
      </c>
      <c r="CC1649" t="s">
        <v>456</v>
      </c>
      <c r="CD1649">
        <v>3699</v>
      </c>
      <c r="CE1649" t="s">
        <v>88</v>
      </c>
      <c r="CF1649" s="3">
        <v>43818</v>
      </c>
      <c r="CI1649">
        <v>1</v>
      </c>
      <c r="CJ1649">
        <v>1</v>
      </c>
      <c r="CK1649">
        <v>21</v>
      </c>
      <c r="CL1649" t="s">
        <v>89</v>
      </c>
    </row>
    <row r="1650" spans="1:90">
      <c r="A1650" t="s">
        <v>72</v>
      </c>
      <c r="B1650" t="s">
        <v>73</v>
      </c>
      <c r="C1650" t="s">
        <v>74</v>
      </c>
      <c r="E1650" t="str">
        <f>"FES1162728683"</f>
        <v>FES1162728683</v>
      </c>
      <c r="F1650" s="3">
        <v>43816</v>
      </c>
      <c r="G1650">
        <v>202006</v>
      </c>
      <c r="H1650" t="s">
        <v>75</v>
      </c>
      <c r="I1650" t="s">
        <v>76</v>
      </c>
      <c r="J1650" t="s">
        <v>77</v>
      </c>
      <c r="K1650" t="s">
        <v>78</v>
      </c>
      <c r="L1650" t="s">
        <v>274</v>
      </c>
      <c r="M1650" t="s">
        <v>275</v>
      </c>
      <c r="N1650" t="s">
        <v>276</v>
      </c>
      <c r="O1650" t="s">
        <v>82</v>
      </c>
      <c r="P1650" t="str">
        <f>"217071879                     "</f>
        <v xml:space="preserve">217071879                     </v>
      </c>
      <c r="Q1650">
        <v>0</v>
      </c>
      <c r="R1650">
        <v>0</v>
      </c>
      <c r="S1650">
        <v>0</v>
      </c>
      <c r="T1650">
        <v>0</v>
      </c>
      <c r="U1650">
        <v>0</v>
      </c>
      <c r="V1650">
        <v>0</v>
      </c>
      <c r="W1650">
        <v>0</v>
      </c>
      <c r="X1650">
        <v>0</v>
      </c>
      <c r="Y1650">
        <v>0</v>
      </c>
      <c r="Z1650">
        <v>0</v>
      </c>
      <c r="AA1650">
        <v>0</v>
      </c>
      <c r="AB1650">
        <v>0</v>
      </c>
      <c r="AC1650">
        <v>0</v>
      </c>
      <c r="AD1650">
        <v>0</v>
      </c>
      <c r="AE1650">
        <v>0</v>
      </c>
      <c r="AF1650">
        <v>0</v>
      </c>
      <c r="AG1650">
        <v>0</v>
      </c>
      <c r="AH1650">
        <v>0</v>
      </c>
      <c r="AI1650">
        <v>0</v>
      </c>
      <c r="AJ1650">
        <v>0</v>
      </c>
      <c r="AK1650">
        <v>0</v>
      </c>
      <c r="AL1650">
        <v>0</v>
      </c>
      <c r="AM1650">
        <v>16.63</v>
      </c>
      <c r="AN1650">
        <v>0</v>
      </c>
      <c r="AO1650">
        <v>0</v>
      </c>
      <c r="AP1650">
        <v>0</v>
      </c>
      <c r="AQ1650">
        <v>0</v>
      </c>
      <c r="AR1650">
        <v>0</v>
      </c>
      <c r="AS1650">
        <v>0</v>
      </c>
      <c r="AT1650">
        <v>0</v>
      </c>
      <c r="AU1650">
        <v>0</v>
      </c>
      <c r="AV1650">
        <v>0</v>
      </c>
      <c r="AW1650">
        <v>0</v>
      </c>
      <c r="AX1650">
        <v>0</v>
      </c>
      <c r="AY1650">
        <v>0</v>
      </c>
      <c r="AZ1650">
        <v>0</v>
      </c>
      <c r="BA1650">
        <v>0</v>
      </c>
      <c r="BB1650">
        <v>0</v>
      </c>
      <c r="BC1650">
        <v>0</v>
      </c>
      <c r="BD1650">
        <v>0</v>
      </c>
      <c r="BE1650">
        <v>0</v>
      </c>
      <c r="BF1650">
        <v>0</v>
      </c>
      <c r="BG1650">
        <v>0</v>
      </c>
      <c r="BH1650">
        <v>1</v>
      </c>
      <c r="BI1650">
        <v>1</v>
      </c>
      <c r="BJ1650">
        <v>0.2</v>
      </c>
      <c r="BK1650">
        <v>1</v>
      </c>
      <c r="BL1650" s="4">
        <v>97.75</v>
      </c>
      <c r="BM1650" s="4">
        <v>14.66</v>
      </c>
      <c r="BN1650" s="4">
        <v>112.41</v>
      </c>
      <c r="BO1650" s="4">
        <v>112.41</v>
      </c>
      <c r="BQ1650" t="s">
        <v>277</v>
      </c>
      <c r="BR1650" t="s">
        <v>84</v>
      </c>
      <c r="BS1650" s="3">
        <v>43817</v>
      </c>
      <c r="BT1650" s="5">
        <v>0.47569444444444442</v>
      </c>
      <c r="BU1650" t="s">
        <v>2065</v>
      </c>
      <c r="BV1650" t="s">
        <v>86</v>
      </c>
      <c r="BY1650">
        <v>1200</v>
      </c>
      <c r="CA1650" t="s">
        <v>294</v>
      </c>
      <c r="CC1650" t="s">
        <v>275</v>
      </c>
      <c r="CD1650">
        <v>4449</v>
      </c>
      <c r="CE1650" t="s">
        <v>88</v>
      </c>
      <c r="CF1650" s="3">
        <v>43818</v>
      </c>
      <c r="CI1650">
        <v>1</v>
      </c>
      <c r="CJ1650">
        <v>1</v>
      </c>
      <c r="CK1650">
        <v>23</v>
      </c>
      <c r="CL1650" t="s">
        <v>89</v>
      </c>
    </row>
    <row r="1651" spans="1:90">
      <c r="A1651" t="s">
        <v>72</v>
      </c>
      <c r="B1651" t="s">
        <v>73</v>
      </c>
      <c r="C1651" t="s">
        <v>74</v>
      </c>
      <c r="E1651" t="str">
        <f>"FES1162728604"</f>
        <v>FES1162728604</v>
      </c>
      <c r="F1651" s="3">
        <v>43816</v>
      </c>
      <c r="G1651">
        <v>202006</v>
      </c>
      <c r="H1651" t="s">
        <v>75</v>
      </c>
      <c r="I1651" t="s">
        <v>76</v>
      </c>
      <c r="J1651" t="s">
        <v>77</v>
      </c>
      <c r="K1651" t="s">
        <v>78</v>
      </c>
      <c r="L1651" t="s">
        <v>198</v>
      </c>
      <c r="M1651" t="s">
        <v>199</v>
      </c>
      <c r="N1651" t="s">
        <v>1937</v>
      </c>
      <c r="O1651" t="s">
        <v>82</v>
      </c>
      <c r="P1651" t="str">
        <f>"217071826                     "</f>
        <v xml:space="preserve">217071826                     </v>
      </c>
      <c r="Q1651">
        <v>0</v>
      </c>
      <c r="R1651">
        <v>0</v>
      </c>
      <c r="S1651">
        <v>0</v>
      </c>
      <c r="T1651">
        <v>0</v>
      </c>
      <c r="U1651">
        <v>0</v>
      </c>
      <c r="V1651">
        <v>0</v>
      </c>
      <c r="W1651">
        <v>0</v>
      </c>
      <c r="X1651">
        <v>0</v>
      </c>
      <c r="Y1651">
        <v>0</v>
      </c>
      <c r="Z1651">
        <v>0</v>
      </c>
      <c r="AA1651">
        <v>0</v>
      </c>
      <c r="AB1651">
        <v>0</v>
      </c>
      <c r="AC1651">
        <v>0</v>
      </c>
      <c r="AD1651">
        <v>0</v>
      </c>
      <c r="AE1651">
        <v>0</v>
      </c>
      <c r="AF1651">
        <v>0</v>
      </c>
      <c r="AG1651">
        <v>0</v>
      </c>
      <c r="AH1651">
        <v>0</v>
      </c>
      <c r="AI1651">
        <v>0</v>
      </c>
      <c r="AJ1651">
        <v>0</v>
      </c>
      <c r="AK1651">
        <v>0</v>
      </c>
      <c r="AL1651">
        <v>0</v>
      </c>
      <c r="AM1651">
        <v>8.58</v>
      </c>
      <c r="AN1651">
        <v>0</v>
      </c>
      <c r="AO1651">
        <v>0</v>
      </c>
      <c r="AP1651">
        <v>0</v>
      </c>
      <c r="AQ1651">
        <v>0</v>
      </c>
      <c r="AR1651">
        <v>0</v>
      </c>
      <c r="AS1651">
        <v>0</v>
      </c>
      <c r="AT1651">
        <v>0</v>
      </c>
      <c r="AU1651">
        <v>0</v>
      </c>
      <c r="AV1651">
        <v>0</v>
      </c>
      <c r="AW1651">
        <v>0</v>
      </c>
      <c r="AX1651">
        <v>0</v>
      </c>
      <c r="AY1651">
        <v>0</v>
      </c>
      <c r="AZ1651">
        <v>0</v>
      </c>
      <c r="BA1651">
        <v>0</v>
      </c>
      <c r="BB1651">
        <v>0</v>
      </c>
      <c r="BC1651">
        <v>0</v>
      </c>
      <c r="BD1651">
        <v>0</v>
      </c>
      <c r="BE1651">
        <v>0</v>
      </c>
      <c r="BF1651">
        <v>0</v>
      </c>
      <c r="BG1651">
        <v>0</v>
      </c>
      <c r="BH1651">
        <v>1</v>
      </c>
      <c r="BI1651">
        <v>1</v>
      </c>
      <c r="BJ1651">
        <v>0.2</v>
      </c>
      <c r="BK1651">
        <v>1</v>
      </c>
      <c r="BL1651" s="4">
        <v>50.45</v>
      </c>
      <c r="BM1651" s="4">
        <v>7.57</v>
      </c>
      <c r="BN1651" s="4">
        <v>58.02</v>
      </c>
      <c r="BO1651" s="4">
        <v>58.02</v>
      </c>
      <c r="BR1651" t="s">
        <v>84</v>
      </c>
      <c r="BS1651" s="3">
        <v>43817</v>
      </c>
      <c r="BT1651" s="5">
        <v>0.48958333333333331</v>
      </c>
      <c r="BU1651" t="s">
        <v>2066</v>
      </c>
      <c r="BV1651" t="s">
        <v>89</v>
      </c>
      <c r="BW1651" t="s">
        <v>506</v>
      </c>
      <c r="BX1651" t="s">
        <v>1879</v>
      </c>
      <c r="BY1651">
        <v>1200</v>
      </c>
      <c r="CC1651" t="s">
        <v>199</v>
      </c>
      <c r="CD1651">
        <v>4000</v>
      </c>
      <c r="CE1651" t="s">
        <v>88</v>
      </c>
      <c r="CF1651" s="3">
        <v>43818</v>
      </c>
      <c r="CI1651">
        <v>1</v>
      </c>
      <c r="CJ1651">
        <v>1</v>
      </c>
      <c r="CK1651">
        <v>21</v>
      </c>
      <c r="CL1651" t="s">
        <v>89</v>
      </c>
    </row>
    <row r="1652" spans="1:90">
      <c r="A1652" t="s">
        <v>72</v>
      </c>
      <c r="B1652" t="s">
        <v>73</v>
      </c>
      <c r="C1652" t="s">
        <v>74</v>
      </c>
      <c r="E1652" t="str">
        <f>"FES1162728550"</f>
        <v>FES1162728550</v>
      </c>
      <c r="F1652" s="3">
        <v>43816</v>
      </c>
      <c r="G1652">
        <v>202006</v>
      </c>
      <c r="H1652" t="s">
        <v>75</v>
      </c>
      <c r="I1652" t="s">
        <v>76</v>
      </c>
      <c r="J1652" t="s">
        <v>77</v>
      </c>
      <c r="K1652" t="s">
        <v>78</v>
      </c>
      <c r="L1652" t="s">
        <v>469</v>
      </c>
      <c r="M1652" t="s">
        <v>470</v>
      </c>
      <c r="N1652" t="s">
        <v>471</v>
      </c>
      <c r="O1652" t="s">
        <v>82</v>
      </c>
      <c r="P1652" t="str">
        <f>"2170718018                    "</f>
        <v xml:space="preserve">2170718018                    </v>
      </c>
      <c r="Q1652">
        <v>0</v>
      </c>
      <c r="R1652">
        <v>0</v>
      </c>
      <c r="S1652">
        <v>0</v>
      </c>
      <c r="T1652">
        <v>0</v>
      </c>
      <c r="U1652">
        <v>0</v>
      </c>
      <c r="V1652">
        <v>0</v>
      </c>
      <c r="W1652">
        <v>0</v>
      </c>
      <c r="X1652">
        <v>0</v>
      </c>
      <c r="Y1652">
        <v>0</v>
      </c>
      <c r="Z1652">
        <v>0</v>
      </c>
      <c r="AA1652">
        <v>0</v>
      </c>
      <c r="AB1652">
        <v>0</v>
      </c>
      <c r="AC1652">
        <v>0</v>
      </c>
      <c r="AD1652">
        <v>0</v>
      </c>
      <c r="AE1652">
        <v>0</v>
      </c>
      <c r="AF1652">
        <v>0</v>
      </c>
      <c r="AG1652">
        <v>0</v>
      </c>
      <c r="AH1652">
        <v>0</v>
      </c>
      <c r="AI1652">
        <v>0</v>
      </c>
      <c r="AJ1652">
        <v>0</v>
      </c>
      <c r="AK1652">
        <v>0</v>
      </c>
      <c r="AL1652">
        <v>0</v>
      </c>
      <c r="AM1652">
        <v>16.63</v>
      </c>
      <c r="AN1652">
        <v>0</v>
      </c>
      <c r="AO1652">
        <v>0</v>
      </c>
      <c r="AP1652">
        <v>0</v>
      </c>
      <c r="AQ1652">
        <v>0</v>
      </c>
      <c r="AR1652">
        <v>0</v>
      </c>
      <c r="AS1652">
        <v>0</v>
      </c>
      <c r="AT1652">
        <v>0</v>
      </c>
      <c r="AU1652">
        <v>0</v>
      </c>
      <c r="AV1652">
        <v>0</v>
      </c>
      <c r="AW1652">
        <v>0</v>
      </c>
      <c r="AX1652">
        <v>0</v>
      </c>
      <c r="AY1652">
        <v>0</v>
      </c>
      <c r="AZ1652">
        <v>0</v>
      </c>
      <c r="BA1652">
        <v>0</v>
      </c>
      <c r="BB1652">
        <v>0</v>
      </c>
      <c r="BC1652">
        <v>0</v>
      </c>
      <c r="BD1652">
        <v>0</v>
      </c>
      <c r="BE1652">
        <v>0</v>
      </c>
      <c r="BF1652">
        <v>0</v>
      </c>
      <c r="BG1652">
        <v>0</v>
      </c>
      <c r="BH1652">
        <v>1</v>
      </c>
      <c r="BI1652">
        <v>1</v>
      </c>
      <c r="BJ1652">
        <v>0.2</v>
      </c>
      <c r="BK1652">
        <v>1</v>
      </c>
      <c r="BL1652" s="4">
        <v>97.75</v>
      </c>
      <c r="BM1652" s="4">
        <v>14.66</v>
      </c>
      <c r="BN1652" s="4">
        <v>112.41</v>
      </c>
      <c r="BO1652" s="4">
        <v>112.41</v>
      </c>
      <c r="BQ1652" t="s">
        <v>147</v>
      </c>
      <c r="BR1652" t="s">
        <v>84</v>
      </c>
      <c r="BS1652" s="3">
        <v>43817</v>
      </c>
      <c r="BT1652" s="5">
        <v>0.39583333333333331</v>
      </c>
      <c r="BU1652" t="s">
        <v>2067</v>
      </c>
      <c r="BV1652" t="s">
        <v>86</v>
      </c>
      <c r="BY1652">
        <v>1200</v>
      </c>
      <c r="CA1652" t="s">
        <v>2068</v>
      </c>
      <c r="CC1652" t="s">
        <v>470</v>
      </c>
      <c r="CD1652">
        <v>9880</v>
      </c>
      <c r="CE1652" t="s">
        <v>88</v>
      </c>
      <c r="CF1652" s="3">
        <v>43829</v>
      </c>
      <c r="CI1652">
        <v>1</v>
      </c>
      <c r="CJ1652">
        <v>1</v>
      </c>
      <c r="CK1652">
        <v>23</v>
      </c>
      <c r="CL1652" t="s">
        <v>89</v>
      </c>
    </row>
    <row r="1653" spans="1:90">
      <c r="A1653" t="s">
        <v>72</v>
      </c>
      <c r="B1653" t="s">
        <v>73</v>
      </c>
      <c r="C1653" t="s">
        <v>74</v>
      </c>
      <c r="E1653" t="str">
        <f>"FES1162728559"</f>
        <v>FES1162728559</v>
      </c>
      <c r="F1653" s="3">
        <v>43816</v>
      </c>
      <c r="G1653">
        <v>202006</v>
      </c>
      <c r="H1653" t="s">
        <v>75</v>
      </c>
      <c r="I1653" t="s">
        <v>76</v>
      </c>
      <c r="J1653" t="s">
        <v>77</v>
      </c>
      <c r="K1653" t="s">
        <v>78</v>
      </c>
      <c r="L1653" t="s">
        <v>198</v>
      </c>
      <c r="M1653" t="s">
        <v>199</v>
      </c>
      <c r="N1653" t="s">
        <v>2069</v>
      </c>
      <c r="O1653" t="s">
        <v>82</v>
      </c>
      <c r="P1653" t="str">
        <f>"2170718745                    "</f>
        <v xml:space="preserve">2170718745                    </v>
      </c>
      <c r="Q1653">
        <v>0</v>
      </c>
      <c r="R1653">
        <v>0</v>
      </c>
      <c r="S1653">
        <v>0</v>
      </c>
      <c r="T1653">
        <v>0</v>
      </c>
      <c r="U1653">
        <v>0</v>
      </c>
      <c r="V1653">
        <v>0</v>
      </c>
      <c r="W1653">
        <v>0</v>
      </c>
      <c r="X1653">
        <v>0</v>
      </c>
      <c r="Y1653">
        <v>0</v>
      </c>
      <c r="Z1653">
        <v>0</v>
      </c>
      <c r="AA1653">
        <v>0</v>
      </c>
      <c r="AB1653">
        <v>0</v>
      </c>
      <c r="AC1653">
        <v>0</v>
      </c>
      <c r="AD1653">
        <v>0</v>
      </c>
      <c r="AE1653">
        <v>0</v>
      </c>
      <c r="AF1653">
        <v>0</v>
      </c>
      <c r="AG1653">
        <v>0</v>
      </c>
      <c r="AH1653">
        <v>0</v>
      </c>
      <c r="AI1653">
        <v>0</v>
      </c>
      <c r="AJ1653">
        <v>0</v>
      </c>
      <c r="AK1653">
        <v>0</v>
      </c>
      <c r="AL1653">
        <v>0</v>
      </c>
      <c r="AM1653">
        <v>8.58</v>
      </c>
      <c r="AN1653">
        <v>0</v>
      </c>
      <c r="AO1653">
        <v>0</v>
      </c>
      <c r="AP1653">
        <v>0</v>
      </c>
      <c r="AQ1653">
        <v>0</v>
      </c>
      <c r="AR1653">
        <v>0</v>
      </c>
      <c r="AS1653">
        <v>0</v>
      </c>
      <c r="AT1653">
        <v>0</v>
      </c>
      <c r="AU1653">
        <v>0</v>
      </c>
      <c r="AV1653">
        <v>0</v>
      </c>
      <c r="AW1653">
        <v>0</v>
      </c>
      <c r="AX1653">
        <v>0</v>
      </c>
      <c r="AY1653">
        <v>0</v>
      </c>
      <c r="AZ1653">
        <v>0</v>
      </c>
      <c r="BA1653">
        <v>0</v>
      </c>
      <c r="BB1653">
        <v>0</v>
      </c>
      <c r="BC1653">
        <v>0</v>
      </c>
      <c r="BD1653">
        <v>0</v>
      </c>
      <c r="BE1653">
        <v>0</v>
      </c>
      <c r="BF1653">
        <v>0</v>
      </c>
      <c r="BG1653">
        <v>0</v>
      </c>
      <c r="BH1653">
        <v>1</v>
      </c>
      <c r="BI1653">
        <v>1</v>
      </c>
      <c r="BJ1653">
        <v>0.2</v>
      </c>
      <c r="BK1653">
        <v>1</v>
      </c>
      <c r="BL1653" s="4">
        <v>50.45</v>
      </c>
      <c r="BM1653" s="4">
        <v>7.57</v>
      </c>
      <c r="BN1653" s="4">
        <v>58.02</v>
      </c>
      <c r="BO1653" s="4">
        <v>58.02</v>
      </c>
      <c r="BQ1653" t="s">
        <v>2070</v>
      </c>
      <c r="BR1653" t="s">
        <v>84</v>
      </c>
      <c r="BS1653" s="3">
        <v>43817</v>
      </c>
      <c r="BT1653" s="5">
        <v>0.33194444444444443</v>
      </c>
      <c r="BU1653" t="s">
        <v>2071</v>
      </c>
      <c r="BV1653" t="s">
        <v>86</v>
      </c>
      <c r="BY1653">
        <v>1200</v>
      </c>
      <c r="CA1653" t="s">
        <v>408</v>
      </c>
      <c r="CC1653" t="s">
        <v>199</v>
      </c>
      <c r="CD1653">
        <v>4052</v>
      </c>
      <c r="CE1653" t="s">
        <v>88</v>
      </c>
      <c r="CF1653" s="3">
        <v>43818</v>
      </c>
      <c r="CI1653">
        <v>1</v>
      </c>
      <c r="CJ1653">
        <v>1</v>
      </c>
      <c r="CK1653">
        <v>21</v>
      </c>
      <c r="CL1653" t="s">
        <v>89</v>
      </c>
    </row>
    <row r="1654" spans="1:90">
      <c r="A1654" t="s">
        <v>72</v>
      </c>
      <c r="B1654" t="s">
        <v>73</v>
      </c>
      <c r="C1654" t="s">
        <v>74</v>
      </c>
      <c r="E1654" t="str">
        <f>"FES1162728545"</f>
        <v>FES1162728545</v>
      </c>
      <c r="F1654" s="3">
        <v>43816</v>
      </c>
      <c r="G1654">
        <v>202006</v>
      </c>
      <c r="H1654" t="s">
        <v>75</v>
      </c>
      <c r="I1654" t="s">
        <v>76</v>
      </c>
      <c r="J1654" t="s">
        <v>77</v>
      </c>
      <c r="K1654" t="s">
        <v>78</v>
      </c>
      <c r="L1654" t="s">
        <v>849</v>
      </c>
      <c r="M1654" t="s">
        <v>850</v>
      </c>
      <c r="N1654" t="s">
        <v>851</v>
      </c>
      <c r="O1654" t="s">
        <v>82</v>
      </c>
      <c r="P1654" t="str">
        <f>"21707217878                   "</f>
        <v xml:space="preserve">21707217878                   </v>
      </c>
      <c r="Q1654">
        <v>0</v>
      </c>
      <c r="R1654">
        <v>0</v>
      </c>
      <c r="S1654">
        <v>0</v>
      </c>
      <c r="T1654">
        <v>0</v>
      </c>
      <c r="U1654">
        <v>0</v>
      </c>
      <c r="V1654">
        <v>0</v>
      </c>
      <c r="W1654">
        <v>0</v>
      </c>
      <c r="X1654">
        <v>0</v>
      </c>
      <c r="Y1654">
        <v>0</v>
      </c>
      <c r="Z1654">
        <v>0</v>
      </c>
      <c r="AA1654">
        <v>0</v>
      </c>
      <c r="AB1654">
        <v>0</v>
      </c>
      <c r="AC1654">
        <v>0</v>
      </c>
      <c r="AD1654">
        <v>0</v>
      </c>
      <c r="AE1654">
        <v>0</v>
      </c>
      <c r="AF1654">
        <v>0</v>
      </c>
      <c r="AG1654">
        <v>0</v>
      </c>
      <c r="AH1654">
        <v>0</v>
      </c>
      <c r="AI1654">
        <v>0</v>
      </c>
      <c r="AJ1654">
        <v>0</v>
      </c>
      <c r="AK1654">
        <v>0</v>
      </c>
      <c r="AL1654">
        <v>0</v>
      </c>
      <c r="AM1654">
        <v>8.58</v>
      </c>
      <c r="AN1654">
        <v>0</v>
      </c>
      <c r="AO1654">
        <v>0</v>
      </c>
      <c r="AP1654">
        <v>0</v>
      </c>
      <c r="AQ1654">
        <v>0</v>
      </c>
      <c r="AR1654">
        <v>0</v>
      </c>
      <c r="AS1654">
        <v>0</v>
      </c>
      <c r="AT1654">
        <v>0</v>
      </c>
      <c r="AU1654">
        <v>0</v>
      </c>
      <c r="AV1654">
        <v>0</v>
      </c>
      <c r="AW1654">
        <v>0</v>
      </c>
      <c r="AX1654">
        <v>0</v>
      </c>
      <c r="AY1654">
        <v>0</v>
      </c>
      <c r="AZ1654">
        <v>0</v>
      </c>
      <c r="BA1654">
        <v>0</v>
      </c>
      <c r="BB1654">
        <v>0</v>
      </c>
      <c r="BC1654">
        <v>0</v>
      </c>
      <c r="BD1654">
        <v>0</v>
      </c>
      <c r="BE1654">
        <v>0</v>
      </c>
      <c r="BF1654">
        <v>0</v>
      </c>
      <c r="BG1654">
        <v>0</v>
      </c>
      <c r="BH1654">
        <v>1</v>
      </c>
      <c r="BI1654">
        <v>1</v>
      </c>
      <c r="BJ1654">
        <v>0.2</v>
      </c>
      <c r="BK1654">
        <v>1</v>
      </c>
      <c r="BL1654" s="4">
        <v>50.45</v>
      </c>
      <c r="BM1654" s="4">
        <v>7.57</v>
      </c>
      <c r="BN1654" s="4">
        <v>58.02</v>
      </c>
      <c r="BO1654" s="4">
        <v>58.02</v>
      </c>
      <c r="BQ1654" t="s">
        <v>147</v>
      </c>
      <c r="BR1654" t="s">
        <v>84</v>
      </c>
      <c r="BS1654" s="3">
        <v>43817</v>
      </c>
      <c r="BT1654" s="5">
        <v>0.48749999999999999</v>
      </c>
      <c r="BU1654" t="s">
        <v>528</v>
      </c>
      <c r="BV1654" t="s">
        <v>86</v>
      </c>
      <c r="BY1654">
        <v>1200</v>
      </c>
      <c r="CA1654" t="s">
        <v>1026</v>
      </c>
      <c r="CC1654" t="s">
        <v>850</v>
      </c>
      <c r="CD1654">
        <v>3290</v>
      </c>
      <c r="CE1654" t="s">
        <v>88</v>
      </c>
      <c r="CF1654" s="3">
        <v>43818</v>
      </c>
      <c r="CI1654">
        <v>1</v>
      </c>
      <c r="CJ1654">
        <v>1</v>
      </c>
      <c r="CK1654">
        <v>21</v>
      </c>
      <c r="CL1654" t="s">
        <v>89</v>
      </c>
    </row>
    <row r="1655" spans="1:90">
      <c r="A1655" t="s">
        <v>72</v>
      </c>
      <c r="B1655" t="s">
        <v>73</v>
      </c>
      <c r="C1655" t="s">
        <v>74</v>
      </c>
      <c r="E1655" t="str">
        <f>"FES1162728643"</f>
        <v>FES1162728643</v>
      </c>
      <c r="F1655" s="3">
        <v>43816</v>
      </c>
      <c r="G1655">
        <v>202006</v>
      </c>
      <c r="H1655" t="s">
        <v>75</v>
      </c>
      <c r="I1655" t="s">
        <v>76</v>
      </c>
      <c r="J1655" t="s">
        <v>77</v>
      </c>
      <c r="K1655" t="s">
        <v>78</v>
      </c>
      <c r="L1655" t="s">
        <v>491</v>
      </c>
      <c r="M1655" t="s">
        <v>492</v>
      </c>
      <c r="N1655" t="s">
        <v>2072</v>
      </c>
      <c r="O1655" t="s">
        <v>82</v>
      </c>
      <c r="P1655" t="str">
        <f>"2170719981                    "</f>
        <v xml:space="preserve">2170719981                    </v>
      </c>
      <c r="Q1655">
        <v>0</v>
      </c>
      <c r="R1655">
        <v>0</v>
      </c>
      <c r="S1655">
        <v>0</v>
      </c>
      <c r="T1655">
        <v>0</v>
      </c>
      <c r="U1655">
        <v>0</v>
      </c>
      <c r="V1655">
        <v>0</v>
      </c>
      <c r="W1655">
        <v>0</v>
      </c>
      <c r="X1655">
        <v>0</v>
      </c>
      <c r="Y1655">
        <v>0</v>
      </c>
      <c r="Z1655">
        <v>0</v>
      </c>
      <c r="AA1655">
        <v>0</v>
      </c>
      <c r="AB1655">
        <v>0</v>
      </c>
      <c r="AC1655">
        <v>0</v>
      </c>
      <c r="AD1655">
        <v>0</v>
      </c>
      <c r="AE1655">
        <v>0</v>
      </c>
      <c r="AF1655">
        <v>0</v>
      </c>
      <c r="AG1655">
        <v>0</v>
      </c>
      <c r="AH1655">
        <v>0</v>
      </c>
      <c r="AI1655">
        <v>0</v>
      </c>
      <c r="AJ1655">
        <v>0</v>
      </c>
      <c r="AK1655">
        <v>0</v>
      </c>
      <c r="AL1655">
        <v>0</v>
      </c>
      <c r="AM1655">
        <v>6.71</v>
      </c>
      <c r="AN1655">
        <v>0</v>
      </c>
      <c r="AO1655">
        <v>0</v>
      </c>
      <c r="AP1655">
        <v>0</v>
      </c>
      <c r="AQ1655">
        <v>0</v>
      </c>
      <c r="AR1655">
        <v>0</v>
      </c>
      <c r="AS1655">
        <v>0</v>
      </c>
      <c r="AT1655">
        <v>0</v>
      </c>
      <c r="AU1655">
        <v>0</v>
      </c>
      <c r="AV1655">
        <v>0</v>
      </c>
      <c r="AW1655">
        <v>0</v>
      </c>
      <c r="AX1655">
        <v>0</v>
      </c>
      <c r="AY1655">
        <v>0</v>
      </c>
      <c r="AZ1655">
        <v>0</v>
      </c>
      <c r="BA1655">
        <v>0</v>
      </c>
      <c r="BB1655">
        <v>0</v>
      </c>
      <c r="BC1655">
        <v>0</v>
      </c>
      <c r="BD1655">
        <v>0</v>
      </c>
      <c r="BE1655">
        <v>0</v>
      </c>
      <c r="BF1655">
        <v>0</v>
      </c>
      <c r="BG1655">
        <v>0</v>
      </c>
      <c r="BH1655">
        <v>1</v>
      </c>
      <c r="BI1655">
        <v>1.3</v>
      </c>
      <c r="BJ1655">
        <v>1.5</v>
      </c>
      <c r="BK1655">
        <v>1.5</v>
      </c>
      <c r="BL1655" s="4">
        <v>39.42</v>
      </c>
      <c r="BM1655" s="4">
        <v>5.91</v>
      </c>
      <c r="BN1655" s="4">
        <v>45.33</v>
      </c>
      <c r="BO1655" s="4">
        <v>45.33</v>
      </c>
      <c r="BR1655" t="s">
        <v>84</v>
      </c>
      <c r="BS1655" s="3">
        <v>43817</v>
      </c>
      <c r="BT1655" s="5">
        <v>0.3576388888888889</v>
      </c>
      <c r="BU1655" t="s">
        <v>2073</v>
      </c>
      <c r="BV1655" t="s">
        <v>86</v>
      </c>
      <c r="BY1655">
        <v>7573.68</v>
      </c>
      <c r="CC1655" t="s">
        <v>492</v>
      </c>
      <c r="CD1655">
        <v>1710</v>
      </c>
      <c r="CE1655" t="s">
        <v>96</v>
      </c>
      <c r="CF1655" s="3">
        <v>43818</v>
      </c>
      <c r="CI1655">
        <v>1</v>
      </c>
      <c r="CJ1655">
        <v>1</v>
      </c>
      <c r="CK1655">
        <v>22</v>
      </c>
      <c r="CL1655" t="s">
        <v>89</v>
      </c>
    </row>
    <row r="1656" spans="1:90">
      <c r="A1656" t="s">
        <v>72</v>
      </c>
      <c r="B1656" t="s">
        <v>73</v>
      </c>
      <c r="C1656" t="s">
        <v>74</v>
      </c>
      <c r="E1656" t="str">
        <f>"FES1162728652"</f>
        <v>FES1162728652</v>
      </c>
      <c r="F1656" s="3">
        <v>43816</v>
      </c>
      <c r="G1656">
        <v>202006</v>
      </c>
      <c r="H1656" t="s">
        <v>75</v>
      </c>
      <c r="I1656" t="s">
        <v>76</v>
      </c>
      <c r="J1656" t="s">
        <v>77</v>
      </c>
      <c r="K1656" t="s">
        <v>78</v>
      </c>
      <c r="L1656" t="s">
        <v>90</v>
      </c>
      <c r="M1656" t="s">
        <v>91</v>
      </c>
      <c r="N1656" t="s">
        <v>219</v>
      </c>
      <c r="O1656" t="s">
        <v>82</v>
      </c>
      <c r="P1656" t="str">
        <f>"217071174652                  "</f>
        <v xml:space="preserve">217071174652                  </v>
      </c>
      <c r="Q1656">
        <v>0</v>
      </c>
      <c r="R1656">
        <v>0</v>
      </c>
      <c r="S1656">
        <v>0</v>
      </c>
      <c r="T1656">
        <v>0</v>
      </c>
      <c r="U1656">
        <v>0</v>
      </c>
      <c r="V1656">
        <v>0</v>
      </c>
      <c r="W1656">
        <v>0</v>
      </c>
      <c r="X1656">
        <v>0</v>
      </c>
      <c r="Y1656">
        <v>0</v>
      </c>
      <c r="Z1656">
        <v>0</v>
      </c>
      <c r="AA1656">
        <v>0</v>
      </c>
      <c r="AB1656">
        <v>0</v>
      </c>
      <c r="AC1656">
        <v>0</v>
      </c>
      <c r="AD1656">
        <v>0</v>
      </c>
      <c r="AE1656">
        <v>0</v>
      </c>
      <c r="AF1656">
        <v>0</v>
      </c>
      <c r="AG1656">
        <v>0</v>
      </c>
      <c r="AH1656">
        <v>0</v>
      </c>
      <c r="AI1656">
        <v>0</v>
      </c>
      <c r="AJ1656">
        <v>0</v>
      </c>
      <c r="AK1656">
        <v>0</v>
      </c>
      <c r="AL1656">
        <v>0</v>
      </c>
      <c r="AM1656">
        <v>45.04</v>
      </c>
      <c r="AN1656">
        <v>0</v>
      </c>
      <c r="AO1656">
        <v>0</v>
      </c>
      <c r="AP1656">
        <v>0</v>
      </c>
      <c r="AQ1656">
        <v>0</v>
      </c>
      <c r="AR1656">
        <v>0</v>
      </c>
      <c r="AS1656">
        <v>0</v>
      </c>
      <c r="AT1656">
        <v>0</v>
      </c>
      <c r="AU1656">
        <v>0</v>
      </c>
      <c r="AV1656">
        <v>0</v>
      </c>
      <c r="AW1656">
        <v>0</v>
      </c>
      <c r="AX1656">
        <v>0</v>
      </c>
      <c r="AY1656">
        <v>0</v>
      </c>
      <c r="AZ1656">
        <v>0</v>
      </c>
      <c r="BA1656">
        <v>0</v>
      </c>
      <c r="BB1656">
        <v>0</v>
      </c>
      <c r="BC1656">
        <v>0</v>
      </c>
      <c r="BD1656">
        <v>0</v>
      </c>
      <c r="BE1656">
        <v>0</v>
      </c>
      <c r="BF1656">
        <v>0</v>
      </c>
      <c r="BG1656">
        <v>0</v>
      </c>
      <c r="BH1656">
        <v>1</v>
      </c>
      <c r="BI1656">
        <v>6.5</v>
      </c>
      <c r="BJ1656">
        <v>10.3</v>
      </c>
      <c r="BK1656">
        <v>10.5</v>
      </c>
      <c r="BL1656" s="4">
        <v>264.73</v>
      </c>
      <c r="BM1656" s="4">
        <v>39.71</v>
      </c>
      <c r="BN1656" s="4">
        <v>304.44</v>
      </c>
      <c r="BO1656" s="4">
        <v>304.44</v>
      </c>
      <c r="BQ1656" t="s">
        <v>147</v>
      </c>
      <c r="BR1656" t="s">
        <v>84</v>
      </c>
      <c r="BS1656" s="3">
        <v>43817</v>
      </c>
      <c r="BT1656" s="5">
        <v>0.36249999999999999</v>
      </c>
      <c r="BU1656" t="s">
        <v>220</v>
      </c>
      <c r="BV1656" t="s">
        <v>86</v>
      </c>
      <c r="BY1656">
        <v>51281.21</v>
      </c>
      <c r="CA1656" t="s">
        <v>112</v>
      </c>
      <c r="CC1656" t="s">
        <v>91</v>
      </c>
      <c r="CD1656">
        <v>7441</v>
      </c>
      <c r="CE1656" t="s">
        <v>116</v>
      </c>
      <c r="CF1656" s="3">
        <v>43818</v>
      </c>
      <c r="CI1656">
        <v>1</v>
      </c>
      <c r="CJ1656">
        <v>1</v>
      </c>
      <c r="CK1656">
        <v>21</v>
      </c>
      <c r="CL1656" t="s">
        <v>89</v>
      </c>
    </row>
    <row r="1657" spans="1:90">
      <c r="A1657" t="s">
        <v>72</v>
      </c>
      <c r="B1657" t="s">
        <v>73</v>
      </c>
      <c r="C1657" t="s">
        <v>74</v>
      </c>
      <c r="E1657" t="str">
        <f>"FES1162728547"</f>
        <v>FES1162728547</v>
      </c>
      <c r="F1657" s="3">
        <v>43816</v>
      </c>
      <c r="G1657">
        <v>202006</v>
      </c>
      <c r="H1657" t="s">
        <v>75</v>
      </c>
      <c r="I1657" t="s">
        <v>76</v>
      </c>
      <c r="J1657" t="s">
        <v>77</v>
      </c>
      <c r="K1657" t="s">
        <v>78</v>
      </c>
      <c r="L1657" t="s">
        <v>308</v>
      </c>
      <c r="M1657" t="s">
        <v>308</v>
      </c>
      <c r="N1657" t="s">
        <v>540</v>
      </c>
      <c r="O1657" t="s">
        <v>82</v>
      </c>
      <c r="P1657" t="str">
        <f>"2325563.323                   "</f>
        <v xml:space="preserve">2325563.323                   </v>
      </c>
      <c r="Q1657">
        <v>0</v>
      </c>
      <c r="R1657">
        <v>0</v>
      </c>
      <c r="S1657">
        <v>0</v>
      </c>
      <c r="T1657">
        <v>0</v>
      </c>
      <c r="U1657">
        <v>0</v>
      </c>
      <c r="V1657">
        <v>0</v>
      </c>
      <c r="W1657">
        <v>0</v>
      </c>
      <c r="X1657">
        <v>0</v>
      </c>
      <c r="Y1657">
        <v>0</v>
      </c>
      <c r="Z1657">
        <v>0</v>
      </c>
      <c r="AA1657">
        <v>0</v>
      </c>
      <c r="AB1657">
        <v>0</v>
      </c>
      <c r="AC1657">
        <v>0</v>
      </c>
      <c r="AD1657">
        <v>0</v>
      </c>
      <c r="AE1657">
        <v>0</v>
      </c>
      <c r="AF1657">
        <v>0</v>
      </c>
      <c r="AG1657">
        <v>0</v>
      </c>
      <c r="AH1657">
        <v>0</v>
      </c>
      <c r="AI1657">
        <v>0</v>
      </c>
      <c r="AJ1657">
        <v>0</v>
      </c>
      <c r="AK1657">
        <v>0</v>
      </c>
      <c r="AL1657">
        <v>0</v>
      </c>
      <c r="AM1657">
        <v>76.72</v>
      </c>
      <c r="AN1657">
        <v>0</v>
      </c>
      <c r="AO1657">
        <v>0</v>
      </c>
      <c r="AP1657">
        <v>0</v>
      </c>
      <c r="AQ1657">
        <v>0</v>
      </c>
      <c r="AR1657">
        <v>0</v>
      </c>
      <c r="AS1657">
        <v>0</v>
      </c>
      <c r="AT1657">
        <v>0</v>
      </c>
      <c r="AU1657">
        <v>0</v>
      </c>
      <c r="AV1657">
        <v>0</v>
      </c>
      <c r="AW1657">
        <v>0</v>
      </c>
      <c r="AX1657">
        <v>0</v>
      </c>
      <c r="AY1657">
        <v>0</v>
      </c>
      <c r="AZ1657">
        <v>0</v>
      </c>
      <c r="BA1657">
        <v>0</v>
      </c>
      <c r="BB1657">
        <v>0</v>
      </c>
      <c r="BC1657">
        <v>0</v>
      </c>
      <c r="BD1657">
        <v>0</v>
      </c>
      <c r="BE1657">
        <v>0</v>
      </c>
      <c r="BF1657">
        <v>0</v>
      </c>
      <c r="BG1657">
        <v>0</v>
      </c>
      <c r="BH1657">
        <v>1</v>
      </c>
      <c r="BI1657">
        <v>10</v>
      </c>
      <c r="BJ1657">
        <v>2.2000000000000002</v>
      </c>
      <c r="BK1657">
        <v>10</v>
      </c>
      <c r="BL1657" s="4">
        <v>450.96</v>
      </c>
      <c r="BM1657" s="4">
        <v>67.64</v>
      </c>
      <c r="BN1657" s="4">
        <v>518.6</v>
      </c>
      <c r="BO1657" s="4">
        <v>518.6</v>
      </c>
      <c r="BQ1657" t="s">
        <v>147</v>
      </c>
      <c r="BR1657" t="s">
        <v>84</v>
      </c>
      <c r="BS1657" s="3">
        <v>43817</v>
      </c>
      <c r="BT1657" s="5">
        <v>0.45833333333333331</v>
      </c>
      <c r="BU1657" t="s">
        <v>2026</v>
      </c>
      <c r="BV1657" t="s">
        <v>86</v>
      </c>
      <c r="BY1657">
        <v>11039.49</v>
      </c>
      <c r="CA1657" t="s">
        <v>311</v>
      </c>
      <c r="CC1657" t="s">
        <v>308</v>
      </c>
      <c r="CD1657">
        <v>7646</v>
      </c>
      <c r="CE1657" t="s">
        <v>96</v>
      </c>
      <c r="CF1657" s="3">
        <v>43818</v>
      </c>
      <c r="CI1657">
        <v>1</v>
      </c>
      <c r="CJ1657">
        <v>1</v>
      </c>
      <c r="CK1657">
        <v>23</v>
      </c>
      <c r="CL1657" t="s">
        <v>89</v>
      </c>
    </row>
    <row r="1658" spans="1:90">
      <c r="A1658" t="s">
        <v>72</v>
      </c>
      <c r="B1658" t="s">
        <v>73</v>
      </c>
      <c r="C1658" t="s">
        <v>74</v>
      </c>
      <c r="E1658" t="str">
        <f>"FES1162728554"</f>
        <v>FES1162728554</v>
      </c>
      <c r="F1658" s="3">
        <v>43816</v>
      </c>
      <c r="G1658">
        <v>202006</v>
      </c>
      <c r="H1658" t="s">
        <v>75</v>
      </c>
      <c r="I1658" t="s">
        <v>76</v>
      </c>
      <c r="J1658" t="s">
        <v>77</v>
      </c>
      <c r="K1658" t="s">
        <v>78</v>
      </c>
      <c r="L1658" t="s">
        <v>90</v>
      </c>
      <c r="M1658" t="s">
        <v>91</v>
      </c>
      <c r="N1658" t="s">
        <v>2074</v>
      </c>
      <c r="O1658" t="s">
        <v>82</v>
      </c>
      <c r="P1658" t="str">
        <f>"21707196444                   "</f>
        <v xml:space="preserve">21707196444                   </v>
      </c>
      <c r="Q1658">
        <v>0</v>
      </c>
      <c r="R1658">
        <v>0</v>
      </c>
      <c r="S1658">
        <v>0</v>
      </c>
      <c r="T1658">
        <v>0</v>
      </c>
      <c r="U1658">
        <v>0</v>
      </c>
      <c r="V1658">
        <v>0</v>
      </c>
      <c r="W1658">
        <v>0</v>
      </c>
      <c r="X1658">
        <v>0</v>
      </c>
      <c r="Y1658">
        <v>0</v>
      </c>
      <c r="Z1658">
        <v>0</v>
      </c>
      <c r="AA1658">
        <v>0</v>
      </c>
      <c r="AB1658">
        <v>0</v>
      </c>
      <c r="AC1658">
        <v>0</v>
      </c>
      <c r="AD1658">
        <v>0</v>
      </c>
      <c r="AE1658">
        <v>0</v>
      </c>
      <c r="AF1658">
        <v>0</v>
      </c>
      <c r="AG1658">
        <v>0</v>
      </c>
      <c r="AH1658">
        <v>0</v>
      </c>
      <c r="AI1658">
        <v>0</v>
      </c>
      <c r="AJ1658">
        <v>0</v>
      </c>
      <c r="AK1658">
        <v>0</v>
      </c>
      <c r="AL1658">
        <v>0</v>
      </c>
      <c r="AM1658">
        <v>47.18</v>
      </c>
      <c r="AN1658">
        <v>0</v>
      </c>
      <c r="AO1658">
        <v>0</v>
      </c>
      <c r="AP1658">
        <v>0</v>
      </c>
      <c r="AQ1658">
        <v>0</v>
      </c>
      <c r="AR1658">
        <v>0</v>
      </c>
      <c r="AS1658">
        <v>0</v>
      </c>
      <c r="AT1658">
        <v>0</v>
      </c>
      <c r="AU1658">
        <v>0</v>
      </c>
      <c r="AV1658">
        <v>0</v>
      </c>
      <c r="AW1658">
        <v>0</v>
      </c>
      <c r="AX1658">
        <v>0</v>
      </c>
      <c r="AY1658">
        <v>0</v>
      </c>
      <c r="AZ1658">
        <v>0</v>
      </c>
      <c r="BA1658">
        <v>0</v>
      </c>
      <c r="BB1658">
        <v>0</v>
      </c>
      <c r="BC1658">
        <v>0</v>
      </c>
      <c r="BD1658">
        <v>0</v>
      </c>
      <c r="BE1658">
        <v>0</v>
      </c>
      <c r="BF1658">
        <v>0</v>
      </c>
      <c r="BG1658">
        <v>0</v>
      </c>
      <c r="BH1658">
        <v>1</v>
      </c>
      <c r="BI1658">
        <v>10.6</v>
      </c>
      <c r="BJ1658">
        <v>3.2</v>
      </c>
      <c r="BK1658">
        <v>11</v>
      </c>
      <c r="BL1658" s="4">
        <v>277.33</v>
      </c>
      <c r="BM1658" s="4">
        <v>41.6</v>
      </c>
      <c r="BN1658" s="4">
        <v>318.93</v>
      </c>
      <c r="BO1658" s="4">
        <v>318.93</v>
      </c>
      <c r="BQ1658" t="s">
        <v>93</v>
      </c>
      <c r="BR1658" t="s">
        <v>84</v>
      </c>
      <c r="BS1658" s="3">
        <v>43817</v>
      </c>
      <c r="BT1658" s="5">
        <v>0.34513888888888888</v>
      </c>
      <c r="BU1658" t="s">
        <v>2075</v>
      </c>
      <c r="BV1658" t="s">
        <v>86</v>
      </c>
      <c r="BY1658">
        <v>15987.78</v>
      </c>
      <c r="CA1658" t="s">
        <v>2076</v>
      </c>
      <c r="CC1658" t="s">
        <v>91</v>
      </c>
      <c r="CD1658">
        <v>7499</v>
      </c>
      <c r="CE1658" t="s">
        <v>96</v>
      </c>
      <c r="CF1658" s="3">
        <v>43818</v>
      </c>
      <c r="CI1658">
        <v>1</v>
      </c>
      <c r="CJ1658">
        <v>1</v>
      </c>
      <c r="CK1658">
        <v>21</v>
      </c>
      <c r="CL1658" t="s">
        <v>89</v>
      </c>
    </row>
    <row r="1659" spans="1:90">
      <c r="A1659" t="s">
        <v>72</v>
      </c>
      <c r="B1659" t="s">
        <v>73</v>
      </c>
      <c r="C1659" t="s">
        <v>74</v>
      </c>
      <c r="E1659" t="str">
        <f>"FES1162728546"</f>
        <v>FES1162728546</v>
      </c>
      <c r="F1659" s="3">
        <v>43816</v>
      </c>
      <c r="G1659">
        <v>202006</v>
      </c>
      <c r="H1659" t="s">
        <v>75</v>
      </c>
      <c r="I1659" t="s">
        <v>76</v>
      </c>
      <c r="J1659" t="s">
        <v>77</v>
      </c>
      <c r="K1659" t="s">
        <v>78</v>
      </c>
      <c r="L1659" t="s">
        <v>75</v>
      </c>
      <c r="M1659" t="s">
        <v>76</v>
      </c>
      <c r="N1659" t="s">
        <v>1131</v>
      </c>
      <c r="O1659" t="s">
        <v>82</v>
      </c>
      <c r="P1659" t="str">
        <f>"21707197090                   "</f>
        <v xml:space="preserve">21707197090                   </v>
      </c>
      <c r="Q1659">
        <v>0</v>
      </c>
      <c r="R1659">
        <v>0</v>
      </c>
      <c r="S1659">
        <v>0</v>
      </c>
      <c r="T1659">
        <v>0</v>
      </c>
      <c r="U1659">
        <v>0</v>
      </c>
      <c r="V1659">
        <v>0</v>
      </c>
      <c r="W1659">
        <v>0</v>
      </c>
      <c r="X1659">
        <v>0</v>
      </c>
      <c r="Y1659">
        <v>0</v>
      </c>
      <c r="Z1659">
        <v>0</v>
      </c>
      <c r="AA1659">
        <v>0</v>
      </c>
      <c r="AB1659">
        <v>0</v>
      </c>
      <c r="AC1659">
        <v>0</v>
      </c>
      <c r="AD1659">
        <v>0</v>
      </c>
      <c r="AE1659">
        <v>0</v>
      </c>
      <c r="AF1659">
        <v>0</v>
      </c>
      <c r="AG1659">
        <v>0</v>
      </c>
      <c r="AH1659">
        <v>0</v>
      </c>
      <c r="AI1659">
        <v>0</v>
      </c>
      <c r="AJ1659">
        <v>0</v>
      </c>
      <c r="AK1659">
        <v>0</v>
      </c>
      <c r="AL1659">
        <v>0</v>
      </c>
      <c r="AM1659">
        <v>6.71</v>
      </c>
      <c r="AN1659">
        <v>0</v>
      </c>
      <c r="AO1659">
        <v>0</v>
      </c>
      <c r="AP1659">
        <v>0</v>
      </c>
      <c r="AQ1659">
        <v>0</v>
      </c>
      <c r="AR1659">
        <v>0</v>
      </c>
      <c r="AS1659">
        <v>0</v>
      </c>
      <c r="AT1659">
        <v>0</v>
      </c>
      <c r="AU1659">
        <v>0</v>
      </c>
      <c r="AV1659">
        <v>0</v>
      </c>
      <c r="AW1659">
        <v>0</v>
      </c>
      <c r="AX1659">
        <v>0</v>
      </c>
      <c r="AY1659">
        <v>0</v>
      </c>
      <c r="AZ1659">
        <v>0</v>
      </c>
      <c r="BA1659">
        <v>0</v>
      </c>
      <c r="BB1659">
        <v>0</v>
      </c>
      <c r="BC1659">
        <v>0</v>
      </c>
      <c r="BD1659">
        <v>0</v>
      </c>
      <c r="BE1659">
        <v>0</v>
      </c>
      <c r="BF1659">
        <v>0</v>
      </c>
      <c r="BG1659">
        <v>0</v>
      </c>
      <c r="BH1659">
        <v>1</v>
      </c>
      <c r="BI1659">
        <v>0.9</v>
      </c>
      <c r="BJ1659">
        <v>0.8</v>
      </c>
      <c r="BK1659">
        <v>1</v>
      </c>
      <c r="BL1659" s="4">
        <v>39.42</v>
      </c>
      <c r="BM1659" s="4">
        <v>5.91</v>
      </c>
      <c r="BN1659" s="4">
        <v>45.33</v>
      </c>
      <c r="BO1659" s="4">
        <v>45.33</v>
      </c>
      <c r="BQ1659" t="s">
        <v>1132</v>
      </c>
      <c r="BR1659" t="s">
        <v>84</v>
      </c>
      <c r="BS1659" s="3">
        <v>43817</v>
      </c>
      <c r="BT1659" s="5">
        <v>0.4375</v>
      </c>
      <c r="BU1659" t="s">
        <v>2077</v>
      </c>
      <c r="BV1659" t="s">
        <v>86</v>
      </c>
      <c r="BY1659">
        <v>3905.38</v>
      </c>
      <c r="CA1659" t="s">
        <v>307</v>
      </c>
      <c r="CC1659" t="s">
        <v>76</v>
      </c>
      <c r="CD1659">
        <v>1609</v>
      </c>
      <c r="CE1659" t="s">
        <v>116</v>
      </c>
      <c r="CF1659" s="3">
        <v>43818</v>
      </c>
      <c r="CI1659">
        <v>1</v>
      </c>
      <c r="CJ1659">
        <v>1</v>
      </c>
      <c r="CK1659">
        <v>22</v>
      </c>
      <c r="CL1659" t="s">
        <v>89</v>
      </c>
    </row>
    <row r="1660" spans="1:90">
      <c r="A1660" t="s">
        <v>72</v>
      </c>
      <c r="B1660" t="s">
        <v>73</v>
      </c>
      <c r="C1660" t="s">
        <v>74</v>
      </c>
      <c r="E1660" t="str">
        <f>"FES1162728588"</f>
        <v>FES1162728588</v>
      </c>
      <c r="F1660" s="3">
        <v>43816</v>
      </c>
      <c r="G1660">
        <v>202006</v>
      </c>
      <c r="H1660" t="s">
        <v>75</v>
      </c>
      <c r="I1660" t="s">
        <v>76</v>
      </c>
      <c r="J1660" t="s">
        <v>77</v>
      </c>
      <c r="K1660" t="s">
        <v>78</v>
      </c>
      <c r="L1660" t="s">
        <v>332</v>
      </c>
      <c r="M1660" t="s">
        <v>333</v>
      </c>
      <c r="N1660" t="s">
        <v>2078</v>
      </c>
      <c r="O1660" t="s">
        <v>82</v>
      </c>
      <c r="P1660" t="str">
        <f>"2170712807                    "</f>
        <v xml:space="preserve">2170712807                    </v>
      </c>
      <c r="Q1660">
        <v>0</v>
      </c>
      <c r="R1660">
        <v>0</v>
      </c>
      <c r="S1660">
        <v>0</v>
      </c>
      <c r="T1660">
        <v>0</v>
      </c>
      <c r="U1660">
        <v>0</v>
      </c>
      <c r="V1660">
        <v>0</v>
      </c>
      <c r="W1660">
        <v>0</v>
      </c>
      <c r="X1660">
        <v>0</v>
      </c>
      <c r="Y1660">
        <v>0</v>
      </c>
      <c r="Z1660">
        <v>0</v>
      </c>
      <c r="AA1660">
        <v>0</v>
      </c>
      <c r="AB1660">
        <v>0</v>
      </c>
      <c r="AC1660">
        <v>0</v>
      </c>
      <c r="AD1660">
        <v>0</v>
      </c>
      <c r="AE1660">
        <v>0</v>
      </c>
      <c r="AF1660">
        <v>0</v>
      </c>
      <c r="AG1660">
        <v>0</v>
      </c>
      <c r="AH1660">
        <v>0</v>
      </c>
      <c r="AI1660">
        <v>0</v>
      </c>
      <c r="AJ1660">
        <v>0</v>
      </c>
      <c r="AK1660">
        <v>0</v>
      </c>
      <c r="AL1660">
        <v>0</v>
      </c>
      <c r="AM1660">
        <v>6.71</v>
      </c>
      <c r="AN1660">
        <v>0</v>
      </c>
      <c r="AO1660">
        <v>0</v>
      </c>
      <c r="AP1660">
        <v>0</v>
      </c>
      <c r="AQ1660">
        <v>0</v>
      </c>
      <c r="AR1660">
        <v>0</v>
      </c>
      <c r="AS1660">
        <v>0</v>
      </c>
      <c r="AT1660">
        <v>0</v>
      </c>
      <c r="AU1660">
        <v>0</v>
      </c>
      <c r="AV1660">
        <v>0</v>
      </c>
      <c r="AW1660">
        <v>0</v>
      </c>
      <c r="AX1660">
        <v>0</v>
      </c>
      <c r="AY1660">
        <v>0</v>
      </c>
      <c r="AZ1660">
        <v>0</v>
      </c>
      <c r="BA1660">
        <v>0</v>
      </c>
      <c r="BB1660">
        <v>0</v>
      </c>
      <c r="BC1660">
        <v>0</v>
      </c>
      <c r="BD1660">
        <v>0</v>
      </c>
      <c r="BE1660">
        <v>0</v>
      </c>
      <c r="BF1660">
        <v>0</v>
      </c>
      <c r="BG1660">
        <v>0</v>
      </c>
      <c r="BH1660">
        <v>1</v>
      </c>
      <c r="BI1660">
        <v>0.5</v>
      </c>
      <c r="BJ1660">
        <v>1</v>
      </c>
      <c r="BK1660">
        <v>1</v>
      </c>
      <c r="BL1660" s="4">
        <v>39.42</v>
      </c>
      <c r="BM1660" s="4">
        <v>5.91</v>
      </c>
      <c r="BN1660" s="4">
        <v>45.33</v>
      </c>
      <c r="BO1660" s="4">
        <v>45.33</v>
      </c>
      <c r="BR1660" t="s">
        <v>84</v>
      </c>
      <c r="BS1660" s="3">
        <v>43832</v>
      </c>
      <c r="BT1660" s="5">
        <v>0.76666666666666661</v>
      </c>
      <c r="BU1660" t="s">
        <v>617</v>
      </c>
      <c r="BV1660" t="s">
        <v>89</v>
      </c>
      <c r="BY1660">
        <v>4763.07</v>
      </c>
      <c r="CA1660" t="s">
        <v>620</v>
      </c>
      <c r="CC1660" t="s">
        <v>333</v>
      </c>
      <c r="CD1660">
        <v>2013</v>
      </c>
      <c r="CE1660" t="s">
        <v>116</v>
      </c>
      <c r="CI1660">
        <v>1</v>
      </c>
      <c r="CJ1660">
        <v>12</v>
      </c>
      <c r="CK1660">
        <v>22</v>
      </c>
      <c r="CL1660" t="s">
        <v>89</v>
      </c>
    </row>
    <row r="1661" spans="1:90">
      <c r="A1661" t="s">
        <v>72</v>
      </c>
      <c r="B1661" t="s">
        <v>73</v>
      </c>
      <c r="C1661" t="s">
        <v>74</v>
      </c>
      <c r="E1661" t="str">
        <f>"FES1162728587"</f>
        <v>FES1162728587</v>
      </c>
      <c r="F1661" s="3">
        <v>43816</v>
      </c>
      <c r="G1661">
        <v>202006</v>
      </c>
      <c r="H1661" t="s">
        <v>75</v>
      </c>
      <c r="I1661" t="s">
        <v>76</v>
      </c>
      <c r="J1661" t="s">
        <v>77</v>
      </c>
      <c r="K1661" t="s">
        <v>78</v>
      </c>
      <c r="L1661" t="s">
        <v>308</v>
      </c>
      <c r="M1661" t="s">
        <v>308</v>
      </c>
      <c r="N1661" t="s">
        <v>540</v>
      </c>
      <c r="O1661" t="s">
        <v>82</v>
      </c>
      <c r="P1661" t="str">
        <f>"217071803                     "</f>
        <v xml:space="preserve">217071803                     </v>
      </c>
      <c r="Q1661">
        <v>0</v>
      </c>
      <c r="R1661">
        <v>0</v>
      </c>
      <c r="S1661">
        <v>0</v>
      </c>
      <c r="T1661">
        <v>0</v>
      </c>
      <c r="U1661">
        <v>0</v>
      </c>
      <c r="V1661">
        <v>0</v>
      </c>
      <c r="W1661">
        <v>0</v>
      </c>
      <c r="X1661">
        <v>0</v>
      </c>
      <c r="Y1661">
        <v>0</v>
      </c>
      <c r="Z1661">
        <v>0</v>
      </c>
      <c r="AA1661">
        <v>0</v>
      </c>
      <c r="AB1661">
        <v>0</v>
      </c>
      <c r="AC1661">
        <v>0</v>
      </c>
      <c r="AD1661">
        <v>0</v>
      </c>
      <c r="AE1661">
        <v>0</v>
      </c>
      <c r="AF1661">
        <v>0</v>
      </c>
      <c r="AG1661">
        <v>0</v>
      </c>
      <c r="AH1661">
        <v>0</v>
      </c>
      <c r="AI1661">
        <v>0</v>
      </c>
      <c r="AJ1661">
        <v>0</v>
      </c>
      <c r="AK1661">
        <v>0</v>
      </c>
      <c r="AL1661">
        <v>0</v>
      </c>
      <c r="AM1661">
        <v>50.43</v>
      </c>
      <c r="AN1661">
        <v>0</v>
      </c>
      <c r="AO1661">
        <v>0</v>
      </c>
      <c r="AP1661">
        <v>0</v>
      </c>
      <c r="AQ1661">
        <v>0</v>
      </c>
      <c r="AR1661">
        <v>0</v>
      </c>
      <c r="AS1661">
        <v>0</v>
      </c>
      <c r="AT1661">
        <v>0</v>
      </c>
      <c r="AU1661">
        <v>0</v>
      </c>
      <c r="AV1661">
        <v>0</v>
      </c>
      <c r="AW1661">
        <v>0</v>
      </c>
      <c r="AX1661">
        <v>0</v>
      </c>
      <c r="AY1661">
        <v>0</v>
      </c>
      <c r="AZ1661">
        <v>0</v>
      </c>
      <c r="BA1661">
        <v>0</v>
      </c>
      <c r="BB1661">
        <v>0</v>
      </c>
      <c r="BC1661">
        <v>0</v>
      </c>
      <c r="BD1661">
        <v>0</v>
      </c>
      <c r="BE1661">
        <v>0</v>
      </c>
      <c r="BF1661">
        <v>0</v>
      </c>
      <c r="BG1661">
        <v>0</v>
      </c>
      <c r="BH1661">
        <v>1</v>
      </c>
      <c r="BI1661">
        <v>6.3</v>
      </c>
      <c r="BJ1661">
        <v>2.2000000000000002</v>
      </c>
      <c r="BK1661">
        <v>6.5</v>
      </c>
      <c r="BL1661" s="4">
        <v>296.43</v>
      </c>
      <c r="BM1661" s="4">
        <v>44.46</v>
      </c>
      <c r="BN1661" s="4">
        <v>340.89</v>
      </c>
      <c r="BO1661" s="4">
        <v>340.89</v>
      </c>
      <c r="BQ1661" t="s">
        <v>147</v>
      </c>
      <c r="BR1661" t="s">
        <v>84</v>
      </c>
      <c r="BS1661" s="3">
        <v>43817</v>
      </c>
      <c r="BT1661" s="5">
        <v>0.45833333333333331</v>
      </c>
      <c r="BU1661" t="s">
        <v>2026</v>
      </c>
      <c r="BV1661" t="s">
        <v>86</v>
      </c>
      <c r="BY1661">
        <v>11112.19</v>
      </c>
      <c r="CA1661" t="s">
        <v>311</v>
      </c>
      <c r="CC1661" t="s">
        <v>308</v>
      </c>
      <c r="CD1661">
        <v>7646</v>
      </c>
      <c r="CE1661" t="s">
        <v>96</v>
      </c>
      <c r="CF1661" s="3">
        <v>43818</v>
      </c>
      <c r="CI1661">
        <v>1</v>
      </c>
      <c r="CJ1661">
        <v>1</v>
      </c>
      <c r="CK1661">
        <v>23</v>
      </c>
      <c r="CL1661" t="s">
        <v>89</v>
      </c>
    </row>
    <row r="1662" spans="1:90">
      <c r="A1662" t="s">
        <v>72</v>
      </c>
      <c r="B1662" t="s">
        <v>73</v>
      </c>
      <c r="C1662" t="s">
        <v>74</v>
      </c>
      <c r="E1662" t="str">
        <f>"FES1162728553"</f>
        <v>FES1162728553</v>
      </c>
      <c r="F1662" s="3">
        <v>43816</v>
      </c>
      <c r="G1662">
        <v>202006</v>
      </c>
      <c r="H1662" t="s">
        <v>75</v>
      </c>
      <c r="I1662" t="s">
        <v>76</v>
      </c>
      <c r="J1662" t="s">
        <v>77</v>
      </c>
      <c r="K1662" t="s">
        <v>78</v>
      </c>
      <c r="L1662" t="s">
        <v>90</v>
      </c>
      <c r="M1662" t="s">
        <v>91</v>
      </c>
      <c r="N1662" t="s">
        <v>2074</v>
      </c>
      <c r="O1662" t="s">
        <v>82</v>
      </c>
      <c r="P1662" t="str">
        <f>"321740474445                  "</f>
        <v xml:space="preserve">321740474445                  </v>
      </c>
      <c r="Q1662">
        <v>0</v>
      </c>
      <c r="R1662">
        <v>0</v>
      </c>
      <c r="S1662">
        <v>0</v>
      </c>
      <c r="T1662">
        <v>0</v>
      </c>
      <c r="U1662">
        <v>0</v>
      </c>
      <c r="V1662">
        <v>0</v>
      </c>
      <c r="W1662">
        <v>0</v>
      </c>
      <c r="X1662">
        <v>0</v>
      </c>
      <c r="Y1662">
        <v>0</v>
      </c>
      <c r="Z1662">
        <v>0</v>
      </c>
      <c r="AA1662">
        <v>0</v>
      </c>
      <c r="AB1662">
        <v>0</v>
      </c>
      <c r="AC1662">
        <v>0</v>
      </c>
      <c r="AD1662">
        <v>0</v>
      </c>
      <c r="AE1662">
        <v>0</v>
      </c>
      <c r="AF1662">
        <v>0</v>
      </c>
      <c r="AG1662">
        <v>0</v>
      </c>
      <c r="AH1662">
        <v>0</v>
      </c>
      <c r="AI1662">
        <v>0</v>
      </c>
      <c r="AJ1662">
        <v>0</v>
      </c>
      <c r="AK1662">
        <v>0</v>
      </c>
      <c r="AL1662">
        <v>0</v>
      </c>
      <c r="AM1662">
        <v>8.58</v>
      </c>
      <c r="AN1662">
        <v>0</v>
      </c>
      <c r="AO1662">
        <v>0</v>
      </c>
      <c r="AP1662">
        <v>0</v>
      </c>
      <c r="AQ1662">
        <v>0</v>
      </c>
      <c r="AR1662">
        <v>0</v>
      </c>
      <c r="AS1662">
        <v>0</v>
      </c>
      <c r="AT1662">
        <v>0</v>
      </c>
      <c r="AU1662">
        <v>0</v>
      </c>
      <c r="AV1662">
        <v>0</v>
      </c>
      <c r="AW1662">
        <v>0</v>
      </c>
      <c r="AX1662">
        <v>0</v>
      </c>
      <c r="AY1662">
        <v>0</v>
      </c>
      <c r="AZ1662">
        <v>0</v>
      </c>
      <c r="BA1662">
        <v>0</v>
      </c>
      <c r="BB1662">
        <v>0</v>
      </c>
      <c r="BC1662">
        <v>0</v>
      </c>
      <c r="BD1662">
        <v>0</v>
      </c>
      <c r="BE1662">
        <v>0</v>
      </c>
      <c r="BF1662">
        <v>0</v>
      </c>
      <c r="BG1662">
        <v>0</v>
      </c>
      <c r="BH1662">
        <v>1</v>
      </c>
      <c r="BI1662">
        <v>1.9</v>
      </c>
      <c r="BJ1662">
        <v>1.3</v>
      </c>
      <c r="BK1662">
        <v>2</v>
      </c>
      <c r="BL1662" s="4">
        <v>50.45</v>
      </c>
      <c r="BM1662" s="4">
        <v>7.57</v>
      </c>
      <c r="BN1662" s="4">
        <v>58.02</v>
      </c>
      <c r="BO1662" s="4">
        <v>58.02</v>
      </c>
      <c r="BQ1662" t="s">
        <v>93</v>
      </c>
      <c r="BR1662" t="s">
        <v>84</v>
      </c>
      <c r="BS1662" s="3">
        <v>43817</v>
      </c>
      <c r="BT1662" s="5">
        <v>0.34513888888888888</v>
      </c>
      <c r="BU1662" t="s">
        <v>2075</v>
      </c>
      <c r="BV1662" t="s">
        <v>86</v>
      </c>
      <c r="BY1662">
        <v>6493.3</v>
      </c>
      <c r="CA1662" t="s">
        <v>2076</v>
      </c>
      <c r="CC1662" t="s">
        <v>91</v>
      </c>
      <c r="CD1662">
        <v>7499</v>
      </c>
      <c r="CE1662" t="s">
        <v>96</v>
      </c>
      <c r="CF1662" s="3">
        <v>43818</v>
      </c>
      <c r="CI1662">
        <v>1</v>
      </c>
      <c r="CJ1662">
        <v>1</v>
      </c>
      <c r="CK1662">
        <v>21</v>
      </c>
      <c r="CL1662" t="s">
        <v>89</v>
      </c>
    </row>
    <row r="1663" spans="1:90">
      <c r="A1663" t="s">
        <v>72</v>
      </c>
      <c r="B1663" t="s">
        <v>73</v>
      </c>
      <c r="C1663" t="s">
        <v>74</v>
      </c>
      <c r="E1663" t="str">
        <f>"FES1162728422"</f>
        <v>FES1162728422</v>
      </c>
      <c r="F1663" s="3">
        <v>43816</v>
      </c>
      <c r="G1663">
        <v>202006</v>
      </c>
      <c r="H1663" t="s">
        <v>75</v>
      </c>
      <c r="I1663" t="s">
        <v>76</v>
      </c>
      <c r="J1663" t="s">
        <v>77</v>
      </c>
      <c r="K1663" t="s">
        <v>78</v>
      </c>
      <c r="L1663" t="s">
        <v>332</v>
      </c>
      <c r="M1663" t="s">
        <v>333</v>
      </c>
      <c r="N1663" t="s">
        <v>1756</v>
      </c>
      <c r="O1663" t="s">
        <v>82</v>
      </c>
      <c r="P1663" t="str">
        <f>"2170718941                    "</f>
        <v xml:space="preserve">2170718941                    </v>
      </c>
      <c r="Q1663">
        <v>0</v>
      </c>
      <c r="R1663">
        <v>0</v>
      </c>
      <c r="S1663">
        <v>0</v>
      </c>
      <c r="T1663">
        <v>0</v>
      </c>
      <c r="U1663">
        <v>0</v>
      </c>
      <c r="V1663">
        <v>0</v>
      </c>
      <c r="W1663">
        <v>0</v>
      </c>
      <c r="X1663">
        <v>0</v>
      </c>
      <c r="Y1663">
        <v>0</v>
      </c>
      <c r="Z1663">
        <v>0</v>
      </c>
      <c r="AA1663">
        <v>0</v>
      </c>
      <c r="AB1663">
        <v>0</v>
      </c>
      <c r="AC1663">
        <v>0</v>
      </c>
      <c r="AD1663">
        <v>0</v>
      </c>
      <c r="AE1663">
        <v>0</v>
      </c>
      <c r="AF1663">
        <v>0</v>
      </c>
      <c r="AG1663">
        <v>0</v>
      </c>
      <c r="AH1663">
        <v>0</v>
      </c>
      <c r="AI1663">
        <v>0</v>
      </c>
      <c r="AJ1663">
        <v>0</v>
      </c>
      <c r="AK1663">
        <v>0</v>
      </c>
      <c r="AL1663">
        <v>0</v>
      </c>
      <c r="AM1663">
        <v>6.71</v>
      </c>
      <c r="AN1663">
        <v>0</v>
      </c>
      <c r="AO1663">
        <v>0</v>
      </c>
      <c r="AP1663">
        <v>0</v>
      </c>
      <c r="AQ1663">
        <v>0</v>
      </c>
      <c r="AR1663">
        <v>0</v>
      </c>
      <c r="AS1663">
        <v>0</v>
      </c>
      <c r="AT1663">
        <v>0</v>
      </c>
      <c r="AU1663">
        <v>0</v>
      </c>
      <c r="AV1663">
        <v>0</v>
      </c>
      <c r="AW1663">
        <v>0</v>
      </c>
      <c r="AX1663">
        <v>0</v>
      </c>
      <c r="AY1663">
        <v>0</v>
      </c>
      <c r="AZ1663">
        <v>0</v>
      </c>
      <c r="BA1663">
        <v>0</v>
      </c>
      <c r="BB1663">
        <v>0</v>
      </c>
      <c r="BC1663">
        <v>0</v>
      </c>
      <c r="BD1663">
        <v>0</v>
      </c>
      <c r="BE1663">
        <v>0</v>
      </c>
      <c r="BF1663">
        <v>0</v>
      </c>
      <c r="BG1663">
        <v>0</v>
      </c>
      <c r="BH1663">
        <v>1</v>
      </c>
      <c r="BI1663">
        <v>1.8</v>
      </c>
      <c r="BJ1663">
        <v>0.9</v>
      </c>
      <c r="BK1663">
        <v>2</v>
      </c>
      <c r="BL1663" s="4">
        <v>39.42</v>
      </c>
      <c r="BM1663" s="4">
        <v>5.91</v>
      </c>
      <c r="BN1663" s="4">
        <v>45.33</v>
      </c>
      <c r="BO1663" s="4">
        <v>45.33</v>
      </c>
      <c r="BQ1663" t="s">
        <v>135</v>
      </c>
      <c r="BR1663" t="s">
        <v>84</v>
      </c>
      <c r="BS1663" s="3">
        <v>43819</v>
      </c>
      <c r="BT1663" s="5">
        <v>0.65625</v>
      </c>
      <c r="BU1663" t="s">
        <v>617</v>
      </c>
      <c r="BV1663" t="s">
        <v>89</v>
      </c>
      <c r="BY1663">
        <v>4730.1499999999996</v>
      </c>
      <c r="CA1663" t="s">
        <v>620</v>
      </c>
      <c r="CC1663" t="s">
        <v>333</v>
      </c>
      <c r="CD1663">
        <v>2013</v>
      </c>
      <c r="CE1663" t="s">
        <v>96</v>
      </c>
      <c r="CI1663">
        <v>1</v>
      </c>
      <c r="CJ1663">
        <v>3</v>
      </c>
      <c r="CK1663">
        <v>22</v>
      </c>
      <c r="CL1663" t="s">
        <v>89</v>
      </c>
    </row>
    <row r="1664" spans="1:90">
      <c r="A1664" t="s">
        <v>72</v>
      </c>
      <c r="B1664" t="s">
        <v>73</v>
      </c>
      <c r="C1664" t="s">
        <v>74</v>
      </c>
      <c r="E1664" t="str">
        <f>"FES1162728560"</f>
        <v>FES1162728560</v>
      </c>
      <c r="F1664" s="3">
        <v>43816</v>
      </c>
      <c r="G1664">
        <v>202006</v>
      </c>
      <c r="H1664" t="s">
        <v>75</v>
      </c>
      <c r="I1664" t="s">
        <v>76</v>
      </c>
      <c r="J1664" t="s">
        <v>77</v>
      </c>
      <c r="K1664" t="s">
        <v>78</v>
      </c>
      <c r="L1664" t="s">
        <v>308</v>
      </c>
      <c r="M1664" t="s">
        <v>308</v>
      </c>
      <c r="N1664" t="s">
        <v>974</v>
      </c>
      <c r="O1664" t="s">
        <v>82</v>
      </c>
      <c r="P1664" t="str">
        <f>"2170718760                    "</f>
        <v xml:space="preserve">2170718760                    </v>
      </c>
      <c r="Q1664">
        <v>0</v>
      </c>
      <c r="R1664">
        <v>0</v>
      </c>
      <c r="S1664">
        <v>0</v>
      </c>
      <c r="T1664">
        <v>0</v>
      </c>
      <c r="U1664">
        <v>0</v>
      </c>
      <c r="V1664">
        <v>0</v>
      </c>
      <c r="W1664">
        <v>0</v>
      </c>
      <c r="X1664">
        <v>0</v>
      </c>
      <c r="Y1664">
        <v>0</v>
      </c>
      <c r="Z1664">
        <v>0</v>
      </c>
      <c r="AA1664">
        <v>0</v>
      </c>
      <c r="AB1664">
        <v>0</v>
      </c>
      <c r="AC1664">
        <v>0</v>
      </c>
      <c r="AD1664">
        <v>0</v>
      </c>
      <c r="AE1664">
        <v>0</v>
      </c>
      <c r="AF1664">
        <v>0</v>
      </c>
      <c r="AG1664">
        <v>0</v>
      </c>
      <c r="AH1664">
        <v>0</v>
      </c>
      <c r="AI1664">
        <v>0</v>
      </c>
      <c r="AJ1664">
        <v>0</v>
      </c>
      <c r="AK1664">
        <v>0</v>
      </c>
      <c r="AL1664">
        <v>0</v>
      </c>
      <c r="AM1664">
        <v>39.159999999999997</v>
      </c>
      <c r="AN1664">
        <v>0</v>
      </c>
      <c r="AO1664">
        <v>0</v>
      </c>
      <c r="AP1664">
        <v>0</v>
      </c>
      <c r="AQ1664">
        <v>0</v>
      </c>
      <c r="AR1664">
        <v>0</v>
      </c>
      <c r="AS1664">
        <v>0</v>
      </c>
      <c r="AT1664">
        <v>0</v>
      </c>
      <c r="AU1664">
        <v>0</v>
      </c>
      <c r="AV1664">
        <v>0</v>
      </c>
      <c r="AW1664">
        <v>0</v>
      </c>
      <c r="AX1664">
        <v>0</v>
      </c>
      <c r="AY1664">
        <v>0</v>
      </c>
      <c r="AZ1664">
        <v>0</v>
      </c>
      <c r="BA1664">
        <v>0</v>
      </c>
      <c r="BB1664">
        <v>0</v>
      </c>
      <c r="BC1664">
        <v>0</v>
      </c>
      <c r="BD1664">
        <v>0</v>
      </c>
      <c r="BE1664">
        <v>0</v>
      </c>
      <c r="BF1664">
        <v>0</v>
      </c>
      <c r="BG1664">
        <v>0</v>
      </c>
      <c r="BH1664">
        <v>1</v>
      </c>
      <c r="BI1664">
        <v>4.5999999999999996</v>
      </c>
      <c r="BJ1664">
        <v>1.5</v>
      </c>
      <c r="BK1664">
        <v>5</v>
      </c>
      <c r="BL1664" s="4">
        <v>230.2</v>
      </c>
      <c r="BM1664" s="4">
        <v>34.53</v>
      </c>
      <c r="BN1664" s="4">
        <v>264.73</v>
      </c>
      <c r="BO1664" s="4">
        <v>264.73</v>
      </c>
      <c r="BQ1664" t="s">
        <v>93</v>
      </c>
      <c r="BR1664" t="s">
        <v>84</v>
      </c>
      <c r="BS1664" s="3">
        <v>43817</v>
      </c>
      <c r="BT1664" s="5">
        <v>0.4458333333333333</v>
      </c>
      <c r="BU1664" t="s">
        <v>2079</v>
      </c>
      <c r="BV1664" t="s">
        <v>86</v>
      </c>
      <c r="BY1664">
        <v>7300.85</v>
      </c>
      <c r="CA1664" t="s">
        <v>311</v>
      </c>
      <c r="CC1664" t="s">
        <v>308</v>
      </c>
      <c r="CD1664">
        <v>7646</v>
      </c>
      <c r="CE1664" t="s">
        <v>116</v>
      </c>
      <c r="CF1664" s="3">
        <v>43818</v>
      </c>
      <c r="CI1664">
        <v>1</v>
      </c>
      <c r="CJ1664">
        <v>1</v>
      </c>
      <c r="CK1664">
        <v>23</v>
      </c>
      <c r="CL1664" t="s">
        <v>89</v>
      </c>
    </row>
    <row r="1665" spans="1:90">
      <c r="A1665" t="s">
        <v>72</v>
      </c>
      <c r="B1665" t="s">
        <v>73</v>
      </c>
      <c r="C1665" t="s">
        <v>74</v>
      </c>
      <c r="E1665" t="str">
        <f>"FES1162728538"</f>
        <v>FES1162728538</v>
      </c>
      <c r="F1665" s="3">
        <v>43816</v>
      </c>
      <c r="G1665">
        <v>202006</v>
      </c>
      <c r="H1665" t="s">
        <v>75</v>
      </c>
      <c r="I1665" t="s">
        <v>76</v>
      </c>
      <c r="J1665" t="s">
        <v>77</v>
      </c>
      <c r="K1665" t="s">
        <v>78</v>
      </c>
      <c r="L1665" t="s">
        <v>90</v>
      </c>
      <c r="M1665" t="s">
        <v>91</v>
      </c>
      <c r="N1665" t="s">
        <v>110</v>
      </c>
      <c r="O1665" t="s">
        <v>82</v>
      </c>
      <c r="P1665" t="str">
        <f>"217071772                     "</f>
        <v xml:space="preserve">217071772                     </v>
      </c>
      <c r="Q1665">
        <v>0</v>
      </c>
      <c r="R1665">
        <v>0</v>
      </c>
      <c r="S1665">
        <v>0</v>
      </c>
      <c r="T1665">
        <v>0</v>
      </c>
      <c r="U1665">
        <v>0</v>
      </c>
      <c r="V1665">
        <v>0</v>
      </c>
      <c r="W1665">
        <v>0</v>
      </c>
      <c r="X1665">
        <v>0</v>
      </c>
      <c r="Y1665">
        <v>0</v>
      </c>
      <c r="Z1665">
        <v>0</v>
      </c>
      <c r="AA1665">
        <v>0</v>
      </c>
      <c r="AB1665">
        <v>0</v>
      </c>
      <c r="AC1665">
        <v>0</v>
      </c>
      <c r="AD1665">
        <v>0</v>
      </c>
      <c r="AE1665">
        <v>0</v>
      </c>
      <c r="AF1665">
        <v>0</v>
      </c>
      <c r="AG1665">
        <v>0</v>
      </c>
      <c r="AH1665">
        <v>0</v>
      </c>
      <c r="AI1665">
        <v>0</v>
      </c>
      <c r="AJ1665">
        <v>0</v>
      </c>
      <c r="AK1665">
        <v>0</v>
      </c>
      <c r="AL1665">
        <v>0</v>
      </c>
      <c r="AM1665">
        <v>8.58</v>
      </c>
      <c r="AN1665">
        <v>0</v>
      </c>
      <c r="AO1665">
        <v>0</v>
      </c>
      <c r="AP1665">
        <v>0</v>
      </c>
      <c r="AQ1665">
        <v>0</v>
      </c>
      <c r="AR1665">
        <v>0</v>
      </c>
      <c r="AS1665">
        <v>0</v>
      </c>
      <c r="AT1665">
        <v>0</v>
      </c>
      <c r="AU1665">
        <v>0</v>
      </c>
      <c r="AV1665">
        <v>0</v>
      </c>
      <c r="AW1665">
        <v>0</v>
      </c>
      <c r="AX1665">
        <v>0</v>
      </c>
      <c r="AY1665">
        <v>0</v>
      </c>
      <c r="AZ1665">
        <v>0</v>
      </c>
      <c r="BA1665">
        <v>0</v>
      </c>
      <c r="BB1665">
        <v>0</v>
      </c>
      <c r="BC1665">
        <v>0</v>
      </c>
      <c r="BD1665">
        <v>0</v>
      </c>
      <c r="BE1665">
        <v>0</v>
      </c>
      <c r="BF1665">
        <v>0</v>
      </c>
      <c r="BG1665">
        <v>0</v>
      </c>
      <c r="BH1665">
        <v>1</v>
      </c>
      <c r="BI1665">
        <v>1</v>
      </c>
      <c r="BJ1665">
        <v>0.9</v>
      </c>
      <c r="BK1665">
        <v>1</v>
      </c>
      <c r="BL1665" s="4">
        <v>50.45</v>
      </c>
      <c r="BM1665" s="4">
        <v>7.57</v>
      </c>
      <c r="BN1665" s="4">
        <v>58.02</v>
      </c>
      <c r="BO1665" s="4">
        <v>58.02</v>
      </c>
      <c r="BQ1665" t="s">
        <v>147</v>
      </c>
      <c r="BR1665" t="s">
        <v>84</v>
      </c>
      <c r="BS1665" s="3">
        <v>43817</v>
      </c>
      <c r="BT1665" s="5">
        <v>0.32708333333333334</v>
      </c>
      <c r="BU1665" t="s">
        <v>2060</v>
      </c>
      <c r="BV1665" t="s">
        <v>86</v>
      </c>
      <c r="BY1665">
        <v>4500</v>
      </c>
      <c r="CA1665" t="s">
        <v>112</v>
      </c>
      <c r="CC1665" t="s">
        <v>91</v>
      </c>
      <c r="CD1665">
        <v>7405</v>
      </c>
      <c r="CE1665" t="s">
        <v>116</v>
      </c>
      <c r="CF1665" s="3">
        <v>43818</v>
      </c>
      <c r="CI1665">
        <v>1</v>
      </c>
      <c r="CJ1665">
        <v>1</v>
      </c>
      <c r="CK1665">
        <v>21</v>
      </c>
      <c r="CL1665" t="s">
        <v>89</v>
      </c>
    </row>
    <row r="1666" spans="1:90">
      <c r="A1666" t="s">
        <v>72</v>
      </c>
      <c r="B1666" t="s">
        <v>73</v>
      </c>
      <c r="C1666" t="s">
        <v>74</v>
      </c>
      <c r="E1666" t="str">
        <f>"FES1162728536"</f>
        <v>FES1162728536</v>
      </c>
      <c r="F1666" s="3">
        <v>43816</v>
      </c>
      <c r="G1666">
        <v>202006</v>
      </c>
      <c r="H1666" t="s">
        <v>75</v>
      </c>
      <c r="I1666" t="s">
        <v>76</v>
      </c>
      <c r="J1666" t="s">
        <v>77</v>
      </c>
      <c r="K1666" t="s">
        <v>78</v>
      </c>
      <c r="L1666" t="s">
        <v>2080</v>
      </c>
      <c r="M1666" t="s">
        <v>2081</v>
      </c>
      <c r="N1666" t="s">
        <v>2082</v>
      </c>
      <c r="O1666" t="s">
        <v>82</v>
      </c>
      <c r="P1666" t="str">
        <f>"217071665                     "</f>
        <v xml:space="preserve">217071665                     </v>
      </c>
      <c r="Q1666">
        <v>0</v>
      </c>
      <c r="R1666">
        <v>0</v>
      </c>
      <c r="S1666">
        <v>0</v>
      </c>
      <c r="T1666">
        <v>0</v>
      </c>
      <c r="U1666">
        <v>0</v>
      </c>
      <c r="V1666">
        <v>0</v>
      </c>
      <c r="W1666">
        <v>0</v>
      </c>
      <c r="X1666">
        <v>0</v>
      </c>
      <c r="Y1666">
        <v>0</v>
      </c>
      <c r="Z1666">
        <v>0</v>
      </c>
      <c r="AA1666">
        <v>0</v>
      </c>
      <c r="AB1666">
        <v>0</v>
      </c>
      <c r="AC1666">
        <v>0</v>
      </c>
      <c r="AD1666">
        <v>0</v>
      </c>
      <c r="AE1666">
        <v>0</v>
      </c>
      <c r="AF1666">
        <v>0</v>
      </c>
      <c r="AG1666">
        <v>0</v>
      </c>
      <c r="AH1666">
        <v>0</v>
      </c>
      <c r="AI1666">
        <v>0</v>
      </c>
      <c r="AJ1666">
        <v>0</v>
      </c>
      <c r="AK1666">
        <v>0</v>
      </c>
      <c r="AL1666">
        <v>0</v>
      </c>
      <c r="AM1666">
        <v>16.63</v>
      </c>
      <c r="AN1666">
        <v>0</v>
      </c>
      <c r="AO1666">
        <v>0</v>
      </c>
      <c r="AP1666">
        <v>0</v>
      </c>
      <c r="AQ1666">
        <v>0</v>
      </c>
      <c r="AR1666">
        <v>0</v>
      </c>
      <c r="AS1666">
        <v>0</v>
      </c>
      <c r="AT1666">
        <v>0</v>
      </c>
      <c r="AU1666">
        <v>0</v>
      </c>
      <c r="AV1666">
        <v>0</v>
      </c>
      <c r="AW1666">
        <v>0</v>
      </c>
      <c r="AX1666">
        <v>0</v>
      </c>
      <c r="AY1666">
        <v>0</v>
      </c>
      <c r="AZ1666">
        <v>0</v>
      </c>
      <c r="BA1666">
        <v>0</v>
      </c>
      <c r="BB1666">
        <v>0</v>
      </c>
      <c r="BC1666">
        <v>0</v>
      </c>
      <c r="BD1666">
        <v>0</v>
      </c>
      <c r="BE1666">
        <v>0</v>
      </c>
      <c r="BF1666">
        <v>0</v>
      </c>
      <c r="BG1666">
        <v>0</v>
      </c>
      <c r="BH1666">
        <v>1</v>
      </c>
      <c r="BI1666">
        <v>1</v>
      </c>
      <c r="BJ1666">
        <v>0.2</v>
      </c>
      <c r="BK1666">
        <v>1</v>
      </c>
      <c r="BL1666" s="4">
        <v>97.75</v>
      </c>
      <c r="BM1666" s="4">
        <v>14.66</v>
      </c>
      <c r="BN1666" s="4">
        <v>112.41</v>
      </c>
      <c r="BO1666" s="4">
        <v>112.41</v>
      </c>
      <c r="BR1666" t="s">
        <v>84</v>
      </c>
      <c r="BS1666" s="3">
        <v>43817</v>
      </c>
      <c r="BT1666" s="5">
        <v>0.48402777777777778</v>
      </c>
      <c r="BU1666" t="s">
        <v>2083</v>
      </c>
      <c r="BV1666" t="s">
        <v>86</v>
      </c>
      <c r="BY1666">
        <v>1200</v>
      </c>
      <c r="CA1666" t="s">
        <v>311</v>
      </c>
      <c r="CC1666" t="s">
        <v>2081</v>
      </c>
      <c r="CD1666">
        <v>7655</v>
      </c>
      <c r="CE1666" t="s">
        <v>88</v>
      </c>
      <c r="CF1666" s="3">
        <v>43818</v>
      </c>
      <c r="CI1666">
        <v>1</v>
      </c>
      <c r="CJ1666">
        <v>1</v>
      </c>
      <c r="CK1666">
        <v>23</v>
      </c>
      <c r="CL1666" t="s">
        <v>89</v>
      </c>
    </row>
    <row r="1667" spans="1:90">
      <c r="A1667" t="s">
        <v>72</v>
      </c>
      <c r="B1667" t="s">
        <v>73</v>
      </c>
      <c r="C1667" t="s">
        <v>74</v>
      </c>
      <c r="E1667" t="str">
        <f>"FES1162728590"</f>
        <v>FES1162728590</v>
      </c>
      <c r="F1667" s="3">
        <v>43816</v>
      </c>
      <c r="G1667">
        <v>202006</v>
      </c>
      <c r="H1667" t="s">
        <v>75</v>
      </c>
      <c r="I1667" t="s">
        <v>76</v>
      </c>
      <c r="J1667" t="s">
        <v>77</v>
      </c>
      <c r="K1667" t="s">
        <v>78</v>
      </c>
      <c r="L1667" t="s">
        <v>90</v>
      </c>
      <c r="M1667" t="s">
        <v>91</v>
      </c>
      <c r="N1667" t="s">
        <v>561</v>
      </c>
      <c r="O1667" t="s">
        <v>82</v>
      </c>
      <c r="P1667" t="str">
        <f>"217071820                     "</f>
        <v xml:space="preserve">217071820                     </v>
      </c>
      <c r="Q1667">
        <v>0</v>
      </c>
      <c r="R1667">
        <v>0</v>
      </c>
      <c r="S1667">
        <v>0</v>
      </c>
      <c r="T1667">
        <v>0</v>
      </c>
      <c r="U1667">
        <v>0</v>
      </c>
      <c r="V1667">
        <v>0</v>
      </c>
      <c r="W1667">
        <v>0</v>
      </c>
      <c r="X1667">
        <v>0</v>
      </c>
      <c r="Y1667">
        <v>0</v>
      </c>
      <c r="Z1667">
        <v>0</v>
      </c>
      <c r="AA1667">
        <v>0</v>
      </c>
      <c r="AB1667">
        <v>0</v>
      </c>
      <c r="AC1667">
        <v>0</v>
      </c>
      <c r="AD1667">
        <v>0</v>
      </c>
      <c r="AE1667">
        <v>0</v>
      </c>
      <c r="AF1667">
        <v>0</v>
      </c>
      <c r="AG1667">
        <v>0</v>
      </c>
      <c r="AH1667">
        <v>0</v>
      </c>
      <c r="AI1667">
        <v>0</v>
      </c>
      <c r="AJ1667">
        <v>0</v>
      </c>
      <c r="AK1667">
        <v>0</v>
      </c>
      <c r="AL1667">
        <v>0</v>
      </c>
      <c r="AM1667">
        <v>8.58</v>
      </c>
      <c r="AN1667">
        <v>0</v>
      </c>
      <c r="AO1667">
        <v>0</v>
      </c>
      <c r="AP1667">
        <v>0</v>
      </c>
      <c r="AQ1667">
        <v>0</v>
      </c>
      <c r="AR1667">
        <v>0</v>
      </c>
      <c r="AS1667">
        <v>0</v>
      </c>
      <c r="AT1667">
        <v>0</v>
      </c>
      <c r="AU1667">
        <v>0</v>
      </c>
      <c r="AV1667">
        <v>0</v>
      </c>
      <c r="AW1667">
        <v>0</v>
      </c>
      <c r="AX1667">
        <v>0</v>
      </c>
      <c r="AY1667">
        <v>0</v>
      </c>
      <c r="AZ1667">
        <v>0</v>
      </c>
      <c r="BA1667">
        <v>0</v>
      </c>
      <c r="BB1667">
        <v>0</v>
      </c>
      <c r="BC1667">
        <v>0</v>
      </c>
      <c r="BD1667">
        <v>0</v>
      </c>
      <c r="BE1667">
        <v>0</v>
      </c>
      <c r="BF1667">
        <v>0</v>
      </c>
      <c r="BG1667">
        <v>0</v>
      </c>
      <c r="BH1667">
        <v>1</v>
      </c>
      <c r="BI1667">
        <v>1</v>
      </c>
      <c r="BJ1667">
        <v>0.2</v>
      </c>
      <c r="BK1667">
        <v>1</v>
      </c>
      <c r="BL1667" s="4">
        <v>50.45</v>
      </c>
      <c r="BM1667" s="4">
        <v>7.57</v>
      </c>
      <c r="BN1667" s="4">
        <v>58.02</v>
      </c>
      <c r="BO1667" s="4">
        <v>58.02</v>
      </c>
      <c r="BQ1667" t="s">
        <v>172</v>
      </c>
      <c r="BR1667" t="s">
        <v>84</v>
      </c>
      <c r="BS1667" s="3">
        <v>43817</v>
      </c>
      <c r="BT1667" s="5">
        <v>0.37152777777777773</v>
      </c>
      <c r="BU1667" t="s">
        <v>1850</v>
      </c>
      <c r="BV1667" t="s">
        <v>86</v>
      </c>
      <c r="BY1667">
        <v>1200</v>
      </c>
      <c r="CA1667" t="s">
        <v>1720</v>
      </c>
      <c r="CC1667" t="s">
        <v>91</v>
      </c>
      <c r="CD1667">
        <v>7460</v>
      </c>
      <c r="CE1667" t="s">
        <v>88</v>
      </c>
      <c r="CF1667" s="3">
        <v>43817</v>
      </c>
      <c r="CI1667">
        <v>1</v>
      </c>
      <c r="CJ1667">
        <v>1</v>
      </c>
      <c r="CK1667">
        <v>21</v>
      </c>
      <c r="CL1667" t="s">
        <v>89</v>
      </c>
    </row>
    <row r="1668" spans="1:90">
      <c r="A1668" t="s">
        <v>72</v>
      </c>
      <c r="B1668" t="s">
        <v>73</v>
      </c>
      <c r="C1668" t="s">
        <v>74</v>
      </c>
      <c r="E1668" t="str">
        <f>"FES1162728603"</f>
        <v>FES1162728603</v>
      </c>
      <c r="F1668" s="3">
        <v>43816</v>
      </c>
      <c r="G1668">
        <v>202006</v>
      </c>
      <c r="H1668" t="s">
        <v>75</v>
      </c>
      <c r="I1668" t="s">
        <v>76</v>
      </c>
      <c r="J1668" t="s">
        <v>77</v>
      </c>
      <c r="K1668" t="s">
        <v>78</v>
      </c>
      <c r="L1668" t="s">
        <v>332</v>
      </c>
      <c r="M1668" t="s">
        <v>333</v>
      </c>
      <c r="N1668" t="s">
        <v>701</v>
      </c>
      <c r="O1668" t="s">
        <v>82</v>
      </c>
      <c r="P1668" t="str">
        <f>"217071825                     "</f>
        <v xml:space="preserve">217071825                     </v>
      </c>
      <c r="Q1668">
        <v>0</v>
      </c>
      <c r="R1668">
        <v>0</v>
      </c>
      <c r="S1668">
        <v>0</v>
      </c>
      <c r="T1668">
        <v>0</v>
      </c>
      <c r="U1668">
        <v>0</v>
      </c>
      <c r="V1668">
        <v>0</v>
      </c>
      <c r="W1668">
        <v>0</v>
      </c>
      <c r="X1668">
        <v>0</v>
      </c>
      <c r="Y1668">
        <v>0</v>
      </c>
      <c r="Z1668">
        <v>0</v>
      </c>
      <c r="AA1668">
        <v>0</v>
      </c>
      <c r="AB1668">
        <v>0</v>
      </c>
      <c r="AC1668">
        <v>0</v>
      </c>
      <c r="AD1668">
        <v>0</v>
      </c>
      <c r="AE1668">
        <v>0</v>
      </c>
      <c r="AF1668">
        <v>0</v>
      </c>
      <c r="AG1668">
        <v>0</v>
      </c>
      <c r="AH1668">
        <v>0</v>
      </c>
      <c r="AI1668">
        <v>0</v>
      </c>
      <c r="AJ1668">
        <v>0</v>
      </c>
      <c r="AK1668">
        <v>0</v>
      </c>
      <c r="AL1668">
        <v>0</v>
      </c>
      <c r="AM1668">
        <v>6.71</v>
      </c>
      <c r="AN1668">
        <v>0</v>
      </c>
      <c r="AO1668">
        <v>0</v>
      </c>
      <c r="AP1668">
        <v>0</v>
      </c>
      <c r="AQ1668">
        <v>0</v>
      </c>
      <c r="AR1668">
        <v>0</v>
      </c>
      <c r="AS1668">
        <v>0</v>
      </c>
      <c r="AT1668">
        <v>0</v>
      </c>
      <c r="AU1668">
        <v>0</v>
      </c>
      <c r="AV1668">
        <v>0</v>
      </c>
      <c r="AW1668">
        <v>0</v>
      </c>
      <c r="AX1668">
        <v>0</v>
      </c>
      <c r="AY1668">
        <v>0</v>
      </c>
      <c r="AZ1668">
        <v>0</v>
      </c>
      <c r="BA1668">
        <v>0</v>
      </c>
      <c r="BB1668">
        <v>0</v>
      </c>
      <c r="BC1668">
        <v>0</v>
      </c>
      <c r="BD1668">
        <v>0</v>
      </c>
      <c r="BE1668">
        <v>0</v>
      </c>
      <c r="BF1668">
        <v>0</v>
      </c>
      <c r="BG1668">
        <v>0</v>
      </c>
      <c r="BH1668">
        <v>1</v>
      </c>
      <c r="BI1668">
        <v>1</v>
      </c>
      <c r="BJ1668">
        <v>0.2</v>
      </c>
      <c r="BK1668">
        <v>1</v>
      </c>
      <c r="BL1668" s="4">
        <v>39.42</v>
      </c>
      <c r="BM1668" s="4">
        <v>5.91</v>
      </c>
      <c r="BN1668" s="4">
        <v>45.33</v>
      </c>
      <c r="BO1668" s="4">
        <v>45.33</v>
      </c>
      <c r="BQ1668" t="s">
        <v>93</v>
      </c>
      <c r="BR1668" t="s">
        <v>84</v>
      </c>
      <c r="BS1668" s="3">
        <v>43817</v>
      </c>
      <c r="BT1668" s="5">
        <v>0.3347222222222222</v>
      </c>
      <c r="BU1668" t="s">
        <v>2084</v>
      </c>
      <c r="BV1668" t="s">
        <v>86</v>
      </c>
      <c r="BY1668">
        <v>1200</v>
      </c>
      <c r="CA1668" t="s">
        <v>700</v>
      </c>
      <c r="CC1668" t="s">
        <v>333</v>
      </c>
      <c r="CD1668">
        <v>2094</v>
      </c>
      <c r="CE1668" t="s">
        <v>88</v>
      </c>
      <c r="CF1668" s="3">
        <v>43818</v>
      </c>
      <c r="CI1668">
        <v>1</v>
      </c>
      <c r="CJ1668">
        <v>1</v>
      </c>
      <c r="CK1668">
        <v>22</v>
      </c>
      <c r="CL1668" t="s">
        <v>89</v>
      </c>
    </row>
    <row r="1669" spans="1:90">
      <c r="A1669" t="s">
        <v>72</v>
      </c>
      <c r="B1669" t="s">
        <v>73</v>
      </c>
      <c r="C1669" t="s">
        <v>74</v>
      </c>
      <c r="E1669" t="str">
        <f>"FES1162728580"</f>
        <v>FES1162728580</v>
      </c>
      <c r="F1669" s="3">
        <v>43816</v>
      </c>
      <c r="G1669">
        <v>202006</v>
      </c>
      <c r="H1669" t="s">
        <v>75</v>
      </c>
      <c r="I1669" t="s">
        <v>76</v>
      </c>
      <c r="J1669" t="s">
        <v>77</v>
      </c>
      <c r="K1669" t="s">
        <v>78</v>
      </c>
      <c r="L1669" t="s">
        <v>186</v>
      </c>
      <c r="M1669" t="s">
        <v>187</v>
      </c>
      <c r="N1669" t="s">
        <v>266</v>
      </c>
      <c r="O1669" t="s">
        <v>82</v>
      </c>
      <c r="P1669" t="str">
        <f>"2170712499                    "</f>
        <v xml:space="preserve">2170712499                    </v>
      </c>
      <c r="Q1669">
        <v>0</v>
      </c>
      <c r="R1669">
        <v>0</v>
      </c>
      <c r="S1669">
        <v>0</v>
      </c>
      <c r="T1669">
        <v>0</v>
      </c>
      <c r="U1669">
        <v>0</v>
      </c>
      <c r="V1669">
        <v>0</v>
      </c>
      <c r="W1669">
        <v>0</v>
      </c>
      <c r="X1669">
        <v>0</v>
      </c>
      <c r="Y1669">
        <v>0</v>
      </c>
      <c r="Z1669">
        <v>0</v>
      </c>
      <c r="AA1669">
        <v>0</v>
      </c>
      <c r="AB1669">
        <v>0</v>
      </c>
      <c r="AC1669">
        <v>0</v>
      </c>
      <c r="AD1669">
        <v>0</v>
      </c>
      <c r="AE1669">
        <v>0</v>
      </c>
      <c r="AF1669">
        <v>0</v>
      </c>
      <c r="AG1669">
        <v>0</v>
      </c>
      <c r="AH1669">
        <v>0</v>
      </c>
      <c r="AI1669">
        <v>0</v>
      </c>
      <c r="AJ1669">
        <v>0</v>
      </c>
      <c r="AK1669">
        <v>0</v>
      </c>
      <c r="AL1669">
        <v>0</v>
      </c>
      <c r="AM1669">
        <v>16.63</v>
      </c>
      <c r="AN1669">
        <v>0</v>
      </c>
      <c r="AO1669">
        <v>0</v>
      </c>
      <c r="AP1669">
        <v>0</v>
      </c>
      <c r="AQ1669">
        <v>0</v>
      </c>
      <c r="AR1669">
        <v>0</v>
      </c>
      <c r="AS1669">
        <v>0</v>
      </c>
      <c r="AT1669">
        <v>0</v>
      </c>
      <c r="AU1669">
        <v>0</v>
      </c>
      <c r="AV1669">
        <v>0</v>
      </c>
      <c r="AW1669">
        <v>0</v>
      </c>
      <c r="AX1669">
        <v>0</v>
      </c>
      <c r="AY1669">
        <v>0</v>
      </c>
      <c r="AZ1669">
        <v>0</v>
      </c>
      <c r="BA1669">
        <v>0</v>
      </c>
      <c r="BB1669">
        <v>0</v>
      </c>
      <c r="BC1669">
        <v>0</v>
      </c>
      <c r="BD1669">
        <v>0</v>
      </c>
      <c r="BE1669">
        <v>0</v>
      </c>
      <c r="BF1669">
        <v>0</v>
      </c>
      <c r="BG1669">
        <v>0</v>
      </c>
      <c r="BH1669">
        <v>1</v>
      </c>
      <c r="BI1669">
        <v>1</v>
      </c>
      <c r="BJ1669">
        <v>0.2</v>
      </c>
      <c r="BK1669">
        <v>1</v>
      </c>
      <c r="BL1669" s="4">
        <v>97.75</v>
      </c>
      <c r="BM1669" s="4">
        <v>14.66</v>
      </c>
      <c r="BN1669" s="4">
        <v>112.41</v>
      </c>
      <c r="BO1669" s="4">
        <v>112.41</v>
      </c>
      <c r="BQ1669" t="s">
        <v>135</v>
      </c>
      <c r="BR1669" t="s">
        <v>84</v>
      </c>
      <c r="BS1669" s="3">
        <v>43818</v>
      </c>
      <c r="BT1669" s="5">
        <v>0.39861111111111108</v>
      </c>
      <c r="BU1669" t="s">
        <v>1665</v>
      </c>
      <c r="BV1669" t="s">
        <v>86</v>
      </c>
      <c r="BY1669">
        <v>1200</v>
      </c>
      <c r="CA1669" t="s">
        <v>1205</v>
      </c>
      <c r="CC1669" t="s">
        <v>187</v>
      </c>
      <c r="CD1669">
        <v>6850</v>
      </c>
      <c r="CE1669" t="s">
        <v>88</v>
      </c>
      <c r="CF1669" s="3">
        <v>43819</v>
      </c>
      <c r="CI1669">
        <v>3</v>
      </c>
      <c r="CJ1669">
        <v>2</v>
      </c>
      <c r="CK1669">
        <v>23</v>
      </c>
      <c r="CL1669" t="s">
        <v>89</v>
      </c>
    </row>
    <row r="1670" spans="1:90">
      <c r="A1670" t="s">
        <v>72</v>
      </c>
      <c r="B1670" t="s">
        <v>73</v>
      </c>
      <c r="C1670" t="s">
        <v>74</v>
      </c>
      <c r="E1670" t="str">
        <f>"FES1162728577"</f>
        <v>FES1162728577</v>
      </c>
      <c r="F1670" s="3">
        <v>43816</v>
      </c>
      <c r="G1670">
        <v>202006</v>
      </c>
      <c r="H1670" t="s">
        <v>75</v>
      </c>
      <c r="I1670" t="s">
        <v>76</v>
      </c>
      <c r="J1670" t="s">
        <v>77</v>
      </c>
      <c r="K1670" t="s">
        <v>78</v>
      </c>
      <c r="L1670" t="s">
        <v>714</v>
      </c>
      <c r="M1670" t="s">
        <v>715</v>
      </c>
      <c r="N1670" t="s">
        <v>716</v>
      </c>
      <c r="O1670" t="s">
        <v>82</v>
      </c>
      <c r="P1670" t="str">
        <f>"2170712436                    "</f>
        <v xml:space="preserve">2170712436                    </v>
      </c>
      <c r="Q1670">
        <v>0</v>
      </c>
      <c r="R1670">
        <v>0</v>
      </c>
      <c r="S1670">
        <v>0</v>
      </c>
      <c r="T1670">
        <v>0</v>
      </c>
      <c r="U1670">
        <v>0</v>
      </c>
      <c r="V1670">
        <v>0</v>
      </c>
      <c r="W1670">
        <v>0</v>
      </c>
      <c r="X1670">
        <v>0</v>
      </c>
      <c r="Y1670">
        <v>0</v>
      </c>
      <c r="Z1670">
        <v>0</v>
      </c>
      <c r="AA1670">
        <v>0</v>
      </c>
      <c r="AB1670">
        <v>0</v>
      </c>
      <c r="AC1670">
        <v>0</v>
      </c>
      <c r="AD1670">
        <v>0</v>
      </c>
      <c r="AE1670">
        <v>0</v>
      </c>
      <c r="AF1670">
        <v>0</v>
      </c>
      <c r="AG1670">
        <v>0</v>
      </c>
      <c r="AH1670">
        <v>0</v>
      </c>
      <c r="AI1670">
        <v>0</v>
      </c>
      <c r="AJ1670">
        <v>0</v>
      </c>
      <c r="AK1670">
        <v>0</v>
      </c>
      <c r="AL1670">
        <v>0</v>
      </c>
      <c r="AM1670">
        <v>6.71</v>
      </c>
      <c r="AN1670">
        <v>0</v>
      </c>
      <c r="AO1670">
        <v>0</v>
      </c>
      <c r="AP1670">
        <v>0</v>
      </c>
      <c r="AQ1670">
        <v>0</v>
      </c>
      <c r="AR1670">
        <v>0</v>
      </c>
      <c r="AS1670">
        <v>0</v>
      </c>
      <c r="AT1670">
        <v>0</v>
      </c>
      <c r="AU1670">
        <v>0</v>
      </c>
      <c r="AV1670">
        <v>0</v>
      </c>
      <c r="AW1670">
        <v>0</v>
      </c>
      <c r="AX1670">
        <v>0</v>
      </c>
      <c r="AY1670">
        <v>0</v>
      </c>
      <c r="AZ1670">
        <v>0</v>
      </c>
      <c r="BA1670">
        <v>0</v>
      </c>
      <c r="BB1670">
        <v>0</v>
      </c>
      <c r="BC1670">
        <v>0</v>
      </c>
      <c r="BD1670">
        <v>0</v>
      </c>
      <c r="BE1670">
        <v>0</v>
      </c>
      <c r="BF1670">
        <v>0</v>
      </c>
      <c r="BG1670">
        <v>0</v>
      </c>
      <c r="BH1670">
        <v>1</v>
      </c>
      <c r="BI1670">
        <v>1</v>
      </c>
      <c r="BJ1670">
        <v>0.2</v>
      </c>
      <c r="BK1670">
        <v>1</v>
      </c>
      <c r="BL1670" s="4">
        <v>39.42</v>
      </c>
      <c r="BM1670" s="4">
        <v>5.91</v>
      </c>
      <c r="BN1670" s="4">
        <v>45.33</v>
      </c>
      <c r="BO1670" s="4">
        <v>45.33</v>
      </c>
      <c r="BQ1670" t="s">
        <v>135</v>
      </c>
      <c r="BR1670" t="s">
        <v>84</v>
      </c>
      <c r="BS1670" s="3">
        <v>43817</v>
      </c>
      <c r="BT1670" s="5">
        <v>0.375</v>
      </c>
      <c r="BU1670" t="s">
        <v>142</v>
      </c>
      <c r="BV1670" t="s">
        <v>86</v>
      </c>
      <c r="BY1670">
        <v>1200</v>
      </c>
      <c r="CC1670" t="s">
        <v>715</v>
      </c>
      <c r="CD1670">
        <v>1559</v>
      </c>
      <c r="CE1670" t="s">
        <v>88</v>
      </c>
      <c r="CF1670" s="3">
        <v>43818</v>
      </c>
      <c r="CI1670">
        <v>1</v>
      </c>
      <c r="CJ1670">
        <v>1</v>
      </c>
      <c r="CK1670">
        <v>22</v>
      </c>
      <c r="CL1670" t="s">
        <v>89</v>
      </c>
    </row>
    <row r="1671" spans="1:90">
      <c r="A1671" t="s">
        <v>72</v>
      </c>
      <c r="B1671" t="s">
        <v>73</v>
      </c>
      <c r="C1671" t="s">
        <v>74</v>
      </c>
      <c r="E1671" t="str">
        <f>"FES1162728622"</f>
        <v>FES1162728622</v>
      </c>
      <c r="F1671" s="3">
        <v>43816</v>
      </c>
      <c r="G1671">
        <v>202006</v>
      </c>
      <c r="H1671" t="s">
        <v>75</v>
      </c>
      <c r="I1671" t="s">
        <v>76</v>
      </c>
      <c r="J1671" t="s">
        <v>77</v>
      </c>
      <c r="K1671" t="s">
        <v>78</v>
      </c>
      <c r="L1671" t="s">
        <v>332</v>
      </c>
      <c r="M1671" t="s">
        <v>333</v>
      </c>
      <c r="N1671" t="s">
        <v>701</v>
      </c>
      <c r="O1671" t="s">
        <v>82</v>
      </c>
      <c r="P1671" t="str">
        <f>"217071840                     "</f>
        <v xml:space="preserve">217071840                     </v>
      </c>
      <c r="Q1671">
        <v>0</v>
      </c>
      <c r="R1671">
        <v>0</v>
      </c>
      <c r="S1671">
        <v>0</v>
      </c>
      <c r="T1671">
        <v>0</v>
      </c>
      <c r="U1671">
        <v>0</v>
      </c>
      <c r="V1671">
        <v>0</v>
      </c>
      <c r="W1671">
        <v>0</v>
      </c>
      <c r="X1671">
        <v>0</v>
      </c>
      <c r="Y1671">
        <v>0</v>
      </c>
      <c r="Z1671">
        <v>0</v>
      </c>
      <c r="AA1671">
        <v>0</v>
      </c>
      <c r="AB1671">
        <v>0</v>
      </c>
      <c r="AC1671">
        <v>0</v>
      </c>
      <c r="AD1671">
        <v>0</v>
      </c>
      <c r="AE1671">
        <v>0</v>
      </c>
      <c r="AF1671">
        <v>0</v>
      </c>
      <c r="AG1671">
        <v>0</v>
      </c>
      <c r="AH1671">
        <v>0</v>
      </c>
      <c r="AI1671">
        <v>0</v>
      </c>
      <c r="AJ1671">
        <v>0</v>
      </c>
      <c r="AK1671">
        <v>0</v>
      </c>
      <c r="AL1671">
        <v>0</v>
      </c>
      <c r="AM1671">
        <v>6.71</v>
      </c>
      <c r="AN1671">
        <v>0</v>
      </c>
      <c r="AO1671">
        <v>0</v>
      </c>
      <c r="AP1671">
        <v>0</v>
      </c>
      <c r="AQ1671">
        <v>0</v>
      </c>
      <c r="AR1671">
        <v>0</v>
      </c>
      <c r="AS1671">
        <v>0</v>
      </c>
      <c r="AT1671">
        <v>0</v>
      </c>
      <c r="AU1671">
        <v>0</v>
      </c>
      <c r="AV1671">
        <v>0</v>
      </c>
      <c r="AW1671">
        <v>0</v>
      </c>
      <c r="AX1671">
        <v>0</v>
      </c>
      <c r="AY1671">
        <v>0</v>
      </c>
      <c r="AZ1671">
        <v>0</v>
      </c>
      <c r="BA1671">
        <v>0</v>
      </c>
      <c r="BB1671">
        <v>0</v>
      </c>
      <c r="BC1671">
        <v>0</v>
      </c>
      <c r="BD1671">
        <v>0</v>
      </c>
      <c r="BE1671">
        <v>0</v>
      </c>
      <c r="BF1671">
        <v>0</v>
      </c>
      <c r="BG1671">
        <v>0</v>
      </c>
      <c r="BH1671">
        <v>1</v>
      </c>
      <c r="BI1671">
        <v>1</v>
      </c>
      <c r="BJ1671">
        <v>0.2</v>
      </c>
      <c r="BK1671">
        <v>1</v>
      </c>
      <c r="BL1671" s="4">
        <v>39.42</v>
      </c>
      <c r="BM1671" s="4">
        <v>5.91</v>
      </c>
      <c r="BN1671" s="4">
        <v>45.33</v>
      </c>
      <c r="BO1671" s="4">
        <v>45.33</v>
      </c>
      <c r="BQ1671" t="s">
        <v>93</v>
      </c>
      <c r="BR1671" t="s">
        <v>84</v>
      </c>
      <c r="BS1671" s="3">
        <v>43817</v>
      </c>
      <c r="BT1671" s="5">
        <v>0.3354166666666667</v>
      </c>
      <c r="BU1671" t="s">
        <v>2084</v>
      </c>
      <c r="BV1671" t="s">
        <v>86</v>
      </c>
      <c r="BY1671">
        <v>1200</v>
      </c>
      <c r="CA1671" t="s">
        <v>700</v>
      </c>
      <c r="CC1671" t="s">
        <v>333</v>
      </c>
      <c r="CD1671">
        <v>2094</v>
      </c>
      <c r="CE1671" t="s">
        <v>88</v>
      </c>
      <c r="CF1671" s="3">
        <v>43818</v>
      </c>
      <c r="CI1671">
        <v>1</v>
      </c>
      <c r="CJ1671">
        <v>1</v>
      </c>
      <c r="CK1671">
        <v>22</v>
      </c>
      <c r="CL1671" t="s">
        <v>89</v>
      </c>
    </row>
    <row r="1672" spans="1:90">
      <c r="A1672" t="s">
        <v>72</v>
      </c>
      <c r="B1672" t="s">
        <v>73</v>
      </c>
      <c r="C1672" t="s">
        <v>74</v>
      </c>
      <c r="E1672" t="str">
        <f>"FES1162728647"</f>
        <v>FES1162728647</v>
      </c>
      <c r="F1672" s="3">
        <v>43816</v>
      </c>
      <c r="G1672">
        <v>202006</v>
      </c>
      <c r="H1672" t="s">
        <v>75</v>
      </c>
      <c r="I1672" t="s">
        <v>76</v>
      </c>
      <c r="J1672" t="s">
        <v>77</v>
      </c>
      <c r="K1672" t="s">
        <v>78</v>
      </c>
      <c r="L1672" t="s">
        <v>90</v>
      </c>
      <c r="M1672" t="s">
        <v>91</v>
      </c>
      <c r="N1672" t="s">
        <v>875</v>
      </c>
      <c r="O1672" t="s">
        <v>82</v>
      </c>
      <c r="P1672" t="str">
        <f>"217071856                     "</f>
        <v xml:space="preserve">217071856                     </v>
      </c>
      <c r="Q1672">
        <v>0</v>
      </c>
      <c r="R1672">
        <v>0</v>
      </c>
      <c r="S1672">
        <v>0</v>
      </c>
      <c r="T1672">
        <v>0</v>
      </c>
      <c r="U1672">
        <v>0</v>
      </c>
      <c r="V1672">
        <v>0</v>
      </c>
      <c r="W1672">
        <v>0</v>
      </c>
      <c r="X1672">
        <v>0</v>
      </c>
      <c r="Y1672">
        <v>0</v>
      </c>
      <c r="Z1672">
        <v>0</v>
      </c>
      <c r="AA1672">
        <v>0</v>
      </c>
      <c r="AB1672">
        <v>0</v>
      </c>
      <c r="AC1672">
        <v>0</v>
      </c>
      <c r="AD1672">
        <v>0</v>
      </c>
      <c r="AE1672">
        <v>0</v>
      </c>
      <c r="AF1672">
        <v>0</v>
      </c>
      <c r="AG1672">
        <v>0</v>
      </c>
      <c r="AH1672">
        <v>0</v>
      </c>
      <c r="AI1672">
        <v>0</v>
      </c>
      <c r="AJ1672">
        <v>0</v>
      </c>
      <c r="AK1672">
        <v>0</v>
      </c>
      <c r="AL1672">
        <v>0</v>
      </c>
      <c r="AM1672">
        <v>8.58</v>
      </c>
      <c r="AN1672">
        <v>0</v>
      </c>
      <c r="AO1672">
        <v>0</v>
      </c>
      <c r="AP1672">
        <v>0</v>
      </c>
      <c r="AQ1672">
        <v>0</v>
      </c>
      <c r="AR1672">
        <v>0</v>
      </c>
      <c r="AS1672">
        <v>0</v>
      </c>
      <c r="AT1672">
        <v>0</v>
      </c>
      <c r="AU1672">
        <v>0</v>
      </c>
      <c r="AV1672">
        <v>0</v>
      </c>
      <c r="AW1672">
        <v>0</v>
      </c>
      <c r="AX1672">
        <v>0</v>
      </c>
      <c r="AY1672">
        <v>0</v>
      </c>
      <c r="AZ1672">
        <v>0</v>
      </c>
      <c r="BA1672">
        <v>0</v>
      </c>
      <c r="BB1672">
        <v>0</v>
      </c>
      <c r="BC1672">
        <v>0</v>
      </c>
      <c r="BD1672">
        <v>0</v>
      </c>
      <c r="BE1672">
        <v>0</v>
      </c>
      <c r="BF1672">
        <v>0</v>
      </c>
      <c r="BG1672">
        <v>0</v>
      </c>
      <c r="BH1672">
        <v>1</v>
      </c>
      <c r="BI1672">
        <v>1</v>
      </c>
      <c r="BJ1672">
        <v>0.2</v>
      </c>
      <c r="BK1672">
        <v>1</v>
      </c>
      <c r="BL1672" s="4">
        <v>50.45</v>
      </c>
      <c r="BM1672" s="4">
        <v>7.57</v>
      </c>
      <c r="BN1672" s="4">
        <v>58.02</v>
      </c>
      <c r="BO1672" s="4">
        <v>58.02</v>
      </c>
      <c r="BQ1672" t="s">
        <v>147</v>
      </c>
      <c r="BR1672" t="s">
        <v>84</v>
      </c>
      <c r="BS1672" s="3">
        <v>43817</v>
      </c>
      <c r="BT1672" s="5">
        <v>0.50555555555555554</v>
      </c>
      <c r="BU1672" t="s">
        <v>2085</v>
      </c>
      <c r="BV1672" t="s">
        <v>89</v>
      </c>
      <c r="BW1672" t="s">
        <v>1254</v>
      </c>
      <c r="BX1672" t="s">
        <v>692</v>
      </c>
      <c r="BY1672">
        <v>1200</v>
      </c>
      <c r="CA1672" t="s">
        <v>809</v>
      </c>
      <c r="CC1672" t="s">
        <v>91</v>
      </c>
      <c r="CD1672">
        <v>7925</v>
      </c>
      <c r="CE1672" t="s">
        <v>88</v>
      </c>
      <c r="CF1672" s="3">
        <v>43818</v>
      </c>
      <c r="CI1672">
        <v>1</v>
      </c>
      <c r="CJ1672">
        <v>1</v>
      </c>
      <c r="CK1672">
        <v>21</v>
      </c>
      <c r="CL1672" t="s">
        <v>89</v>
      </c>
    </row>
    <row r="1673" spans="1:90">
      <c r="A1673" t="s">
        <v>72</v>
      </c>
      <c r="B1673" t="s">
        <v>73</v>
      </c>
      <c r="C1673" t="s">
        <v>74</v>
      </c>
      <c r="E1673" t="str">
        <f>"FES1162728659"</f>
        <v>FES1162728659</v>
      </c>
      <c r="F1673" s="3">
        <v>43816</v>
      </c>
      <c r="G1673">
        <v>202006</v>
      </c>
      <c r="H1673" t="s">
        <v>75</v>
      </c>
      <c r="I1673" t="s">
        <v>76</v>
      </c>
      <c r="J1673" t="s">
        <v>77</v>
      </c>
      <c r="K1673" t="s">
        <v>78</v>
      </c>
      <c r="L1673" t="s">
        <v>90</v>
      </c>
      <c r="M1673" t="s">
        <v>91</v>
      </c>
      <c r="N1673" t="s">
        <v>554</v>
      </c>
      <c r="O1673" t="s">
        <v>82</v>
      </c>
      <c r="P1673" t="str">
        <f>"2170719123                    "</f>
        <v xml:space="preserve">2170719123                    </v>
      </c>
      <c r="Q1673">
        <v>0</v>
      </c>
      <c r="R1673">
        <v>0</v>
      </c>
      <c r="S1673">
        <v>0</v>
      </c>
      <c r="T1673">
        <v>0</v>
      </c>
      <c r="U1673">
        <v>0</v>
      </c>
      <c r="V1673">
        <v>0</v>
      </c>
      <c r="W1673">
        <v>0</v>
      </c>
      <c r="X1673">
        <v>0</v>
      </c>
      <c r="Y1673">
        <v>0</v>
      </c>
      <c r="Z1673">
        <v>0</v>
      </c>
      <c r="AA1673">
        <v>0</v>
      </c>
      <c r="AB1673">
        <v>0</v>
      </c>
      <c r="AC1673">
        <v>0</v>
      </c>
      <c r="AD1673">
        <v>0</v>
      </c>
      <c r="AE1673">
        <v>0</v>
      </c>
      <c r="AF1673">
        <v>0</v>
      </c>
      <c r="AG1673">
        <v>0</v>
      </c>
      <c r="AH1673">
        <v>0</v>
      </c>
      <c r="AI1673">
        <v>0</v>
      </c>
      <c r="AJ1673">
        <v>0</v>
      </c>
      <c r="AK1673">
        <v>0</v>
      </c>
      <c r="AL1673">
        <v>0</v>
      </c>
      <c r="AM1673">
        <v>8.58</v>
      </c>
      <c r="AN1673">
        <v>0</v>
      </c>
      <c r="AO1673">
        <v>0</v>
      </c>
      <c r="AP1673">
        <v>0</v>
      </c>
      <c r="AQ1673">
        <v>0</v>
      </c>
      <c r="AR1673">
        <v>0</v>
      </c>
      <c r="AS1673">
        <v>0</v>
      </c>
      <c r="AT1673">
        <v>0</v>
      </c>
      <c r="AU1673">
        <v>0</v>
      </c>
      <c r="AV1673">
        <v>0</v>
      </c>
      <c r="AW1673">
        <v>0</v>
      </c>
      <c r="AX1673">
        <v>0</v>
      </c>
      <c r="AY1673">
        <v>0</v>
      </c>
      <c r="AZ1673">
        <v>0</v>
      </c>
      <c r="BA1673">
        <v>0</v>
      </c>
      <c r="BB1673">
        <v>0</v>
      </c>
      <c r="BC1673">
        <v>0</v>
      </c>
      <c r="BD1673">
        <v>0</v>
      </c>
      <c r="BE1673">
        <v>0</v>
      </c>
      <c r="BF1673">
        <v>0</v>
      </c>
      <c r="BG1673">
        <v>0</v>
      </c>
      <c r="BH1673">
        <v>1</v>
      </c>
      <c r="BI1673">
        <v>1</v>
      </c>
      <c r="BJ1673">
        <v>0.2</v>
      </c>
      <c r="BK1673">
        <v>1</v>
      </c>
      <c r="BL1673" s="4">
        <v>50.45</v>
      </c>
      <c r="BM1673" s="4">
        <v>7.57</v>
      </c>
      <c r="BN1673" s="4">
        <v>58.02</v>
      </c>
      <c r="BO1673" s="4">
        <v>58.02</v>
      </c>
      <c r="BQ1673" t="s">
        <v>147</v>
      </c>
      <c r="BR1673" t="s">
        <v>84</v>
      </c>
      <c r="BS1673" s="3">
        <v>43836</v>
      </c>
      <c r="BT1673" s="5">
        <v>0.34861111111111115</v>
      </c>
      <c r="BU1673" t="s">
        <v>555</v>
      </c>
      <c r="BV1673" t="s">
        <v>89</v>
      </c>
      <c r="BY1673">
        <v>1200</v>
      </c>
      <c r="CA1673" t="s">
        <v>550</v>
      </c>
      <c r="CC1673" t="s">
        <v>91</v>
      </c>
      <c r="CD1673">
        <v>7560</v>
      </c>
      <c r="CE1673" t="s">
        <v>88</v>
      </c>
      <c r="CI1673">
        <v>1</v>
      </c>
      <c r="CJ1673">
        <v>14</v>
      </c>
      <c r="CK1673">
        <v>21</v>
      </c>
      <c r="CL1673" t="s">
        <v>89</v>
      </c>
    </row>
    <row r="1674" spans="1:90">
      <c r="A1674" t="s">
        <v>72</v>
      </c>
      <c r="B1674" t="s">
        <v>73</v>
      </c>
      <c r="C1674" t="s">
        <v>74</v>
      </c>
      <c r="E1674" t="str">
        <f>"FES1162728660"</f>
        <v>FES1162728660</v>
      </c>
      <c r="F1674" s="3">
        <v>43816</v>
      </c>
      <c r="G1674">
        <v>202006</v>
      </c>
      <c r="H1674" t="s">
        <v>75</v>
      </c>
      <c r="I1674" t="s">
        <v>76</v>
      </c>
      <c r="J1674" t="s">
        <v>77</v>
      </c>
      <c r="K1674" t="s">
        <v>78</v>
      </c>
      <c r="L1674" t="s">
        <v>90</v>
      </c>
      <c r="M1674" t="s">
        <v>91</v>
      </c>
      <c r="N1674" t="s">
        <v>2074</v>
      </c>
      <c r="O1674" t="s">
        <v>82</v>
      </c>
      <c r="P1674" t="str">
        <f>"2170719212                    "</f>
        <v xml:space="preserve">2170719212                    </v>
      </c>
      <c r="Q1674">
        <v>0</v>
      </c>
      <c r="R1674">
        <v>0</v>
      </c>
      <c r="S1674">
        <v>0</v>
      </c>
      <c r="T1674">
        <v>0</v>
      </c>
      <c r="U1674">
        <v>0</v>
      </c>
      <c r="V1674">
        <v>0</v>
      </c>
      <c r="W1674">
        <v>0</v>
      </c>
      <c r="X1674">
        <v>0</v>
      </c>
      <c r="Y1674">
        <v>0</v>
      </c>
      <c r="Z1674">
        <v>0</v>
      </c>
      <c r="AA1674">
        <v>0</v>
      </c>
      <c r="AB1674">
        <v>0</v>
      </c>
      <c r="AC1674">
        <v>0</v>
      </c>
      <c r="AD1674">
        <v>0</v>
      </c>
      <c r="AE1674">
        <v>0</v>
      </c>
      <c r="AF1674">
        <v>0</v>
      </c>
      <c r="AG1674">
        <v>0</v>
      </c>
      <c r="AH1674">
        <v>0</v>
      </c>
      <c r="AI1674">
        <v>0</v>
      </c>
      <c r="AJ1674">
        <v>0</v>
      </c>
      <c r="AK1674">
        <v>0</v>
      </c>
      <c r="AL1674">
        <v>0</v>
      </c>
      <c r="AM1674">
        <v>8.58</v>
      </c>
      <c r="AN1674">
        <v>0</v>
      </c>
      <c r="AO1674">
        <v>0</v>
      </c>
      <c r="AP1674">
        <v>0</v>
      </c>
      <c r="AQ1674">
        <v>0</v>
      </c>
      <c r="AR1674">
        <v>0</v>
      </c>
      <c r="AS1674">
        <v>0</v>
      </c>
      <c r="AT1674">
        <v>0</v>
      </c>
      <c r="AU1674">
        <v>0</v>
      </c>
      <c r="AV1674">
        <v>0</v>
      </c>
      <c r="AW1674">
        <v>0</v>
      </c>
      <c r="AX1674">
        <v>0</v>
      </c>
      <c r="AY1674">
        <v>0</v>
      </c>
      <c r="AZ1674">
        <v>0</v>
      </c>
      <c r="BA1674">
        <v>0</v>
      </c>
      <c r="BB1674">
        <v>0</v>
      </c>
      <c r="BC1674">
        <v>0</v>
      </c>
      <c r="BD1674">
        <v>0</v>
      </c>
      <c r="BE1674">
        <v>0</v>
      </c>
      <c r="BF1674">
        <v>0</v>
      </c>
      <c r="BG1674">
        <v>0</v>
      </c>
      <c r="BH1674">
        <v>1</v>
      </c>
      <c r="BI1674">
        <v>1</v>
      </c>
      <c r="BJ1674">
        <v>0.2</v>
      </c>
      <c r="BK1674">
        <v>1</v>
      </c>
      <c r="BL1674" s="4">
        <v>50.45</v>
      </c>
      <c r="BM1674" s="4">
        <v>7.57</v>
      </c>
      <c r="BN1674" s="4">
        <v>58.02</v>
      </c>
      <c r="BO1674" s="4">
        <v>58.02</v>
      </c>
      <c r="BQ1674" t="s">
        <v>93</v>
      </c>
      <c r="BR1674" t="s">
        <v>84</v>
      </c>
      <c r="BS1674" s="3">
        <v>43817</v>
      </c>
      <c r="BT1674" s="5">
        <v>0.34513888888888888</v>
      </c>
      <c r="BU1674" t="s">
        <v>2075</v>
      </c>
      <c r="BV1674" t="s">
        <v>86</v>
      </c>
      <c r="BY1674">
        <v>1200</v>
      </c>
      <c r="CA1674" t="s">
        <v>2076</v>
      </c>
      <c r="CC1674" t="s">
        <v>91</v>
      </c>
      <c r="CD1674">
        <v>7499</v>
      </c>
      <c r="CE1674" t="s">
        <v>88</v>
      </c>
      <c r="CF1674" s="3">
        <v>43818</v>
      </c>
      <c r="CI1674">
        <v>1</v>
      </c>
      <c r="CJ1674">
        <v>1</v>
      </c>
      <c r="CK1674">
        <v>21</v>
      </c>
      <c r="CL1674" t="s">
        <v>89</v>
      </c>
    </row>
    <row r="1675" spans="1:90">
      <c r="A1675" t="s">
        <v>72</v>
      </c>
      <c r="B1675" t="s">
        <v>73</v>
      </c>
      <c r="C1675" t="s">
        <v>74</v>
      </c>
      <c r="E1675" t="str">
        <f>"FES1162728506"</f>
        <v>FES1162728506</v>
      </c>
      <c r="F1675" s="3">
        <v>43816</v>
      </c>
      <c r="G1675">
        <v>202006</v>
      </c>
      <c r="H1675" t="s">
        <v>75</v>
      </c>
      <c r="I1675" t="s">
        <v>76</v>
      </c>
      <c r="J1675" t="s">
        <v>77</v>
      </c>
      <c r="K1675" t="s">
        <v>78</v>
      </c>
      <c r="L1675" t="s">
        <v>164</v>
      </c>
      <c r="M1675" t="s">
        <v>165</v>
      </c>
      <c r="N1675" t="s">
        <v>263</v>
      </c>
      <c r="O1675" t="s">
        <v>82</v>
      </c>
      <c r="P1675" t="str">
        <f>"217071739                     "</f>
        <v xml:space="preserve">217071739                     </v>
      </c>
      <c r="Q1675">
        <v>0</v>
      </c>
      <c r="R1675">
        <v>0</v>
      </c>
      <c r="S1675">
        <v>0</v>
      </c>
      <c r="T1675">
        <v>0</v>
      </c>
      <c r="U1675">
        <v>0</v>
      </c>
      <c r="V1675">
        <v>0</v>
      </c>
      <c r="W1675">
        <v>0</v>
      </c>
      <c r="X1675">
        <v>0</v>
      </c>
      <c r="Y1675">
        <v>0</v>
      </c>
      <c r="Z1675">
        <v>0</v>
      </c>
      <c r="AA1675">
        <v>0</v>
      </c>
      <c r="AB1675">
        <v>0</v>
      </c>
      <c r="AC1675">
        <v>0</v>
      </c>
      <c r="AD1675">
        <v>0</v>
      </c>
      <c r="AE1675">
        <v>0</v>
      </c>
      <c r="AF1675">
        <v>0</v>
      </c>
      <c r="AG1675">
        <v>0</v>
      </c>
      <c r="AH1675">
        <v>0</v>
      </c>
      <c r="AI1675">
        <v>0</v>
      </c>
      <c r="AJ1675">
        <v>0</v>
      </c>
      <c r="AK1675">
        <v>0</v>
      </c>
      <c r="AL1675">
        <v>0</v>
      </c>
      <c r="AM1675">
        <v>8.58</v>
      </c>
      <c r="AN1675">
        <v>0</v>
      </c>
      <c r="AO1675">
        <v>0</v>
      </c>
      <c r="AP1675">
        <v>0</v>
      </c>
      <c r="AQ1675">
        <v>0</v>
      </c>
      <c r="AR1675">
        <v>0</v>
      </c>
      <c r="AS1675">
        <v>0</v>
      </c>
      <c r="AT1675">
        <v>0</v>
      </c>
      <c r="AU1675">
        <v>0</v>
      </c>
      <c r="AV1675">
        <v>0</v>
      </c>
      <c r="AW1675">
        <v>0</v>
      </c>
      <c r="AX1675">
        <v>0</v>
      </c>
      <c r="AY1675">
        <v>0</v>
      </c>
      <c r="AZ1675">
        <v>0</v>
      </c>
      <c r="BA1675">
        <v>0</v>
      </c>
      <c r="BB1675">
        <v>0</v>
      </c>
      <c r="BC1675">
        <v>0</v>
      </c>
      <c r="BD1675">
        <v>0</v>
      </c>
      <c r="BE1675">
        <v>0</v>
      </c>
      <c r="BF1675">
        <v>0</v>
      </c>
      <c r="BG1675">
        <v>0</v>
      </c>
      <c r="BH1675">
        <v>1</v>
      </c>
      <c r="BI1675">
        <v>1</v>
      </c>
      <c r="BJ1675">
        <v>1.5</v>
      </c>
      <c r="BK1675">
        <v>1.5</v>
      </c>
      <c r="BL1675" s="4">
        <v>50.45</v>
      </c>
      <c r="BM1675" s="4">
        <v>7.57</v>
      </c>
      <c r="BN1675" s="4">
        <v>58.02</v>
      </c>
      <c r="BO1675" s="4">
        <v>58.02</v>
      </c>
      <c r="BQ1675" t="s">
        <v>147</v>
      </c>
      <c r="BR1675" t="s">
        <v>84</v>
      </c>
      <c r="BS1675" s="3">
        <v>43817</v>
      </c>
      <c r="BT1675" s="5">
        <v>0.43333333333333335</v>
      </c>
      <c r="BU1675" t="s">
        <v>2086</v>
      </c>
      <c r="BV1675" t="s">
        <v>86</v>
      </c>
      <c r="BY1675">
        <v>7634.74</v>
      </c>
      <c r="CA1675" t="s">
        <v>766</v>
      </c>
      <c r="CC1675" t="s">
        <v>165</v>
      </c>
      <c r="CD1675">
        <v>5201</v>
      </c>
      <c r="CE1675" t="s">
        <v>96</v>
      </c>
      <c r="CF1675" s="3">
        <v>43822</v>
      </c>
      <c r="CI1675">
        <v>1</v>
      </c>
      <c r="CJ1675">
        <v>1</v>
      </c>
      <c r="CK1675">
        <v>21</v>
      </c>
      <c r="CL1675" t="s">
        <v>89</v>
      </c>
    </row>
    <row r="1676" spans="1:90">
      <c r="A1676" t="s">
        <v>72</v>
      </c>
      <c r="B1676" t="s">
        <v>73</v>
      </c>
      <c r="C1676" t="s">
        <v>74</v>
      </c>
      <c r="E1676" t="str">
        <f>"FES1162728629"</f>
        <v>FES1162728629</v>
      </c>
      <c r="F1676" s="3">
        <v>43816</v>
      </c>
      <c r="G1676">
        <v>202006</v>
      </c>
      <c r="H1676" t="s">
        <v>75</v>
      </c>
      <c r="I1676" t="s">
        <v>76</v>
      </c>
      <c r="J1676" t="s">
        <v>77</v>
      </c>
      <c r="K1676" t="s">
        <v>78</v>
      </c>
      <c r="L1676" t="s">
        <v>577</v>
      </c>
      <c r="M1676" t="s">
        <v>578</v>
      </c>
      <c r="N1676" t="s">
        <v>579</v>
      </c>
      <c r="O1676" t="s">
        <v>82</v>
      </c>
      <c r="P1676" t="str">
        <f>"217071847                     "</f>
        <v xml:space="preserve">217071847                     </v>
      </c>
      <c r="Q1676">
        <v>0</v>
      </c>
      <c r="R1676">
        <v>0</v>
      </c>
      <c r="S1676">
        <v>0</v>
      </c>
      <c r="T1676">
        <v>0</v>
      </c>
      <c r="U1676">
        <v>0</v>
      </c>
      <c r="V1676">
        <v>0</v>
      </c>
      <c r="W1676">
        <v>0</v>
      </c>
      <c r="X1676">
        <v>0</v>
      </c>
      <c r="Y1676">
        <v>0</v>
      </c>
      <c r="Z1676">
        <v>0</v>
      </c>
      <c r="AA1676">
        <v>0</v>
      </c>
      <c r="AB1676">
        <v>0</v>
      </c>
      <c r="AC1676">
        <v>0</v>
      </c>
      <c r="AD1676">
        <v>0</v>
      </c>
      <c r="AE1676">
        <v>0</v>
      </c>
      <c r="AF1676">
        <v>0</v>
      </c>
      <c r="AG1676">
        <v>0</v>
      </c>
      <c r="AH1676">
        <v>0</v>
      </c>
      <c r="AI1676">
        <v>0</v>
      </c>
      <c r="AJ1676">
        <v>0</v>
      </c>
      <c r="AK1676">
        <v>0</v>
      </c>
      <c r="AL1676">
        <v>0</v>
      </c>
      <c r="AM1676">
        <v>8.58</v>
      </c>
      <c r="AN1676">
        <v>0</v>
      </c>
      <c r="AO1676">
        <v>0</v>
      </c>
      <c r="AP1676">
        <v>0</v>
      </c>
      <c r="AQ1676">
        <v>0</v>
      </c>
      <c r="AR1676">
        <v>0</v>
      </c>
      <c r="AS1676">
        <v>0</v>
      </c>
      <c r="AT1676">
        <v>0</v>
      </c>
      <c r="AU1676">
        <v>0</v>
      </c>
      <c r="AV1676">
        <v>0</v>
      </c>
      <c r="AW1676">
        <v>0</v>
      </c>
      <c r="AX1676">
        <v>0</v>
      </c>
      <c r="AY1676">
        <v>0</v>
      </c>
      <c r="AZ1676">
        <v>0</v>
      </c>
      <c r="BA1676">
        <v>0</v>
      </c>
      <c r="BB1676">
        <v>0</v>
      </c>
      <c r="BC1676">
        <v>0</v>
      </c>
      <c r="BD1676">
        <v>0</v>
      </c>
      <c r="BE1676">
        <v>0</v>
      </c>
      <c r="BF1676">
        <v>0</v>
      </c>
      <c r="BG1676">
        <v>0</v>
      </c>
      <c r="BH1676">
        <v>1</v>
      </c>
      <c r="BI1676">
        <v>1</v>
      </c>
      <c r="BJ1676">
        <v>0.2</v>
      </c>
      <c r="BK1676">
        <v>1</v>
      </c>
      <c r="BL1676" s="4">
        <v>50.45</v>
      </c>
      <c r="BM1676" s="4">
        <v>7.57</v>
      </c>
      <c r="BN1676" s="4">
        <v>58.02</v>
      </c>
      <c r="BO1676" s="4">
        <v>58.02</v>
      </c>
      <c r="BQ1676" t="s">
        <v>147</v>
      </c>
      <c r="BR1676" t="s">
        <v>84</v>
      </c>
      <c r="BS1676" s="3">
        <v>43817</v>
      </c>
      <c r="BT1676" s="5">
        <v>0.41388888888888892</v>
      </c>
      <c r="BU1676" t="s">
        <v>580</v>
      </c>
      <c r="BV1676" t="s">
        <v>86</v>
      </c>
      <c r="BY1676">
        <v>1200</v>
      </c>
      <c r="CC1676" t="s">
        <v>578</v>
      </c>
      <c r="CD1676">
        <v>6536</v>
      </c>
      <c r="CE1676" t="s">
        <v>88</v>
      </c>
      <c r="CF1676" s="3">
        <v>43822</v>
      </c>
      <c r="CI1676">
        <v>1</v>
      </c>
      <c r="CJ1676">
        <v>1</v>
      </c>
      <c r="CK1676">
        <v>21</v>
      </c>
      <c r="CL1676" t="s">
        <v>89</v>
      </c>
    </row>
    <row r="1677" spans="1:90">
      <c r="A1677" t="s">
        <v>72</v>
      </c>
      <c r="B1677" t="s">
        <v>73</v>
      </c>
      <c r="C1677" t="s">
        <v>74</v>
      </c>
      <c r="E1677" t="str">
        <f>"FES1162728593"</f>
        <v>FES1162728593</v>
      </c>
      <c r="F1677" s="3">
        <v>43816</v>
      </c>
      <c r="G1677">
        <v>202006</v>
      </c>
      <c r="H1677" t="s">
        <v>75</v>
      </c>
      <c r="I1677" t="s">
        <v>76</v>
      </c>
      <c r="J1677" t="s">
        <v>77</v>
      </c>
      <c r="K1677" t="s">
        <v>78</v>
      </c>
      <c r="L1677" t="s">
        <v>186</v>
      </c>
      <c r="M1677" t="s">
        <v>187</v>
      </c>
      <c r="N1677" t="s">
        <v>266</v>
      </c>
      <c r="O1677" t="s">
        <v>82</v>
      </c>
      <c r="P1677" t="str">
        <f>"2170712759                    "</f>
        <v xml:space="preserve">2170712759                    </v>
      </c>
      <c r="Q1677">
        <v>0</v>
      </c>
      <c r="R1677">
        <v>0</v>
      </c>
      <c r="S1677">
        <v>0</v>
      </c>
      <c r="T1677">
        <v>0</v>
      </c>
      <c r="U1677">
        <v>0</v>
      </c>
      <c r="V1677">
        <v>0</v>
      </c>
      <c r="W1677">
        <v>0</v>
      </c>
      <c r="X1677">
        <v>0</v>
      </c>
      <c r="Y1677">
        <v>0</v>
      </c>
      <c r="Z1677">
        <v>0</v>
      </c>
      <c r="AA1677">
        <v>0</v>
      </c>
      <c r="AB1677">
        <v>0</v>
      </c>
      <c r="AC1677">
        <v>0</v>
      </c>
      <c r="AD1677">
        <v>0</v>
      </c>
      <c r="AE1677">
        <v>0</v>
      </c>
      <c r="AF1677">
        <v>0</v>
      </c>
      <c r="AG1677">
        <v>0</v>
      </c>
      <c r="AH1677">
        <v>0</v>
      </c>
      <c r="AI1677">
        <v>0</v>
      </c>
      <c r="AJ1677">
        <v>0</v>
      </c>
      <c r="AK1677">
        <v>0</v>
      </c>
      <c r="AL1677">
        <v>0</v>
      </c>
      <c r="AM1677">
        <v>16.63</v>
      </c>
      <c r="AN1677">
        <v>0</v>
      </c>
      <c r="AO1677">
        <v>0</v>
      </c>
      <c r="AP1677">
        <v>0</v>
      </c>
      <c r="AQ1677">
        <v>0</v>
      </c>
      <c r="AR1677">
        <v>0</v>
      </c>
      <c r="AS1677">
        <v>0</v>
      </c>
      <c r="AT1677">
        <v>0</v>
      </c>
      <c r="AU1677">
        <v>0</v>
      </c>
      <c r="AV1677">
        <v>0</v>
      </c>
      <c r="AW1677">
        <v>0</v>
      </c>
      <c r="AX1677">
        <v>0</v>
      </c>
      <c r="AY1677">
        <v>0</v>
      </c>
      <c r="AZ1677">
        <v>0</v>
      </c>
      <c r="BA1677">
        <v>0</v>
      </c>
      <c r="BB1677">
        <v>0</v>
      </c>
      <c r="BC1677">
        <v>0</v>
      </c>
      <c r="BD1677">
        <v>0</v>
      </c>
      <c r="BE1677">
        <v>0</v>
      </c>
      <c r="BF1677">
        <v>0</v>
      </c>
      <c r="BG1677">
        <v>0</v>
      </c>
      <c r="BH1677">
        <v>1</v>
      </c>
      <c r="BI1677">
        <v>1</v>
      </c>
      <c r="BJ1677">
        <v>0.2</v>
      </c>
      <c r="BK1677">
        <v>1</v>
      </c>
      <c r="BL1677" s="4">
        <v>97.75</v>
      </c>
      <c r="BM1677" s="4">
        <v>14.66</v>
      </c>
      <c r="BN1677" s="4">
        <v>112.41</v>
      </c>
      <c r="BO1677" s="4">
        <v>112.41</v>
      </c>
      <c r="BQ1677" t="s">
        <v>135</v>
      </c>
      <c r="BR1677" t="s">
        <v>84</v>
      </c>
      <c r="BS1677" s="3">
        <v>43818</v>
      </c>
      <c r="BT1677" s="5">
        <v>0.40208333333333335</v>
      </c>
      <c r="BU1677" t="s">
        <v>2087</v>
      </c>
      <c r="BV1677" t="s">
        <v>86</v>
      </c>
      <c r="BY1677">
        <v>1200</v>
      </c>
      <c r="CA1677" t="s">
        <v>1205</v>
      </c>
      <c r="CC1677" t="s">
        <v>187</v>
      </c>
      <c r="CD1677">
        <v>6850</v>
      </c>
      <c r="CE1677" t="s">
        <v>88</v>
      </c>
      <c r="CF1677" s="3">
        <v>43819</v>
      </c>
      <c r="CI1677">
        <v>3</v>
      </c>
      <c r="CJ1677">
        <v>2</v>
      </c>
      <c r="CK1677">
        <v>23</v>
      </c>
      <c r="CL1677" t="s">
        <v>89</v>
      </c>
    </row>
    <row r="1678" spans="1:90">
      <c r="A1678" t="s">
        <v>72</v>
      </c>
      <c r="B1678" t="s">
        <v>73</v>
      </c>
      <c r="C1678" t="s">
        <v>74</v>
      </c>
      <c r="E1678" t="str">
        <f>"FES1162728658"</f>
        <v>FES1162728658</v>
      </c>
      <c r="F1678" s="3">
        <v>43816</v>
      </c>
      <c r="G1678">
        <v>202006</v>
      </c>
      <c r="H1678" t="s">
        <v>75</v>
      </c>
      <c r="I1678" t="s">
        <v>76</v>
      </c>
      <c r="J1678" t="s">
        <v>77</v>
      </c>
      <c r="K1678" t="s">
        <v>78</v>
      </c>
      <c r="L1678" t="s">
        <v>258</v>
      </c>
      <c r="M1678" t="s">
        <v>259</v>
      </c>
      <c r="N1678" t="s">
        <v>820</v>
      </c>
      <c r="O1678" t="s">
        <v>82</v>
      </c>
      <c r="P1678" t="str">
        <f>"2170716023                    "</f>
        <v xml:space="preserve">2170716023                    </v>
      </c>
      <c r="Q1678">
        <v>0</v>
      </c>
      <c r="R1678">
        <v>0</v>
      </c>
      <c r="S1678">
        <v>0</v>
      </c>
      <c r="T1678">
        <v>0</v>
      </c>
      <c r="U1678">
        <v>0</v>
      </c>
      <c r="V1678">
        <v>0</v>
      </c>
      <c r="W1678">
        <v>0</v>
      </c>
      <c r="X1678">
        <v>0</v>
      </c>
      <c r="Y1678">
        <v>0</v>
      </c>
      <c r="Z1678">
        <v>0</v>
      </c>
      <c r="AA1678">
        <v>0</v>
      </c>
      <c r="AB1678">
        <v>0</v>
      </c>
      <c r="AC1678">
        <v>0</v>
      </c>
      <c r="AD1678">
        <v>0</v>
      </c>
      <c r="AE1678">
        <v>0</v>
      </c>
      <c r="AF1678">
        <v>0</v>
      </c>
      <c r="AG1678">
        <v>0</v>
      </c>
      <c r="AH1678">
        <v>0</v>
      </c>
      <c r="AI1678">
        <v>0</v>
      </c>
      <c r="AJ1678">
        <v>0</v>
      </c>
      <c r="AK1678">
        <v>0</v>
      </c>
      <c r="AL1678">
        <v>0</v>
      </c>
      <c r="AM1678">
        <v>8.58</v>
      </c>
      <c r="AN1678">
        <v>0</v>
      </c>
      <c r="AO1678">
        <v>0</v>
      </c>
      <c r="AP1678">
        <v>0</v>
      </c>
      <c r="AQ1678">
        <v>0</v>
      </c>
      <c r="AR1678">
        <v>0</v>
      </c>
      <c r="AS1678">
        <v>0</v>
      </c>
      <c r="AT1678">
        <v>0</v>
      </c>
      <c r="AU1678">
        <v>0</v>
      </c>
      <c r="AV1678">
        <v>0</v>
      </c>
      <c r="AW1678">
        <v>0</v>
      </c>
      <c r="AX1678">
        <v>0</v>
      </c>
      <c r="AY1678">
        <v>0</v>
      </c>
      <c r="AZ1678">
        <v>0</v>
      </c>
      <c r="BA1678">
        <v>0</v>
      </c>
      <c r="BB1678">
        <v>0</v>
      </c>
      <c r="BC1678">
        <v>0</v>
      </c>
      <c r="BD1678">
        <v>0</v>
      </c>
      <c r="BE1678">
        <v>0</v>
      </c>
      <c r="BF1678">
        <v>0</v>
      </c>
      <c r="BG1678">
        <v>0</v>
      </c>
      <c r="BH1678">
        <v>1</v>
      </c>
      <c r="BI1678">
        <v>1</v>
      </c>
      <c r="BJ1678">
        <v>0.2</v>
      </c>
      <c r="BK1678">
        <v>1</v>
      </c>
      <c r="BL1678" s="4">
        <v>50.45</v>
      </c>
      <c r="BM1678" s="4">
        <v>7.57</v>
      </c>
      <c r="BN1678" s="4">
        <v>58.02</v>
      </c>
      <c r="BO1678" s="4">
        <v>58.02</v>
      </c>
      <c r="BQ1678" t="s">
        <v>93</v>
      </c>
      <c r="BR1678" t="s">
        <v>84</v>
      </c>
      <c r="BS1678" t="s">
        <v>717</v>
      </c>
      <c r="BY1678">
        <v>1200</v>
      </c>
      <c r="CC1678" t="s">
        <v>259</v>
      </c>
      <c r="CD1678">
        <v>7600</v>
      </c>
      <c r="CE1678" t="s">
        <v>88</v>
      </c>
      <c r="CI1678">
        <v>1</v>
      </c>
      <c r="CJ1678" t="s">
        <v>717</v>
      </c>
      <c r="CK1678">
        <v>21</v>
      </c>
      <c r="CL1678" t="s">
        <v>89</v>
      </c>
    </row>
    <row r="1679" spans="1:90">
      <c r="A1679" t="s">
        <v>72</v>
      </c>
      <c r="B1679" t="s">
        <v>73</v>
      </c>
      <c r="C1679" t="s">
        <v>74</v>
      </c>
      <c r="E1679" t="str">
        <f>"FES1162728746"</f>
        <v>FES1162728746</v>
      </c>
      <c r="F1679" s="3">
        <v>43816</v>
      </c>
      <c r="G1679">
        <v>202006</v>
      </c>
      <c r="H1679" t="s">
        <v>75</v>
      </c>
      <c r="I1679" t="s">
        <v>76</v>
      </c>
      <c r="J1679" t="s">
        <v>77</v>
      </c>
      <c r="K1679" t="s">
        <v>78</v>
      </c>
      <c r="L1679" t="s">
        <v>90</v>
      </c>
      <c r="M1679" t="s">
        <v>91</v>
      </c>
      <c r="N1679" t="s">
        <v>548</v>
      </c>
      <c r="O1679" t="s">
        <v>82</v>
      </c>
      <c r="P1679" t="str">
        <f>"217071936                     "</f>
        <v xml:space="preserve">217071936                     </v>
      </c>
      <c r="Q1679">
        <v>0</v>
      </c>
      <c r="R1679">
        <v>0</v>
      </c>
      <c r="S1679">
        <v>0</v>
      </c>
      <c r="T1679">
        <v>0</v>
      </c>
      <c r="U1679">
        <v>0</v>
      </c>
      <c r="V1679">
        <v>0</v>
      </c>
      <c r="W1679">
        <v>0</v>
      </c>
      <c r="X1679">
        <v>0</v>
      </c>
      <c r="Y1679">
        <v>0</v>
      </c>
      <c r="Z1679">
        <v>0</v>
      </c>
      <c r="AA1679">
        <v>0</v>
      </c>
      <c r="AB1679">
        <v>0</v>
      </c>
      <c r="AC1679">
        <v>0</v>
      </c>
      <c r="AD1679">
        <v>0</v>
      </c>
      <c r="AE1679">
        <v>0</v>
      </c>
      <c r="AF1679">
        <v>0</v>
      </c>
      <c r="AG1679">
        <v>0</v>
      </c>
      <c r="AH1679">
        <v>0</v>
      </c>
      <c r="AI1679">
        <v>0</v>
      </c>
      <c r="AJ1679">
        <v>0</v>
      </c>
      <c r="AK1679">
        <v>0</v>
      </c>
      <c r="AL1679">
        <v>0</v>
      </c>
      <c r="AM1679">
        <v>8.58</v>
      </c>
      <c r="AN1679">
        <v>0</v>
      </c>
      <c r="AO1679">
        <v>0</v>
      </c>
      <c r="AP1679">
        <v>0</v>
      </c>
      <c r="AQ1679">
        <v>0</v>
      </c>
      <c r="AR1679">
        <v>0</v>
      </c>
      <c r="AS1679">
        <v>0</v>
      </c>
      <c r="AT1679">
        <v>0</v>
      </c>
      <c r="AU1679">
        <v>0</v>
      </c>
      <c r="AV1679">
        <v>0</v>
      </c>
      <c r="AW1679">
        <v>0</v>
      </c>
      <c r="AX1679">
        <v>0</v>
      </c>
      <c r="AY1679">
        <v>0</v>
      </c>
      <c r="AZ1679">
        <v>0</v>
      </c>
      <c r="BA1679">
        <v>0</v>
      </c>
      <c r="BB1679">
        <v>0</v>
      </c>
      <c r="BC1679">
        <v>0</v>
      </c>
      <c r="BD1679">
        <v>0</v>
      </c>
      <c r="BE1679">
        <v>0</v>
      </c>
      <c r="BF1679">
        <v>0</v>
      </c>
      <c r="BG1679">
        <v>0</v>
      </c>
      <c r="BH1679">
        <v>1</v>
      </c>
      <c r="BI1679">
        <v>1</v>
      </c>
      <c r="BJ1679">
        <v>0.2</v>
      </c>
      <c r="BK1679">
        <v>1</v>
      </c>
      <c r="BL1679" s="4">
        <v>50.45</v>
      </c>
      <c r="BM1679" s="4">
        <v>7.57</v>
      </c>
      <c r="BN1679" s="4">
        <v>58.02</v>
      </c>
      <c r="BO1679" s="4">
        <v>58.02</v>
      </c>
      <c r="BQ1679" t="s">
        <v>147</v>
      </c>
      <c r="BR1679" t="s">
        <v>84</v>
      </c>
      <c r="BS1679" s="3">
        <v>43817</v>
      </c>
      <c r="BT1679" s="5">
        <v>0.30763888888888891</v>
      </c>
      <c r="BU1679" t="s">
        <v>1461</v>
      </c>
      <c r="BV1679" t="s">
        <v>86</v>
      </c>
      <c r="BY1679">
        <v>1200</v>
      </c>
      <c r="CA1679" t="s">
        <v>550</v>
      </c>
      <c r="CC1679" t="s">
        <v>91</v>
      </c>
      <c r="CD1679">
        <v>7530</v>
      </c>
      <c r="CE1679" t="s">
        <v>88</v>
      </c>
      <c r="CF1679" s="3">
        <v>43818</v>
      </c>
      <c r="CI1679">
        <v>1</v>
      </c>
      <c r="CJ1679">
        <v>1</v>
      </c>
      <c r="CK1679">
        <v>21</v>
      </c>
      <c r="CL1679" t="s">
        <v>89</v>
      </c>
    </row>
    <row r="1680" spans="1:90">
      <c r="A1680" t="s">
        <v>72</v>
      </c>
      <c r="B1680" t="s">
        <v>73</v>
      </c>
      <c r="C1680" t="s">
        <v>74</v>
      </c>
      <c r="E1680" t="str">
        <f>"FES1162728606"</f>
        <v>FES1162728606</v>
      </c>
      <c r="F1680" s="3">
        <v>43816</v>
      </c>
      <c r="G1680">
        <v>202006</v>
      </c>
      <c r="H1680" t="s">
        <v>75</v>
      </c>
      <c r="I1680" t="s">
        <v>76</v>
      </c>
      <c r="J1680" t="s">
        <v>77</v>
      </c>
      <c r="K1680" t="s">
        <v>78</v>
      </c>
      <c r="L1680" t="s">
        <v>186</v>
      </c>
      <c r="M1680" t="s">
        <v>187</v>
      </c>
      <c r="N1680" t="s">
        <v>266</v>
      </c>
      <c r="O1680" t="s">
        <v>82</v>
      </c>
      <c r="P1680" t="str">
        <f>"2170712828                    "</f>
        <v xml:space="preserve">2170712828                    </v>
      </c>
      <c r="Q1680">
        <v>0</v>
      </c>
      <c r="R1680">
        <v>0</v>
      </c>
      <c r="S1680">
        <v>0</v>
      </c>
      <c r="T1680">
        <v>0</v>
      </c>
      <c r="U1680">
        <v>0</v>
      </c>
      <c r="V1680">
        <v>0</v>
      </c>
      <c r="W1680">
        <v>0</v>
      </c>
      <c r="X1680">
        <v>0</v>
      </c>
      <c r="Y1680">
        <v>0</v>
      </c>
      <c r="Z1680">
        <v>0</v>
      </c>
      <c r="AA1680">
        <v>0</v>
      </c>
      <c r="AB1680">
        <v>0</v>
      </c>
      <c r="AC1680">
        <v>0</v>
      </c>
      <c r="AD1680">
        <v>0</v>
      </c>
      <c r="AE1680">
        <v>0</v>
      </c>
      <c r="AF1680">
        <v>0</v>
      </c>
      <c r="AG1680">
        <v>0</v>
      </c>
      <c r="AH1680">
        <v>0</v>
      </c>
      <c r="AI1680">
        <v>0</v>
      </c>
      <c r="AJ1680">
        <v>0</v>
      </c>
      <c r="AK1680">
        <v>0</v>
      </c>
      <c r="AL1680">
        <v>0</v>
      </c>
      <c r="AM1680">
        <v>16.63</v>
      </c>
      <c r="AN1680">
        <v>0</v>
      </c>
      <c r="AO1680">
        <v>0</v>
      </c>
      <c r="AP1680">
        <v>0</v>
      </c>
      <c r="AQ1680">
        <v>0</v>
      </c>
      <c r="AR1680">
        <v>0</v>
      </c>
      <c r="AS1680">
        <v>0</v>
      </c>
      <c r="AT1680">
        <v>0</v>
      </c>
      <c r="AU1680">
        <v>0</v>
      </c>
      <c r="AV1680">
        <v>0</v>
      </c>
      <c r="AW1680">
        <v>0</v>
      </c>
      <c r="AX1680">
        <v>0</v>
      </c>
      <c r="AY1680">
        <v>0</v>
      </c>
      <c r="AZ1680">
        <v>0</v>
      </c>
      <c r="BA1680">
        <v>0</v>
      </c>
      <c r="BB1680">
        <v>0</v>
      </c>
      <c r="BC1680">
        <v>0</v>
      </c>
      <c r="BD1680">
        <v>0</v>
      </c>
      <c r="BE1680">
        <v>0</v>
      </c>
      <c r="BF1680">
        <v>0</v>
      </c>
      <c r="BG1680">
        <v>0</v>
      </c>
      <c r="BH1680">
        <v>1</v>
      </c>
      <c r="BI1680">
        <v>1</v>
      </c>
      <c r="BJ1680">
        <v>0.2</v>
      </c>
      <c r="BK1680">
        <v>1</v>
      </c>
      <c r="BL1680" s="4">
        <v>97.75</v>
      </c>
      <c r="BM1680" s="4">
        <v>14.66</v>
      </c>
      <c r="BN1680" s="4">
        <v>112.41</v>
      </c>
      <c r="BO1680" s="4">
        <v>112.41</v>
      </c>
      <c r="BQ1680" t="s">
        <v>135</v>
      </c>
      <c r="BR1680" t="s">
        <v>84</v>
      </c>
      <c r="BS1680" s="3">
        <v>43818</v>
      </c>
      <c r="BT1680" s="5">
        <v>0.39999999999999997</v>
      </c>
      <c r="BU1680" t="s">
        <v>1665</v>
      </c>
      <c r="BV1680" t="s">
        <v>86</v>
      </c>
      <c r="BY1680">
        <v>1200</v>
      </c>
      <c r="CA1680" t="s">
        <v>1205</v>
      </c>
      <c r="CC1680" t="s">
        <v>187</v>
      </c>
      <c r="CD1680">
        <v>6850</v>
      </c>
      <c r="CE1680" t="s">
        <v>88</v>
      </c>
      <c r="CF1680" s="3">
        <v>43819</v>
      </c>
      <c r="CI1680">
        <v>3</v>
      </c>
      <c r="CJ1680">
        <v>2</v>
      </c>
      <c r="CK1680">
        <v>23</v>
      </c>
      <c r="CL1680" t="s">
        <v>89</v>
      </c>
    </row>
    <row r="1681" spans="1:90">
      <c r="A1681" t="s">
        <v>72</v>
      </c>
      <c r="B1681" t="s">
        <v>73</v>
      </c>
      <c r="C1681" t="s">
        <v>74</v>
      </c>
      <c r="E1681" t="str">
        <f>"FES1162728657"</f>
        <v>FES1162728657</v>
      </c>
      <c r="F1681" s="3">
        <v>43816</v>
      </c>
      <c r="G1681">
        <v>202006</v>
      </c>
      <c r="H1681" t="s">
        <v>75</v>
      </c>
      <c r="I1681" t="s">
        <v>76</v>
      </c>
      <c r="J1681" t="s">
        <v>77</v>
      </c>
      <c r="K1681" t="s">
        <v>78</v>
      </c>
      <c r="L1681" t="s">
        <v>332</v>
      </c>
      <c r="M1681" t="s">
        <v>333</v>
      </c>
      <c r="N1681" t="s">
        <v>1081</v>
      </c>
      <c r="O1681" t="s">
        <v>82</v>
      </c>
      <c r="P1681" t="str">
        <f>"21707128167                   "</f>
        <v xml:space="preserve">21707128167                   </v>
      </c>
      <c r="Q1681">
        <v>0</v>
      </c>
      <c r="R1681">
        <v>0</v>
      </c>
      <c r="S1681">
        <v>0</v>
      </c>
      <c r="T1681">
        <v>0</v>
      </c>
      <c r="U1681">
        <v>0</v>
      </c>
      <c r="V1681">
        <v>0</v>
      </c>
      <c r="W1681">
        <v>0</v>
      </c>
      <c r="X1681">
        <v>0</v>
      </c>
      <c r="Y1681">
        <v>0</v>
      </c>
      <c r="Z1681">
        <v>0</v>
      </c>
      <c r="AA1681">
        <v>0</v>
      </c>
      <c r="AB1681">
        <v>0</v>
      </c>
      <c r="AC1681">
        <v>0</v>
      </c>
      <c r="AD1681">
        <v>0</v>
      </c>
      <c r="AE1681">
        <v>0</v>
      </c>
      <c r="AF1681">
        <v>0</v>
      </c>
      <c r="AG1681">
        <v>0</v>
      </c>
      <c r="AH1681">
        <v>0</v>
      </c>
      <c r="AI1681">
        <v>0</v>
      </c>
      <c r="AJ1681">
        <v>0</v>
      </c>
      <c r="AK1681">
        <v>0</v>
      </c>
      <c r="AL1681">
        <v>0</v>
      </c>
      <c r="AM1681">
        <v>6.71</v>
      </c>
      <c r="AN1681">
        <v>0</v>
      </c>
      <c r="AO1681">
        <v>0</v>
      </c>
      <c r="AP1681">
        <v>0</v>
      </c>
      <c r="AQ1681">
        <v>0</v>
      </c>
      <c r="AR1681">
        <v>0</v>
      </c>
      <c r="AS1681">
        <v>0</v>
      </c>
      <c r="AT1681">
        <v>0</v>
      </c>
      <c r="AU1681">
        <v>0</v>
      </c>
      <c r="AV1681">
        <v>0</v>
      </c>
      <c r="AW1681">
        <v>0</v>
      </c>
      <c r="AX1681">
        <v>0</v>
      </c>
      <c r="AY1681">
        <v>0</v>
      </c>
      <c r="AZ1681">
        <v>0</v>
      </c>
      <c r="BA1681">
        <v>0</v>
      </c>
      <c r="BB1681">
        <v>0</v>
      </c>
      <c r="BC1681">
        <v>0</v>
      </c>
      <c r="BD1681">
        <v>0</v>
      </c>
      <c r="BE1681">
        <v>0</v>
      </c>
      <c r="BF1681">
        <v>0</v>
      </c>
      <c r="BG1681">
        <v>0</v>
      </c>
      <c r="BH1681">
        <v>1</v>
      </c>
      <c r="BI1681">
        <v>1</v>
      </c>
      <c r="BJ1681">
        <v>0.2</v>
      </c>
      <c r="BK1681">
        <v>1</v>
      </c>
      <c r="BL1681" s="4">
        <v>39.42</v>
      </c>
      <c r="BM1681" s="4">
        <v>5.91</v>
      </c>
      <c r="BN1681" s="4">
        <v>45.33</v>
      </c>
      <c r="BO1681" s="4">
        <v>45.33</v>
      </c>
      <c r="BQ1681" t="s">
        <v>147</v>
      </c>
      <c r="BR1681" t="s">
        <v>84</v>
      </c>
      <c r="BS1681" s="3">
        <v>43817</v>
      </c>
      <c r="BT1681" s="5">
        <v>0.32013888888888892</v>
      </c>
      <c r="BU1681" t="s">
        <v>2088</v>
      </c>
      <c r="BV1681" t="s">
        <v>86</v>
      </c>
      <c r="BY1681">
        <v>1200</v>
      </c>
      <c r="CC1681" t="s">
        <v>333</v>
      </c>
      <c r="CD1681">
        <v>1832</v>
      </c>
      <c r="CE1681" t="s">
        <v>88</v>
      </c>
      <c r="CF1681" s="3">
        <v>43818</v>
      </c>
      <c r="CI1681">
        <v>1</v>
      </c>
      <c r="CJ1681">
        <v>1</v>
      </c>
      <c r="CK1681">
        <v>22</v>
      </c>
      <c r="CL1681" t="s">
        <v>89</v>
      </c>
    </row>
    <row r="1682" spans="1:90">
      <c r="A1682" t="s">
        <v>72</v>
      </c>
      <c r="B1682" t="s">
        <v>73</v>
      </c>
      <c r="C1682" t="s">
        <v>74</v>
      </c>
      <c r="E1682" t="str">
        <f>"FES1162728672"</f>
        <v>FES1162728672</v>
      </c>
      <c r="F1682" s="3">
        <v>43816</v>
      </c>
      <c r="G1682">
        <v>202006</v>
      </c>
      <c r="H1682" t="s">
        <v>75</v>
      </c>
      <c r="I1682" t="s">
        <v>76</v>
      </c>
      <c r="J1682" t="s">
        <v>77</v>
      </c>
      <c r="K1682" t="s">
        <v>78</v>
      </c>
      <c r="L1682" t="s">
        <v>709</v>
      </c>
      <c r="M1682" t="s">
        <v>710</v>
      </c>
      <c r="N1682" t="s">
        <v>2089</v>
      </c>
      <c r="O1682" t="s">
        <v>82</v>
      </c>
      <c r="P1682" t="str">
        <f>"2170721850                    "</f>
        <v xml:space="preserve">2170721850                    </v>
      </c>
      <c r="Q1682">
        <v>0</v>
      </c>
      <c r="R1682">
        <v>0</v>
      </c>
      <c r="S1682">
        <v>0</v>
      </c>
      <c r="T1682">
        <v>0</v>
      </c>
      <c r="U1682">
        <v>0</v>
      </c>
      <c r="V1682">
        <v>0</v>
      </c>
      <c r="W1682">
        <v>0</v>
      </c>
      <c r="X1682">
        <v>0</v>
      </c>
      <c r="Y1682">
        <v>0</v>
      </c>
      <c r="Z1682">
        <v>0</v>
      </c>
      <c r="AA1682">
        <v>0</v>
      </c>
      <c r="AB1682">
        <v>0</v>
      </c>
      <c r="AC1682">
        <v>0</v>
      </c>
      <c r="AD1682">
        <v>0</v>
      </c>
      <c r="AE1682">
        <v>0</v>
      </c>
      <c r="AF1682">
        <v>0</v>
      </c>
      <c r="AG1682">
        <v>0</v>
      </c>
      <c r="AH1682">
        <v>0</v>
      </c>
      <c r="AI1682">
        <v>0</v>
      </c>
      <c r="AJ1682">
        <v>0</v>
      </c>
      <c r="AK1682">
        <v>0</v>
      </c>
      <c r="AL1682">
        <v>0</v>
      </c>
      <c r="AM1682">
        <v>12.07</v>
      </c>
      <c r="AN1682">
        <v>0</v>
      </c>
      <c r="AO1682">
        <v>0</v>
      </c>
      <c r="AP1682">
        <v>0</v>
      </c>
      <c r="AQ1682">
        <v>0</v>
      </c>
      <c r="AR1682">
        <v>0</v>
      </c>
      <c r="AS1682">
        <v>0</v>
      </c>
      <c r="AT1682">
        <v>0</v>
      </c>
      <c r="AU1682">
        <v>0</v>
      </c>
      <c r="AV1682">
        <v>0</v>
      </c>
      <c r="AW1682">
        <v>0</v>
      </c>
      <c r="AX1682">
        <v>0</v>
      </c>
      <c r="AY1682">
        <v>0</v>
      </c>
      <c r="AZ1682">
        <v>0</v>
      </c>
      <c r="BA1682">
        <v>0</v>
      </c>
      <c r="BB1682">
        <v>0</v>
      </c>
      <c r="BC1682">
        <v>0</v>
      </c>
      <c r="BD1682">
        <v>0</v>
      </c>
      <c r="BE1682">
        <v>0</v>
      </c>
      <c r="BF1682">
        <v>0</v>
      </c>
      <c r="BG1682">
        <v>0</v>
      </c>
      <c r="BH1682">
        <v>1</v>
      </c>
      <c r="BI1682">
        <v>1</v>
      </c>
      <c r="BJ1682">
        <v>0.2</v>
      </c>
      <c r="BK1682">
        <v>1</v>
      </c>
      <c r="BL1682" s="4">
        <v>70.95</v>
      </c>
      <c r="BM1682" s="4">
        <v>10.64</v>
      </c>
      <c r="BN1682" s="4">
        <v>81.59</v>
      </c>
      <c r="BO1682" s="4">
        <v>81.59</v>
      </c>
      <c r="BQ1682" t="s">
        <v>93</v>
      </c>
      <c r="BR1682" t="s">
        <v>84</v>
      </c>
      <c r="BS1682" s="3">
        <v>43817</v>
      </c>
      <c r="BT1682" s="5">
        <v>0.41666666666666669</v>
      </c>
      <c r="BU1682" t="s">
        <v>2090</v>
      </c>
      <c r="BV1682" t="s">
        <v>86</v>
      </c>
      <c r="BY1682">
        <v>1200</v>
      </c>
      <c r="CA1682" t="s">
        <v>713</v>
      </c>
      <c r="CC1682" t="s">
        <v>710</v>
      </c>
      <c r="CD1682">
        <v>1871</v>
      </c>
      <c r="CE1682" t="s">
        <v>88</v>
      </c>
      <c r="CF1682" s="3">
        <v>43818</v>
      </c>
      <c r="CI1682">
        <v>1</v>
      </c>
      <c r="CJ1682">
        <v>1</v>
      </c>
      <c r="CK1682">
        <v>24</v>
      </c>
      <c r="CL1682" t="s">
        <v>89</v>
      </c>
    </row>
    <row r="1683" spans="1:90">
      <c r="A1683" t="s">
        <v>72</v>
      </c>
      <c r="B1683" t="s">
        <v>73</v>
      </c>
      <c r="C1683" t="s">
        <v>74</v>
      </c>
      <c r="E1683" t="str">
        <f>"FES1162728470"</f>
        <v>FES1162728470</v>
      </c>
      <c r="F1683" s="3">
        <v>43816</v>
      </c>
      <c r="G1683">
        <v>202006</v>
      </c>
      <c r="H1683" t="s">
        <v>75</v>
      </c>
      <c r="I1683" t="s">
        <v>76</v>
      </c>
      <c r="J1683" t="s">
        <v>77</v>
      </c>
      <c r="K1683" t="s">
        <v>78</v>
      </c>
      <c r="L1683" t="s">
        <v>361</v>
      </c>
      <c r="M1683" t="s">
        <v>362</v>
      </c>
      <c r="N1683" t="s">
        <v>363</v>
      </c>
      <c r="O1683" t="s">
        <v>82</v>
      </c>
      <c r="P1683" t="str">
        <f>"2170710910                    "</f>
        <v xml:space="preserve">2170710910                    </v>
      </c>
      <c r="Q1683">
        <v>0</v>
      </c>
      <c r="R1683">
        <v>0</v>
      </c>
      <c r="S1683">
        <v>0</v>
      </c>
      <c r="T1683">
        <v>0</v>
      </c>
      <c r="U1683">
        <v>0</v>
      </c>
      <c r="V1683">
        <v>0</v>
      </c>
      <c r="W1683">
        <v>0</v>
      </c>
      <c r="X1683">
        <v>0</v>
      </c>
      <c r="Y1683">
        <v>0</v>
      </c>
      <c r="Z1683">
        <v>0</v>
      </c>
      <c r="AA1683">
        <v>0</v>
      </c>
      <c r="AB1683">
        <v>0</v>
      </c>
      <c r="AC1683">
        <v>0</v>
      </c>
      <c r="AD1683">
        <v>0</v>
      </c>
      <c r="AE1683">
        <v>0</v>
      </c>
      <c r="AF1683">
        <v>0</v>
      </c>
      <c r="AG1683">
        <v>0</v>
      </c>
      <c r="AH1683">
        <v>0</v>
      </c>
      <c r="AI1683">
        <v>0</v>
      </c>
      <c r="AJ1683">
        <v>0</v>
      </c>
      <c r="AK1683">
        <v>0</v>
      </c>
      <c r="AL1683">
        <v>0</v>
      </c>
      <c r="AM1683">
        <v>8.58</v>
      </c>
      <c r="AN1683">
        <v>0</v>
      </c>
      <c r="AO1683">
        <v>0</v>
      </c>
      <c r="AP1683">
        <v>0</v>
      </c>
      <c r="AQ1683">
        <v>0</v>
      </c>
      <c r="AR1683">
        <v>0</v>
      </c>
      <c r="AS1683">
        <v>0</v>
      </c>
      <c r="AT1683">
        <v>0</v>
      </c>
      <c r="AU1683">
        <v>0</v>
      </c>
      <c r="AV1683">
        <v>0</v>
      </c>
      <c r="AW1683">
        <v>0</v>
      </c>
      <c r="AX1683">
        <v>0</v>
      </c>
      <c r="AY1683">
        <v>0</v>
      </c>
      <c r="AZ1683">
        <v>0</v>
      </c>
      <c r="BA1683">
        <v>0</v>
      </c>
      <c r="BB1683">
        <v>0</v>
      </c>
      <c r="BC1683">
        <v>0</v>
      </c>
      <c r="BD1683">
        <v>0</v>
      </c>
      <c r="BE1683">
        <v>0</v>
      </c>
      <c r="BF1683">
        <v>0</v>
      </c>
      <c r="BG1683">
        <v>0</v>
      </c>
      <c r="BH1683">
        <v>1</v>
      </c>
      <c r="BI1683">
        <v>1.6</v>
      </c>
      <c r="BJ1683">
        <v>0.8</v>
      </c>
      <c r="BK1683">
        <v>2</v>
      </c>
      <c r="BL1683" s="4">
        <v>50.45</v>
      </c>
      <c r="BM1683" s="4">
        <v>7.57</v>
      </c>
      <c r="BN1683" s="4">
        <v>58.02</v>
      </c>
      <c r="BO1683" s="4">
        <v>58.02</v>
      </c>
      <c r="BQ1683" t="s">
        <v>93</v>
      </c>
      <c r="BR1683" t="s">
        <v>84</v>
      </c>
      <c r="BS1683" s="3">
        <v>43817</v>
      </c>
      <c r="BT1683" s="5">
        <v>0.41111111111111115</v>
      </c>
      <c r="BU1683" t="s">
        <v>364</v>
      </c>
      <c r="BV1683" t="s">
        <v>86</v>
      </c>
      <c r="BY1683">
        <v>3887.03</v>
      </c>
      <c r="CA1683" t="s">
        <v>185</v>
      </c>
      <c r="CC1683" t="s">
        <v>362</v>
      </c>
      <c r="CD1683">
        <v>6220</v>
      </c>
      <c r="CE1683" t="s">
        <v>116</v>
      </c>
      <c r="CF1683" s="3">
        <v>43818</v>
      </c>
      <c r="CI1683">
        <v>1</v>
      </c>
      <c r="CJ1683">
        <v>1</v>
      </c>
      <c r="CK1683">
        <v>21</v>
      </c>
      <c r="CL1683" t="s">
        <v>89</v>
      </c>
    </row>
    <row r="1684" spans="1:90">
      <c r="A1684" t="s">
        <v>72</v>
      </c>
      <c r="B1684" t="s">
        <v>73</v>
      </c>
      <c r="C1684" t="s">
        <v>74</v>
      </c>
      <c r="E1684" t="str">
        <f>"FES1162728283"</f>
        <v>FES1162728283</v>
      </c>
      <c r="F1684" s="3">
        <v>43816</v>
      </c>
      <c r="G1684">
        <v>202006</v>
      </c>
      <c r="H1684" t="s">
        <v>75</v>
      </c>
      <c r="I1684" t="s">
        <v>76</v>
      </c>
      <c r="J1684" t="s">
        <v>77</v>
      </c>
      <c r="K1684" t="s">
        <v>78</v>
      </c>
      <c r="L1684" t="s">
        <v>632</v>
      </c>
      <c r="M1684" t="s">
        <v>633</v>
      </c>
      <c r="N1684" t="s">
        <v>634</v>
      </c>
      <c r="O1684" t="s">
        <v>82</v>
      </c>
      <c r="P1684" t="str">
        <f>"217071626                     "</f>
        <v xml:space="preserve">217071626                     </v>
      </c>
      <c r="Q1684">
        <v>0</v>
      </c>
      <c r="R1684">
        <v>0</v>
      </c>
      <c r="S1684">
        <v>0</v>
      </c>
      <c r="T1684">
        <v>0</v>
      </c>
      <c r="U1684">
        <v>0</v>
      </c>
      <c r="V1684">
        <v>0</v>
      </c>
      <c r="W1684">
        <v>0</v>
      </c>
      <c r="X1684">
        <v>0</v>
      </c>
      <c r="Y1684">
        <v>0</v>
      </c>
      <c r="Z1684">
        <v>0</v>
      </c>
      <c r="AA1684">
        <v>0</v>
      </c>
      <c r="AB1684">
        <v>0</v>
      </c>
      <c r="AC1684">
        <v>0</v>
      </c>
      <c r="AD1684">
        <v>0</v>
      </c>
      <c r="AE1684">
        <v>0</v>
      </c>
      <c r="AF1684">
        <v>0</v>
      </c>
      <c r="AG1684">
        <v>0</v>
      </c>
      <c r="AH1684">
        <v>0</v>
      </c>
      <c r="AI1684">
        <v>0</v>
      </c>
      <c r="AJ1684">
        <v>0</v>
      </c>
      <c r="AK1684">
        <v>0</v>
      </c>
      <c r="AL1684">
        <v>0</v>
      </c>
      <c r="AM1684">
        <v>7.51</v>
      </c>
      <c r="AN1684">
        <v>0</v>
      </c>
      <c r="AO1684">
        <v>0</v>
      </c>
      <c r="AP1684">
        <v>0</v>
      </c>
      <c r="AQ1684">
        <v>0</v>
      </c>
      <c r="AR1684">
        <v>0</v>
      </c>
      <c r="AS1684">
        <v>0</v>
      </c>
      <c r="AT1684">
        <v>0</v>
      </c>
      <c r="AU1684">
        <v>0</v>
      </c>
      <c r="AV1684">
        <v>0</v>
      </c>
      <c r="AW1684">
        <v>0</v>
      </c>
      <c r="AX1684">
        <v>0</v>
      </c>
      <c r="AY1684">
        <v>0</v>
      </c>
      <c r="AZ1684">
        <v>0</v>
      </c>
      <c r="BA1684">
        <v>0</v>
      </c>
      <c r="BB1684">
        <v>0</v>
      </c>
      <c r="BC1684">
        <v>0</v>
      </c>
      <c r="BD1684">
        <v>0</v>
      </c>
      <c r="BE1684">
        <v>0</v>
      </c>
      <c r="BF1684">
        <v>0</v>
      </c>
      <c r="BG1684">
        <v>0</v>
      </c>
      <c r="BH1684">
        <v>1</v>
      </c>
      <c r="BI1684">
        <v>1.1000000000000001</v>
      </c>
      <c r="BJ1684">
        <v>2.2000000000000002</v>
      </c>
      <c r="BK1684">
        <v>2.5</v>
      </c>
      <c r="BL1684" s="4">
        <v>44.14</v>
      </c>
      <c r="BM1684" s="4">
        <v>6.62</v>
      </c>
      <c r="BN1684" s="4">
        <v>50.76</v>
      </c>
      <c r="BO1684" s="4">
        <v>50.76</v>
      </c>
      <c r="BQ1684" t="s">
        <v>147</v>
      </c>
      <c r="BR1684" t="s">
        <v>84</v>
      </c>
      <c r="BS1684" s="3">
        <v>43817</v>
      </c>
      <c r="BT1684" s="5">
        <v>0.37361111111111112</v>
      </c>
      <c r="BU1684" t="s">
        <v>2091</v>
      </c>
      <c r="BV1684" t="s">
        <v>86</v>
      </c>
      <c r="BY1684">
        <v>11010.26</v>
      </c>
      <c r="CC1684" t="s">
        <v>633</v>
      </c>
      <c r="CD1684">
        <v>1451</v>
      </c>
      <c r="CE1684" t="s">
        <v>116</v>
      </c>
      <c r="CF1684" s="3">
        <v>43818</v>
      </c>
      <c r="CI1684">
        <v>1</v>
      </c>
      <c r="CJ1684">
        <v>1</v>
      </c>
      <c r="CK1684">
        <v>22</v>
      </c>
      <c r="CL1684" t="s">
        <v>89</v>
      </c>
    </row>
    <row r="1685" spans="1:90">
      <c r="A1685" t="s">
        <v>72</v>
      </c>
      <c r="B1685" t="s">
        <v>73</v>
      </c>
      <c r="C1685" t="s">
        <v>74</v>
      </c>
      <c r="E1685" t="str">
        <f>"FES1162728460"</f>
        <v>FES1162728460</v>
      </c>
      <c r="F1685" s="3">
        <v>43816</v>
      </c>
      <c r="G1685">
        <v>202006</v>
      </c>
      <c r="H1685" t="s">
        <v>75</v>
      </c>
      <c r="I1685" t="s">
        <v>76</v>
      </c>
      <c r="J1685" t="s">
        <v>77</v>
      </c>
      <c r="K1685" t="s">
        <v>78</v>
      </c>
      <c r="L1685" t="s">
        <v>714</v>
      </c>
      <c r="M1685" t="s">
        <v>715</v>
      </c>
      <c r="N1685" t="s">
        <v>1506</v>
      </c>
      <c r="O1685" t="s">
        <v>82</v>
      </c>
      <c r="P1685" t="str">
        <f>"2170721698                    "</f>
        <v xml:space="preserve">2170721698                    </v>
      </c>
      <c r="Q1685">
        <v>0</v>
      </c>
      <c r="R1685">
        <v>0</v>
      </c>
      <c r="S1685">
        <v>0</v>
      </c>
      <c r="T1685">
        <v>0</v>
      </c>
      <c r="U1685">
        <v>0</v>
      </c>
      <c r="V1685">
        <v>0</v>
      </c>
      <c r="W1685">
        <v>0</v>
      </c>
      <c r="X1685">
        <v>0</v>
      </c>
      <c r="Y1685">
        <v>0</v>
      </c>
      <c r="Z1685">
        <v>0</v>
      </c>
      <c r="AA1685">
        <v>0</v>
      </c>
      <c r="AB1685">
        <v>0</v>
      </c>
      <c r="AC1685">
        <v>0</v>
      </c>
      <c r="AD1685">
        <v>0</v>
      </c>
      <c r="AE1685">
        <v>0</v>
      </c>
      <c r="AF1685">
        <v>0</v>
      </c>
      <c r="AG1685">
        <v>0</v>
      </c>
      <c r="AH1685">
        <v>0</v>
      </c>
      <c r="AI1685">
        <v>0</v>
      </c>
      <c r="AJ1685">
        <v>0</v>
      </c>
      <c r="AK1685">
        <v>0</v>
      </c>
      <c r="AL1685">
        <v>0</v>
      </c>
      <c r="AM1685">
        <v>20.37</v>
      </c>
      <c r="AN1685">
        <v>0</v>
      </c>
      <c r="AO1685">
        <v>0</v>
      </c>
      <c r="AP1685">
        <v>0</v>
      </c>
      <c r="AQ1685">
        <v>0</v>
      </c>
      <c r="AR1685">
        <v>0</v>
      </c>
      <c r="AS1685">
        <v>0</v>
      </c>
      <c r="AT1685">
        <v>0</v>
      </c>
      <c r="AU1685">
        <v>0</v>
      </c>
      <c r="AV1685">
        <v>0</v>
      </c>
      <c r="AW1685">
        <v>0</v>
      </c>
      <c r="AX1685">
        <v>0</v>
      </c>
      <c r="AY1685">
        <v>0</v>
      </c>
      <c r="AZ1685">
        <v>0</v>
      </c>
      <c r="BA1685">
        <v>0</v>
      </c>
      <c r="BB1685">
        <v>0</v>
      </c>
      <c r="BC1685">
        <v>0</v>
      </c>
      <c r="BD1685">
        <v>0</v>
      </c>
      <c r="BE1685">
        <v>0</v>
      </c>
      <c r="BF1685">
        <v>0</v>
      </c>
      <c r="BG1685">
        <v>0</v>
      </c>
      <c r="BH1685">
        <v>1</v>
      </c>
      <c r="BI1685">
        <v>10.5</v>
      </c>
      <c r="BJ1685">
        <v>8.8000000000000007</v>
      </c>
      <c r="BK1685">
        <v>10.5</v>
      </c>
      <c r="BL1685" s="4">
        <v>119.72</v>
      </c>
      <c r="BM1685" s="4">
        <v>17.96</v>
      </c>
      <c r="BN1685" s="4">
        <v>137.68</v>
      </c>
      <c r="BO1685" s="4">
        <v>137.68</v>
      </c>
      <c r="BQ1685" t="s">
        <v>1507</v>
      </c>
      <c r="BR1685" t="s">
        <v>84</v>
      </c>
      <c r="BS1685" s="3">
        <v>43817</v>
      </c>
      <c r="BT1685" s="5">
        <v>0.40972222222222227</v>
      </c>
      <c r="BU1685" t="s">
        <v>2092</v>
      </c>
      <c r="BV1685" t="s">
        <v>86</v>
      </c>
      <c r="BY1685">
        <v>44027.28</v>
      </c>
      <c r="CA1685" t="s">
        <v>1350</v>
      </c>
      <c r="CC1685" t="s">
        <v>715</v>
      </c>
      <c r="CD1685">
        <v>1559</v>
      </c>
      <c r="CE1685" t="s">
        <v>96</v>
      </c>
      <c r="CI1685">
        <v>1</v>
      </c>
      <c r="CJ1685">
        <v>1</v>
      </c>
      <c r="CK1685">
        <v>22</v>
      </c>
      <c r="CL1685" t="s">
        <v>89</v>
      </c>
    </row>
    <row r="1686" spans="1:90">
      <c r="A1686" t="s">
        <v>72</v>
      </c>
      <c r="B1686" t="s">
        <v>73</v>
      </c>
      <c r="C1686" t="s">
        <v>74</v>
      </c>
      <c r="E1686" t="str">
        <f>"FES1162728615"</f>
        <v>FES1162728615</v>
      </c>
      <c r="F1686" s="3">
        <v>43816</v>
      </c>
      <c r="G1686">
        <v>202006</v>
      </c>
      <c r="H1686" t="s">
        <v>75</v>
      </c>
      <c r="I1686" t="s">
        <v>76</v>
      </c>
      <c r="J1686" t="s">
        <v>77</v>
      </c>
      <c r="K1686" t="s">
        <v>78</v>
      </c>
      <c r="L1686" t="s">
        <v>79</v>
      </c>
      <c r="M1686" t="s">
        <v>80</v>
      </c>
      <c r="N1686" t="s">
        <v>97</v>
      </c>
      <c r="O1686" t="s">
        <v>82</v>
      </c>
      <c r="P1686" t="str">
        <f>"217071834                     "</f>
        <v xml:space="preserve">217071834                     </v>
      </c>
      <c r="Q1686">
        <v>0</v>
      </c>
      <c r="R1686">
        <v>0</v>
      </c>
      <c r="S1686">
        <v>0</v>
      </c>
      <c r="T1686">
        <v>0</v>
      </c>
      <c r="U1686">
        <v>0</v>
      </c>
      <c r="V1686">
        <v>0</v>
      </c>
      <c r="W1686">
        <v>0</v>
      </c>
      <c r="X1686">
        <v>0</v>
      </c>
      <c r="Y1686">
        <v>0</v>
      </c>
      <c r="Z1686">
        <v>0</v>
      </c>
      <c r="AA1686">
        <v>0</v>
      </c>
      <c r="AB1686">
        <v>0</v>
      </c>
      <c r="AC1686">
        <v>0</v>
      </c>
      <c r="AD1686">
        <v>0</v>
      </c>
      <c r="AE1686">
        <v>0</v>
      </c>
      <c r="AF1686">
        <v>0</v>
      </c>
      <c r="AG1686">
        <v>0</v>
      </c>
      <c r="AH1686">
        <v>0</v>
      </c>
      <c r="AI1686">
        <v>0</v>
      </c>
      <c r="AJ1686">
        <v>0</v>
      </c>
      <c r="AK1686">
        <v>0</v>
      </c>
      <c r="AL1686">
        <v>0</v>
      </c>
      <c r="AM1686">
        <v>8.58</v>
      </c>
      <c r="AN1686">
        <v>0</v>
      </c>
      <c r="AO1686">
        <v>0</v>
      </c>
      <c r="AP1686">
        <v>0</v>
      </c>
      <c r="AQ1686">
        <v>0</v>
      </c>
      <c r="AR1686">
        <v>0</v>
      </c>
      <c r="AS1686">
        <v>0</v>
      </c>
      <c r="AT1686">
        <v>0</v>
      </c>
      <c r="AU1686">
        <v>0</v>
      </c>
      <c r="AV1686">
        <v>0</v>
      </c>
      <c r="AW1686">
        <v>0</v>
      </c>
      <c r="AX1686">
        <v>0</v>
      </c>
      <c r="AY1686">
        <v>0</v>
      </c>
      <c r="AZ1686">
        <v>0</v>
      </c>
      <c r="BA1686">
        <v>0</v>
      </c>
      <c r="BB1686">
        <v>0</v>
      </c>
      <c r="BC1686">
        <v>0</v>
      </c>
      <c r="BD1686">
        <v>0</v>
      </c>
      <c r="BE1686">
        <v>0</v>
      </c>
      <c r="BF1686">
        <v>0</v>
      </c>
      <c r="BG1686">
        <v>0</v>
      </c>
      <c r="BH1686">
        <v>1</v>
      </c>
      <c r="BI1686">
        <v>1</v>
      </c>
      <c r="BJ1686">
        <v>0.2</v>
      </c>
      <c r="BK1686">
        <v>1</v>
      </c>
      <c r="BL1686" s="4">
        <v>50.45</v>
      </c>
      <c r="BM1686" s="4">
        <v>7.57</v>
      </c>
      <c r="BN1686" s="4">
        <v>58.02</v>
      </c>
      <c r="BO1686" s="4">
        <v>58.02</v>
      </c>
      <c r="BQ1686" t="s">
        <v>93</v>
      </c>
      <c r="BR1686" t="s">
        <v>84</v>
      </c>
      <c r="BS1686" s="3">
        <v>43817</v>
      </c>
      <c r="BT1686" s="5">
        <v>0.33333333333333331</v>
      </c>
      <c r="BU1686" t="s">
        <v>98</v>
      </c>
      <c r="BV1686" t="s">
        <v>86</v>
      </c>
      <c r="BY1686">
        <v>1200</v>
      </c>
      <c r="CA1686" t="s">
        <v>99</v>
      </c>
      <c r="CC1686" t="s">
        <v>80</v>
      </c>
      <c r="CD1686">
        <v>6001</v>
      </c>
      <c r="CE1686" t="s">
        <v>88</v>
      </c>
      <c r="CF1686" s="3">
        <v>43818</v>
      </c>
      <c r="CI1686">
        <v>1</v>
      </c>
      <c r="CJ1686">
        <v>1</v>
      </c>
      <c r="CK1686">
        <v>21</v>
      </c>
      <c r="CL1686" t="s">
        <v>89</v>
      </c>
    </row>
    <row r="1687" spans="1:90">
      <c r="A1687" t="s">
        <v>72</v>
      </c>
      <c r="B1687" t="s">
        <v>73</v>
      </c>
      <c r="C1687" t="s">
        <v>74</v>
      </c>
      <c r="E1687" t="str">
        <f>"FES1162728656"</f>
        <v>FES1162728656</v>
      </c>
      <c r="F1687" s="3">
        <v>43816</v>
      </c>
      <c r="G1687">
        <v>202006</v>
      </c>
      <c r="H1687" t="s">
        <v>75</v>
      </c>
      <c r="I1687" t="s">
        <v>76</v>
      </c>
      <c r="J1687" t="s">
        <v>77</v>
      </c>
      <c r="K1687" t="s">
        <v>78</v>
      </c>
      <c r="L1687" t="s">
        <v>79</v>
      </c>
      <c r="M1687" t="s">
        <v>80</v>
      </c>
      <c r="N1687" t="s">
        <v>481</v>
      </c>
      <c r="O1687" t="s">
        <v>82</v>
      </c>
      <c r="P1687" t="str">
        <f>"21707121866                   "</f>
        <v xml:space="preserve">21707121866                   </v>
      </c>
      <c r="Q1687">
        <v>0</v>
      </c>
      <c r="R1687">
        <v>0</v>
      </c>
      <c r="S1687">
        <v>0</v>
      </c>
      <c r="T1687">
        <v>0</v>
      </c>
      <c r="U1687">
        <v>0</v>
      </c>
      <c r="V1687">
        <v>0</v>
      </c>
      <c r="W1687">
        <v>0</v>
      </c>
      <c r="X1687">
        <v>0</v>
      </c>
      <c r="Y1687">
        <v>0</v>
      </c>
      <c r="Z1687">
        <v>0</v>
      </c>
      <c r="AA1687">
        <v>0</v>
      </c>
      <c r="AB1687">
        <v>0</v>
      </c>
      <c r="AC1687">
        <v>0</v>
      </c>
      <c r="AD1687">
        <v>0</v>
      </c>
      <c r="AE1687">
        <v>0</v>
      </c>
      <c r="AF1687">
        <v>0</v>
      </c>
      <c r="AG1687">
        <v>0</v>
      </c>
      <c r="AH1687">
        <v>0</v>
      </c>
      <c r="AI1687">
        <v>0</v>
      </c>
      <c r="AJ1687">
        <v>0</v>
      </c>
      <c r="AK1687">
        <v>0</v>
      </c>
      <c r="AL1687">
        <v>0</v>
      </c>
      <c r="AM1687">
        <v>8.58</v>
      </c>
      <c r="AN1687">
        <v>0</v>
      </c>
      <c r="AO1687">
        <v>0</v>
      </c>
      <c r="AP1687">
        <v>0</v>
      </c>
      <c r="AQ1687">
        <v>0</v>
      </c>
      <c r="AR1687">
        <v>0</v>
      </c>
      <c r="AS1687">
        <v>0</v>
      </c>
      <c r="AT1687">
        <v>0</v>
      </c>
      <c r="AU1687">
        <v>0</v>
      </c>
      <c r="AV1687">
        <v>0</v>
      </c>
      <c r="AW1687">
        <v>0</v>
      </c>
      <c r="AX1687">
        <v>0</v>
      </c>
      <c r="AY1687">
        <v>0</v>
      </c>
      <c r="AZ1687">
        <v>0</v>
      </c>
      <c r="BA1687">
        <v>0</v>
      </c>
      <c r="BB1687">
        <v>0</v>
      </c>
      <c r="BC1687">
        <v>0</v>
      </c>
      <c r="BD1687">
        <v>0</v>
      </c>
      <c r="BE1687">
        <v>0</v>
      </c>
      <c r="BF1687">
        <v>0</v>
      </c>
      <c r="BG1687">
        <v>0</v>
      </c>
      <c r="BH1687">
        <v>1</v>
      </c>
      <c r="BI1687">
        <v>1</v>
      </c>
      <c r="BJ1687">
        <v>0.2</v>
      </c>
      <c r="BK1687">
        <v>1</v>
      </c>
      <c r="BL1687" s="4">
        <v>50.45</v>
      </c>
      <c r="BM1687" s="4">
        <v>7.57</v>
      </c>
      <c r="BN1687" s="4">
        <v>58.02</v>
      </c>
      <c r="BO1687" s="4">
        <v>58.02</v>
      </c>
      <c r="BR1687" t="s">
        <v>84</v>
      </c>
      <c r="BS1687" s="3">
        <v>43836</v>
      </c>
      <c r="BT1687" s="5">
        <v>0.31805555555555554</v>
      </c>
      <c r="BU1687" t="s">
        <v>482</v>
      </c>
      <c r="BV1687" t="s">
        <v>89</v>
      </c>
      <c r="BW1687" t="s">
        <v>1335</v>
      </c>
      <c r="BX1687" t="s">
        <v>619</v>
      </c>
      <c r="BY1687">
        <v>1200</v>
      </c>
      <c r="CA1687" t="s">
        <v>131</v>
      </c>
      <c r="CC1687" t="s">
        <v>80</v>
      </c>
      <c r="CD1687">
        <v>6001</v>
      </c>
      <c r="CE1687" t="s">
        <v>88</v>
      </c>
      <c r="CI1687">
        <v>1</v>
      </c>
      <c r="CJ1687">
        <v>14</v>
      </c>
      <c r="CK1687">
        <v>21</v>
      </c>
      <c r="CL1687" t="s">
        <v>89</v>
      </c>
    </row>
    <row r="1688" spans="1:90">
      <c r="A1688" t="s">
        <v>72</v>
      </c>
      <c r="B1688" t="s">
        <v>73</v>
      </c>
      <c r="C1688" t="s">
        <v>74</v>
      </c>
      <c r="E1688" t="str">
        <f>"FES1162728667"</f>
        <v>FES1162728667</v>
      </c>
      <c r="F1688" s="3">
        <v>43816</v>
      </c>
      <c r="G1688">
        <v>202006</v>
      </c>
      <c r="H1688" t="s">
        <v>75</v>
      </c>
      <c r="I1688" t="s">
        <v>76</v>
      </c>
      <c r="J1688" t="s">
        <v>77</v>
      </c>
      <c r="K1688" t="s">
        <v>78</v>
      </c>
      <c r="L1688" t="s">
        <v>164</v>
      </c>
      <c r="M1688" t="s">
        <v>165</v>
      </c>
      <c r="N1688" t="s">
        <v>238</v>
      </c>
      <c r="O1688" t="s">
        <v>82</v>
      </c>
      <c r="P1688" t="str">
        <f>"2170719993                    "</f>
        <v xml:space="preserve">2170719993                    </v>
      </c>
      <c r="Q1688">
        <v>0</v>
      </c>
      <c r="R1688">
        <v>0</v>
      </c>
      <c r="S1688">
        <v>0</v>
      </c>
      <c r="T1688">
        <v>0</v>
      </c>
      <c r="U1688">
        <v>0</v>
      </c>
      <c r="V1688">
        <v>0</v>
      </c>
      <c r="W1688">
        <v>0</v>
      </c>
      <c r="X1688">
        <v>0</v>
      </c>
      <c r="Y1688">
        <v>0</v>
      </c>
      <c r="Z1688">
        <v>0</v>
      </c>
      <c r="AA1688">
        <v>0</v>
      </c>
      <c r="AB1688">
        <v>0</v>
      </c>
      <c r="AC1688">
        <v>0</v>
      </c>
      <c r="AD1688">
        <v>0</v>
      </c>
      <c r="AE1688">
        <v>0</v>
      </c>
      <c r="AF1688">
        <v>0</v>
      </c>
      <c r="AG1688">
        <v>0</v>
      </c>
      <c r="AH1688">
        <v>0</v>
      </c>
      <c r="AI1688">
        <v>0</v>
      </c>
      <c r="AJ1688">
        <v>0</v>
      </c>
      <c r="AK1688">
        <v>0</v>
      </c>
      <c r="AL1688">
        <v>0</v>
      </c>
      <c r="AM1688">
        <v>8.58</v>
      </c>
      <c r="AN1688">
        <v>0</v>
      </c>
      <c r="AO1688">
        <v>0</v>
      </c>
      <c r="AP1688">
        <v>0</v>
      </c>
      <c r="AQ1688">
        <v>0</v>
      </c>
      <c r="AR1688">
        <v>0</v>
      </c>
      <c r="AS1688">
        <v>0</v>
      </c>
      <c r="AT1688">
        <v>0</v>
      </c>
      <c r="AU1688">
        <v>0</v>
      </c>
      <c r="AV1688">
        <v>0</v>
      </c>
      <c r="AW1688">
        <v>0</v>
      </c>
      <c r="AX1688">
        <v>0</v>
      </c>
      <c r="AY1688">
        <v>0</v>
      </c>
      <c r="AZ1688">
        <v>0</v>
      </c>
      <c r="BA1688">
        <v>0</v>
      </c>
      <c r="BB1688">
        <v>0</v>
      </c>
      <c r="BC1688">
        <v>0</v>
      </c>
      <c r="BD1688">
        <v>0</v>
      </c>
      <c r="BE1688">
        <v>0</v>
      </c>
      <c r="BF1688">
        <v>0</v>
      </c>
      <c r="BG1688">
        <v>0</v>
      </c>
      <c r="BH1688">
        <v>1</v>
      </c>
      <c r="BI1688">
        <v>1</v>
      </c>
      <c r="BJ1688">
        <v>0.2</v>
      </c>
      <c r="BK1688">
        <v>1</v>
      </c>
      <c r="BL1688" s="4">
        <v>50.45</v>
      </c>
      <c r="BM1688" s="4">
        <v>7.57</v>
      </c>
      <c r="BN1688" s="4">
        <v>58.02</v>
      </c>
      <c r="BO1688" s="4">
        <v>58.02</v>
      </c>
      <c r="BR1688" t="s">
        <v>84</v>
      </c>
      <c r="BS1688" s="3">
        <v>43817</v>
      </c>
      <c r="BT1688" s="5">
        <v>0.37708333333333338</v>
      </c>
      <c r="BU1688" t="s">
        <v>1977</v>
      </c>
      <c r="BV1688" t="s">
        <v>86</v>
      </c>
      <c r="BY1688">
        <v>1200</v>
      </c>
      <c r="CA1688" t="s">
        <v>168</v>
      </c>
      <c r="CC1688" t="s">
        <v>165</v>
      </c>
      <c r="CD1688">
        <v>5200</v>
      </c>
      <c r="CE1688" t="s">
        <v>88</v>
      </c>
      <c r="CF1688" s="3">
        <v>43819</v>
      </c>
      <c r="CI1688">
        <v>1</v>
      </c>
      <c r="CJ1688">
        <v>1</v>
      </c>
      <c r="CK1688">
        <v>21</v>
      </c>
      <c r="CL1688" t="s">
        <v>89</v>
      </c>
    </row>
    <row r="1689" spans="1:90">
      <c r="A1689" t="s">
        <v>72</v>
      </c>
      <c r="B1689" t="s">
        <v>73</v>
      </c>
      <c r="C1689" t="s">
        <v>74</v>
      </c>
      <c r="E1689" t="str">
        <f>"FES1162728630"</f>
        <v>FES1162728630</v>
      </c>
      <c r="F1689" s="3">
        <v>43816</v>
      </c>
      <c r="G1689">
        <v>202006</v>
      </c>
      <c r="H1689" t="s">
        <v>75</v>
      </c>
      <c r="I1689" t="s">
        <v>76</v>
      </c>
      <c r="J1689" t="s">
        <v>77</v>
      </c>
      <c r="K1689" t="s">
        <v>78</v>
      </c>
      <c r="L1689" t="s">
        <v>164</v>
      </c>
      <c r="M1689" t="s">
        <v>165</v>
      </c>
      <c r="N1689" t="s">
        <v>1086</v>
      </c>
      <c r="O1689" t="s">
        <v>82</v>
      </c>
      <c r="P1689" t="str">
        <f>"217071848                     "</f>
        <v xml:space="preserve">217071848                     </v>
      </c>
      <c r="Q1689">
        <v>0</v>
      </c>
      <c r="R1689">
        <v>0</v>
      </c>
      <c r="S1689">
        <v>0</v>
      </c>
      <c r="T1689">
        <v>0</v>
      </c>
      <c r="U1689">
        <v>0</v>
      </c>
      <c r="V1689">
        <v>0</v>
      </c>
      <c r="W1689">
        <v>0</v>
      </c>
      <c r="X1689">
        <v>0</v>
      </c>
      <c r="Y1689">
        <v>0</v>
      </c>
      <c r="Z1689">
        <v>0</v>
      </c>
      <c r="AA1689">
        <v>0</v>
      </c>
      <c r="AB1689">
        <v>0</v>
      </c>
      <c r="AC1689">
        <v>0</v>
      </c>
      <c r="AD1689">
        <v>0</v>
      </c>
      <c r="AE1689">
        <v>0</v>
      </c>
      <c r="AF1689">
        <v>0</v>
      </c>
      <c r="AG1689">
        <v>0</v>
      </c>
      <c r="AH1689">
        <v>0</v>
      </c>
      <c r="AI1689">
        <v>0</v>
      </c>
      <c r="AJ1689">
        <v>0</v>
      </c>
      <c r="AK1689">
        <v>0</v>
      </c>
      <c r="AL1689">
        <v>0</v>
      </c>
      <c r="AM1689">
        <v>8.58</v>
      </c>
      <c r="AN1689">
        <v>0</v>
      </c>
      <c r="AO1689">
        <v>0</v>
      </c>
      <c r="AP1689">
        <v>0</v>
      </c>
      <c r="AQ1689">
        <v>0</v>
      </c>
      <c r="AR1689">
        <v>0</v>
      </c>
      <c r="AS1689">
        <v>0</v>
      </c>
      <c r="AT1689">
        <v>0</v>
      </c>
      <c r="AU1689">
        <v>0</v>
      </c>
      <c r="AV1689">
        <v>0</v>
      </c>
      <c r="AW1689">
        <v>0</v>
      </c>
      <c r="AX1689">
        <v>0</v>
      </c>
      <c r="AY1689">
        <v>0</v>
      </c>
      <c r="AZ1689">
        <v>0</v>
      </c>
      <c r="BA1689">
        <v>0</v>
      </c>
      <c r="BB1689">
        <v>0</v>
      </c>
      <c r="BC1689">
        <v>0</v>
      </c>
      <c r="BD1689">
        <v>0</v>
      </c>
      <c r="BE1689">
        <v>0</v>
      </c>
      <c r="BF1689">
        <v>0</v>
      </c>
      <c r="BG1689">
        <v>0</v>
      </c>
      <c r="BH1689">
        <v>1</v>
      </c>
      <c r="BI1689">
        <v>1</v>
      </c>
      <c r="BJ1689">
        <v>0.2</v>
      </c>
      <c r="BK1689">
        <v>1</v>
      </c>
      <c r="BL1689" s="4">
        <v>50.45</v>
      </c>
      <c r="BM1689" s="4">
        <v>7.57</v>
      </c>
      <c r="BN1689" s="4">
        <v>58.02</v>
      </c>
      <c r="BO1689" s="4">
        <v>58.02</v>
      </c>
      <c r="BQ1689" t="s">
        <v>147</v>
      </c>
      <c r="BR1689" t="s">
        <v>84</v>
      </c>
      <c r="BS1689" s="3">
        <v>43817</v>
      </c>
      <c r="BT1689" s="5">
        <v>0.3666666666666667</v>
      </c>
      <c r="BU1689" t="s">
        <v>2093</v>
      </c>
      <c r="BV1689" t="s">
        <v>86</v>
      </c>
      <c r="BY1689">
        <v>1200</v>
      </c>
      <c r="CA1689" t="s">
        <v>1361</v>
      </c>
      <c r="CC1689" t="s">
        <v>165</v>
      </c>
      <c r="CD1689">
        <v>5200</v>
      </c>
      <c r="CE1689" t="s">
        <v>88</v>
      </c>
      <c r="CF1689" s="3">
        <v>43819</v>
      </c>
      <c r="CI1689">
        <v>1</v>
      </c>
      <c r="CJ1689">
        <v>1</v>
      </c>
      <c r="CK1689">
        <v>21</v>
      </c>
      <c r="CL1689" t="s">
        <v>89</v>
      </c>
    </row>
    <row r="1690" spans="1:90">
      <c r="A1690" t="s">
        <v>72</v>
      </c>
      <c r="B1690" t="s">
        <v>73</v>
      </c>
      <c r="C1690" t="s">
        <v>74</v>
      </c>
      <c r="E1690" t="str">
        <f>"FES1162728631"</f>
        <v>FES1162728631</v>
      </c>
      <c r="F1690" s="3">
        <v>43816</v>
      </c>
      <c r="G1690">
        <v>202006</v>
      </c>
      <c r="H1690" t="s">
        <v>75</v>
      </c>
      <c r="I1690" t="s">
        <v>76</v>
      </c>
      <c r="J1690" t="s">
        <v>77</v>
      </c>
      <c r="K1690" t="s">
        <v>78</v>
      </c>
      <c r="L1690" t="s">
        <v>79</v>
      </c>
      <c r="M1690" t="s">
        <v>80</v>
      </c>
      <c r="N1690" t="s">
        <v>388</v>
      </c>
      <c r="O1690" t="s">
        <v>82</v>
      </c>
      <c r="P1690" t="str">
        <f>"2170721849                    "</f>
        <v xml:space="preserve">2170721849                    </v>
      </c>
      <c r="Q1690">
        <v>0</v>
      </c>
      <c r="R1690">
        <v>0</v>
      </c>
      <c r="S1690">
        <v>0</v>
      </c>
      <c r="T1690">
        <v>0</v>
      </c>
      <c r="U1690">
        <v>0</v>
      </c>
      <c r="V1690">
        <v>0</v>
      </c>
      <c r="W1690">
        <v>0</v>
      </c>
      <c r="X1690">
        <v>0</v>
      </c>
      <c r="Y1690">
        <v>0</v>
      </c>
      <c r="Z1690">
        <v>0</v>
      </c>
      <c r="AA1690">
        <v>0</v>
      </c>
      <c r="AB1690">
        <v>0</v>
      </c>
      <c r="AC1690">
        <v>0</v>
      </c>
      <c r="AD1690">
        <v>0</v>
      </c>
      <c r="AE1690">
        <v>0</v>
      </c>
      <c r="AF1690">
        <v>0</v>
      </c>
      <c r="AG1690">
        <v>0</v>
      </c>
      <c r="AH1690">
        <v>0</v>
      </c>
      <c r="AI1690">
        <v>0</v>
      </c>
      <c r="AJ1690">
        <v>0</v>
      </c>
      <c r="AK1690">
        <v>0</v>
      </c>
      <c r="AL1690">
        <v>0</v>
      </c>
      <c r="AM1690">
        <v>8.58</v>
      </c>
      <c r="AN1690">
        <v>0</v>
      </c>
      <c r="AO1690">
        <v>0</v>
      </c>
      <c r="AP1690">
        <v>0</v>
      </c>
      <c r="AQ1690">
        <v>0</v>
      </c>
      <c r="AR1690">
        <v>0</v>
      </c>
      <c r="AS1690">
        <v>0</v>
      </c>
      <c r="AT1690">
        <v>0</v>
      </c>
      <c r="AU1690">
        <v>0</v>
      </c>
      <c r="AV1690">
        <v>0</v>
      </c>
      <c r="AW1690">
        <v>0</v>
      </c>
      <c r="AX1690">
        <v>0</v>
      </c>
      <c r="AY1690">
        <v>0</v>
      </c>
      <c r="AZ1690">
        <v>0</v>
      </c>
      <c r="BA1690">
        <v>0</v>
      </c>
      <c r="BB1690">
        <v>0</v>
      </c>
      <c r="BC1690">
        <v>0</v>
      </c>
      <c r="BD1690">
        <v>0</v>
      </c>
      <c r="BE1690">
        <v>0</v>
      </c>
      <c r="BF1690">
        <v>0</v>
      </c>
      <c r="BG1690">
        <v>0</v>
      </c>
      <c r="BH1690">
        <v>1</v>
      </c>
      <c r="BI1690">
        <v>1</v>
      </c>
      <c r="BJ1690">
        <v>0.2</v>
      </c>
      <c r="BK1690">
        <v>1</v>
      </c>
      <c r="BL1690" s="4">
        <v>50.45</v>
      </c>
      <c r="BM1690" s="4">
        <v>7.57</v>
      </c>
      <c r="BN1690" s="4">
        <v>58.02</v>
      </c>
      <c r="BO1690" s="4">
        <v>58.02</v>
      </c>
      <c r="BQ1690" t="s">
        <v>147</v>
      </c>
      <c r="BR1690" t="s">
        <v>84</v>
      </c>
      <c r="BS1690" s="3">
        <v>43817</v>
      </c>
      <c r="BT1690" s="5">
        <v>0.375</v>
      </c>
      <c r="BU1690" t="s">
        <v>368</v>
      </c>
      <c r="BV1690" t="s">
        <v>86</v>
      </c>
      <c r="BY1690">
        <v>1200</v>
      </c>
      <c r="CA1690" t="s">
        <v>131</v>
      </c>
      <c r="CC1690" t="s">
        <v>80</v>
      </c>
      <c r="CD1690">
        <v>6001</v>
      </c>
      <c r="CE1690" t="s">
        <v>88</v>
      </c>
      <c r="CF1690" s="3">
        <v>43818</v>
      </c>
      <c r="CI1690">
        <v>1</v>
      </c>
      <c r="CJ1690">
        <v>1</v>
      </c>
      <c r="CK1690">
        <v>21</v>
      </c>
      <c r="CL1690" t="s">
        <v>89</v>
      </c>
    </row>
    <row r="1691" spans="1:90">
      <c r="A1691" t="s">
        <v>72</v>
      </c>
      <c r="B1691" t="s">
        <v>73</v>
      </c>
      <c r="C1691" t="s">
        <v>74</v>
      </c>
      <c r="E1691" t="str">
        <f>"FES1162728877"</f>
        <v>FES1162728877</v>
      </c>
      <c r="F1691" s="3">
        <v>43818</v>
      </c>
      <c r="G1691">
        <v>202006</v>
      </c>
      <c r="H1691" t="s">
        <v>75</v>
      </c>
      <c r="I1691" t="s">
        <v>76</v>
      </c>
      <c r="J1691" t="s">
        <v>77</v>
      </c>
      <c r="K1691" t="s">
        <v>78</v>
      </c>
      <c r="L1691" t="s">
        <v>75</v>
      </c>
      <c r="M1691" t="s">
        <v>76</v>
      </c>
      <c r="N1691" t="s">
        <v>1776</v>
      </c>
      <c r="O1691" t="s">
        <v>82</v>
      </c>
      <c r="P1691" t="str">
        <f>"2170719678                    "</f>
        <v xml:space="preserve">2170719678                    </v>
      </c>
      <c r="Q1691">
        <v>0</v>
      </c>
      <c r="R1691">
        <v>0</v>
      </c>
      <c r="S1691">
        <v>0</v>
      </c>
      <c r="T1691">
        <v>0</v>
      </c>
      <c r="U1691">
        <v>0</v>
      </c>
      <c r="V1691">
        <v>0</v>
      </c>
      <c r="W1691">
        <v>0</v>
      </c>
      <c r="X1691">
        <v>0</v>
      </c>
      <c r="Y1691">
        <v>0</v>
      </c>
      <c r="Z1691">
        <v>0</v>
      </c>
      <c r="AA1691">
        <v>0</v>
      </c>
      <c r="AB1691">
        <v>0</v>
      </c>
      <c r="AC1691">
        <v>0</v>
      </c>
      <c r="AD1691">
        <v>0</v>
      </c>
      <c r="AE1691">
        <v>0</v>
      </c>
      <c r="AF1691">
        <v>0</v>
      </c>
      <c r="AG1691">
        <v>0</v>
      </c>
      <c r="AH1691">
        <v>0</v>
      </c>
      <c r="AI1691">
        <v>0</v>
      </c>
      <c r="AJ1691">
        <v>0</v>
      </c>
      <c r="AK1691">
        <v>0</v>
      </c>
      <c r="AL1691">
        <v>0</v>
      </c>
      <c r="AM1691">
        <v>6.71</v>
      </c>
      <c r="AN1691">
        <v>0</v>
      </c>
      <c r="AO1691">
        <v>0</v>
      </c>
      <c r="AP1691">
        <v>0</v>
      </c>
      <c r="AQ1691">
        <v>0</v>
      </c>
      <c r="AR1691">
        <v>0</v>
      </c>
      <c r="AS1691">
        <v>0</v>
      </c>
      <c r="AT1691">
        <v>0</v>
      </c>
      <c r="AU1691">
        <v>0</v>
      </c>
      <c r="AV1691">
        <v>0</v>
      </c>
      <c r="AW1691">
        <v>0</v>
      </c>
      <c r="AX1691">
        <v>0</v>
      </c>
      <c r="AY1691">
        <v>0</v>
      </c>
      <c r="AZ1691">
        <v>0</v>
      </c>
      <c r="BA1691">
        <v>0</v>
      </c>
      <c r="BB1691">
        <v>0</v>
      </c>
      <c r="BC1691">
        <v>0</v>
      </c>
      <c r="BD1691">
        <v>0</v>
      </c>
      <c r="BE1691">
        <v>0</v>
      </c>
      <c r="BF1691">
        <v>0</v>
      </c>
      <c r="BG1691">
        <v>0</v>
      </c>
      <c r="BH1691">
        <v>1</v>
      </c>
      <c r="BI1691">
        <v>1</v>
      </c>
      <c r="BJ1691">
        <v>0.2</v>
      </c>
      <c r="BK1691">
        <v>1</v>
      </c>
      <c r="BL1691" s="4">
        <v>39.42</v>
      </c>
      <c r="BM1691" s="4">
        <v>5.91</v>
      </c>
      <c r="BN1691" s="4">
        <v>45.33</v>
      </c>
      <c r="BO1691" s="4">
        <v>45.33</v>
      </c>
      <c r="BR1691" t="s">
        <v>84</v>
      </c>
      <c r="BS1691" s="3">
        <v>43819</v>
      </c>
      <c r="BT1691" s="5">
        <v>0.32361111111111113</v>
      </c>
      <c r="BU1691" t="s">
        <v>1777</v>
      </c>
      <c r="BV1691" t="s">
        <v>86</v>
      </c>
      <c r="BY1691">
        <v>1200</v>
      </c>
      <c r="CA1691" t="s">
        <v>588</v>
      </c>
      <c r="CC1691" t="s">
        <v>76</v>
      </c>
      <c r="CD1691">
        <v>1600</v>
      </c>
      <c r="CE1691" t="s">
        <v>88</v>
      </c>
      <c r="CF1691" s="3">
        <v>43823</v>
      </c>
      <c r="CI1691">
        <v>1</v>
      </c>
      <c r="CJ1691">
        <v>1</v>
      </c>
      <c r="CK1691">
        <v>22</v>
      </c>
      <c r="CL1691" t="s">
        <v>89</v>
      </c>
    </row>
    <row r="1692" spans="1:90">
      <c r="A1692" t="s">
        <v>72</v>
      </c>
      <c r="B1692" t="s">
        <v>73</v>
      </c>
      <c r="C1692" t="s">
        <v>74</v>
      </c>
      <c r="E1692" t="str">
        <f>"FES1162728886"</f>
        <v>FES1162728886</v>
      </c>
      <c r="F1692" s="3">
        <v>43818</v>
      </c>
      <c r="G1692">
        <v>202006</v>
      </c>
      <c r="H1692" t="s">
        <v>75</v>
      </c>
      <c r="I1692" t="s">
        <v>76</v>
      </c>
      <c r="J1692" t="s">
        <v>77</v>
      </c>
      <c r="K1692" t="s">
        <v>78</v>
      </c>
      <c r="L1692" t="s">
        <v>332</v>
      </c>
      <c r="M1692" t="s">
        <v>333</v>
      </c>
      <c r="N1692" t="s">
        <v>701</v>
      </c>
      <c r="O1692" t="s">
        <v>82</v>
      </c>
      <c r="P1692" t="str">
        <f>"2170719823                    "</f>
        <v xml:space="preserve">2170719823                    </v>
      </c>
      <c r="Q1692">
        <v>0</v>
      </c>
      <c r="R1692">
        <v>0</v>
      </c>
      <c r="S1692">
        <v>0</v>
      </c>
      <c r="T1692">
        <v>0</v>
      </c>
      <c r="U1692">
        <v>0</v>
      </c>
      <c r="V1692">
        <v>0</v>
      </c>
      <c r="W1692">
        <v>0</v>
      </c>
      <c r="X1692">
        <v>0</v>
      </c>
      <c r="Y1692">
        <v>0</v>
      </c>
      <c r="Z1692">
        <v>0</v>
      </c>
      <c r="AA1692">
        <v>0</v>
      </c>
      <c r="AB1692">
        <v>0</v>
      </c>
      <c r="AC1692">
        <v>0</v>
      </c>
      <c r="AD1692">
        <v>0</v>
      </c>
      <c r="AE1692">
        <v>0</v>
      </c>
      <c r="AF1692">
        <v>0</v>
      </c>
      <c r="AG1692">
        <v>0</v>
      </c>
      <c r="AH1692">
        <v>0</v>
      </c>
      <c r="AI1692">
        <v>0</v>
      </c>
      <c r="AJ1692">
        <v>0</v>
      </c>
      <c r="AK1692">
        <v>0</v>
      </c>
      <c r="AL1692">
        <v>0</v>
      </c>
      <c r="AM1692">
        <v>6.71</v>
      </c>
      <c r="AN1692">
        <v>0</v>
      </c>
      <c r="AO1692">
        <v>0</v>
      </c>
      <c r="AP1692">
        <v>0</v>
      </c>
      <c r="AQ1692">
        <v>0</v>
      </c>
      <c r="AR1692">
        <v>0</v>
      </c>
      <c r="AS1692">
        <v>0</v>
      </c>
      <c r="AT1692">
        <v>0</v>
      </c>
      <c r="AU1692">
        <v>0</v>
      </c>
      <c r="AV1692">
        <v>0</v>
      </c>
      <c r="AW1692">
        <v>0</v>
      </c>
      <c r="AX1692">
        <v>0</v>
      </c>
      <c r="AY1692">
        <v>0</v>
      </c>
      <c r="AZ1692">
        <v>0</v>
      </c>
      <c r="BA1692">
        <v>0</v>
      </c>
      <c r="BB1692">
        <v>0</v>
      </c>
      <c r="BC1692">
        <v>0</v>
      </c>
      <c r="BD1692">
        <v>0</v>
      </c>
      <c r="BE1692">
        <v>0</v>
      </c>
      <c r="BF1692">
        <v>0</v>
      </c>
      <c r="BG1692">
        <v>0</v>
      </c>
      <c r="BH1692">
        <v>1</v>
      </c>
      <c r="BI1692">
        <v>1</v>
      </c>
      <c r="BJ1692">
        <v>0.2</v>
      </c>
      <c r="BK1692">
        <v>1</v>
      </c>
      <c r="BL1692" s="4">
        <v>39.42</v>
      </c>
      <c r="BM1692" s="4">
        <v>5.91</v>
      </c>
      <c r="BN1692" s="4">
        <v>45.33</v>
      </c>
      <c r="BO1692" s="4">
        <v>45.33</v>
      </c>
      <c r="BQ1692" t="s">
        <v>93</v>
      </c>
      <c r="BR1692" t="s">
        <v>84</v>
      </c>
      <c r="BS1692" s="3">
        <v>43819</v>
      </c>
      <c r="BT1692" s="5">
        <v>0.34583333333333338</v>
      </c>
      <c r="BU1692" t="s">
        <v>702</v>
      </c>
      <c r="BV1692" t="s">
        <v>86</v>
      </c>
      <c r="BY1692">
        <v>1200</v>
      </c>
      <c r="CA1692" t="s">
        <v>700</v>
      </c>
      <c r="CC1692" t="s">
        <v>333</v>
      </c>
      <c r="CD1692">
        <v>2094</v>
      </c>
      <c r="CE1692" t="s">
        <v>88</v>
      </c>
      <c r="CF1692" s="3">
        <v>43822</v>
      </c>
      <c r="CI1692">
        <v>1</v>
      </c>
      <c r="CJ1692">
        <v>1</v>
      </c>
      <c r="CK1692">
        <v>22</v>
      </c>
      <c r="CL1692" t="s">
        <v>89</v>
      </c>
    </row>
    <row r="1693" spans="1:90">
      <c r="A1693" t="s">
        <v>72</v>
      </c>
      <c r="B1693" t="s">
        <v>73</v>
      </c>
      <c r="C1693" t="s">
        <v>74</v>
      </c>
      <c r="E1693" t="str">
        <f>"FES1162728192"</f>
        <v>FES1162728192</v>
      </c>
      <c r="F1693" s="3">
        <v>43812</v>
      </c>
      <c r="G1693">
        <v>202006</v>
      </c>
      <c r="H1693" t="s">
        <v>75</v>
      </c>
      <c r="I1693" t="s">
        <v>76</v>
      </c>
      <c r="J1693" t="s">
        <v>100</v>
      </c>
      <c r="K1693" t="s">
        <v>78</v>
      </c>
      <c r="L1693" t="s">
        <v>132</v>
      </c>
      <c r="M1693" t="s">
        <v>133</v>
      </c>
      <c r="N1693" t="s">
        <v>1257</v>
      </c>
      <c r="O1693" t="s">
        <v>104</v>
      </c>
      <c r="P1693" t="str">
        <f>"217071526                     "</f>
        <v xml:space="preserve">217071526                     </v>
      </c>
      <c r="Q1693">
        <v>0</v>
      </c>
      <c r="R1693">
        <v>0</v>
      </c>
      <c r="S1693">
        <v>0</v>
      </c>
      <c r="T1693">
        <v>0</v>
      </c>
      <c r="U1693">
        <v>0</v>
      </c>
      <c r="V1693">
        <v>0</v>
      </c>
      <c r="W1693">
        <v>0</v>
      </c>
      <c r="X1693">
        <v>0</v>
      </c>
      <c r="Y1693">
        <v>0</v>
      </c>
      <c r="Z1693">
        <v>0</v>
      </c>
      <c r="AA1693">
        <v>0</v>
      </c>
      <c r="AB1693">
        <v>0</v>
      </c>
      <c r="AC1693">
        <v>0</v>
      </c>
      <c r="AD1693">
        <v>0</v>
      </c>
      <c r="AE1693">
        <v>0</v>
      </c>
      <c r="AF1693">
        <v>0</v>
      </c>
      <c r="AG1693">
        <v>0</v>
      </c>
      <c r="AH1693">
        <v>0</v>
      </c>
      <c r="AI1693">
        <v>0</v>
      </c>
      <c r="AJ1693">
        <v>0</v>
      </c>
      <c r="AK1693">
        <v>0</v>
      </c>
      <c r="AL1693">
        <v>0</v>
      </c>
      <c r="AM1693">
        <v>14.75</v>
      </c>
      <c r="AN1693">
        <v>0</v>
      </c>
      <c r="AO1693">
        <v>0</v>
      </c>
      <c r="AP1693">
        <v>0</v>
      </c>
      <c r="AQ1693">
        <v>0</v>
      </c>
      <c r="AR1693">
        <v>0</v>
      </c>
      <c r="AS1693">
        <v>0</v>
      </c>
      <c r="AT1693">
        <v>0</v>
      </c>
      <c r="AU1693">
        <v>0</v>
      </c>
      <c r="AV1693">
        <v>0</v>
      </c>
      <c r="AW1693">
        <v>0</v>
      </c>
      <c r="AX1693">
        <v>0</v>
      </c>
      <c r="AY1693">
        <v>0</v>
      </c>
      <c r="AZ1693">
        <v>0</v>
      </c>
      <c r="BA1693">
        <v>0</v>
      </c>
      <c r="BB1693">
        <v>0</v>
      </c>
      <c r="BC1693">
        <v>0</v>
      </c>
      <c r="BD1693">
        <v>0</v>
      </c>
      <c r="BE1693">
        <v>0</v>
      </c>
      <c r="BF1693">
        <v>0</v>
      </c>
      <c r="BG1693">
        <v>0</v>
      </c>
      <c r="BH1693">
        <v>1</v>
      </c>
      <c r="BI1693">
        <v>3.7</v>
      </c>
      <c r="BJ1693">
        <v>6.5</v>
      </c>
      <c r="BK1693">
        <v>7</v>
      </c>
      <c r="BL1693" s="4">
        <v>91.71</v>
      </c>
      <c r="BM1693" s="4">
        <v>13.76</v>
      </c>
      <c r="BN1693" s="4">
        <v>105.47</v>
      </c>
      <c r="BO1693" s="4">
        <v>105.47</v>
      </c>
      <c r="BQ1693" t="s">
        <v>93</v>
      </c>
      <c r="BR1693" t="s">
        <v>105</v>
      </c>
      <c r="BS1693" s="3">
        <v>43816</v>
      </c>
      <c r="BT1693" s="5">
        <v>0.41319444444444442</v>
      </c>
      <c r="BU1693" t="s">
        <v>870</v>
      </c>
      <c r="BV1693" t="s">
        <v>86</v>
      </c>
      <c r="BY1693">
        <v>32717.39</v>
      </c>
      <c r="CA1693" t="s">
        <v>137</v>
      </c>
      <c r="CC1693" t="s">
        <v>133</v>
      </c>
      <c r="CD1693">
        <v>157</v>
      </c>
      <c r="CE1693" t="s">
        <v>116</v>
      </c>
      <c r="CF1693" s="3">
        <v>43818</v>
      </c>
      <c r="CI1693">
        <v>0</v>
      </c>
      <c r="CJ1693">
        <v>0</v>
      </c>
      <c r="CK1693" t="s">
        <v>108</v>
      </c>
      <c r="CL1693" t="s">
        <v>89</v>
      </c>
    </row>
    <row r="1694" spans="1:90">
      <c r="A1694" t="s">
        <v>72</v>
      </c>
      <c r="B1694" t="s">
        <v>73</v>
      </c>
      <c r="C1694" t="s">
        <v>74</v>
      </c>
      <c r="E1694" t="str">
        <f>"FES1162728184"</f>
        <v>FES1162728184</v>
      </c>
      <c r="F1694" s="3">
        <v>43811</v>
      </c>
      <c r="G1694">
        <v>202006</v>
      </c>
      <c r="H1694" t="s">
        <v>75</v>
      </c>
      <c r="I1694" t="s">
        <v>76</v>
      </c>
      <c r="J1694" t="s">
        <v>100</v>
      </c>
      <c r="K1694" t="s">
        <v>78</v>
      </c>
      <c r="L1694" t="s">
        <v>109</v>
      </c>
      <c r="M1694" t="s">
        <v>91</v>
      </c>
      <c r="N1694" t="s">
        <v>2094</v>
      </c>
      <c r="O1694" t="s">
        <v>104</v>
      </c>
      <c r="P1694" t="str">
        <f>"2170721515                    "</f>
        <v xml:space="preserve">2170721515                    </v>
      </c>
      <c r="Q1694">
        <v>0</v>
      </c>
      <c r="R1694">
        <v>0</v>
      </c>
      <c r="S1694">
        <v>0</v>
      </c>
      <c r="T1694">
        <v>0</v>
      </c>
      <c r="U1694">
        <v>0</v>
      </c>
      <c r="V1694">
        <v>0</v>
      </c>
      <c r="W1694">
        <v>0</v>
      </c>
      <c r="X1694">
        <v>0</v>
      </c>
      <c r="Y1694">
        <v>0</v>
      </c>
      <c r="Z1694">
        <v>0</v>
      </c>
      <c r="AA1694">
        <v>0</v>
      </c>
      <c r="AB1694">
        <v>0</v>
      </c>
      <c r="AC1694">
        <v>0</v>
      </c>
      <c r="AD1694">
        <v>0</v>
      </c>
      <c r="AE1694">
        <v>0</v>
      </c>
      <c r="AF1694">
        <v>0</v>
      </c>
      <c r="AG1694">
        <v>0</v>
      </c>
      <c r="AH1694">
        <v>0</v>
      </c>
      <c r="AI1694">
        <v>0</v>
      </c>
      <c r="AJ1694">
        <v>0</v>
      </c>
      <c r="AK1694">
        <v>0</v>
      </c>
      <c r="AL1694">
        <v>0</v>
      </c>
      <c r="AM1694">
        <v>28.86</v>
      </c>
      <c r="AN1694">
        <v>0</v>
      </c>
      <c r="AO1694">
        <v>0</v>
      </c>
      <c r="AP1694">
        <v>0</v>
      </c>
      <c r="AQ1694">
        <v>0</v>
      </c>
      <c r="AR1694">
        <v>0</v>
      </c>
      <c r="AS1694">
        <v>0</v>
      </c>
      <c r="AT1694">
        <v>0</v>
      </c>
      <c r="AU1694">
        <v>0</v>
      </c>
      <c r="AV1694">
        <v>0</v>
      </c>
      <c r="AW1694">
        <v>0</v>
      </c>
      <c r="AX1694">
        <v>0</v>
      </c>
      <c r="AY1694">
        <v>0</v>
      </c>
      <c r="AZ1694">
        <v>0</v>
      </c>
      <c r="BA1694">
        <v>0</v>
      </c>
      <c r="BB1694">
        <v>0</v>
      </c>
      <c r="BC1694">
        <v>0</v>
      </c>
      <c r="BD1694">
        <v>0</v>
      </c>
      <c r="BE1694">
        <v>0</v>
      </c>
      <c r="BF1694">
        <v>0</v>
      </c>
      <c r="BG1694">
        <v>0</v>
      </c>
      <c r="BH1694">
        <v>1</v>
      </c>
      <c r="BI1694">
        <v>15.8</v>
      </c>
      <c r="BJ1694">
        <v>29.3</v>
      </c>
      <c r="BK1694">
        <v>30</v>
      </c>
      <c r="BL1694" s="4">
        <v>174.62</v>
      </c>
      <c r="BM1694" s="4">
        <v>26.19</v>
      </c>
      <c r="BN1694" s="4">
        <v>200.81</v>
      </c>
      <c r="BO1694" s="4">
        <v>200.81</v>
      </c>
      <c r="BQ1694" t="s">
        <v>93</v>
      </c>
      <c r="BR1694" t="s">
        <v>105</v>
      </c>
      <c r="BS1694" s="3">
        <v>43812</v>
      </c>
      <c r="BT1694" s="5">
        <v>0.36180555555555555</v>
      </c>
      <c r="BU1694" t="s">
        <v>2095</v>
      </c>
      <c r="BV1694" t="s">
        <v>86</v>
      </c>
      <c r="BY1694">
        <v>146736.07999999999</v>
      </c>
      <c r="CA1694" t="s">
        <v>145</v>
      </c>
      <c r="CC1694" t="s">
        <v>91</v>
      </c>
      <c r="CD1694">
        <v>8001</v>
      </c>
      <c r="CE1694" t="s">
        <v>116</v>
      </c>
      <c r="CF1694" s="3">
        <v>43816</v>
      </c>
      <c r="CI1694">
        <v>2</v>
      </c>
      <c r="CJ1694">
        <v>1</v>
      </c>
      <c r="CK1694" t="s">
        <v>113</v>
      </c>
      <c r="CL1694" t="s">
        <v>89</v>
      </c>
    </row>
    <row r="1695" spans="1:90">
      <c r="A1695" t="s">
        <v>72</v>
      </c>
      <c r="B1695" t="s">
        <v>73</v>
      </c>
      <c r="C1695" t="s">
        <v>74</v>
      </c>
      <c r="E1695" t="str">
        <f>"FES1162727991"</f>
        <v>FES1162727991</v>
      </c>
      <c r="F1695" s="3">
        <v>43811</v>
      </c>
      <c r="G1695">
        <v>202006</v>
      </c>
      <c r="H1695" t="s">
        <v>75</v>
      </c>
      <c r="I1695" t="s">
        <v>76</v>
      </c>
      <c r="J1695" t="s">
        <v>100</v>
      </c>
      <c r="K1695" t="s">
        <v>78</v>
      </c>
      <c r="L1695" t="s">
        <v>75</v>
      </c>
      <c r="M1695" t="s">
        <v>76</v>
      </c>
      <c r="N1695" t="s">
        <v>1038</v>
      </c>
      <c r="O1695" t="s">
        <v>104</v>
      </c>
      <c r="P1695" t="str">
        <f>"2170719179                    "</f>
        <v xml:space="preserve">2170719179                    </v>
      </c>
      <c r="Q1695">
        <v>0</v>
      </c>
      <c r="R1695">
        <v>0</v>
      </c>
      <c r="S1695">
        <v>0</v>
      </c>
      <c r="T1695">
        <v>0</v>
      </c>
      <c r="U1695">
        <v>0</v>
      </c>
      <c r="V1695">
        <v>0</v>
      </c>
      <c r="W1695">
        <v>0</v>
      </c>
      <c r="X1695">
        <v>0</v>
      </c>
      <c r="Y1695">
        <v>0</v>
      </c>
      <c r="Z1695">
        <v>0</v>
      </c>
      <c r="AA1695">
        <v>0</v>
      </c>
      <c r="AB1695">
        <v>0</v>
      </c>
      <c r="AC1695">
        <v>0</v>
      </c>
      <c r="AD1695">
        <v>0</v>
      </c>
      <c r="AE1695">
        <v>0</v>
      </c>
      <c r="AF1695">
        <v>0</v>
      </c>
      <c r="AG1695">
        <v>0</v>
      </c>
      <c r="AH1695">
        <v>0</v>
      </c>
      <c r="AI1695">
        <v>0</v>
      </c>
      <c r="AJ1695">
        <v>0</v>
      </c>
      <c r="AK1695">
        <v>0</v>
      </c>
      <c r="AL1695">
        <v>0</v>
      </c>
      <c r="AM1695">
        <v>14.49</v>
      </c>
      <c r="AN1695">
        <v>0</v>
      </c>
      <c r="AO1695">
        <v>0</v>
      </c>
      <c r="AP1695">
        <v>0</v>
      </c>
      <c r="AQ1695">
        <v>0</v>
      </c>
      <c r="AR1695">
        <v>0</v>
      </c>
      <c r="AS1695">
        <v>0</v>
      </c>
      <c r="AT1695">
        <v>0</v>
      </c>
      <c r="AU1695">
        <v>0</v>
      </c>
      <c r="AV1695">
        <v>0</v>
      </c>
      <c r="AW1695">
        <v>0</v>
      </c>
      <c r="AX1695">
        <v>0</v>
      </c>
      <c r="AY1695">
        <v>0</v>
      </c>
      <c r="AZ1695">
        <v>0</v>
      </c>
      <c r="BA1695">
        <v>0</v>
      </c>
      <c r="BB1695">
        <v>0</v>
      </c>
      <c r="BC1695">
        <v>0</v>
      </c>
      <c r="BD1695">
        <v>0</v>
      </c>
      <c r="BE1695">
        <v>0</v>
      </c>
      <c r="BF1695">
        <v>0</v>
      </c>
      <c r="BG1695">
        <v>0</v>
      </c>
      <c r="BH1695">
        <v>1</v>
      </c>
      <c r="BI1695">
        <v>20.100000000000001</v>
      </c>
      <c r="BJ1695">
        <v>17.600000000000001</v>
      </c>
      <c r="BK1695">
        <v>21</v>
      </c>
      <c r="BL1695" s="4">
        <v>90.19</v>
      </c>
      <c r="BM1695" s="4">
        <v>13.53</v>
      </c>
      <c r="BN1695" s="4">
        <v>103.72</v>
      </c>
      <c r="BO1695" s="4">
        <v>103.72</v>
      </c>
      <c r="BQ1695" t="s">
        <v>93</v>
      </c>
      <c r="BR1695" t="s">
        <v>105</v>
      </c>
      <c r="BS1695" s="3">
        <v>43812</v>
      </c>
      <c r="BT1695" s="5">
        <v>0.42777777777777781</v>
      </c>
      <c r="BU1695" t="s">
        <v>1039</v>
      </c>
      <c r="BV1695" t="s">
        <v>86</v>
      </c>
      <c r="BY1695">
        <v>87885</v>
      </c>
      <c r="CA1695" t="s">
        <v>588</v>
      </c>
      <c r="CC1695" t="s">
        <v>76</v>
      </c>
      <c r="CD1695">
        <v>1625</v>
      </c>
      <c r="CE1695" t="s">
        <v>96</v>
      </c>
      <c r="CF1695" s="3">
        <v>43816</v>
      </c>
      <c r="CI1695">
        <v>1</v>
      </c>
      <c r="CJ1695">
        <v>1</v>
      </c>
      <c r="CK1695" t="s">
        <v>123</v>
      </c>
      <c r="CL1695" t="s">
        <v>89</v>
      </c>
    </row>
    <row r="1696" spans="1:90">
      <c r="A1696" t="s">
        <v>72</v>
      </c>
      <c r="B1696" t="s">
        <v>73</v>
      </c>
      <c r="C1696" t="s">
        <v>74</v>
      </c>
      <c r="E1696" t="str">
        <f>"FES1162728174"</f>
        <v>FES1162728174</v>
      </c>
      <c r="F1696" s="3">
        <v>43811</v>
      </c>
      <c r="G1696">
        <v>202006</v>
      </c>
      <c r="H1696" t="s">
        <v>75</v>
      </c>
      <c r="I1696" t="s">
        <v>76</v>
      </c>
      <c r="J1696" t="s">
        <v>100</v>
      </c>
      <c r="K1696" t="s">
        <v>78</v>
      </c>
      <c r="L1696" t="s">
        <v>138</v>
      </c>
      <c r="M1696" t="s">
        <v>139</v>
      </c>
      <c r="N1696" t="s">
        <v>2096</v>
      </c>
      <c r="O1696" t="s">
        <v>104</v>
      </c>
      <c r="P1696" t="str">
        <f>"2170712497                    "</f>
        <v xml:space="preserve">2170712497                    </v>
      </c>
      <c r="Q1696">
        <v>0</v>
      </c>
      <c r="R1696">
        <v>0</v>
      </c>
      <c r="S1696">
        <v>0</v>
      </c>
      <c r="T1696">
        <v>0</v>
      </c>
      <c r="U1696">
        <v>0</v>
      </c>
      <c r="V1696">
        <v>0</v>
      </c>
      <c r="W1696">
        <v>0</v>
      </c>
      <c r="X1696">
        <v>0</v>
      </c>
      <c r="Y1696">
        <v>0</v>
      </c>
      <c r="Z1696">
        <v>0</v>
      </c>
      <c r="AA1696">
        <v>0</v>
      </c>
      <c r="AB1696">
        <v>0</v>
      </c>
      <c r="AC1696">
        <v>0</v>
      </c>
      <c r="AD1696">
        <v>0</v>
      </c>
      <c r="AE1696">
        <v>0</v>
      </c>
      <c r="AF1696">
        <v>0</v>
      </c>
      <c r="AG1696">
        <v>0</v>
      </c>
      <c r="AH1696">
        <v>0</v>
      </c>
      <c r="AI1696">
        <v>0</v>
      </c>
      <c r="AJ1696">
        <v>0</v>
      </c>
      <c r="AK1696">
        <v>0</v>
      </c>
      <c r="AL1696">
        <v>0</v>
      </c>
      <c r="AM1696">
        <v>18.940000000000001</v>
      </c>
      <c r="AN1696">
        <v>0</v>
      </c>
      <c r="AO1696">
        <v>0</v>
      </c>
      <c r="AP1696">
        <v>0</v>
      </c>
      <c r="AQ1696">
        <v>0</v>
      </c>
      <c r="AR1696">
        <v>0</v>
      </c>
      <c r="AS1696">
        <v>0</v>
      </c>
      <c r="AT1696">
        <v>0</v>
      </c>
      <c r="AU1696">
        <v>0</v>
      </c>
      <c r="AV1696">
        <v>0</v>
      </c>
      <c r="AW1696">
        <v>0</v>
      </c>
      <c r="AX1696">
        <v>0</v>
      </c>
      <c r="AY1696">
        <v>0</v>
      </c>
      <c r="AZ1696">
        <v>0</v>
      </c>
      <c r="BA1696">
        <v>0</v>
      </c>
      <c r="BB1696">
        <v>0</v>
      </c>
      <c r="BC1696">
        <v>0</v>
      </c>
      <c r="BD1696">
        <v>0</v>
      </c>
      <c r="BE1696">
        <v>0</v>
      </c>
      <c r="BF1696">
        <v>0</v>
      </c>
      <c r="BG1696">
        <v>0</v>
      </c>
      <c r="BH1696">
        <v>1</v>
      </c>
      <c r="BI1696">
        <v>13</v>
      </c>
      <c r="BJ1696">
        <v>31.6</v>
      </c>
      <c r="BK1696">
        <v>32</v>
      </c>
      <c r="BL1696" s="4">
        <v>116.31</v>
      </c>
      <c r="BM1696" s="4">
        <v>17.45</v>
      </c>
      <c r="BN1696" s="4">
        <v>133.76</v>
      </c>
      <c r="BO1696" s="4">
        <v>133.76</v>
      </c>
      <c r="BQ1696" t="s">
        <v>2097</v>
      </c>
      <c r="BR1696" t="s">
        <v>105</v>
      </c>
      <c r="BS1696" s="3">
        <v>43812</v>
      </c>
      <c r="BT1696" s="5">
        <v>0.38750000000000001</v>
      </c>
      <c r="BU1696" t="s">
        <v>625</v>
      </c>
      <c r="BV1696" t="s">
        <v>86</v>
      </c>
      <c r="BY1696">
        <v>157920</v>
      </c>
      <c r="CC1696" t="s">
        <v>139</v>
      </c>
      <c r="CD1696">
        <v>1422</v>
      </c>
      <c r="CE1696" t="s">
        <v>96</v>
      </c>
      <c r="CF1696" s="3">
        <v>43816</v>
      </c>
      <c r="CI1696">
        <v>1</v>
      </c>
      <c r="CJ1696">
        <v>1</v>
      </c>
      <c r="CK1696" t="s">
        <v>123</v>
      </c>
      <c r="CL1696" t="s">
        <v>89</v>
      </c>
    </row>
    <row r="1697" spans="1:90">
      <c r="A1697" t="s">
        <v>72</v>
      </c>
      <c r="B1697" t="s">
        <v>73</v>
      </c>
      <c r="C1697" t="s">
        <v>74</v>
      </c>
      <c r="E1697" t="str">
        <f>"FES1162729012"</f>
        <v>FES1162729012</v>
      </c>
      <c r="F1697" s="3">
        <v>43818</v>
      </c>
      <c r="G1697">
        <v>202006</v>
      </c>
      <c r="H1697" t="s">
        <v>75</v>
      </c>
      <c r="I1697" t="s">
        <v>76</v>
      </c>
      <c r="J1697" t="s">
        <v>77</v>
      </c>
      <c r="K1697" t="s">
        <v>78</v>
      </c>
      <c r="L1697" t="s">
        <v>2055</v>
      </c>
      <c r="M1697" t="s">
        <v>2056</v>
      </c>
      <c r="N1697" t="s">
        <v>2057</v>
      </c>
      <c r="O1697" t="s">
        <v>104</v>
      </c>
      <c r="P1697" t="str">
        <f>"2170722117                    "</f>
        <v xml:space="preserve">2170722117                    </v>
      </c>
      <c r="Q1697">
        <v>0</v>
      </c>
      <c r="R1697">
        <v>0</v>
      </c>
      <c r="S1697">
        <v>0</v>
      </c>
      <c r="T1697">
        <v>0</v>
      </c>
      <c r="U1697">
        <v>0</v>
      </c>
      <c r="V1697">
        <v>0</v>
      </c>
      <c r="W1697">
        <v>0</v>
      </c>
      <c r="X1697">
        <v>0</v>
      </c>
      <c r="Y1697">
        <v>0</v>
      </c>
      <c r="Z1697">
        <v>0</v>
      </c>
      <c r="AA1697">
        <v>0</v>
      </c>
      <c r="AB1697">
        <v>0</v>
      </c>
      <c r="AC1697">
        <v>0</v>
      </c>
      <c r="AD1697">
        <v>0</v>
      </c>
      <c r="AE1697">
        <v>0</v>
      </c>
      <c r="AF1697">
        <v>0</v>
      </c>
      <c r="AG1697">
        <v>0</v>
      </c>
      <c r="AH1697">
        <v>0</v>
      </c>
      <c r="AI1697">
        <v>0</v>
      </c>
      <c r="AJ1697">
        <v>0</v>
      </c>
      <c r="AK1697">
        <v>0</v>
      </c>
      <c r="AL1697">
        <v>0</v>
      </c>
      <c r="AM1697">
        <v>50.67</v>
      </c>
      <c r="AN1697">
        <v>0</v>
      </c>
      <c r="AO1697">
        <v>0</v>
      </c>
      <c r="AP1697">
        <v>0</v>
      </c>
      <c r="AQ1697">
        <v>0</v>
      </c>
      <c r="AR1697">
        <v>0</v>
      </c>
      <c r="AS1697">
        <v>0</v>
      </c>
      <c r="AT1697">
        <v>0</v>
      </c>
      <c r="AU1697">
        <v>0</v>
      </c>
      <c r="AV1697">
        <v>0</v>
      </c>
      <c r="AW1697">
        <v>0</v>
      </c>
      <c r="AX1697">
        <v>0</v>
      </c>
      <c r="AY1697">
        <v>0</v>
      </c>
      <c r="AZ1697">
        <v>0</v>
      </c>
      <c r="BA1697">
        <v>0</v>
      </c>
      <c r="BB1697">
        <v>0</v>
      </c>
      <c r="BC1697">
        <v>0</v>
      </c>
      <c r="BD1697">
        <v>0</v>
      </c>
      <c r="BE1697">
        <v>0</v>
      </c>
      <c r="BF1697">
        <v>0</v>
      </c>
      <c r="BG1697">
        <v>0</v>
      </c>
      <c r="BH1697">
        <v>3</v>
      </c>
      <c r="BI1697">
        <v>58.3</v>
      </c>
      <c r="BJ1697">
        <v>24</v>
      </c>
      <c r="BK1697">
        <v>59</v>
      </c>
      <c r="BL1697" s="4">
        <v>302.86</v>
      </c>
      <c r="BM1697" s="4">
        <v>45.43</v>
      </c>
      <c r="BN1697" s="4">
        <v>348.29</v>
      </c>
      <c r="BO1697" s="4">
        <v>348.29</v>
      </c>
      <c r="BP1697" t="s">
        <v>2098</v>
      </c>
      <c r="BQ1697" t="s">
        <v>93</v>
      </c>
      <c r="BR1697" t="s">
        <v>84</v>
      </c>
      <c r="BS1697" s="3">
        <v>43819</v>
      </c>
      <c r="BT1697" s="5">
        <v>0.375</v>
      </c>
      <c r="BU1697" t="s">
        <v>1352</v>
      </c>
      <c r="BV1697" t="s">
        <v>86</v>
      </c>
      <c r="BY1697">
        <v>120181.46</v>
      </c>
      <c r="CC1697" t="s">
        <v>2056</v>
      </c>
      <c r="CD1697">
        <v>2410</v>
      </c>
      <c r="CE1697" t="s">
        <v>2099</v>
      </c>
      <c r="CF1697" s="3">
        <v>43822</v>
      </c>
      <c r="CI1697">
        <v>1</v>
      </c>
      <c r="CJ1697">
        <v>1</v>
      </c>
      <c r="CK1697" t="s">
        <v>113</v>
      </c>
      <c r="CL1697" t="s">
        <v>89</v>
      </c>
    </row>
    <row r="1698" spans="1:90">
      <c r="A1698" t="s">
        <v>72</v>
      </c>
      <c r="B1698" t="s">
        <v>73</v>
      </c>
      <c r="C1698" t="s">
        <v>74</v>
      </c>
      <c r="E1698" t="str">
        <f>"FES1162728821"</f>
        <v>FES1162728821</v>
      </c>
      <c r="F1698" s="3">
        <v>43818</v>
      </c>
      <c r="G1698">
        <v>202006</v>
      </c>
      <c r="H1698" t="s">
        <v>75</v>
      </c>
      <c r="I1698" t="s">
        <v>76</v>
      </c>
      <c r="J1698" t="s">
        <v>77</v>
      </c>
      <c r="K1698" t="s">
        <v>78</v>
      </c>
      <c r="L1698" t="s">
        <v>213</v>
      </c>
      <c r="M1698" t="s">
        <v>214</v>
      </c>
      <c r="N1698" t="s">
        <v>303</v>
      </c>
      <c r="O1698" t="s">
        <v>104</v>
      </c>
      <c r="P1698" t="str">
        <f>"2170719968                    "</f>
        <v xml:space="preserve">2170719968                    </v>
      </c>
      <c r="Q1698">
        <v>0</v>
      </c>
      <c r="R1698">
        <v>0</v>
      </c>
      <c r="S1698">
        <v>0</v>
      </c>
      <c r="T1698">
        <v>0</v>
      </c>
      <c r="U1698">
        <v>0</v>
      </c>
      <c r="V1698">
        <v>0</v>
      </c>
      <c r="W1698">
        <v>0</v>
      </c>
      <c r="X1698">
        <v>0</v>
      </c>
      <c r="Y1698">
        <v>0</v>
      </c>
      <c r="Z1698">
        <v>0</v>
      </c>
      <c r="AA1698">
        <v>0</v>
      </c>
      <c r="AB1698">
        <v>0</v>
      </c>
      <c r="AC1698">
        <v>0</v>
      </c>
      <c r="AD1698">
        <v>0</v>
      </c>
      <c r="AE1698">
        <v>0</v>
      </c>
      <c r="AF1698">
        <v>0</v>
      </c>
      <c r="AG1698">
        <v>0</v>
      </c>
      <c r="AH1698">
        <v>0</v>
      </c>
      <c r="AI1698">
        <v>0</v>
      </c>
      <c r="AJ1698">
        <v>0</v>
      </c>
      <c r="AK1698">
        <v>0</v>
      </c>
      <c r="AL1698">
        <v>0</v>
      </c>
      <c r="AM1698">
        <v>21.33</v>
      </c>
      <c r="AN1698">
        <v>0</v>
      </c>
      <c r="AO1698">
        <v>0</v>
      </c>
      <c r="AP1698">
        <v>0</v>
      </c>
      <c r="AQ1698">
        <v>0</v>
      </c>
      <c r="AR1698">
        <v>0</v>
      </c>
      <c r="AS1698">
        <v>0</v>
      </c>
      <c r="AT1698">
        <v>0</v>
      </c>
      <c r="AU1698">
        <v>0</v>
      </c>
      <c r="AV1698">
        <v>0</v>
      </c>
      <c r="AW1698">
        <v>0</v>
      </c>
      <c r="AX1698">
        <v>0</v>
      </c>
      <c r="AY1698">
        <v>0</v>
      </c>
      <c r="AZ1698">
        <v>0</v>
      </c>
      <c r="BA1698">
        <v>0</v>
      </c>
      <c r="BB1698">
        <v>0</v>
      </c>
      <c r="BC1698">
        <v>0</v>
      </c>
      <c r="BD1698">
        <v>0</v>
      </c>
      <c r="BE1698">
        <v>0</v>
      </c>
      <c r="BF1698">
        <v>0</v>
      </c>
      <c r="BG1698">
        <v>0</v>
      </c>
      <c r="BH1698">
        <v>1</v>
      </c>
      <c r="BI1698">
        <v>19.899999999999999</v>
      </c>
      <c r="BJ1698">
        <v>16.600000000000001</v>
      </c>
      <c r="BK1698">
        <v>20</v>
      </c>
      <c r="BL1698" s="4">
        <v>130.38999999999999</v>
      </c>
      <c r="BM1698" s="4">
        <v>19.559999999999999</v>
      </c>
      <c r="BN1698" s="4">
        <v>149.94999999999999</v>
      </c>
      <c r="BO1698" s="4">
        <v>149.94999999999999</v>
      </c>
      <c r="BQ1698" t="s">
        <v>147</v>
      </c>
      <c r="BR1698" t="s">
        <v>84</v>
      </c>
      <c r="BS1698" s="3">
        <v>43819</v>
      </c>
      <c r="BT1698" s="5">
        <v>0.34027777777777773</v>
      </c>
      <c r="BU1698" t="s">
        <v>1336</v>
      </c>
      <c r="BV1698" t="s">
        <v>86</v>
      </c>
      <c r="BY1698">
        <v>82873.25</v>
      </c>
      <c r="CA1698" t="s">
        <v>99</v>
      </c>
      <c r="CC1698" t="s">
        <v>214</v>
      </c>
      <c r="CD1698">
        <v>6230</v>
      </c>
      <c r="CE1698" t="s">
        <v>96</v>
      </c>
      <c r="CF1698" s="3">
        <v>43822</v>
      </c>
      <c r="CI1698">
        <v>2</v>
      </c>
      <c r="CJ1698">
        <v>1</v>
      </c>
      <c r="CK1698" t="s">
        <v>113</v>
      </c>
      <c r="CL1698" t="s">
        <v>89</v>
      </c>
    </row>
    <row r="1699" spans="1:90">
      <c r="A1699" t="s">
        <v>72</v>
      </c>
      <c r="B1699" t="s">
        <v>73</v>
      </c>
      <c r="C1699" t="s">
        <v>74</v>
      </c>
      <c r="E1699" t="str">
        <f>"FES1162728782"</f>
        <v>FES1162728782</v>
      </c>
      <c r="F1699" s="3">
        <v>43816</v>
      </c>
      <c r="G1699">
        <v>202006</v>
      </c>
      <c r="H1699" t="s">
        <v>75</v>
      </c>
      <c r="I1699" t="s">
        <v>76</v>
      </c>
      <c r="J1699" t="s">
        <v>100</v>
      </c>
      <c r="K1699" t="s">
        <v>78</v>
      </c>
      <c r="L1699" t="s">
        <v>201</v>
      </c>
      <c r="M1699" t="s">
        <v>202</v>
      </c>
      <c r="N1699" t="s">
        <v>1585</v>
      </c>
      <c r="O1699" t="s">
        <v>104</v>
      </c>
      <c r="P1699" t="str">
        <f>"217071832                     "</f>
        <v xml:space="preserve">217071832                     </v>
      </c>
      <c r="Q1699">
        <v>0</v>
      </c>
      <c r="R1699">
        <v>0</v>
      </c>
      <c r="S1699">
        <v>0</v>
      </c>
      <c r="T1699">
        <v>0</v>
      </c>
      <c r="U1699">
        <v>0</v>
      </c>
      <c r="V1699">
        <v>0</v>
      </c>
      <c r="W1699">
        <v>0</v>
      </c>
      <c r="X1699">
        <v>0</v>
      </c>
      <c r="Y1699">
        <v>0</v>
      </c>
      <c r="Z1699">
        <v>0</v>
      </c>
      <c r="AA1699">
        <v>0</v>
      </c>
      <c r="AB1699">
        <v>0</v>
      </c>
      <c r="AC1699">
        <v>0</v>
      </c>
      <c r="AD1699">
        <v>0</v>
      </c>
      <c r="AE1699">
        <v>0</v>
      </c>
      <c r="AF1699">
        <v>0</v>
      </c>
      <c r="AG1699">
        <v>0</v>
      </c>
      <c r="AH1699">
        <v>0</v>
      </c>
      <c r="AI1699">
        <v>0</v>
      </c>
      <c r="AJ1699">
        <v>0</v>
      </c>
      <c r="AK1699">
        <v>0</v>
      </c>
      <c r="AL1699">
        <v>0</v>
      </c>
      <c r="AM1699">
        <v>21.73</v>
      </c>
      <c r="AN1699">
        <v>0</v>
      </c>
      <c r="AO1699">
        <v>0</v>
      </c>
      <c r="AP1699">
        <v>0</v>
      </c>
      <c r="AQ1699">
        <v>0</v>
      </c>
      <c r="AR1699">
        <v>0</v>
      </c>
      <c r="AS1699">
        <v>0</v>
      </c>
      <c r="AT1699">
        <v>0</v>
      </c>
      <c r="AU1699">
        <v>0</v>
      </c>
      <c r="AV1699">
        <v>0</v>
      </c>
      <c r="AW1699">
        <v>0</v>
      </c>
      <c r="AX1699">
        <v>0</v>
      </c>
      <c r="AY1699">
        <v>0</v>
      </c>
      <c r="AZ1699">
        <v>0</v>
      </c>
      <c r="BA1699">
        <v>0</v>
      </c>
      <c r="BB1699">
        <v>0</v>
      </c>
      <c r="BC1699">
        <v>0</v>
      </c>
      <c r="BD1699">
        <v>0</v>
      </c>
      <c r="BE1699">
        <v>0</v>
      </c>
      <c r="BF1699">
        <v>0</v>
      </c>
      <c r="BG1699">
        <v>0</v>
      </c>
      <c r="BH1699">
        <v>1</v>
      </c>
      <c r="BI1699">
        <v>18.3</v>
      </c>
      <c r="BJ1699">
        <v>33.299999999999997</v>
      </c>
      <c r="BK1699">
        <v>34</v>
      </c>
      <c r="BL1699" s="4">
        <v>132.72999999999999</v>
      </c>
      <c r="BM1699" s="4">
        <v>19.91</v>
      </c>
      <c r="BN1699" s="4">
        <v>152.63999999999999</v>
      </c>
      <c r="BO1699" s="4">
        <v>152.63999999999999</v>
      </c>
      <c r="BQ1699" t="s">
        <v>1586</v>
      </c>
      <c r="BR1699" t="s">
        <v>105</v>
      </c>
      <c r="BS1699" s="3">
        <v>43817</v>
      </c>
      <c r="BT1699" s="5">
        <v>0.36736111111111108</v>
      </c>
      <c r="BU1699" t="s">
        <v>1587</v>
      </c>
      <c r="BV1699" t="s">
        <v>86</v>
      </c>
      <c r="BY1699">
        <v>166536.70000000001</v>
      </c>
      <c r="CA1699" t="s">
        <v>205</v>
      </c>
      <c r="CC1699" t="s">
        <v>202</v>
      </c>
      <c r="CD1699">
        <v>3600</v>
      </c>
      <c r="CE1699" t="s">
        <v>116</v>
      </c>
      <c r="CF1699" s="3">
        <v>43818</v>
      </c>
      <c r="CI1699">
        <v>1</v>
      </c>
      <c r="CJ1699">
        <v>1</v>
      </c>
      <c r="CK1699" t="s">
        <v>1164</v>
      </c>
      <c r="CL1699" t="s">
        <v>89</v>
      </c>
    </row>
    <row r="1700" spans="1:90">
      <c r="A1700" t="s">
        <v>72</v>
      </c>
      <c r="B1700" t="s">
        <v>73</v>
      </c>
      <c r="C1700" t="s">
        <v>74</v>
      </c>
      <c r="E1700" t="str">
        <f>"FES1162728161"</f>
        <v>FES1162728161</v>
      </c>
      <c r="F1700" s="3">
        <v>43811</v>
      </c>
      <c r="G1700">
        <v>202006</v>
      </c>
      <c r="H1700" t="s">
        <v>75</v>
      </c>
      <c r="I1700" t="s">
        <v>76</v>
      </c>
      <c r="J1700" t="s">
        <v>100</v>
      </c>
      <c r="K1700" t="s">
        <v>78</v>
      </c>
      <c r="L1700" t="s">
        <v>340</v>
      </c>
      <c r="M1700" t="s">
        <v>341</v>
      </c>
      <c r="N1700" t="s">
        <v>342</v>
      </c>
      <c r="O1700" t="s">
        <v>104</v>
      </c>
      <c r="P1700" t="str">
        <f>"2170719377                    "</f>
        <v xml:space="preserve">2170719377                    </v>
      </c>
      <c r="Q1700">
        <v>0</v>
      </c>
      <c r="R1700">
        <v>0</v>
      </c>
      <c r="S1700">
        <v>0</v>
      </c>
      <c r="T1700">
        <v>0</v>
      </c>
      <c r="U1700">
        <v>0</v>
      </c>
      <c r="V1700">
        <v>0</v>
      </c>
      <c r="W1700">
        <v>0</v>
      </c>
      <c r="X1700">
        <v>0</v>
      </c>
      <c r="Y1700">
        <v>0</v>
      </c>
      <c r="Z1700">
        <v>0</v>
      </c>
      <c r="AA1700">
        <v>0</v>
      </c>
      <c r="AB1700">
        <v>0</v>
      </c>
      <c r="AC1700">
        <v>0</v>
      </c>
      <c r="AD1700">
        <v>0</v>
      </c>
      <c r="AE1700">
        <v>0</v>
      </c>
      <c r="AF1700">
        <v>0</v>
      </c>
      <c r="AG1700">
        <v>0</v>
      </c>
      <c r="AH1700">
        <v>0</v>
      </c>
      <c r="AI1700">
        <v>0</v>
      </c>
      <c r="AJ1700">
        <v>0</v>
      </c>
      <c r="AK1700">
        <v>0</v>
      </c>
      <c r="AL1700">
        <v>0</v>
      </c>
      <c r="AM1700">
        <v>16.09</v>
      </c>
      <c r="AN1700">
        <v>0</v>
      </c>
      <c r="AO1700">
        <v>0</v>
      </c>
      <c r="AP1700">
        <v>0</v>
      </c>
      <c r="AQ1700">
        <v>0</v>
      </c>
      <c r="AR1700">
        <v>0</v>
      </c>
      <c r="AS1700">
        <v>0</v>
      </c>
      <c r="AT1700">
        <v>0</v>
      </c>
      <c r="AU1700">
        <v>0</v>
      </c>
      <c r="AV1700">
        <v>0</v>
      </c>
      <c r="AW1700">
        <v>0</v>
      </c>
      <c r="AX1700">
        <v>0</v>
      </c>
      <c r="AY1700">
        <v>0</v>
      </c>
      <c r="AZ1700">
        <v>0</v>
      </c>
      <c r="BA1700">
        <v>0</v>
      </c>
      <c r="BB1700">
        <v>0</v>
      </c>
      <c r="BC1700">
        <v>0</v>
      </c>
      <c r="BD1700">
        <v>0</v>
      </c>
      <c r="BE1700">
        <v>0</v>
      </c>
      <c r="BF1700">
        <v>0</v>
      </c>
      <c r="BG1700">
        <v>0</v>
      </c>
      <c r="BH1700">
        <v>1</v>
      </c>
      <c r="BI1700">
        <v>3.5</v>
      </c>
      <c r="BJ1700">
        <v>3</v>
      </c>
      <c r="BK1700">
        <v>4</v>
      </c>
      <c r="BL1700" s="4">
        <v>99.59</v>
      </c>
      <c r="BM1700" s="4">
        <v>14.94</v>
      </c>
      <c r="BN1700" s="4">
        <v>114.53</v>
      </c>
      <c r="BO1700" s="4">
        <v>114.53</v>
      </c>
      <c r="BQ1700" t="s">
        <v>93</v>
      </c>
      <c r="BR1700" t="s">
        <v>105</v>
      </c>
      <c r="BS1700" s="3">
        <v>43812</v>
      </c>
      <c r="BT1700" s="5">
        <v>0.33333333333333331</v>
      </c>
      <c r="BU1700" t="s">
        <v>1645</v>
      </c>
      <c r="BV1700" t="s">
        <v>86</v>
      </c>
      <c r="BY1700">
        <v>15146.04</v>
      </c>
      <c r="CC1700" t="s">
        <v>341</v>
      </c>
      <c r="CD1700">
        <v>1947</v>
      </c>
      <c r="CE1700" t="s">
        <v>96</v>
      </c>
      <c r="CF1700" s="3">
        <v>43816</v>
      </c>
      <c r="CI1700">
        <v>1</v>
      </c>
      <c r="CJ1700">
        <v>1</v>
      </c>
      <c r="CK1700" t="s">
        <v>740</v>
      </c>
      <c r="CL1700" t="s">
        <v>89</v>
      </c>
    </row>
    <row r="1701" spans="1:90">
      <c r="A1701" t="s">
        <v>72</v>
      </c>
      <c r="B1701" t="s">
        <v>73</v>
      </c>
      <c r="C1701" t="s">
        <v>74</v>
      </c>
      <c r="E1701" t="str">
        <f>"FES1162727537"</f>
        <v>FES1162727537</v>
      </c>
      <c r="F1701" s="3">
        <v>43809</v>
      </c>
      <c r="G1701">
        <v>202006</v>
      </c>
      <c r="H1701" t="s">
        <v>75</v>
      </c>
      <c r="I1701" t="s">
        <v>76</v>
      </c>
      <c r="J1701" t="s">
        <v>100</v>
      </c>
      <c r="K1701" t="s">
        <v>78</v>
      </c>
      <c r="L1701" t="s">
        <v>2100</v>
      </c>
      <c r="M1701" t="s">
        <v>2101</v>
      </c>
      <c r="N1701" t="s">
        <v>2102</v>
      </c>
      <c r="O1701" t="s">
        <v>104</v>
      </c>
      <c r="P1701" t="str">
        <f>"2170721008                    "</f>
        <v xml:space="preserve">2170721008                    </v>
      </c>
      <c r="Q1701">
        <v>0</v>
      </c>
      <c r="R1701">
        <v>0</v>
      </c>
      <c r="S1701">
        <v>0</v>
      </c>
      <c r="T1701">
        <v>0</v>
      </c>
      <c r="U1701">
        <v>0</v>
      </c>
      <c r="V1701">
        <v>0</v>
      </c>
      <c r="W1701">
        <v>0</v>
      </c>
      <c r="X1701">
        <v>0</v>
      </c>
      <c r="Y1701">
        <v>0</v>
      </c>
      <c r="Z1701">
        <v>0</v>
      </c>
      <c r="AA1701">
        <v>0</v>
      </c>
      <c r="AB1701">
        <v>0</v>
      </c>
      <c r="AC1701">
        <v>0</v>
      </c>
      <c r="AD1701">
        <v>0</v>
      </c>
      <c r="AE1701">
        <v>0</v>
      </c>
      <c r="AF1701">
        <v>0</v>
      </c>
      <c r="AG1701">
        <v>0</v>
      </c>
      <c r="AH1701">
        <v>0</v>
      </c>
      <c r="AI1701">
        <v>0</v>
      </c>
      <c r="AJ1701">
        <v>0</v>
      </c>
      <c r="AK1701">
        <v>0</v>
      </c>
      <c r="AL1701">
        <v>0</v>
      </c>
      <c r="AM1701">
        <v>27.27</v>
      </c>
      <c r="AN1701">
        <v>0</v>
      </c>
      <c r="AO1701">
        <v>0</v>
      </c>
      <c r="AP1701">
        <v>0</v>
      </c>
      <c r="AQ1701">
        <v>0</v>
      </c>
      <c r="AR1701">
        <v>0</v>
      </c>
      <c r="AS1701">
        <v>0</v>
      </c>
      <c r="AT1701">
        <v>0</v>
      </c>
      <c r="AU1701">
        <v>0</v>
      </c>
      <c r="AV1701">
        <v>0</v>
      </c>
      <c r="AW1701">
        <v>0</v>
      </c>
      <c r="AX1701">
        <v>0</v>
      </c>
      <c r="AY1701">
        <v>0</v>
      </c>
      <c r="AZ1701">
        <v>0</v>
      </c>
      <c r="BA1701">
        <v>0</v>
      </c>
      <c r="BB1701">
        <v>0</v>
      </c>
      <c r="BC1701">
        <v>0</v>
      </c>
      <c r="BD1701">
        <v>0</v>
      </c>
      <c r="BE1701">
        <v>0</v>
      </c>
      <c r="BF1701">
        <v>0</v>
      </c>
      <c r="BG1701">
        <v>0</v>
      </c>
      <c r="BH1701">
        <v>1</v>
      </c>
      <c r="BI1701">
        <v>21.7</v>
      </c>
      <c r="BJ1701">
        <v>33.4</v>
      </c>
      <c r="BK1701">
        <v>34</v>
      </c>
      <c r="BL1701" s="4">
        <v>165.3</v>
      </c>
      <c r="BM1701" s="4">
        <v>24.8</v>
      </c>
      <c r="BN1701" s="4">
        <v>190.1</v>
      </c>
      <c r="BO1701" s="4">
        <v>190.1</v>
      </c>
      <c r="BQ1701" t="s">
        <v>2103</v>
      </c>
      <c r="BR1701" t="s">
        <v>105</v>
      </c>
      <c r="BS1701" s="3">
        <v>43810</v>
      </c>
      <c r="BT1701" s="5">
        <v>0.33333333333333331</v>
      </c>
      <c r="BU1701" t="s">
        <v>2104</v>
      </c>
      <c r="BV1701" t="s">
        <v>86</v>
      </c>
      <c r="BY1701">
        <v>166787.71</v>
      </c>
      <c r="CC1701" t="s">
        <v>2101</v>
      </c>
      <c r="CD1701">
        <v>1441</v>
      </c>
      <c r="CE1701" t="s">
        <v>96</v>
      </c>
      <c r="CF1701" s="3">
        <v>43811</v>
      </c>
      <c r="CI1701">
        <v>1</v>
      </c>
      <c r="CJ1701">
        <v>1</v>
      </c>
      <c r="CK1701" t="s">
        <v>740</v>
      </c>
      <c r="CL1701" t="s">
        <v>89</v>
      </c>
    </row>
    <row r="1702" spans="1:90">
      <c r="A1702" t="s">
        <v>72</v>
      </c>
      <c r="B1702" t="s">
        <v>73</v>
      </c>
      <c r="C1702" t="s">
        <v>74</v>
      </c>
      <c r="E1702" t="str">
        <f>"FES1162727446"</f>
        <v>FES1162727446</v>
      </c>
      <c r="F1702" s="3">
        <v>43808</v>
      </c>
      <c r="G1702">
        <v>202006</v>
      </c>
      <c r="H1702" t="s">
        <v>75</v>
      </c>
      <c r="I1702" t="s">
        <v>76</v>
      </c>
      <c r="J1702" t="s">
        <v>100</v>
      </c>
      <c r="K1702" t="s">
        <v>78</v>
      </c>
      <c r="L1702" t="s">
        <v>101</v>
      </c>
      <c r="M1702" t="s">
        <v>102</v>
      </c>
      <c r="N1702" t="s">
        <v>681</v>
      </c>
      <c r="O1702" t="s">
        <v>104</v>
      </c>
      <c r="P1702" t="str">
        <f>"217071933                     "</f>
        <v xml:space="preserve">217071933                     </v>
      </c>
      <c r="Q1702">
        <v>0</v>
      </c>
      <c r="R1702">
        <v>0</v>
      </c>
      <c r="S1702">
        <v>0</v>
      </c>
      <c r="T1702">
        <v>0</v>
      </c>
      <c r="U1702">
        <v>0</v>
      </c>
      <c r="V1702">
        <v>0</v>
      </c>
      <c r="W1702">
        <v>0</v>
      </c>
      <c r="X1702">
        <v>0</v>
      </c>
      <c r="Y1702">
        <v>0</v>
      </c>
      <c r="Z1702">
        <v>0</v>
      </c>
      <c r="AA1702">
        <v>0</v>
      </c>
      <c r="AB1702">
        <v>0</v>
      </c>
      <c r="AC1702">
        <v>0</v>
      </c>
      <c r="AD1702">
        <v>0</v>
      </c>
      <c r="AE1702">
        <v>0</v>
      </c>
      <c r="AF1702">
        <v>0</v>
      </c>
      <c r="AG1702">
        <v>0</v>
      </c>
      <c r="AH1702">
        <v>0</v>
      </c>
      <c r="AI1702">
        <v>0</v>
      </c>
      <c r="AJ1702">
        <v>0</v>
      </c>
      <c r="AK1702">
        <v>0</v>
      </c>
      <c r="AL1702">
        <v>0</v>
      </c>
      <c r="AM1702">
        <v>17.04</v>
      </c>
      <c r="AN1702">
        <v>0</v>
      </c>
      <c r="AO1702">
        <v>0</v>
      </c>
      <c r="AP1702">
        <v>0</v>
      </c>
      <c r="AQ1702">
        <v>0</v>
      </c>
      <c r="AR1702">
        <v>0</v>
      </c>
      <c r="AS1702">
        <v>0</v>
      </c>
      <c r="AT1702">
        <v>0</v>
      </c>
      <c r="AU1702">
        <v>0</v>
      </c>
      <c r="AV1702">
        <v>0</v>
      </c>
      <c r="AW1702">
        <v>0</v>
      </c>
      <c r="AX1702">
        <v>0</v>
      </c>
      <c r="AY1702">
        <v>0</v>
      </c>
      <c r="AZ1702">
        <v>0</v>
      </c>
      <c r="BA1702">
        <v>0</v>
      </c>
      <c r="BB1702">
        <v>0</v>
      </c>
      <c r="BC1702">
        <v>0</v>
      </c>
      <c r="BD1702">
        <v>0</v>
      </c>
      <c r="BE1702">
        <v>0</v>
      </c>
      <c r="BF1702">
        <v>0</v>
      </c>
      <c r="BG1702">
        <v>0</v>
      </c>
      <c r="BH1702">
        <v>1</v>
      </c>
      <c r="BI1702">
        <v>19.7</v>
      </c>
      <c r="BJ1702">
        <v>16.5</v>
      </c>
      <c r="BK1702">
        <v>20</v>
      </c>
      <c r="BL1702" s="4">
        <v>105.15</v>
      </c>
      <c r="BM1702" s="4">
        <v>15.77</v>
      </c>
      <c r="BN1702" s="4">
        <v>120.92</v>
      </c>
      <c r="BO1702" s="4">
        <v>120.92</v>
      </c>
      <c r="BR1702" t="s">
        <v>105</v>
      </c>
      <c r="BS1702" s="3">
        <v>43809</v>
      </c>
      <c r="BT1702" s="5">
        <v>0.35069444444444442</v>
      </c>
      <c r="BU1702" t="s">
        <v>2105</v>
      </c>
      <c r="BV1702" t="s">
        <v>86</v>
      </c>
      <c r="BY1702">
        <v>82534.92</v>
      </c>
      <c r="CA1702" t="s">
        <v>788</v>
      </c>
      <c r="CC1702" t="s">
        <v>102</v>
      </c>
      <c r="CD1702">
        <v>1</v>
      </c>
      <c r="CE1702" t="s">
        <v>116</v>
      </c>
      <c r="CF1702" s="3">
        <v>43810</v>
      </c>
      <c r="CI1702">
        <v>0</v>
      </c>
      <c r="CJ1702">
        <v>0</v>
      </c>
      <c r="CK1702" t="s">
        <v>108</v>
      </c>
      <c r="CL1702" t="s">
        <v>89</v>
      </c>
    </row>
    <row r="1703" spans="1:90">
      <c r="A1703" t="s">
        <v>72</v>
      </c>
      <c r="B1703" t="s">
        <v>73</v>
      </c>
      <c r="C1703" t="s">
        <v>74</v>
      </c>
      <c r="E1703" t="str">
        <f>"FES1162728401"</f>
        <v>FES1162728401</v>
      </c>
      <c r="F1703" s="3">
        <v>43812</v>
      </c>
      <c r="G1703">
        <v>202006</v>
      </c>
      <c r="H1703" t="s">
        <v>75</v>
      </c>
      <c r="I1703" t="s">
        <v>76</v>
      </c>
      <c r="J1703" t="s">
        <v>100</v>
      </c>
      <c r="K1703" t="s">
        <v>78</v>
      </c>
      <c r="L1703" t="s">
        <v>2100</v>
      </c>
      <c r="M1703" t="s">
        <v>2101</v>
      </c>
      <c r="N1703" t="s">
        <v>2102</v>
      </c>
      <c r="O1703" t="s">
        <v>1340</v>
      </c>
      <c r="P1703" t="str">
        <f>"2170718410                    "</f>
        <v xml:space="preserve">2170718410                    </v>
      </c>
      <c r="Q1703">
        <v>0</v>
      </c>
      <c r="R1703">
        <v>0</v>
      </c>
      <c r="S1703">
        <v>0</v>
      </c>
      <c r="T1703">
        <v>0</v>
      </c>
      <c r="U1703">
        <v>0</v>
      </c>
      <c r="V1703">
        <v>0</v>
      </c>
      <c r="W1703">
        <v>0</v>
      </c>
      <c r="X1703">
        <v>0</v>
      </c>
      <c r="Y1703">
        <v>0</v>
      </c>
      <c r="Z1703">
        <v>0</v>
      </c>
      <c r="AA1703">
        <v>0</v>
      </c>
      <c r="AB1703">
        <v>0</v>
      </c>
      <c r="AC1703">
        <v>0</v>
      </c>
      <c r="AD1703">
        <v>0</v>
      </c>
      <c r="AE1703">
        <v>0</v>
      </c>
      <c r="AF1703">
        <v>0</v>
      </c>
      <c r="AG1703">
        <v>0</v>
      </c>
      <c r="AH1703">
        <v>0</v>
      </c>
      <c r="AI1703">
        <v>0</v>
      </c>
      <c r="AJ1703">
        <v>0</v>
      </c>
      <c r="AK1703">
        <v>0</v>
      </c>
      <c r="AL1703">
        <v>0</v>
      </c>
      <c r="AM1703">
        <v>26.56</v>
      </c>
      <c r="AN1703">
        <v>0</v>
      </c>
      <c r="AO1703">
        <v>0</v>
      </c>
      <c r="AP1703">
        <v>0</v>
      </c>
      <c r="AQ1703">
        <v>0</v>
      </c>
      <c r="AR1703">
        <v>0</v>
      </c>
      <c r="AS1703">
        <v>0</v>
      </c>
      <c r="AT1703">
        <v>0</v>
      </c>
      <c r="AU1703">
        <v>0</v>
      </c>
      <c r="AV1703">
        <v>0</v>
      </c>
      <c r="AW1703">
        <v>0</v>
      </c>
      <c r="AX1703">
        <v>0</v>
      </c>
      <c r="AY1703">
        <v>0</v>
      </c>
      <c r="AZ1703">
        <v>0</v>
      </c>
      <c r="BA1703">
        <v>0</v>
      </c>
      <c r="BB1703">
        <v>0</v>
      </c>
      <c r="BC1703">
        <v>0</v>
      </c>
      <c r="BD1703">
        <v>0</v>
      </c>
      <c r="BE1703">
        <v>0</v>
      </c>
      <c r="BF1703">
        <v>0</v>
      </c>
      <c r="BG1703">
        <v>0</v>
      </c>
      <c r="BH1703">
        <v>1</v>
      </c>
      <c r="BI1703">
        <v>8</v>
      </c>
      <c r="BJ1703">
        <v>1.1000000000000001</v>
      </c>
      <c r="BK1703">
        <v>8</v>
      </c>
      <c r="BL1703" s="4">
        <v>156.12</v>
      </c>
      <c r="BM1703" s="4">
        <v>23.42</v>
      </c>
      <c r="BN1703" s="4">
        <v>179.54</v>
      </c>
      <c r="BO1703" s="4">
        <v>179.54</v>
      </c>
      <c r="BQ1703" t="s">
        <v>127</v>
      </c>
      <c r="BR1703" t="s">
        <v>105</v>
      </c>
      <c r="BS1703" s="3">
        <v>43816</v>
      </c>
      <c r="BT1703" s="5">
        <v>0.375</v>
      </c>
      <c r="BU1703" t="s">
        <v>1933</v>
      </c>
      <c r="BV1703" t="s">
        <v>86</v>
      </c>
      <c r="BY1703">
        <v>5400</v>
      </c>
      <c r="BZ1703" t="s">
        <v>27</v>
      </c>
      <c r="CA1703" t="s">
        <v>344</v>
      </c>
      <c r="CC1703" t="s">
        <v>2101</v>
      </c>
      <c r="CD1703">
        <v>1441</v>
      </c>
      <c r="CE1703" t="s">
        <v>116</v>
      </c>
      <c r="CF1703" s="3">
        <v>43817</v>
      </c>
      <c r="CI1703">
        <v>1</v>
      </c>
      <c r="CJ1703">
        <v>2</v>
      </c>
      <c r="CK1703">
        <v>34</v>
      </c>
      <c r="CL1703" t="s">
        <v>89</v>
      </c>
    </row>
    <row r="1704" spans="1:90">
      <c r="A1704" t="s">
        <v>72</v>
      </c>
      <c r="B1704" t="s">
        <v>73</v>
      </c>
      <c r="C1704" t="s">
        <v>74</v>
      </c>
      <c r="E1704" t="str">
        <f>"FES1162727144"</f>
        <v>FES1162727144</v>
      </c>
      <c r="F1704" s="3">
        <v>43808</v>
      </c>
      <c r="G1704">
        <v>202006</v>
      </c>
      <c r="H1704" t="s">
        <v>75</v>
      </c>
      <c r="I1704" t="s">
        <v>76</v>
      </c>
      <c r="J1704" t="s">
        <v>100</v>
      </c>
      <c r="K1704" t="s">
        <v>78</v>
      </c>
      <c r="L1704" t="s">
        <v>138</v>
      </c>
      <c r="M1704" t="s">
        <v>139</v>
      </c>
      <c r="N1704" t="s">
        <v>703</v>
      </c>
      <c r="O1704" t="s">
        <v>1340</v>
      </c>
      <c r="P1704" t="str">
        <f>"2170710614                    "</f>
        <v xml:space="preserve">2170710614                    </v>
      </c>
      <c r="Q1704">
        <v>0</v>
      </c>
      <c r="R1704">
        <v>0</v>
      </c>
      <c r="S1704">
        <v>0</v>
      </c>
      <c r="T1704">
        <v>0</v>
      </c>
      <c r="U1704">
        <v>0</v>
      </c>
      <c r="V1704">
        <v>0</v>
      </c>
      <c r="W1704">
        <v>0</v>
      </c>
      <c r="X1704">
        <v>0</v>
      </c>
      <c r="Y1704">
        <v>0</v>
      </c>
      <c r="Z1704">
        <v>0</v>
      </c>
      <c r="AA1704">
        <v>0</v>
      </c>
      <c r="AB1704">
        <v>0</v>
      </c>
      <c r="AC1704">
        <v>0</v>
      </c>
      <c r="AD1704">
        <v>0</v>
      </c>
      <c r="AE1704">
        <v>0</v>
      </c>
      <c r="AF1704">
        <v>0</v>
      </c>
      <c r="AG1704">
        <v>0</v>
      </c>
      <c r="AH1704">
        <v>0</v>
      </c>
      <c r="AI1704">
        <v>0</v>
      </c>
      <c r="AJ1704">
        <v>0</v>
      </c>
      <c r="AK1704">
        <v>0</v>
      </c>
      <c r="AL1704">
        <v>0</v>
      </c>
      <c r="AM1704">
        <v>14.23</v>
      </c>
      <c r="AN1704">
        <v>0</v>
      </c>
      <c r="AO1704">
        <v>0</v>
      </c>
      <c r="AP1704">
        <v>0</v>
      </c>
      <c r="AQ1704">
        <v>0</v>
      </c>
      <c r="AR1704">
        <v>0</v>
      </c>
      <c r="AS1704">
        <v>0</v>
      </c>
      <c r="AT1704">
        <v>0</v>
      </c>
      <c r="AU1704">
        <v>0</v>
      </c>
      <c r="AV1704">
        <v>0</v>
      </c>
      <c r="AW1704">
        <v>0</v>
      </c>
      <c r="AX1704">
        <v>0</v>
      </c>
      <c r="AY1704">
        <v>0</v>
      </c>
      <c r="AZ1704">
        <v>0</v>
      </c>
      <c r="BA1704">
        <v>0</v>
      </c>
      <c r="BB1704">
        <v>0</v>
      </c>
      <c r="BC1704">
        <v>0</v>
      </c>
      <c r="BD1704">
        <v>0</v>
      </c>
      <c r="BE1704">
        <v>0</v>
      </c>
      <c r="BF1704">
        <v>0</v>
      </c>
      <c r="BG1704">
        <v>0</v>
      </c>
      <c r="BH1704">
        <v>1</v>
      </c>
      <c r="BI1704">
        <v>11.1</v>
      </c>
      <c r="BJ1704">
        <v>13.7</v>
      </c>
      <c r="BK1704">
        <v>14</v>
      </c>
      <c r="BL1704" s="4">
        <v>83.64</v>
      </c>
      <c r="BM1704" s="4">
        <v>12.55</v>
      </c>
      <c r="BN1704" s="4">
        <v>96.19</v>
      </c>
      <c r="BO1704" s="4">
        <v>96.19</v>
      </c>
      <c r="BQ1704" t="s">
        <v>704</v>
      </c>
      <c r="BR1704" t="s">
        <v>105</v>
      </c>
      <c r="BS1704" s="3">
        <v>43809</v>
      </c>
      <c r="BT1704" s="5">
        <v>0.41250000000000003</v>
      </c>
      <c r="BU1704" t="s">
        <v>705</v>
      </c>
      <c r="BV1704" t="s">
        <v>86</v>
      </c>
      <c r="BY1704">
        <v>68526.740000000005</v>
      </c>
      <c r="BZ1704" t="s">
        <v>27</v>
      </c>
      <c r="CC1704" t="s">
        <v>139</v>
      </c>
      <c r="CD1704">
        <v>1422</v>
      </c>
      <c r="CE1704" t="s">
        <v>116</v>
      </c>
      <c r="CF1704" s="3">
        <v>43810</v>
      </c>
      <c r="CI1704">
        <v>1</v>
      </c>
      <c r="CJ1704">
        <v>1</v>
      </c>
      <c r="CK1704">
        <v>32</v>
      </c>
      <c r="CL1704" t="s">
        <v>89</v>
      </c>
    </row>
    <row r="1705" spans="1:90">
      <c r="A1705" t="s">
        <v>72</v>
      </c>
      <c r="B1705" t="s">
        <v>73</v>
      </c>
      <c r="C1705" t="s">
        <v>74</v>
      </c>
      <c r="E1705" t="str">
        <f>"FES1162729070"</f>
        <v>FES1162729070</v>
      </c>
      <c r="F1705" s="3">
        <v>43818</v>
      </c>
      <c r="G1705">
        <v>202006</v>
      </c>
      <c r="H1705" t="s">
        <v>75</v>
      </c>
      <c r="I1705" t="s">
        <v>76</v>
      </c>
      <c r="J1705" t="s">
        <v>77</v>
      </c>
      <c r="K1705" t="s">
        <v>78</v>
      </c>
      <c r="L1705" t="s">
        <v>151</v>
      </c>
      <c r="M1705" t="s">
        <v>102</v>
      </c>
      <c r="N1705" t="s">
        <v>681</v>
      </c>
      <c r="O1705" t="s">
        <v>82</v>
      </c>
      <c r="P1705" t="str">
        <f>"217072038                     "</f>
        <v xml:space="preserve">217072038                     </v>
      </c>
      <c r="Q1705">
        <v>0</v>
      </c>
      <c r="R1705">
        <v>0</v>
      </c>
      <c r="S1705">
        <v>0</v>
      </c>
      <c r="T1705">
        <v>0</v>
      </c>
      <c r="U1705">
        <v>0</v>
      </c>
      <c r="V1705">
        <v>0</v>
      </c>
      <c r="W1705">
        <v>0</v>
      </c>
      <c r="X1705">
        <v>0</v>
      </c>
      <c r="Y1705">
        <v>0</v>
      </c>
      <c r="Z1705">
        <v>0</v>
      </c>
      <c r="AA1705">
        <v>0</v>
      </c>
      <c r="AB1705">
        <v>0</v>
      </c>
      <c r="AC1705">
        <v>0</v>
      </c>
      <c r="AD1705">
        <v>0</v>
      </c>
      <c r="AE1705">
        <v>0</v>
      </c>
      <c r="AF1705">
        <v>0</v>
      </c>
      <c r="AG1705">
        <v>0</v>
      </c>
      <c r="AH1705">
        <v>0</v>
      </c>
      <c r="AI1705">
        <v>0</v>
      </c>
      <c r="AJ1705">
        <v>0</v>
      </c>
      <c r="AK1705">
        <v>0</v>
      </c>
      <c r="AL1705">
        <v>0</v>
      </c>
      <c r="AM1705">
        <v>8.58</v>
      </c>
      <c r="AN1705">
        <v>0</v>
      </c>
      <c r="AO1705">
        <v>0</v>
      </c>
      <c r="AP1705">
        <v>0</v>
      </c>
      <c r="AQ1705">
        <v>0</v>
      </c>
      <c r="AR1705">
        <v>0</v>
      </c>
      <c r="AS1705">
        <v>0</v>
      </c>
      <c r="AT1705">
        <v>0</v>
      </c>
      <c r="AU1705">
        <v>0</v>
      </c>
      <c r="AV1705">
        <v>0</v>
      </c>
      <c r="AW1705">
        <v>0</v>
      </c>
      <c r="AX1705">
        <v>0</v>
      </c>
      <c r="AY1705">
        <v>0</v>
      </c>
      <c r="AZ1705">
        <v>0</v>
      </c>
      <c r="BA1705">
        <v>0</v>
      </c>
      <c r="BB1705">
        <v>0</v>
      </c>
      <c r="BC1705">
        <v>0</v>
      </c>
      <c r="BD1705">
        <v>0</v>
      </c>
      <c r="BE1705">
        <v>0</v>
      </c>
      <c r="BF1705">
        <v>0</v>
      </c>
      <c r="BG1705">
        <v>0</v>
      </c>
      <c r="BH1705">
        <v>1</v>
      </c>
      <c r="BI1705">
        <v>1.8</v>
      </c>
      <c r="BJ1705">
        <v>1.3</v>
      </c>
      <c r="BK1705">
        <v>2</v>
      </c>
      <c r="BL1705" s="4">
        <v>50.45</v>
      </c>
      <c r="BM1705" s="4">
        <v>7.57</v>
      </c>
      <c r="BN1705" s="4">
        <v>58.02</v>
      </c>
      <c r="BO1705" s="4">
        <v>58.02</v>
      </c>
      <c r="BR1705" t="s">
        <v>84</v>
      </c>
      <c r="BS1705" s="3">
        <v>43826</v>
      </c>
      <c r="BT1705" s="5">
        <v>0.39583333333333331</v>
      </c>
      <c r="BU1705" t="s">
        <v>2106</v>
      </c>
      <c r="BV1705" t="s">
        <v>89</v>
      </c>
      <c r="BW1705" t="s">
        <v>149</v>
      </c>
      <c r="BX1705" t="s">
        <v>181</v>
      </c>
      <c r="BY1705">
        <v>6272.77</v>
      </c>
      <c r="CC1705" t="s">
        <v>102</v>
      </c>
      <c r="CD1705">
        <v>1</v>
      </c>
      <c r="CE1705" t="s">
        <v>96</v>
      </c>
      <c r="CF1705" s="3">
        <v>43830</v>
      </c>
      <c r="CI1705">
        <v>1</v>
      </c>
      <c r="CJ1705">
        <v>6</v>
      </c>
      <c r="CK1705">
        <v>21</v>
      </c>
      <c r="CL1705" t="s">
        <v>89</v>
      </c>
    </row>
    <row r="1706" spans="1:90">
      <c r="A1706" t="s">
        <v>72</v>
      </c>
      <c r="B1706" t="s">
        <v>73</v>
      </c>
      <c r="C1706" t="s">
        <v>74</v>
      </c>
      <c r="E1706" t="str">
        <f>"FES1162729129"</f>
        <v>FES1162729129</v>
      </c>
      <c r="F1706" s="3">
        <v>43818</v>
      </c>
      <c r="G1706">
        <v>202006</v>
      </c>
      <c r="H1706" t="s">
        <v>75</v>
      </c>
      <c r="I1706" t="s">
        <v>76</v>
      </c>
      <c r="J1706" t="s">
        <v>77</v>
      </c>
      <c r="K1706" t="s">
        <v>78</v>
      </c>
      <c r="L1706" t="s">
        <v>90</v>
      </c>
      <c r="M1706" t="s">
        <v>91</v>
      </c>
      <c r="N1706" t="s">
        <v>548</v>
      </c>
      <c r="O1706" t="s">
        <v>82</v>
      </c>
      <c r="P1706" t="str">
        <f>"21707207545                   "</f>
        <v xml:space="preserve">21707207545                   </v>
      </c>
      <c r="Q1706">
        <v>0</v>
      </c>
      <c r="R1706">
        <v>0</v>
      </c>
      <c r="S1706">
        <v>0</v>
      </c>
      <c r="T1706">
        <v>0</v>
      </c>
      <c r="U1706">
        <v>0</v>
      </c>
      <c r="V1706">
        <v>0</v>
      </c>
      <c r="W1706">
        <v>0</v>
      </c>
      <c r="X1706">
        <v>0</v>
      </c>
      <c r="Y1706">
        <v>0</v>
      </c>
      <c r="Z1706">
        <v>0</v>
      </c>
      <c r="AA1706">
        <v>0</v>
      </c>
      <c r="AB1706">
        <v>0</v>
      </c>
      <c r="AC1706">
        <v>0</v>
      </c>
      <c r="AD1706">
        <v>0</v>
      </c>
      <c r="AE1706">
        <v>0</v>
      </c>
      <c r="AF1706">
        <v>0</v>
      </c>
      <c r="AG1706">
        <v>0</v>
      </c>
      <c r="AH1706">
        <v>0</v>
      </c>
      <c r="AI1706">
        <v>0</v>
      </c>
      <c r="AJ1706">
        <v>0</v>
      </c>
      <c r="AK1706">
        <v>0</v>
      </c>
      <c r="AL1706">
        <v>0</v>
      </c>
      <c r="AM1706">
        <v>12.87</v>
      </c>
      <c r="AN1706">
        <v>0</v>
      </c>
      <c r="AO1706">
        <v>0</v>
      </c>
      <c r="AP1706">
        <v>0</v>
      </c>
      <c r="AQ1706">
        <v>0</v>
      </c>
      <c r="AR1706">
        <v>0</v>
      </c>
      <c r="AS1706">
        <v>0</v>
      </c>
      <c r="AT1706">
        <v>0</v>
      </c>
      <c r="AU1706">
        <v>0</v>
      </c>
      <c r="AV1706">
        <v>0</v>
      </c>
      <c r="AW1706">
        <v>0</v>
      </c>
      <c r="AX1706">
        <v>0</v>
      </c>
      <c r="AY1706">
        <v>0</v>
      </c>
      <c r="AZ1706">
        <v>0</v>
      </c>
      <c r="BA1706">
        <v>0</v>
      </c>
      <c r="BB1706">
        <v>0</v>
      </c>
      <c r="BC1706">
        <v>0</v>
      </c>
      <c r="BD1706">
        <v>0</v>
      </c>
      <c r="BE1706">
        <v>0</v>
      </c>
      <c r="BF1706">
        <v>0</v>
      </c>
      <c r="BG1706">
        <v>0</v>
      </c>
      <c r="BH1706">
        <v>1</v>
      </c>
      <c r="BI1706">
        <v>3</v>
      </c>
      <c r="BJ1706">
        <v>1.5</v>
      </c>
      <c r="BK1706">
        <v>3</v>
      </c>
      <c r="BL1706" s="4">
        <v>75.66</v>
      </c>
      <c r="BM1706" s="4">
        <v>11.35</v>
      </c>
      <c r="BN1706" s="4">
        <v>87.01</v>
      </c>
      <c r="BO1706" s="4">
        <v>87.01</v>
      </c>
      <c r="BQ1706" t="s">
        <v>147</v>
      </c>
      <c r="BR1706" t="s">
        <v>84</v>
      </c>
      <c r="BS1706" s="3">
        <v>43819</v>
      </c>
      <c r="BT1706" s="5">
        <v>0.30833333333333335</v>
      </c>
      <c r="BU1706" t="s">
        <v>1461</v>
      </c>
      <c r="BV1706" t="s">
        <v>86</v>
      </c>
      <c r="BY1706">
        <v>7415.26</v>
      </c>
      <c r="CA1706" t="s">
        <v>550</v>
      </c>
      <c r="CC1706" t="s">
        <v>91</v>
      </c>
      <c r="CD1706">
        <v>7530</v>
      </c>
      <c r="CE1706" t="s">
        <v>116</v>
      </c>
      <c r="CF1706" s="3">
        <v>43822</v>
      </c>
      <c r="CI1706">
        <v>1</v>
      </c>
      <c r="CJ1706">
        <v>1</v>
      </c>
      <c r="CK1706">
        <v>21</v>
      </c>
      <c r="CL1706" t="s">
        <v>89</v>
      </c>
    </row>
    <row r="1707" spans="1:90">
      <c r="A1707" t="s">
        <v>72</v>
      </c>
      <c r="B1707" t="s">
        <v>73</v>
      </c>
      <c r="C1707" t="s">
        <v>74</v>
      </c>
      <c r="E1707" t="str">
        <f>"FES1162729063"</f>
        <v>FES1162729063</v>
      </c>
      <c r="F1707" s="3">
        <v>43818</v>
      </c>
      <c r="G1707">
        <v>202006</v>
      </c>
      <c r="H1707" t="s">
        <v>75</v>
      </c>
      <c r="I1707" t="s">
        <v>76</v>
      </c>
      <c r="J1707" t="s">
        <v>77</v>
      </c>
      <c r="K1707" t="s">
        <v>78</v>
      </c>
      <c r="L1707" t="s">
        <v>221</v>
      </c>
      <c r="M1707" t="s">
        <v>222</v>
      </c>
      <c r="N1707" t="s">
        <v>245</v>
      </c>
      <c r="O1707" t="s">
        <v>82</v>
      </c>
      <c r="P1707" t="str">
        <f>"21707200258                   "</f>
        <v xml:space="preserve">21707200258                   </v>
      </c>
      <c r="Q1707">
        <v>0</v>
      </c>
      <c r="R1707">
        <v>0</v>
      </c>
      <c r="S1707">
        <v>0</v>
      </c>
      <c r="T1707">
        <v>0</v>
      </c>
      <c r="U1707">
        <v>0</v>
      </c>
      <c r="V1707">
        <v>0</v>
      </c>
      <c r="W1707">
        <v>0</v>
      </c>
      <c r="X1707">
        <v>0</v>
      </c>
      <c r="Y1707">
        <v>0</v>
      </c>
      <c r="Z1707">
        <v>0</v>
      </c>
      <c r="AA1707">
        <v>0</v>
      </c>
      <c r="AB1707">
        <v>0</v>
      </c>
      <c r="AC1707">
        <v>0</v>
      </c>
      <c r="AD1707">
        <v>0</v>
      </c>
      <c r="AE1707">
        <v>0</v>
      </c>
      <c r="AF1707">
        <v>0</v>
      </c>
      <c r="AG1707">
        <v>0</v>
      </c>
      <c r="AH1707">
        <v>0</v>
      </c>
      <c r="AI1707">
        <v>0</v>
      </c>
      <c r="AJ1707">
        <v>0</v>
      </c>
      <c r="AK1707">
        <v>0</v>
      </c>
      <c r="AL1707">
        <v>0</v>
      </c>
      <c r="AM1707">
        <v>8.58</v>
      </c>
      <c r="AN1707">
        <v>0</v>
      </c>
      <c r="AO1707">
        <v>0</v>
      </c>
      <c r="AP1707">
        <v>0</v>
      </c>
      <c r="AQ1707">
        <v>0</v>
      </c>
      <c r="AR1707">
        <v>0</v>
      </c>
      <c r="AS1707">
        <v>0</v>
      </c>
      <c r="AT1707">
        <v>0</v>
      </c>
      <c r="AU1707">
        <v>0</v>
      </c>
      <c r="AV1707">
        <v>0</v>
      </c>
      <c r="AW1707">
        <v>0</v>
      </c>
      <c r="AX1707">
        <v>0</v>
      </c>
      <c r="AY1707">
        <v>0</v>
      </c>
      <c r="AZ1707">
        <v>0</v>
      </c>
      <c r="BA1707">
        <v>0</v>
      </c>
      <c r="BB1707">
        <v>0</v>
      </c>
      <c r="BC1707">
        <v>0</v>
      </c>
      <c r="BD1707">
        <v>0</v>
      </c>
      <c r="BE1707">
        <v>0</v>
      </c>
      <c r="BF1707">
        <v>0</v>
      </c>
      <c r="BG1707">
        <v>0</v>
      </c>
      <c r="BH1707">
        <v>1</v>
      </c>
      <c r="BI1707">
        <v>1</v>
      </c>
      <c r="BJ1707">
        <v>0.2</v>
      </c>
      <c r="BK1707">
        <v>1</v>
      </c>
      <c r="BL1707" s="4">
        <v>50.45</v>
      </c>
      <c r="BM1707" s="4">
        <v>7.57</v>
      </c>
      <c r="BN1707" s="4">
        <v>58.02</v>
      </c>
      <c r="BO1707" s="4">
        <v>58.02</v>
      </c>
      <c r="BR1707" t="s">
        <v>84</v>
      </c>
      <c r="BS1707" s="3">
        <v>43819</v>
      </c>
      <c r="BT1707" s="5">
        <v>0.43541666666666662</v>
      </c>
      <c r="BU1707" t="s">
        <v>2107</v>
      </c>
      <c r="BV1707" t="s">
        <v>86</v>
      </c>
      <c r="BY1707">
        <v>1200</v>
      </c>
      <c r="CA1707" t="s">
        <v>1609</v>
      </c>
      <c r="CC1707" t="s">
        <v>222</v>
      </c>
      <c r="CD1707">
        <v>3200</v>
      </c>
      <c r="CE1707" t="s">
        <v>88</v>
      </c>
      <c r="CF1707" s="3">
        <v>43822</v>
      </c>
      <c r="CI1707">
        <v>1</v>
      </c>
      <c r="CJ1707">
        <v>1</v>
      </c>
      <c r="CK1707">
        <v>21</v>
      </c>
      <c r="CL1707" t="s">
        <v>89</v>
      </c>
    </row>
    <row r="1708" spans="1:90">
      <c r="A1708" t="s">
        <v>72</v>
      </c>
      <c r="B1708" t="s">
        <v>73</v>
      </c>
      <c r="C1708" t="s">
        <v>74</v>
      </c>
      <c r="E1708" t="str">
        <f>"FES1162729153"</f>
        <v>FES1162729153</v>
      </c>
      <c r="F1708" s="3">
        <v>43818</v>
      </c>
      <c r="G1708">
        <v>202006</v>
      </c>
      <c r="H1708" t="s">
        <v>75</v>
      </c>
      <c r="I1708" t="s">
        <v>76</v>
      </c>
      <c r="J1708" t="s">
        <v>77</v>
      </c>
      <c r="K1708" t="s">
        <v>78</v>
      </c>
      <c r="L1708" t="s">
        <v>221</v>
      </c>
      <c r="M1708" t="s">
        <v>222</v>
      </c>
      <c r="N1708" t="s">
        <v>1487</v>
      </c>
      <c r="O1708" t="s">
        <v>82</v>
      </c>
      <c r="P1708" t="str">
        <f>"2170722137                    "</f>
        <v xml:space="preserve">2170722137                    </v>
      </c>
      <c r="Q1708">
        <v>0</v>
      </c>
      <c r="R1708">
        <v>0</v>
      </c>
      <c r="S1708">
        <v>0</v>
      </c>
      <c r="T1708">
        <v>0</v>
      </c>
      <c r="U1708">
        <v>0</v>
      </c>
      <c r="V1708">
        <v>0</v>
      </c>
      <c r="W1708">
        <v>0</v>
      </c>
      <c r="X1708">
        <v>0</v>
      </c>
      <c r="Y1708">
        <v>0</v>
      </c>
      <c r="Z1708">
        <v>0</v>
      </c>
      <c r="AA1708">
        <v>0</v>
      </c>
      <c r="AB1708">
        <v>0</v>
      </c>
      <c r="AC1708">
        <v>0</v>
      </c>
      <c r="AD1708">
        <v>0</v>
      </c>
      <c r="AE1708">
        <v>0</v>
      </c>
      <c r="AF1708">
        <v>0</v>
      </c>
      <c r="AG1708">
        <v>0</v>
      </c>
      <c r="AH1708">
        <v>0</v>
      </c>
      <c r="AI1708">
        <v>0</v>
      </c>
      <c r="AJ1708">
        <v>0</v>
      </c>
      <c r="AK1708">
        <v>0</v>
      </c>
      <c r="AL1708">
        <v>0</v>
      </c>
      <c r="AM1708">
        <v>8.58</v>
      </c>
      <c r="AN1708">
        <v>0</v>
      </c>
      <c r="AO1708">
        <v>0</v>
      </c>
      <c r="AP1708">
        <v>0</v>
      </c>
      <c r="AQ1708">
        <v>0</v>
      </c>
      <c r="AR1708">
        <v>0</v>
      </c>
      <c r="AS1708">
        <v>0</v>
      </c>
      <c r="AT1708">
        <v>0</v>
      </c>
      <c r="AU1708">
        <v>0</v>
      </c>
      <c r="AV1708">
        <v>0</v>
      </c>
      <c r="AW1708">
        <v>0</v>
      </c>
      <c r="AX1708">
        <v>0</v>
      </c>
      <c r="AY1708">
        <v>0</v>
      </c>
      <c r="AZ1708">
        <v>0</v>
      </c>
      <c r="BA1708">
        <v>0</v>
      </c>
      <c r="BB1708">
        <v>0</v>
      </c>
      <c r="BC1708">
        <v>0</v>
      </c>
      <c r="BD1708">
        <v>0</v>
      </c>
      <c r="BE1708">
        <v>0</v>
      </c>
      <c r="BF1708">
        <v>0</v>
      </c>
      <c r="BG1708">
        <v>0</v>
      </c>
      <c r="BH1708">
        <v>1</v>
      </c>
      <c r="BI1708">
        <v>1</v>
      </c>
      <c r="BJ1708">
        <v>0.2</v>
      </c>
      <c r="BK1708">
        <v>1</v>
      </c>
      <c r="BL1708" s="4">
        <v>50.45</v>
      </c>
      <c r="BM1708" s="4">
        <v>7.57</v>
      </c>
      <c r="BN1708" s="4">
        <v>58.02</v>
      </c>
      <c r="BO1708" s="4">
        <v>58.02</v>
      </c>
      <c r="BQ1708" t="s">
        <v>93</v>
      </c>
      <c r="BR1708" t="s">
        <v>84</v>
      </c>
      <c r="BS1708" s="3">
        <v>43819</v>
      </c>
      <c r="BT1708" s="5">
        <v>0.39930555555555558</v>
      </c>
      <c r="BU1708" t="s">
        <v>1107</v>
      </c>
      <c r="BV1708" t="s">
        <v>86</v>
      </c>
      <c r="BY1708">
        <v>1200</v>
      </c>
      <c r="CA1708" t="s">
        <v>1488</v>
      </c>
      <c r="CC1708" t="s">
        <v>222</v>
      </c>
      <c r="CD1708">
        <v>3201</v>
      </c>
      <c r="CE1708" t="s">
        <v>88</v>
      </c>
      <c r="CF1708" s="3">
        <v>43822</v>
      </c>
      <c r="CI1708">
        <v>1</v>
      </c>
      <c r="CJ1708">
        <v>1</v>
      </c>
      <c r="CK1708">
        <v>21</v>
      </c>
      <c r="CL1708" t="s">
        <v>89</v>
      </c>
    </row>
    <row r="1709" spans="1:90">
      <c r="A1709" t="s">
        <v>72</v>
      </c>
      <c r="B1709" t="s">
        <v>73</v>
      </c>
      <c r="C1709" t="s">
        <v>74</v>
      </c>
      <c r="E1709" t="str">
        <f>"FES1162729152"</f>
        <v>FES1162729152</v>
      </c>
      <c r="F1709" s="3">
        <v>43818</v>
      </c>
      <c r="G1709">
        <v>202006</v>
      </c>
      <c r="H1709" t="s">
        <v>75</v>
      </c>
      <c r="I1709" t="s">
        <v>76</v>
      </c>
      <c r="J1709" t="s">
        <v>77</v>
      </c>
      <c r="K1709" t="s">
        <v>78</v>
      </c>
      <c r="L1709" t="s">
        <v>446</v>
      </c>
      <c r="M1709" t="s">
        <v>447</v>
      </c>
      <c r="N1709" t="s">
        <v>634</v>
      </c>
      <c r="O1709" t="s">
        <v>82</v>
      </c>
      <c r="P1709" t="str">
        <f>"2170722129                    "</f>
        <v xml:space="preserve">2170722129                    </v>
      </c>
      <c r="Q1709">
        <v>0</v>
      </c>
      <c r="R1709">
        <v>0</v>
      </c>
      <c r="S1709">
        <v>0</v>
      </c>
      <c r="T1709">
        <v>0</v>
      </c>
      <c r="U1709">
        <v>0</v>
      </c>
      <c r="V1709">
        <v>0</v>
      </c>
      <c r="W1709">
        <v>0</v>
      </c>
      <c r="X1709">
        <v>0</v>
      </c>
      <c r="Y1709">
        <v>0</v>
      </c>
      <c r="Z1709">
        <v>0</v>
      </c>
      <c r="AA1709">
        <v>0</v>
      </c>
      <c r="AB1709">
        <v>0</v>
      </c>
      <c r="AC1709">
        <v>0</v>
      </c>
      <c r="AD1709">
        <v>0</v>
      </c>
      <c r="AE1709">
        <v>0</v>
      </c>
      <c r="AF1709">
        <v>0</v>
      </c>
      <c r="AG1709">
        <v>0</v>
      </c>
      <c r="AH1709">
        <v>0</v>
      </c>
      <c r="AI1709">
        <v>0</v>
      </c>
      <c r="AJ1709">
        <v>0</v>
      </c>
      <c r="AK1709">
        <v>0</v>
      </c>
      <c r="AL1709">
        <v>0</v>
      </c>
      <c r="AM1709">
        <v>8.58</v>
      </c>
      <c r="AN1709">
        <v>0</v>
      </c>
      <c r="AO1709">
        <v>0</v>
      </c>
      <c r="AP1709">
        <v>0</v>
      </c>
      <c r="AQ1709">
        <v>0</v>
      </c>
      <c r="AR1709">
        <v>0</v>
      </c>
      <c r="AS1709">
        <v>0</v>
      </c>
      <c r="AT1709">
        <v>0</v>
      </c>
      <c r="AU1709">
        <v>0</v>
      </c>
      <c r="AV1709">
        <v>0</v>
      </c>
      <c r="AW1709">
        <v>0</v>
      </c>
      <c r="AX1709">
        <v>0</v>
      </c>
      <c r="AY1709">
        <v>0</v>
      </c>
      <c r="AZ1709">
        <v>0</v>
      </c>
      <c r="BA1709">
        <v>0</v>
      </c>
      <c r="BB1709">
        <v>0</v>
      </c>
      <c r="BC1709">
        <v>0</v>
      </c>
      <c r="BD1709">
        <v>0</v>
      </c>
      <c r="BE1709">
        <v>0</v>
      </c>
      <c r="BF1709">
        <v>0</v>
      </c>
      <c r="BG1709">
        <v>0</v>
      </c>
      <c r="BH1709">
        <v>1</v>
      </c>
      <c r="BI1709">
        <v>1</v>
      </c>
      <c r="BJ1709">
        <v>0.2</v>
      </c>
      <c r="BK1709">
        <v>1</v>
      </c>
      <c r="BL1709" s="4">
        <v>50.45</v>
      </c>
      <c r="BM1709" s="4">
        <v>7.57</v>
      </c>
      <c r="BN1709" s="4">
        <v>58.02</v>
      </c>
      <c r="BO1709" s="4">
        <v>58.02</v>
      </c>
      <c r="BQ1709" t="s">
        <v>147</v>
      </c>
      <c r="BR1709" t="s">
        <v>84</v>
      </c>
      <c r="BS1709" s="3">
        <v>43819</v>
      </c>
      <c r="BT1709" s="5">
        <v>0.3972222222222222</v>
      </c>
      <c r="BU1709" t="s">
        <v>816</v>
      </c>
      <c r="BV1709" t="s">
        <v>86</v>
      </c>
      <c r="BY1709">
        <v>1200</v>
      </c>
      <c r="CA1709" t="s">
        <v>212</v>
      </c>
      <c r="CC1709" t="s">
        <v>447</v>
      </c>
      <c r="CD1709">
        <v>4133</v>
      </c>
      <c r="CE1709" t="s">
        <v>88</v>
      </c>
      <c r="CF1709" s="3">
        <v>43822</v>
      </c>
      <c r="CI1709">
        <v>1</v>
      </c>
      <c r="CJ1709">
        <v>1</v>
      </c>
      <c r="CK1709">
        <v>21</v>
      </c>
      <c r="CL1709" t="s">
        <v>89</v>
      </c>
    </row>
    <row r="1710" spans="1:90">
      <c r="A1710" t="s">
        <v>72</v>
      </c>
      <c r="B1710" t="s">
        <v>73</v>
      </c>
      <c r="C1710" t="s">
        <v>74</v>
      </c>
      <c r="E1710" t="str">
        <f>"FES1162729148"</f>
        <v>FES1162729148</v>
      </c>
      <c r="F1710" s="3">
        <v>43818</v>
      </c>
      <c r="G1710">
        <v>202006</v>
      </c>
      <c r="H1710" t="s">
        <v>75</v>
      </c>
      <c r="I1710" t="s">
        <v>76</v>
      </c>
      <c r="J1710" t="s">
        <v>77</v>
      </c>
      <c r="K1710" t="s">
        <v>78</v>
      </c>
      <c r="L1710" t="s">
        <v>201</v>
      </c>
      <c r="M1710" t="s">
        <v>202</v>
      </c>
      <c r="N1710" t="s">
        <v>335</v>
      </c>
      <c r="O1710" t="s">
        <v>82</v>
      </c>
      <c r="P1710" t="str">
        <f>"2170721868                    "</f>
        <v xml:space="preserve">2170721868                    </v>
      </c>
      <c r="Q1710">
        <v>0</v>
      </c>
      <c r="R1710">
        <v>0</v>
      </c>
      <c r="S1710">
        <v>0</v>
      </c>
      <c r="T1710">
        <v>0</v>
      </c>
      <c r="U1710">
        <v>0</v>
      </c>
      <c r="V1710">
        <v>0</v>
      </c>
      <c r="W1710">
        <v>0</v>
      </c>
      <c r="X1710">
        <v>0</v>
      </c>
      <c r="Y1710">
        <v>0</v>
      </c>
      <c r="Z1710">
        <v>0</v>
      </c>
      <c r="AA1710">
        <v>0</v>
      </c>
      <c r="AB1710">
        <v>0</v>
      </c>
      <c r="AC1710">
        <v>0</v>
      </c>
      <c r="AD1710">
        <v>0</v>
      </c>
      <c r="AE1710">
        <v>0</v>
      </c>
      <c r="AF1710">
        <v>0</v>
      </c>
      <c r="AG1710">
        <v>0</v>
      </c>
      <c r="AH1710">
        <v>0</v>
      </c>
      <c r="AI1710">
        <v>0</v>
      </c>
      <c r="AJ1710">
        <v>0</v>
      </c>
      <c r="AK1710">
        <v>0</v>
      </c>
      <c r="AL1710">
        <v>0</v>
      </c>
      <c r="AM1710">
        <v>8.58</v>
      </c>
      <c r="AN1710">
        <v>0</v>
      </c>
      <c r="AO1710">
        <v>0</v>
      </c>
      <c r="AP1710">
        <v>0</v>
      </c>
      <c r="AQ1710">
        <v>0</v>
      </c>
      <c r="AR1710">
        <v>0</v>
      </c>
      <c r="AS1710">
        <v>0</v>
      </c>
      <c r="AT1710">
        <v>0</v>
      </c>
      <c r="AU1710">
        <v>0</v>
      </c>
      <c r="AV1710">
        <v>0</v>
      </c>
      <c r="AW1710">
        <v>0</v>
      </c>
      <c r="AX1710">
        <v>0</v>
      </c>
      <c r="AY1710">
        <v>0</v>
      </c>
      <c r="AZ1710">
        <v>0</v>
      </c>
      <c r="BA1710">
        <v>0</v>
      </c>
      <c r="BB1710">
        <v>0</v>
      </c>
      <c r="BC1710">
        <v>0</v>
      </c>
      <c r="BD1710">
        <v>0</v>
      </c>
      <c r="BE1710">
        <v>0</v>
      </c>
      <c r="BF1710">
        <v>0</v>
      </c>
      <c r="BG1710">
        <v>0</v>
      </c>
      <c r="BH1710">
        <v>1</v>
      </c>
      <c r="BI1710">
        <v>1</v>
      </c>
      <c r="BJ1710">
        <v>0.2</v>
      </c>
      <c r="BK1710">
        <v>1</v>
      </c>
      <c r="BL1710" s="4">
        <v>50.45</v>
      </c>
      <c r="BM1710" s="4">
        <v>7.57</v>
      </c>
      <c r="BN1710" s="4">
        <v>58.02</v>
      </c>
      <c r="BO1710" s="4">
        <v>58.02</v>
      </c>
      <c r="BQ1710" t="s">
        <v>147</v>
      </c>
      <c r="BR1710" t="s">
        <v>84</v>
      </c>
      <c r="BS1710" s="3">
        <v>43819</v>
      </c>
      <c r="BT1710" s="5">
        <v>0.40208333333333335</v>
      </c>
      <c r="BU1710" t="s">
        <v>2108</v>
      </c>
      <c r="BV1710" t="s">
        <v>86</v>
      </c>
      <c r="BY1710">
        <v>1200</v>
      </c>
      <c r="CA1710" t="s">
        <v>2109</v>
      </c>
      <c r="CC1710" t="s">
        <v>202</v>
      </c>
      <c r="CD1710">
        <v>3600</v>
      </c>
      <c r="CE1710" t="s">
        <v>88</v>
      </c>
      <c r="CF1710" s="3">
        <v>43823</v>
      </c>
      <c r="CI1710">
        <v>1</v>
      </c>
      <c r="CJ1710">
        <v>1</v>
      </c>
      <c r="CK1710">
        <v>21</v>
      </c>
      <c r="CL1710" t="s">
        <v>89</v>
      </c>
    </row>
    <row r="1711" spans="1:90">
      <c r="A1711" t="s">
        <v>72</v>
      </c>
      <c r="B1711" t="s">
        <v>73</v>
      </c>
      <c r="C1711" t="s">
        <v>74</v>
      </c>
      <c r="E1711" t="str">
        <f>"FES1162729142"</f>
        <v>FES1162729142</v>
      </c>
      <c r="F1711" s="3">
        <v>43818</v>
      </c>
      <c r="G1711">
        <v>202006</v>
      </c>
      <c r="H1711" t="s">
        <v>75</v>
      </c>
      <c r="I1711" t="s">
        <v>76</v>
      </c>
      <c r="J1711" t="s">
        <v>77</v>
      </c>
      <c r="K1711" t="s">
        <v>78</v>
      </c>
      <c r="L1711" t="s">
        <v>198</v>
      </c>
      <c r="M1711" t="s">
        <v>199</v>
      </c>
      <c r="N1711" t="s">
        <v>525</v>
      </c>
      <c r="O1711" t="s">
        <v>82</v>
      </c>
      <c r="P1711" t="str">
        <f>"2170721404                    "</f>
        <v xml:space="preserve">2170721404                    </v>
      </c>
      <c r="Q1711">
        <v>0</v>
      </c>
      <c r="R1711">
        <v>0</v>
      </c>
      <c r="S1711">
        <v>0</v>
      </c>
      <c r="T1711">
        <v>0</v>
      </c>
      <c r="U1711">
        <v>0</v>
      </c>
      <c r="V1711">
        <v>0</v>
      </c>
      <c r="W1711">
        <v>0</v>
      </c>
      <c r="X1711">
        <v>0</v>
      </c>
      <c r="Y1711">
        <v>0</v>
      </c>
      <c r="Z1711">
        <v>0</v>
      </c>
      <c r="AA1711">
        <v>0</v>
      </c>
      <c r="AB1711">
        <v>0</v>
      </c>
      <c r="AC1711">
        <v>0</v>
      </c>
      <c r="AD1711">
        <v>0</v>
      </c>
      <c r="AE1711">
        <v>0</v>
      </c>
      <c r="AF1711">
        <v>0</v>
      </c>
      <c r="AG1711">
        <v>0</v>
      </c>
      <c r="AH1711">
        <v>0</v>
      </c>
      <c r="AI1711">
        <v>0</v>
      </c>
      <c r="AJ1711">
        <v>0</v>
      </c>
      <c r="AK1711">
        <v>0</v>
      </c>
      <c r="AL1711">
        <v>0</v>
      </c>
      <c r="AM1711">
        <v>8.58</v>
      </c>
      <c r="AN1711">
        <v>0</v>
      </c>
      <c r="AO1711">
        <v>0</v>
      </c>
      <c r="AP1711">
        <v>0</v>
      </c>
      <c r="AQ1711">
        <v>0</v>
      </c>
      <c r="AR1711">
        <v>0</v>
      </c>
      <c r="AS1711">
        <v>0</v>
      </c>
      <c r="AT1711">
        <v>0</v>
      </c>
      <c r="AU1711">
        <v>0</v>
      </c>
      <c r="AV1711">
        <v>0</v>
      </c>
      <c r="AW1711">
        <v>0</v>
      </c>
      <c r="AX1711">
        <v>0</v>
      </c>
      <c r="AY1711">
        <v>0</v>
      </c>
      <c r="AZ1711">
        <v>0</v>
      </c>
      <c r="BA1711">
        <v>0</v>
      </c>
      <c r="BB1711">
        <v>0</v>
      </c>
      <c r="BC1711">
        <v>0</v>
      </c>
      <c r="BD1711">
        <v>0</v>
      </c>
      <c r="BE1711">
        <v>0</v>
      </c>
      <c r="BF1711">
        <v>0</v>
      </c>
      <c r="BG1711">
        <v>0</v>
      </c>
      <c r="BH1711">
        <v>1</v>
      </c>
      <c r="BI1711">
        <v>1</v>
      </c>
      <c r="BJ1711">
        <v>0.2</v>
      </c>
      <c r="BK1711">
        <v>1</v>
      </c>
      <c r="BL1711" s="4">
        <v>50.45</v>
      </c>
      <c r="BM1711" s="4">
        <v>7.57</v>
      </c>
      <c r="BN1711" s="4">
        <v>58.02</v>
      </c>
      <c r="BO1711" s="4">
        <v>58.02</v>
      </c>
      <c r="BQ1711" t="s">
        <v>147</v>
      </c>
      <c r="BR1711" t="s">
        <v>84</v>
      </c>
      <c r="BS1711" t="s">
        <v>717</v>
      </c>
      <c r="BY1711">
        <v>1200</v>
      </c>
      <c r="CC1711" t="s">
        <v>199</v>
      </c>
      <c r="CD1711">
        <v>4001</v>
      </c>
      <c r="CE1711" t="s">
        <v>88</v>
      </c>
      <c r="CI1711">
        <v>1</v>
      </c>
      <c r="CJ1711" t="s">
        <v>717</v>
      </c>
      <c r="CK1711">
        <v>21</v>
      </c>
      <c r="CL1711" t="s">
        <v>89</v>
      </c>
    </row>
    <row r="1712" spans="1:90">
      <c r="A1712" t="s">
        <v>72</v>
      </c>
      <c r="B1712" t="s">
        <v>73</v>
      </c>
      <c r="C1712" t="s">
        <v>74</v>
      </c>
      <c r="E1712" t="str">
        <f>"FES1162729157"</f>
        <v>FES1162729157</v>
      </c>
      <c r="F1712" s="3">
        <v>43818</v>
      </c>
      <c r="G1712">
        <v>202006</v>
      </c>
      <c r="H1712" t="s">
        <v>75</v>
      </c>
      <c r="I1712" t="s">
        <v>76</v>
      </c>
      <c r="J1712" t="s">
        <v>77</v>
      </c>
      <c r="K1712" t="s">
        <v>78</v>
      </c>
      <c r="L1712" t="s">
        <v>198</v>
      </c>
      <c r="M1712" t="s">
        <v>199</v>
      </c>
      <c r="N1712" t="s">
        <v>2110</v>
      </c>
      <c r="O1712" t="s">
        <v>82</v>
      </c>
      <c r="P1712" t="str">
        <f>"2170721854                    "</f>
        <v xml:space="preserve">2170721854                    </v>
      </c>
      <c r="Q1712">
        <v>0</v>
      </c>
      <c r="R1712">
        <v>0</v>
      </c>
      <c r="S1712">
        <v>0</v>
      </c>
      <c r="T1712">
        <v>0</v>
      </c>
      <c r="U1712">
        <v>0</v>
      </c>
      <c r="V1712">
        <v>0</v>
      </c>
      <c r="W1712">
        <v>0</v>
      </c>
      <c r="X1712">
        <v>0</v>
      </c>
      <c r="Y1712">
        <v>0</v>
      </c>
      <c r="Z1712">
        <v>0</v>
      </c>
      <c r="AA1712">
        <v>0</v>
      </c>
      <c r="AB1712">
        <v>0</v>
      </c>
      <c r="AC1712">
        <v>0</v>
      </c>
      <c r="AD1712">
        <v>0</v>
      </c>
      <c r="AE1712">
        <v>0</v>
      </c>
      <c r="AF1712">
        <v>0</v>
      </c>
      <c r="AG1712">
        <v>0</v>
      </c>
      <c r="AH1712">
        <v>0</v>
      </c>
      <c r="AI1712">
        <v>0</v>
      </c>
      <c r="AJ1712">
        <v>0</v>
      </c>
      <c r="AK1712">
        <v>0</v>
      </c>
      <c r="AL1712">
        <v>0</v>
      </c>
      <c r="AM1712">
        <v>8.58</v>
      </c>
      <c r="AN1712">
        <v>0</v>
      </c>
      <c r="AO1712">
        <v>0</v>
      </c>
      <c r="AP1712">
        <v>0</v>
      </c>
      <c r="AQ1712">
        <v>0</v>
      </c>
      <c r="AR1712">
        <v>0</v>
      </c>
      <c r="AS1712">
        <v>0</v>
      </c>
      <c r="AT1712">
        <v>0</v>
      </c>
      <c r="AU1712">
        <v>0</v>
      </c>
      <c r="AV1712">
        <v>0</v>
      </c>
      <c r="AW1712">
        <v>0</v>
      </c>
      <c r="AX1712">
        <v>0</v>
      </c>
      <c r="AY1712">
        <v>0</v>
      </c>
      <c r="AZ1712">
        <v>0</v>
      </c>
      <c r="BA1712">
        <v>0</v>
      </c>
      <c r="BB1712">
        <v>0</v>
      </c>
      <c r="BC1712">
        <v>0</v>
      </c>
      <c r="BD1712">
        <v>0</v>
      </c>
      <c r="BE1712">
        <v>0</v>
      </c>
      <c r="BF1712">
        <v>0</v>
      </c>
      <c r="BG1712">
        <v>0</v>
      </c>
      <c r="BH1712">
        <v>1</v>
      </c>
      <c r="BI1712">
        <v>1</v>
      </c>
      <c r="BJ1712">
        <v>0.2</v>
      </c>
      <c r="BK1712">
        <v>1</v>
      </c>
      <c r="BL1712" s="4">
        <v>50.45</v>
      </c>
      <c r="BM1712" s="4">
        <v>7.57</v>
      </c>
      <c r="BN1712" s="4">
        <v>58.02</v>
      </c>
      <c r="BO1712" s="4">
        <v>58.02</v>
      </c>
      <c r="BR1712" t="s">
        <v>84</v>
      </c>
      <c r="BS1712" s="3">
        <v>43819</v>
      </c>
      <c r="BT1712" s="5">
        <v>0.3444444444444445</v>
      </c>
      <c r="BU1712" t="s">
        <v>2111</v>
      </c>
      <c r="BV1712" t="s">
        <v>86</v>
      </c>
      <c r="BY1712">
        <v>1200</v>
      </c>
      <c r="CA1712" t="s">
        <v>2109</v>
      </c>
      <c r="CC1712" t="s">
        <v>199</v>
      </c>
      <c r="CD1712">
        <v>4001</v>
      </c>
      <c r="CE1712" t="s">
        <v>88</v>
      </c>
      <c r="CF1712" s="3">
        <v>43823</v>
      </c>
      <c r="CI1712">
        <v>1</v>
      </c>
      <c r="CJ1712">
        <v>1</v>
      </c>
      <c r="CK1712">
        <v>21</v>
      </c>
      <c r="CL1712" t="s">
        <v>89</v>
      </c>
    </row>
    <row r="1713" spans="1:90">
      <c r="A1713" t="s">
        <v>72</v>
      </c>
      <c r="B1713" t="s">
        <v>73</v>
      </c>
      <c r="C1713" t="s">
        <v>74</v>
      </c>
      <c r="E1713" t="str">
        <f>"FES1162729125"</f>
        <v>FES1162729125</v>
      </c>
      <c r="F1713" s="3">
        <v>43818</v>
      </c>
      <c r="G1713">
        <v>202006</v>
      </c>
      <c r="H1713" t="s">
        <v>75</v>
      </c>
      <c r="I1713" t="s">
        <v>76</v>
      </c>
      <c r="J1713" t="s">
        <v>77</v>
      </c>
      <c r="K1713" t="s">
        <v>78</v>
      </c>
      <c r="L1713" t="s">
        <v>79</v>
      </c>
      <c r="M1713" t="s">
        <v>80</v>
      </c>
      <c r="N1713" t="s">
        <v>129</v>
      </c>
      <c r="O1713" t="s">
        <v>82</v>
      </c>
      <c r="P1713" t="str">
        <f>"2170720722                    "</f>
        <v xml:space="preserve">2170720722                    </v>
      </c>
      <c r="Q1713">
        <v>0</v>
      </c>
      <c r="R1713">
        <v>0</v>
      </c>
      <c r="S1713">
        <v>0</v>
      </c>
      <c r="T1713">
        <v>0</v>
      </c>
      <c r="U1713">
        <v>0</v>
      </c>
      <c r="V1713">
        <v>0</v>
      </c>
      <c r="W1713">
        <v>0</v>
      </c>
      <c r="X1713">
        <v>0</v>
      </c>
      <c r="Y1713">
        <v>0</v>
      </c>
      <c r="Z1713">
        <v>0</v>
      </c>
      <c r="AA1713">
        <v>0</v>
      </c>
      <c r="AB1713">
        <v>0</v>
      </c>
      <c r="AC1713">
        <v>0</v>
      </c>
      <c r="AD1713">
        <v>0</v>
      </c>
      <c r="AE1713">
        <v>0</v>
      </c>
      <c r="AF1713">
        <v>0</v>
      </c>
      <c r="AG1713">
        <v>0</v>
      </c>
      <c r="AH1713">
        <v>0</v>
      </c>
      <c r="AI1713">
        <v>0</v>
      </c>
      <c r="AJ1713">
        <v>0</v>
      </c>
      <c r="AK1713">
        <v>0</v>
      </c>
      <c r="AL1713">
        <v>0</v>
      </c>
      <c r="AM1713">
        <v>25.74</v>
      </c>
      <c r="AN1713">
        <v>0</v>
      </c>
      <c r="AO1713">
        <v>0</v>
      </c>
      <c r="AP1713">
        <v>0</v>
      </c>
      <c r="AQ1713">
        <v>0</v>
      </c>
      <c r="AR1713">
        <v>0</v>
      </c>
      <c r="AS1713">
        <v>0</v>
      </c>
      <c r="AT1713">
        <v>0</v>
      </c>
      <c r="AU1713">
        <v>0</v>
      </c>
      <c r="AV1713">
        <v>0</v>
      </c>
      <c r="AW1713">
        <v>0</v>
      </c>
      <c r="AX1713">
        <v>0</v>
      </c>
      <c r="AY1713">
        <v>0</v>
      </c>
      <c r="AZ1713">
        <v>0</v>
      </c>
      <c r="BA1713">
        <v>0</v>
      </c>
      <c r="BB1713">
        <v>0</v>
      </c>
      <c r="BC1713">
        <v>0</v>
      </c>
      <c r="BD1713">
        <v>0</v>
      </c>
      <c r="BE1713">
        <v>0</v>
      </c>
      <c r="BF1713">
        <v>0</v>
      </c>
      <c r="BG1713">
        <v>0</v>
      </c>
      <c r="BH1713">
        <v>1</v>
      </c>
      <c r="BI1713">
        <v>6</v>
      </c>
      <c r="BJ1713">
        <v>2.4</v>
      </c>
      <c r="BK1713">
        <v>6</v>
      </c>
      <c r="BL1713" s="4">
        <v>151.29</v>
      </c>
      <c r="BM1713" s="4">
        <v>22.69</v>
      </c>
      <c r="BN1713" s="4">
        <v>173.98</v>
      </c>
      <c r="BO1713" s="4">
        <v>173.98</v>
      </c>
      <c r="BQ1713" t="s">
        <v>147</v>
      </c>
      <c r="BR1713" t="s">
        <v>84</v>
      </c>
      <c r="BS1713" s="3">
        <v>43819</v>
      </c>
      <c r="BT1713" s="5">
        <v>0.37777777777777777</v>
      </c>
      <c r="BU1713" t="s">
        <v>130</v>
      </c>
      <c r="BV1713" t="s">
        <v>86</v>
      </c>
      <c r="BY1713">
        <v>12045.38</v>
      </c>
      <c r="CA1713" t="s">
        <v>131</v>
      </c>
      <c r="CC1713" t="s">
        <v>80</v>
      </c>
      <c r="CD1713">
        <v>6001</v>
      </c>
      <c r="CE1713" t="s">
        <v>116</v>
      </c>
      <c r="CF1713" s="3">
        <v>43822</v>
      </c>
      <c r="CI1713">
        <v>1</v>
      </c>
      <c r="CJ1713">
        <v>1</v>
      </c>
      <c r="CK1713">
        <v>21</v>
      </c>
      <c r="CL1713" t="s">
        <v>89</v>
      </c>
    </row>
    <row r="1714" spans="1:90">
      <c r="A1714" t="s">
        <v>72</v>
      </c>
      <c r="B1714" t="s">
        <v>73</v>
      </c>
      <c r="C1714" t="s">
        <v>74</v>
      </c>
      <c r="E1714" t="str">
        <f>"FES1162729165"</f>
        <v>FES1162729165</v>
      </c>
      <c r="F1714" s="3">
        <v>43818</v>
      </c>
      <c r="G1714">
        <v>202006</v>
      </c>
      <c r="H1714" t="s">
        <v>75</v>
      </c>
      <c r="I1714" t="s">
        <v>76</v>
      </c>
      <c r="J1714" t="s">
        <v>77</v>
      </c>
      <c r="K1714" t="s">
        <v>78</v>
      </c>
      <c r="L1714" t="s">
        <v>164</v>
      </c>
      <c r="M1714" t="s">
        <v>165</v>
      </c>
      <c r="N1714" t="s">
        <v>369</v>
      </c>
      <c r="O1714" t="s">
        <v>82</v>
      </c>
      <c r="P1714" t="str">
        <f>"21707221532                   "</f>
        <v xml:space="preserve">21707221532                   </v>
      </c>
      <c r="Q1714">
        <v>0</v>
      </c>
      <c r="R1714">
        <v>0</v>
      </c>
      <c r="S1714">
        <v>0</v>
      </c>
      <c r="T1714">
        <v>0</v>
      </c>
      <c r="U1714">
        <v>0</v>
      </c>
      <c r="V1714">
        <v>0</v>
      </c>
      <c r="W1714">
        <v>0</v>
      </c>
      <c r="X1714">
        <v>0</v>
      </c>
      <c r="Y1714">
        <v>0</v>
      </c>
      <c r="Z1714">
        <v>0</v>
      </c>
      <c r="AA1714">
        <v>0</v>
      </c>
      <c r="AB1714">
        <v>0</v>
      </c>
      <c r="AC1714">
        <v>0</v>
      </c>
      <c r="AD1714">
        <v>0</v>
      </c>
      <c r="AE1714">
        <v>0</v>
      </c>
      <c r="AF1714">
        <v>0</v>
      </c>
      <c r="AG1714">
        <v>0</v>
      </c>
      <c r="AH1714">
        <v>0</v>
      </c>
      <c r="AI1714">
        <v>0</v>
      </c>
      <c r="AJ1714">
        <v>0</v>
      </c>
      <c r="AK1714">
        <v>0</v>
      </c>
      <c r="AL1714">
        <v>0</v>
      </c>
      <c r="AM1714">
        <v>8.58</v>
      </c>
      <c r="AN1714">
        <v>0</v>
      </c>
      <c r="AO1714">
        <v>0</v>
      </c>
      <c r="AP1714">
        <v>0</v>
      </c>
      <c r="AQ1714">
        <v>0</v>
      </c>
      <c r="AR1714">
        <v>0</v>
      </c>
      <c r="AS1714">
        <v>0</v>
      </c>
      <c r="AT1714">
        <v>0</v>
      </c>
      <c r="AU1714">
        <v>0</v>
      </c>
      <c r="AV1714">
        <v>0</v>
      </c>
      <c r="AW1714">
        <v>0</v>
      </c>
      <c r="AX1714">
        <v>0</v>
      </c>
      <c r="AY1714">
        <v>0</v>
      </c>
      <c r="AZ1714">
        <v>0</v>
      </c>
      <c r="BA1714">
        <v>0</v>
      </c>
      <c r="BB1714">
        <v>0</v>
      </c>
      <c r="BC1714">
        <v>0</v>
      </c>
      <c r="BD1714">
        <v>0</v>
      </c>
      <c r="BE1714">
        <v>0</v>
      </c>
      <c r="BF1714">
        <v>0</v>
      </c>
      <c r="BG1714">
        <v>0</v>
      </c>
      <c r="BH1714">
        <v>1</v>
      </c>
      <c r="BI1714">
        <v>1</v>
      </c>
      <c r="BJ1714">
        <v>0.2</v>
      </c>
      <c r="BK1714">
        <v>1</v>
      </c>
      <c r="BL1714" s="4">
        <v>50.45</v>
      </c>
      <c r="BM1714" s="4">
        <v>7.57</v>
      </c>
      <c r="BN1714" s="4">
        <v>58.02</v>
      </c>
      <c r="BO1714" s="4">
        <v>58.02</v>
      </c>
      <c r="BQ1714" t="s">
        <v>93</v>
      </c>
      <c r="BR1714" t="s">
        <v>84</v>
      </c>
      <c r="BS1714" s="3">
        <v>43819</v>
      </c>
      <c r="BT1714" s="5">
        <v>0.3611111111111111</v>
      </c>
      <c r="BU1714" t="s">
        <v>370</v>
      </c>
      <c r="BV1714" t="s">
        <v>86</v>
      </c>
      <c r="BY1714">
        <v>1200</v>
      </c>
      <c r="CA1714" t="s">
        <v>371</v>
      </c>
      <c r="CC1714" t="s">
        <v>165</v>
      </c>
      <c r="CD1714">
        <v>5201</v>
      </c>
      <c r="CE1714" t="s">
        <v>88</v>
      </c>
      <c r="CF1714" s="3">
        <v>43822</v>
      </c>
      <c r="CI1714">
        <v>1</v>
      </c>
      <c r="CJ1714">
        <v>1</v>
      </c>
      <c r="CK1714">
        <v>21</v>
      </c>
      <c r="CL1714" t="s">
        <v>89</v>
      </c>
    </row>
    <row r="1715" spans="1:90">
      <c r="A1715" t="s">
        <v>72</v>
      </c>
      <c r="B1715" t="s">
        <v>73</v>
      </c>
      <c r="C1715" t="s">
        <v>74</v>
      </c>
      <c r="E1715" t="str">
        <f>"FES1162729028"</f>
        <v>FES1162729028</v>
      </c>
      <c r="F1715" s="3">
        <v>43818</v>
      </c>
      <c r="G1715">
        <v>202006</v>
      </c>
      <c r="H1715" t="s">
        <v>75</v>
      </c>
      <c r="I1715" t="s">
        <v>76</v>
      </c>
      <c r="J1715" t="s">
        <v>77</v>
      </c>
      <c r="K1715" t="s">
        <v>78</v>
      </c>
      <c r="L1715" t="s">
        <v>164</v>
      </c>
      <c r="M1715" t="s">
        <v>165</v>
      </c>
      <c r="N1715" t="s">
        <v>263</v>
      </c>
      <c r="O1715" t="s">
        <v>82</v>
      </c>
      <c r="P1715" t="str">
        <f>"217071597                     "</f>
        <v xml:space="preserve">217071597                     </v>
      </c>
      <c r="Q1715">
        <v>0</v>
      </c>
      <c r="R1715">
        <v>0</v>
      </c>
      <c r="S1715">
        <v>0</v>
      </c>
      <c r="T1715">
        <v>0</v>
      </c>
      <c r="U1715">
        <v>0</v>
      </c>
      <c r="V1715">
        <v>0</v>
      </c>
      <c r="W1715">
        <v>0</v>
      </c>
      <c r="X1715">
        <v>0</v>
      </c>
      <c r="Y1715">
        <v>0</v>
      </c>
      <c r="Z1715">
        <v>0</v>
      </c>
      <c r="AA1715">
        <v>0</v>
      </c>
      <c r="AB1715">
        <v>0</v>
      </c>
      <c r="AC1715">
        <v>0</v>
      </c>
      <c r="AD1715">
        <v>0</v>
      </c>
      <c r="AE1715">
        <v>0</v>
      </c>
      <c r="AF1715">
        <v>0</v>
      </c>
      <c r="AG1715">
        <v>0</v>
      </c>
      <c r="AH1715">
        <v>0</v>
      </c>
      <c r="AI1715">
        <v>0</v>
      </c>
      <c r="AJ1715">
        <v>0</v>
      </c>
      <c r="AK1715">
        <v>0</v>
      </c>
      <c r="AL1715">
        <v>0</v>
      </c>
      <c r="AM1715">
        <v>8.58</v>
      </c>
      <c r="AN1715">
        <v>0</v>
      </c>
      <c r="AO1715">
        <v>0</v>
      </c>
      <c r="AP1715">
        <v>0</v>
      </c>
      <c r="AQ1715">
        <v>0</v>
      </c>
      <c r="AR1715">
        <v>0</v>
      </c>
      <c r="AS1715">
        <v>0</v>
      </c>
      <c r="AT1715">
        <v>0</v>
      </c>
      <c r="AU1715">
        <v>0</v>
      </c>
      <c r="AV1715">
        <v>0</v>
      </c>
      <c r="AW1715">
        <v>0</v>
      </c>
      <c r="AX1715">
        <v>0</v>
      </c>
      <c r="AY1715">
        <v>0</v>
      </c>
      <c r="AZ1715">
        <v>0</v>
      </c>
      <c r="BA1715">
        <v>0</v>
      </c>
      <c r="BB1715">
        <v>0</v>
      </c>
      <c r="BC1715">
        <v>0</v>
      </c>
      <c r="BD1715">
        <v>0</v>
      </c>
      <c r="BE1715">
        <v>0</v>
      </c>
      <c r="BF1715">
        <v>0</v>
      </c>
      <c r="BG1715">
        <v>0</v>
      </c>
      <c r="BH1715">
        <v>1</v>
      </c>
      <c r="BI1715">
        <v>1</v>
      </c>
      <c r="BJ1715">
        <v>0.2</v>
      </c>
      <c r="BK1715">
        <v>1</v>
      </c>
      <c r="BL1715" s="4">
        <v>50.45</v>
      </c>
      <c r="BM1715" s="4">
        <v>7.57</v>
      </c>
      <c r="BN1715" s="4">
        <v>58.02</v>
      </c>
      <c r="BO1715" s="4">
        <v>58.02</v>
      </c>
      <c r="BQ1715" t="s">
        <v>147</v>
      </c>
      <c r="BR1715" t="s">
        <v>84</v>
      </c>
      <c r="BS1715" s="3">
        <v>43819</v>
      </c>
      <c r="BT1715" s="5">
        <v>0.43402777777777773</v>
      </c>
      <c r="BU1715" t="s">
        <v>1827</v>
      </c>
      <c r="BV1715" t="s">
        <v>86</v>
      </c>
      <c r="BY1715">
        <v>1200</v>
      </c>
      <c r="CA1715" t="s">
        <v>371</v>
      </c>
      <c r="CC1715" t="s">
        <v>165</v>
      </c>
      <c r="CD1715">
        <v>5201</v>
      </c>
      <c r="CE1715" t="s">
        <v>88</v>
      </c>
      <c r="CF1715" s="3">
        <v>43822</v>
      </c>
      <c r="CI1715">
        <v>1</v>
      </c>
      <c r="CJ1715">
        <v>1</v>
      </c>
      <c r="CK1715">
        <v>21</v>
      </c>
      <c r="CL1715" t="s">
        <v>89</v>
      </c>
    </row>
    <row r="1716" spans="1:90">
      <c r="A1716" t="s">
        <v>72</v>
      </c>
      <c r="B1716" t="s">
        <v>73</v>
      </c>
      <c r="C1716" t="s">
        <v>74</v>
      </c>
      <c r="E1716" t="str">
        <f>"FES1162729139"</f>
        <v>FES1162729139</v>
      </c>
      <c r="F1716" s="3">
        <v>43818</v>
      </c>
      <c r="G1716">
        <v>202006</v>
      </c>
      <c r="H1716" t="s">
        <v>75</v>
      </c>
      <c r="I1716" t="s">
        <v>76</v>
      </c>
      <c r="J1716" t="s">
        <v>77</v>
      </c>
      <c r="K1716" t="s">
        <v>78</v>
      </c>
      <c r="L1716" t="s">
        <v>164</v>
      </c>
      <c r="M1716" t="s">
        <v>165</v>
      </c>
      <c r="N1716" t="s">
        <v>369</v>
      </c>
      <c r="O1716" t="s">
        <v>82</v>
      </c>
      <c r="P1716" t="str">
        <f>"2170721171                    "</f>
        <v xml:space="preserve">2170721171                    </v>
      </c>
      <c r="Q1716">
        <v>0</v>
      </c>
      <c r="R1716">
        <v>0</v>
      </c>
      <c r="S1716">
        <v>0</v>
      </c>
      <c r="T1716">
        <v>0</v>
      </c>
      <c r="U1716">
        <v>0</v>
      </c>
      <c r="V1716">
        <v>0</v>
      </c>
      <c r="W1716">
        <v>0</v>
      </c>
      <c r="X1716">
        <v>0</v>
      </c>
      <c r="Y1716">
        <v>0</v>
      </c>
      <c r="Z1716">
        <v>0</v>
      </c>
      <c r="AA1716">
        <v>0</v>
      </c>
      <c r="AB1716">
        <v>0</v>
      </c>
      <c r="AC1716">
        <v>0</v>
      </c>
      <c r="AD1716">
        <v>0</v>
      </c>
      <c r="AE1716">
        <v>0</v>
      </c>
      <c r="AF1716">
        <v>0</v>
      </c>
      <c r="AG1716">
        <v>0</v>
      </c>
      <c r="AH1716">
        <v>0</v>
      </c>
      <c r="AI1716">
        <v>0</v>
      </c>
      <c r="AJ1716">
        <v>0</v>
      </c>
      <c r="AK1716">
        <v>0</v>
      </c>
      <c r="AL1716">
        <v>0</v>
      </c>
      <c r="AM1716">
        <v>8.58</v>
      </c>
      <c r="AN1716">
        <v>0</v>
      </c>
      <c r="AO1716">
        <v>0</v>
      </c>
      <c r="AP1716">
        <v>0</v>
      </c>
      <c r="AQ1716">
        <v>0</v>
      </c>
      <c r="AR1716">
        <v>0</v>
      </c>
      <c r="AS1716">
        <v>0</v>
      </c>
      <c r="AT1716">
        <v>0</v>
      </c>
      <c r="AU1716">
        <v>0</v>
      </c>
      <c r="AV1716">
        <v>0</v>
      </c>
      <c r="AW1716">
        <v>0</v>
      </c>
      <c r="AX1716">
        <v>0</v>
      </c>
      <c r="AY1716">
        <v>0</v>
      </c>
      <c r="AZ1716">
        <v>0</v>
      </c>
      <c r="BA1716">
        <v>0</v>
      </c>
      <c r="BB1716">
        <v>0</v>
      </c>
      <c r="BC1716">
        <v>0</v>
      </c>
      <c r="BD1716">
        <v>0</v>
      </c>
      <c r="BE1716">
        <v>0</v>
      </c>
      <c r="BF1716">
        <v>0</v>
      </c>
      <c r="BG1716">
        <v>0</v>
      </c>
      <c r="BH1716">
        <v>1</v>
      </c>
      <c r="BI1716">
        <v>1</v>
      </c>
      <c r="BJ1716">
        <v>0.2</v>
      </c>
      <c r="BK1716">
        <v>1</v>
      </c>
      <c r="BL1716" s="4">
        <v>50.45</v>
      </c>
      <c r="BM1716" s="4">
        <v>7.57</v>
      </c>
      <c r="BN1716" s="4">
        <v>58.02</v>
      </c>
      <c r="BO1716" s="4">
        <v>58.02</v>
      </c>
      <c r="BQ1716" t="s">
        <v>93</v>
      </c>
      <c r="BR1716" t="s">
        <v>84</v>
      </c>
      <c r="BS1716" s="3">
        <v>43819</v>
      </c>
      <c r="BT1716" s="5">
        <v>0.3611111111111111</v>
      </c>
      <c r="BU1716" t="s">
        <v>370</v>
      </c>
      <c r="BV1716" t="s">
        <v>86</v>
      </c>
      <c r="BY1716">
        <v>1200</v>
      </c>
      <c r="CA1716" t="s">
        <v>371</v>
      </c>
      <c r="CC1716" t="s">
        <v>165</v>
      </c>
      <c r="CD1716">
        <v>5201</v>
      </c>
      <c r="CE1716" t="s">
        <v>88</v>
      </c>
      <c r="CF1716" s="3">
        <v>43822</v>
      </c>
      <c r="CI1716">
        <v>1</v>
      </c>
      <c r="CJ1716">
        <v>1</v>
      </c>
      <c r="CK1716">
        <v>21</v>
      </c>
      <c r="CL1716" t="s">
        <v>89</v>
      </c>
    </row>
    <row r="1717" spans="1:90">
      <c r="A1717" t="s">
        <v>72</v>
      </c>
      <c r="B1717" t="s">
        <v>73</v>
      </c>
      <c r="C1717" t="s">
        <v>74</v>
      </c>
      <c r="E1717" t="str">
        <f>"FES1162728344"</f>
        <v>FES1162728344</v>
      </c>
      <c r="F1717" s="3">
        <v>43818</v>
      </c>
      <c r="G1717">
        <v>202006</v>
      </c>
      <c r="H1717" t="s">
        <v>75</v>
      </c>
      <c r="I1717" t="s">
        <v>76</v>
      </c>
      <c r="J1717" t="s">
        <v>77</v>
      </c>
      <c r="K1717" t="s">
        <v>78</v>
      </c>
      <c r="L1717" t="s">
        <v>75</v>
      </c>
      <c r="M1717" t="s">
        <v>76</v>
      </c>
      <c r="N1717" t="s">
        <v>703</v>
      </c>
      <c r="O1717" t="s">
        <v>82</v>
      </c>
      <c r="P1717" t="str">
        <f>"2170720988                    "</f>
        <v xml:space="preserve">2170720988                    </v>
      </c>
      <c r="Q1717">
        <v>0</v>
      </c>
      <c r="R1717">
        <v>0</v>
      </c>
      <c r="S1717">
        <v>0</v>
      </c>
      <c r="T1717">
        <v>0</v>
      </c>
      <c r="U1717">
        <v>0</v>
      </c>
      <c r="V1717">
        <v>0</v>
      </c>
      <c r="W1717">
        <v>0</v>
      </c>
      <c r="X1717">
        <v>0</v>
      </c>
      <c r="Y1717">
        <v>0</v>
      </c>
      <c r="Z1717">
        <v>0</v>
      </c>
      <c r="AA1717">
        <v>0</v>
      </c>
      <c r="AB1717">
        <v>0</v>
      </c>
      <c r="AC1717">
        <v>0</v>
      </c>
      <c r="AD1717">
        <v>0</v>
      </c>
      <c r="AE1717">
        <v>0</v>
      </c>
      <c r="AF1717">
        <v>0</v>
      </c>
      <c r="AG1717">
        <v>0</v>
      </c>
      <c r="AH1717">
        <v>0</v>
      </c>
      <c r="AI1717">
        <v>0</v>
      </c>
      <c r="AJ1717">
        <v>0</v>
      </c>
      <c r="AK1717">
        <v>0</v>
      </c>
      <c r="AL1717">
        <v>0</v>
      </c>
      <c r="AM1717">
        <v>14.74</v>
      </c>
      <c r="AN1717">
        <v>0</v>
      </c>
      <c r="AO1717">
        <v>0</v>
      </c>
      <c r="AP1717">
        <v>0</v>
      </c>
      <c r="AQ1717">
        <v>0</v>
      </c>
      <c r="AR1717">
        <v>0</v>
      </c>
      <c r="AS1717">
        <v>0</v>
      </c>
      <c r="AT1717">
        <v>0</v>
      </c>
      <c r="AU1717">
        <v>0</v>
      </c>
      <c r="AV1717">
        <v>0</v>
      </c>
      <c r="AW1717">
        <v>0</v>
      </c>
      <c r="AX1717">
        <v>0</v>
      </c>
      <c r="AY1717">
        <v>0</v>
      </c>
      <c r="AZ1717">
        <v>0</v>
      </c>
      <c r="BA1717">
        <v>0</v>
      </c>
      <c r="BB1717">
        <v>0</v>
      </c>
      <c r="BC1717">
        <v>0</v>
      </c>
      <c r="BD1717">
        <v>0</v>
      </c>
      <c r="BE1717">
        <v>0</v>
      </c>
      <c r="BF1717">
        <v>0</v>
      </c>
      <c r="BG1717">
        <v>0</v>
      </c>
      <c r="BH1717">
        <v>1</v>
      </c>
      <c r="BI1717">
        <v>6.8</v>
      </c>
      <c r="BJ1717">
        <v>3.4</v>
      </c>
      <c r="BK1717">
        <v>7</v>
      </c>
      <c r="BL1717" s="4">
        <v>86.65</v>
      </c>
      <c r="BM1717" s="4">
        <v>13</v>
      </c>
      <c r="BN1717" s="4">
        <v>99.65</v>
      </c>
      <c r="BO1717" s="4">
        <v>99.65</v>
      </c>
      <c r="BQ1717" t="s">
        <v>93</v>
      </c>
      <c r="BR1717" t="s">
        <v>84</v>
      </c>
      <c r="BS1717" s="3">
        <v>43819</v>
      </c>
      <c r="BT1717" s="5">
        <v>0.29166666666666669</v>
      </c>
      <c r="BU1717" t="s">
        <v>1468</v>
      </c>
      <c r="BV1717" t="s">
        <v>86</v>
      </c>
      <c r="BY1717">
        <v>16943.150000000001</v>
      </c>
      <c r="CA1717" t="s">
        <v>320</v>
      </c>
      <c r="CC1717" t="s">
        <v>76</v>
      </c>
      <c r="CD1717">
        <v>1665</v>
      </c>
      <c r="CE1717" t="s">
        <v>96</v>
      </c>
      <c r="CF1717" s="3">
        <v>43822</v>
      </c>
      <c r="CI1717">
        <v>1</v>
      </c>
      <c r="CJ1717">
        <v>1</v>
      </c>
      <c r="CK1717">
        <v>22</v>
      </c>
      <c r="CL1717" t="s">
        <v>89</v>
      </c>
    </row>
    <row r="1718" spans="1:90">
      <c r="A1718" t="s">
        <v>72</v>
      </c>
      <c r="B1718" t="s">
        <v>73</v>
      </c>
      <c r="C1718" t="s">
        <v>74</v>
      </c>
      <c r="E1718" t="str">
        <f>"FES1162728528"</f>
        <v>FES1162728528</v>
      </c>
      <c r="F1718" s="3">
        <v>43816</v>
      </c>
      <c r="G1718">
        <v>202006</v>
      </c>
      <c r="H1718" t="s">
        <v>75</v>
      </c>
      <c r="I1718" t="s">
        <v>76</v>
      </c>
      <c r="J1718" t="s">
        <v>100</v>
      </c>
      <c r="K1718" t="s">
        <v>78</v>
      </c>
      <c r="L1718" t="s">
        <v>75</v>
      </c>
      <c r="M1718" t="s">
        <v>76</v>
      </c>
      <c r="N1718" t="s">
        <v>2112</v>
      </c>
      <c r="O1718" t="s">
        <v>104</v>
      </c>
      <c r="P1718" t="str">
        <f>"21707190194                   "</f>
        <v xml:space="preserve">21707190194                   </v>
      </c>
      <c r="Q1718">
        <v>0</v>
      </c>
      <c r="R1718">
        <v>0</v>
      </c>
      <c r="S1718">
        <v>0</v>
      </c>
      <c r="T1718">
        <v>0</v>
      </c>
      <c r="U1718">
        <v>0</v>
      </c>
      <c r="V1718">
        <v>0</v>
      </c>
      <c r="W1718">
        <v>0</v>
      </c>
      <c r="X1718">
        <v>0</v>
      </c>
      <c r="Y1718">
        <v>0</v>
      </c>
      <c r="Z1718">
        <v>0</v>
      </c>
      <c r="AA1718">
        <v>0</v>
      </c>
      <c r="AB1718">
        <v>0</v>
      </c>
      <c r="AC1718">
        <v>0</v>
      </c>
      <c r="AD1718">
        <v>0</v>
      </c>
      <c r="AE1718">
        <v>0</v>
      </c>
      <c r="AF1718">
        <v>0</v>
      </c>
      <c r="AG1718">
        <v>0</v>
      </c>
      <c r="AH1718">
        <v>0</v>
      </c>
      <c r="AI1718">
        <v>0</v>
      </c>
      <c r="AJ1718">
        <v>0</v>
      </c>
      <c r="AK1718">
        <v>0</v>
      </c>
      <c r="AL1718">
        <v>0</v>
      </c>
      <c r="AM1718">
        <v>13.69</v>
      </c>
      <c r="AN1718">
        <v>0</v>
      </c>
      <c r="AO1718">
        <v>0</v>
      </c>
      <c r="AP1718">
        <v>0</v>
      </c>
      <c r="AQ1718">
        <v>0</v>
      </c>
      <c r="AR1718">
        <v>0</v>
      </c>
      <c r="AS1718">
        <v>0</v>
      </c>
      <c r="AT1718">
        <v>0</v>
      </c>
      <c r="AU1718">
        <v>0</v>
      </c>
      <c r="AV1718">
        <v>0</v>
      </c>
      <c r="AW1718">
        <v>0</v>
      </c>
      <c r="AX1718">
        <v>0</v>
      </c>
      <c r="AY1718">
        <v>0</v>
      </c>
      <c r="AZ1718">
        <v>0</v>
      </c>
      <c r="BA1718">
        <v>0</v>
      </c>
      <c r="BB1718">
        <v>0</v>
      </c>
      <c r="BC1718">
        <v>0</v>
      </c>
      <c r="BD1718">
        <v>0</v>
      </c>
      <c r="BE1718">
        <v>0</v>
      </c>
      <c r="BF1718">
        <v>0</v>
      </c>
      <c r="BG1718">
        <v>0</v>
      </c>
      <c r="BH1718">
        <v>1</v>
      </c>
      <c r="BI1718">
        <v>7.6</v>
      </c>
      <c r="BJ1718">
        <v>18.5</v>
      </c>
      <c r="BK1718">
        <v>19</v>
      </c>
      <c r="BL1718" s="4">
        <v>85.45</v>
      </c>
      <c r="BM1718" s="4">
        <v>12.82</v>
      </c>
      <c r="BN1718" s="4">
        <v>98.27</v>
      </c>
      <c r="BO1718" s="4">
        <v>98.27</v>
      </c>
      <c r="BQ1718" t="s">
        <v>2113</v>
      </c>
      <c r="BR1718" t="s">
        <v>105</v>
      </c>
      <c r="BS1718" s="3">
        <v>43817</v>
      </c>
      <c r="BT1718" s="5">
        <v>0.33333333333333331</v>
      </c>
      <c r="BU1718" t="s">
        <v>2114</v>
      </c>
      <c r="BV1718" t="s">
        <v>86</v>
      </c>
      <c r="BY1718">
        <v>92743.74</v>
      </c>
      <c r="CA1718" t="s">
        <v>155</v>
      </c>
      <c r="CC1718" t="s">
        <v>76</v>
      </c>
      <c r="CD1718">
        <v>1601</v>
      </c>
      <c r="CE1718" t="s">
        <v>116</v>
      </c>
      <c r="CF1718" s="3">
        <v>43818</v>
      </c>
      <c r="CI1718">
        <v>1</v>
      </c>
      <c r="CJ1718">
        <v>1</v>
      </c>
      <c r="CK1718" t="s">
        <v>123</v>
      </c>
      <c r="CL1718" t="s">
        <v>89</v>
      </c>
    </row>
    <row r="1719" spans="1:90">
      <c r="A1719" t="s">
        <v>72</v>
      </c>
      <c r="B1719" t="s">
        <v>73</v>
      </c>
      <c r="C1719" t="s">
        <v>74</v>
      </c>
      <c r="E1719" t="str">
        <f>"FES1162728309"</f>
        <v>FES1162728309</v>
      </c>
      <c r="F1719" s="3">
        <v>43818</v>
      </c>
      <c r="G1719">
        <v>202006</v>
      </c>
      <c r="H1719" t="s">
        <v>75</v>
      </c>
      <c r="I1719" t="s">
        <v>76</v>
      </c>
      <c r="J1719" t="s">
        <v>77</v>
      </c>
      <c r="K1719" t="s">
        <v>78</v>
      </c>
      <c r="L1719" t="s">
        <v>430</v>
      </c>
      <c r="M1719" t="s">
        <v>431</v>
      </c>
      <c r="N1719" t="s">
        <v>1467</v>
      </c>
      <c r="O1719" t="s">
        <v>82</v>
      </c>
      <c r="P1719" t="str">
        <f>"2170719221                    "</f>
        <v xml:space="preserve">2170719221                    </v>
      </c>
      <c r="Q1719">
        <v>0</v>
      </c>
      <c r="R1719">
        <v>0</v>
      </c>
      <c r="S1719">
        <v>0</v>
      </c>
      <c r="T1719">
        <v>0</v>
      </c>
      <c r="U1719">
        <v>0</v>
      </c>
      <c r="V1719">
        <v>0</v>
      </c>
      <c r="W1719">
        <v>0</v>
      </c>
      <c r="X1719">
        <v>0</v>
      </c>
      <c r="Y1719">
        <v>0</v>
      </c>
      <c r="Z1719">
        <v>0</v>
      </c>
      <c r="AA1719">
        <v>0</v>
      </c>
      <c r="AB1719">
        <v>0</v>
      </c>
      <c r="AC1719">
        <v>0</v>
      </c>
      <c r="AD1719">
        <v>0</v>
      </c>
      <c r="AE1719">
        <v>0</v>
      </c>
      <c r="AF1719">
        <v>0</v>
      </c>
      <c r="AG1719">
        <v>0</v>
      </c>
      <c r="AH1719">
        <v>0</v>
      </c>
      <c r="AI1719">
        <v>0</v>
      </c>
      <c r="AJ1719">
        <v>0</v>
      </c>
      <c r="AK1719">
        <v>0</v>
      </c>
      <c r="AL1719">
        <v>0</v>
      </c>
      <c r="AM1719">
        <v>12.07</v>
      </c>
      <c r="AN1719">
        <v>0</v>
      </c>
      <c r="AO1719">
        <v>0</v>
      </c>
      <c r="AP1719">
        <v>0</v>
      </c>
      <c r="AQ1719">
        <v>0</v>
      </c>
      <c r="AR1719">
        <v>0</v>
      </c>
      <c r="AS1719">
        <v>0</v>
      </c>
      <c r="AT1719">
        <v>0</v>
      </c>
      <c r="AU1719">
        <v>0</v>
      </c>
      <c r="AV1719">
        <v>0</v>
      </c>
      <c r="AW1719">
        <v>0</v>
      </c>
      <c r="AX1719">
        <v>0</v>
      </c>
      <c r="AY1719">
        <v>0</v>
      </c>
      <c r="AZ1719">
        <v>0</v>
      </c>
      <c r="BA1719">
        <v>0</v>
      </c>
      <c r="BB1719">
        <v>0</v>
      </c>
      <c r="BC1719">
        <v>0</v>
      </c>
      <c r="BD1719">
        <v>0</v>
      </c>
      <c r="BE1719">
        <v>0</v>
      </c>
      <c r="BF1719">
        <v>0</v>
      </c>
      <c r="BG1719">
        <v>0</v>
      </c>
      <c r="BH1719">
        <v>1</v>
      </c>
      <c r="BI1719">
        <v>1</v>
      </c>
      <c r="BJ1719">
        <v>0.2</v>
      </c>
      <c r="BK1719">
        <v>1</v>
      </c>
      <c r="BL1719" s="4">
        <v>70.95</v>
      </c>
      <c r="BM1719" s="4">
        <v>10.64</v>
      </c>
      <c r="BN1719" s="4">
        <v>81.59</v>
      </c>
      <c r="BO1719" s="4">
        <v>81.59</v>
      </c>
      <c r="BQ1719" t="s">
        <v>93</v>
      </c>
      <c r="BR1719" t="s">
        <v>84</v>
      </c>
      <c r="BS1719" t="s">
        <v>717</v>
      </c>
      <c r="BY1719">
        <v>1200</v>
      </c>
      <c r="CC1719" t="s">
        <v>431</v>
      </c>
      <c r="CD1719">
        <v>250</v>
      </c>
      <c r="CE1719" t="s">
        <v>88</v>
      </c>
      <c r="CI1719">
        <v>1</v>
      </c>
      <c r="CJ1719" t="s">
        <v>717</v>
      </c>
      <c r="CK1719">
        <v>24</v>
      </c>
      <c r="CL1719" t="s">
        <v>89</v>
      </c>
    </row>
    <row r="1720" spans="1:90">
      <c r="A1720" t="s">
        <v>72</v>
      </c>
      <c r="B1720" t="s">
        <v>73</v>
      </c>
      <c r="C1720" t="s">
        <v>74</v>
      </c>
      <c r="E1720" t="str">
        <f>"FES1162729343"</f>
        <v>FES1162729343</v>
      </c>
      <c r="F1720" s="3">
        <v>43819</v>
      </c>
      <c r="G1720">
        <v>202006</v>
      </c>
      <c r="H1720" t="s">
        <v>75</v>
      </c>
      <c r="I1720" t="s">
        <v>76</v>
      </c>
      <c r="J1720" t="s">
        <v>77</v>
      </c>
      <c r="K1720" t="s">
        <v>78</v>
      </c>
      <c r="L1720" t="s">
        <v>198</v>
      </c>
      <c r="M1720" t="s">
        <v>199</v>
      </c>
      <c r="N1720" t="s">
        <v>1653</v>
      </c>
      <c r="O1720" t="s">
        <v>82</v>
      </c>
      <c r="P1720" t="str">
        <f>"2170722329                    "</f>
        <v xml:space="preserve">2170722329                    </v>
      </c>
      <c r="Q1720">
        <v>0</v>
      </c>
      <c r="R1720">
        <v>0</v>
      </c>
      <c r="S1720">
        <v>0</v>
      </c>
      <c r="T1720">
        <v>0</v>
      </c>
      <c r="U1720">
        <v>0</v>
      </c>
      <c r="V1720">
        <v>0</v>
      </c>
      <c r="W1720">
        <v>0</v>
      </c>
      <c r="X1720">
        <v>0</v>
      </c>
      <c r="Y1720">
        <v>0</v>
      </c>
      <c r="Z1720">
        <v>0</v>
      </c>
      <c r="AA1720">
        <v>0</v>
      </c>
      <c r="AB1720">
        <v>0</v>
      </c>
      <c r="AC1720">
        <v>0</v>
      </c>
      <c r="AD1720">
        <v>0</v>
      </c>
      <c r="AE1720">
        <v>0</v>
      </c>
      <c r="AF1720">
        <v>0</v>
      </c>
      <c r="AG1720">
        <v>0</v>
      </c>
      <c r="AH1720">
        <v>0</v>
      </c>
      <c r="AI1720">
        <v>0</v>
      </c>
      <c r="AJ1720">
        <v>0</v>
      </c>
      <c r="AK1720">
        <v>0</v>
      </c>
      <c r="AL1720">
        <v>0</v>
      </c>
      <c r="AM1720">
        <v>8.58</v>
      </c>
      <c r="AN1720">
        <v>0</v>
      </c>
      <c r="AO1720">
        <v>0</v>
      </c>
      <c r="AP1720">
        <v>0</v>
      </c>
      <c r="AQ1720">
        <v>0</v>
      </c>
      <c r="AR1720">
        <v>0</v>
      </c>
      <c r="AS1720">
        <v>0</v>
      </c>
      <c r="AT1720">
        <v>0</v>
      </c>
      <c r="AU1720">
        <v>0</v>
      </c>
      <c r="AV1720">
        <v>0</v>
      </c>
      <c r="AW1720">
        <v>0</v>
      </c>
      <c r="AX1720">
        <v>0</v>
      </c>
      <c r="AY1720">
        <v>0</v>
      </c>
      <c r="AZ1720">
        <v>0</v>
      </c>
      <c r="BA1720">
        <v>0</v>
      </c>
      <c r="BB1720">
        <v>0</v>
      </c>
      <c r="BC1720">
        <v>0</v>
      </c>
      <c r="BD1720">
        <v>0</v>
      </c>
      <c r="BE1720">
        <v>0</v>
      </c>
      <c r="BF1720">
        <v>0</v>
      </c>
      <c r="BG1720">
        <v>0</v>
      </c>
      <c r="BH1720">
        <v>1</v>
      </c>
      <c r="BI1720">
        <v>1</v>
      </c>
      <c r="BJ1720">
        <v>0.2</v>
      </c>
      <c r="BK1720">
        <v>1</v>
      </c>
      <c r="BL1720" s="4">
        <v>50.45</v>
      </c>
      <c r="BM1720" s="4">
        <v>7.57</v>
      </c>
      <c r="BN1720" s="4">
        <v>58.02</v>
      </c>
      <c r="BO1720" s="4">
        <v>58.02</v>
      </c>
      <c r="BQ1720" t="s">
        <v>93</v>
      </c>
      <c r="BR1720" t="s">
        <v>84</v>
      </c>
      <c r="BS1720" s="3">
        <v>43836</v>
      </c>
      <c r="BT1720" s="5">
        <v>0.30138888888888887</v>
      </c>
      <c r="BU1720" t="s">
        <v>2115</v>
      </c>
      <c r="BV1720" t="s">
        <v>89</v>
      </c>
      <c r="BW1720" t="s">
        <v>1335</v>
      </c>
      <c r="BX1720" t="s">
        <v>619</v>
      </c>
      <c r="BY1720">
        <v>1200</v>
      </c>
      <c r="CA1720" t="s">
        <v>281</v>
      </c>
      <c r="CC1720" t="s">
        <v>199</v>
      </c>
      <c r="CD1720">
        <v>4001</v>
      </c>
      <c r="CE1720" t="s">
        <v>88</v>
      </c>
      <c r="CI1720">
        <v>1</v>
      </c>
      <c r="CJ1720">
        <v>11</v>
      </c>
      <c r="CK1720">
        <v>21</v>
      </c>
      <c r="CL1720" t="s">
        <v>89</v>
      </c>
    </row>
    <row r="1721" spans="1:90">
      <c r="A1721" t="s">
        <v>72</v>
      </c>
      <c r="B1721" t="s">
        <v>73</v>
      </c>
      <c r="C1721" t="s">
        <v>74</v>
      </c>
      <c r="E1721" t="str">
        <f>"FES1162729346"</f>
        <v>FES1162729346</v>
      </c>
      <c r="F1721" s="3">
        <v>43819</v>
      </c>
      <c r="G1721">
        <v>202006</v>
      </c>
      <c r="H1721" t="s">
        <v>75</v>
      </c>
      <c r="I1721" t="s">
        <v>76</v>
      </c>
      <c r="J1721" t="s">
        <v>77</v>
      </c>
      <c r="K1721" t="s">
        <v>78</v>
      </c>
      <c r="L1721" t="s">
        <v>849</v>
      </c>
      <c r="M1721" t="s">
        <v>850</v>
      </c>
      <c r="N1721" t="s">
        <v>851</v>
      </c>
      <c r="O1721" t="s">
        <v>82</v>
      </c>
      <c r="P1721" t="str">
        <f>"2170722335                    "</f>
        <v xml:space="preserve">2170722335                    </v>
      </c>
      <c r="Q1721">
        <v>0</v>
      </c>
      <c r="R1721">
        <v>0</v>
      </c>
      <c r="S1721">
        <v>0</v>
      </c>
      <c r="T1721">
        <v>0</v>
      </c>
      <c r="U1721">
        <v>0</v>
      </c>
      <c r="V1721">
        <v>0</v>
      </c>
      <c r="W1721">
        <v>0</v>
      </c>
      <c r="X1721">
        <v>0</v>
      </c>
      <c r="Y1721">
        <v>0</v>
      </c>
      <c r="Z1721">
        <v>0</v>
      </c>
      <c r="AA1721">
        <v>0</v>
      </c>
      <c r="AB1721">
        <v>0</v>
      </c>
      <c r="AC1721">
        <v>0</v>
      </c>
      <c r="AD1721">
        <v>0</v>
      </c>
      <c r="AE1721">
        <v>0</v>
      </c>
      <c r="AF1721">
        <v>0</v>
      </c>
      <c r="AG1721">
        <v>0</v>
      </c>
      <c r="AH1721">
        <v>0</v>
      </c>
      <c r="AI1721">
        <v>0</v>
      </c>
      <c r="AJ1721">
        <v>0</v>
      </c>
      <c r="AK1721">
        <v>0</v>
      </c>
      <c r="AL1721">
        <v>0</v>
      </c>
      <c r="AM1721">
        <v>8.58</v>
      </c>
      <c r="AN1721">
        <v>0</v>
      </c>
      <c r="AO1721">
        <v>0</v>
      </c>
      <c r="AP1721">
        <v>0</v>
      </c>
      <c r="AQ1721">
        <v>0</v>
      </c>
      <c r="AR1721">
        <v>0</v>
      </c>
      <c r="AS1721">
        <v>0</v>
      </c>
      <c r="AT1721">
        <v>0</v>
      </c>
      <c r="AU1721">
        <v>0</v>
      </c>
      <c r="AV1721">
        <v>0</v>
      </c>
      <c r="AW1721">
        <v>0</v>
      </c>
      <c r="AX1721">
        <v>0</v>
      </c>
      <c r="AY1721">
        <v>0</v>
      </c>
      <c r="AZ1721">
        <v>0</v>
      </c>
      <c r="BA1721">
        <v>0</v>
      </c>
      <c r="BB1721">
        <v>0</v>
      </c>
      <c r="BC1721">
        <v>0</v>
      </c>
      <c r="BD1721">
        <v>0</v>
      </c>
      <c r="BE1721">
        <v>0</v>
      </c>
      <c r="BF1721">
        <v>0</v>
      </c>
      <c r="BG1721">
        <v>0</v>
      </c>
      <c r="BH1721">
        <v>1</v>
      </c>
      <c r="BI1721">
        <v>1</v>
      </c>
      <c r="BJ1721">
        <v>0.2</v>
      </c>
      <c r="BK1721">
        <v>1</v>
      </c>
      <c r="BL1721" s="4">
        <v>50.45</v>
      </c>
      <c r="BM1721" s="4">
        <v>7.57</v>
      </c>
      <c r="BN1721" s="4">
        <v>58.02</v>
      </c>
      <c r="BO1721" s="4">
        <v>58.02</v>
      </c>
      <c r="BQ1721" t="s">
        <v>147</v>
      </c>
      <c r="BR1721" t="s">
        <v>84</v>
      </c>
      <c r="BS1721" s="3">
        <v>43822</v>
      </c>
      <c r="BT1721" s="5">
        <v>0.44444444444444442</v>
      </c>
      <c r="BU1721" t="s">
        <v>528</v>
      </c>
      <c r="BV1721" t="s">
        <v>86</v>
      </c>
      <c r="BY1721">
        <v>1200</v>
      </c>
      <c r="CA1721" t="s">
        <v>1026</v>
      </c>
      <c r="CC1721" t="s">
        <v>850</v>
      </c>
      <c r="CD1721">
        <v>3290</v>
      </c>
      <c r="CE1721" t="s">
        <v>88</v>
      </c>
      <c r="CF1721" s="3">
        <v>43823</v>
      </c>
      <c r="CI1721">
        <v>1</v>
      </c>
      <c r="CJ1721">
        <v>1</v>
      </c>
      <c r="CK1721">
        <v>21</v>
      </c>
      <c r="CL1721" t="s">
        <v>89</v>
      </c>
    </row>
    <row r="1722" spans="1:90">
      <c r="A1722" t="s">
        <v>72</v>
      </c>
      <c r="B1722" t="s">
        <v>73</v>
      </c>
      <c r="C1722" t="s">
        <v>74</v>
      </c>
      <c r="E1722" t="str">
        <f>"RFES1162726108"</f>
        <v>RFES1162726108</v>
      </c>
      <c r="F1722" s="3">
        <v>43810</v>
      </c>
      <c r="G1722">
        <v>202006</v>
      </c>
      <c r="H1722" t="s">
        <v>138</v>
      </c>
      <c r="I1722" t="s">
        <v>139</v>
      </c>
      <c r="J1722" t="s">
        <v>1632</v>
      </c>
      <c r="K1722" t="s">
        <v>78</v>
      </c>
      <c r="L1722" t="s">
        <v>75</v>
      </c>
      <c r="M1722" t="s">
        <v>76</v>
      </c>
      <c r="N1722" t="s">
        <v>100</v>
      </c>
      <c r="O1722" t="s">
        <v>104</v>
      </c>
      <c r="P1722" t="str">
        <f>"214721345832                  "</f>
        <v xml:space="preserve">214721345832                  </v>
      </c>
      <c r="Q1722">
        <v>0</v>
      </c>
      <c r="R1722">
        <v>0</v>
      </c>
      <c r="S1722">
        <v>0</v>
      </c>
      <c r="T1722">
        <v>0</v>
      </c>
      <c r="U1722">
        <v>0</v>
      </c>
      <c r="V1722">
        <v>0</v>
      </c>
      <c r="W1722">
        <v>0</v>
      </c>
      <c r="X1722">
        <v>0</v>
      </c>
      <c r="Y1722">
        <v>0</v>
      </c>
      <c r="Z1722">
        <v>0</v>
      </c>
      <c r="AA1722">
        <v>0</v>
      </c>
      <c r="AB1722">
        <v>0</v>
      </c>
      <c r="AC1722">
        <v>0</v>
      </c>
      <c r="AD1722">
        <v>0</v>
      </c>
      <c r="AE1722">
        <v>0</v>
      </c>
      <c r="AF1722">
        <v>0</v>
      </c>
      <c r="AG1722">
        <v>0</v>
      </c>
      <c r="AH1722">
        <v>0</v>
      </c>
      <c r="AI1722">
        <v>0</v>
      </c>
      <c r="AJ1722">
        <v>0</v>
      </c>
      <c r="AK1722">
        <v>0</v>
      </c>
      <c r="AL1722">
        <v>0</v>
      </c>
      <c r="AM1722">
        <v>12.07</v>
      </c>
      <c r="AN1722">
        <v>0</v>
      </c>
      <c r="AO1722">
        <v>0</v>
      </c>
      <c r="AP1722">
        <v>0</v>
      </c>
      <c r="AQ1722">
        <v>0</v>
      </c>
      <c r="AR1722">
        <v>0</v>
      </c>
      <c r="AS1722">
        <v>0</v>
      </c>
      <c r="AT1722">
        <v>0</v>
      </c>
      <c r="AU1722">
        <v>0</v>
      </c>
      <c r="AV1722">
        <v>0</v>
      </c>
      <c r="AW1722">
        <v>0</v>
      </c>
      <c r="AX1722">
        <v>0</v>
      </c>
      <c r="AY1722">
        <v>0</v>
      </c>
      <c r="AZ1722">
        <v>0</v>
      </c>
      <c r="BA1722">
        <v>0</v>
      </c>
      <c r="BB1722">
        <v>0</v>
      </c>
      <c r="BC1722">
        <v>0</v>
      </c>
      <c r="BD1722">
        <v>0</v>
      </c>
      <c r="BE1722">
        <v>0</v>
      </c>
      <c r="BF1722">
        <v>0</v>
      </c>
      <c r="BG1722">
        <v>0</v>
      </c>
      <c r="BH1722">
        <v>1</v>
      </c>
      <c r="BI1722">
        <v>10</v>
      </c>
      <c r="BJ1722">
        <v>3.4</v>
      </c>
      <c r="BK1722">
        <v>10</v>
      </c>
      <c r="BL1722" s="4">
        <v>75.95</v>
      </c>
      <c r="BM1722" s="4">
        <v>11.39</v>
      </c>
      <c r="BN1722" s="4">
        <v>87.34</v>
      </c>
      <c r="BO1722" s="4">
        <v>87.34</v>
      </c>
      <c r="BQ1722" t="s">
        <v>105</v>
      </c>
      <c r="BR1722" t="s">
        <v>1633</v>
      </c>
      <c r="BS1722" s="3">
        <v>43811</v>
      </c>
      <c r="BT1722" s="5">
        <v>0.3666666666666667</v>
      </c>
      <c r="BU1722" t="s">
        <v>154</v>
      </c>
      <c r="BV1722" t="s">
        <v>86</v>
      </c>
      <c r="BY1722">
        <v>16967</v>
      </c>
      <c r="CA1722" t="s">
        <v>155</v>
      </c>
      <c r="CC1722" t="s">
        <v>76</v>
      </c>
      <c r="CD1722">
        <v>1601</v>
      </c>
      <c r="CE1722" t="s">
        <v>1634</v>
      </c>
      <c r="CF1722" s="3">
        <v>43812</v>
      </c>
      <c r="CI1722">
        <v>1</v>
      </c>
      <c r="CJ1722">
        <v>1</v>
      </c>
      <c r="CK1722" t="s">
        <v>123</v>
      </c>
      <c r="CL1722" t="s">
        <v>89</v>
      </c>
    </row>
    <row r="1723" spans="1:90">
      <c r="A1723" t="s">
        <v>72</v>
      </c>
      <c r="B1723" t="s">
        <v>73</v>
      </c>
      <c r="C1723" t="s">
        <v>74</v>
      </c>
      <c r="E1723" t="str">
        <f>"FES1162727658"</f>
        <v>FES1162727658</v>
      </c>
      <c r="F1723" s="3">
        <v>43809</v>
      </c>
      <c r="G1723">
        <v>202006</v>
      </c>
      <c r="H1723" t="s">
        <v>75</v>
      </c>
      <c r="I1723" t="s">
        <v>76</v>
      </c>
      <c r="J1723" t="s">
        <v>100</v>
      </c>
      <c r="K1723" t="s">
        <v>78</v>
      </c>
      <c r="L1723" t="s">
        <v>138</v>
      </c>
      <c r="M1723" t="s">
        <v>139</v>
      </c>
      <c r="N1723" t="s">
        <v>1780</v>
      </c>
      <c r="O1723" t="s">
        <v>104</v>
      </c>
      <c r="P1723" t="str">
        <f>"2170718758                    "</f>
        <v xml:space="preserve">2170718758                    </v>
      </c>
      <c r="Q1723">
        <v>0</v>
      </c>
      <c r="R1723">
        <v>0</v>
      </c>
      <c r="S1723">
        <v>0</v>
      </c>
      <c r="T1723">
        <v>0</v>
      </c>
      <c r="U1723">
        <v>0</v>
      </c>
      <c r="V1723">
        <v>0</v>
      </c>
      <c r="W1723">
        <v>0</v>
      </c>
      <c r="X1723">
        <v>0</v>
      </c>
      <c r="Y1723">
        <v>0</v>
      </c>
      <c r="Z1723">
        <v>0</v>
      </c>
      <c r="AA1723">
        <v>0</v>
      </c>
      <c r="AB1723">
        <v>0</v>
      </c>
      <c r="AC1723">
        <v>0</v>
      </c>
      <c r="AD1723">
        <v>0</v>
      </c>
      <c r="AE1723">
        <v>0</v>
      </c>
      <c r="AF1723">
        <v>0</v>
      </c>
      <c r="AG1723">
        <v>0</v>
      </c>
      <c r="AH1723">
        <v>0</v>
      </c>
      <c r="AI1723">
        <v>0</v>
      </c>
      <c r="AJ1723">
        <v>0</v>
      </c>
      <c r="AK1723">
        <v>0</v>
      </c>
      <c r="AL1723">
        <v>0</v>
      </c>
      <c r="AM1723">
        <v>20.149999999999999</v>
      </c>
      <c r="AN1723">
        <v>0</v>
      </c>
      <c r="AO1723">
        <v>0</v>
      </c>
      <c r="AP1723">
        <v>0</v>
      </c>
      <c r="AQ1723">
        <v>0</v>
      </c>
      <c r="AR1723">
        <v>0</v>
      </c>
      <c r="AS1723">
        <v>0</v>
      </c>
      <c r="AT1723">
        <v>0</v>
      </c>
      <c r="AU1723">
        <v>0</v>
      </c>
      <c r="AV1723">
        <v>0</v>
      </c>
      <c r="AW1723">
        <v>0</v>
      </c>
      <c r="AX1723">
        <v>0</v>
      </c>
      <c r="AY1723">
        <v>0</v>
      </c>
      <c r="AZ1723">
        <v>0</v>
      </c>
      <c r="BA1723">
        <v>0</v>
      </c>
      <c r="BB1723">
        <v>0</v>
      </c>
      <c r="BC1723">
        <v>0</v>
      </c>
      <c r="BD1723">
        <v>0</v>
      </c>
      <c r="BE1723">
        <v>0</v>
      </c>
      <c r="BF1723">
        <v>0</v>
      </c>
      <c r="BG1723">
        <v>0</v>
      </c>
      <c r="BH1723">
        <v>1</v>
      </c>
      <c r="BI1723">
        <v>20.6</v>
      </c>
      <c r="BJ1723">
        <v>34.4</v>
      </c>
      <c r="BK1723">
        <v>35</v>
      </c>
      <c r="BL1723" s="4">
        <v>123.43</v>
      </c>
      <c r="BM1723" s="4">
        <v>18.510000000000002</v>
      </c>
      <c r="BN1723" s="4">
        <v>141.94</v>
      </c>
      <c r="BO1723" s="4">
        <v>141.94</v>
      </c>
      <c r="BQ1723" t="s">
        <v>1781</v>
      </c>
      <c r="BR1723" t="s">
        <v>105</v>
      </c>
      <c r="BS1723" s="3">
        <v>43810</v>
      </c>
      <c r="BT1723" s="5">
        <v>0.3833333333333333</v>
      </c>
      <c r="BU1723" t="s">
        <v>2116</v>
      </c>
      <c r="BV1723" t="s">
        <v>86</v>
      </c>
      <c r="BY1723">
        <v>171944.45</v>
      </c>
      <c r="CA1723" t="s">
        <v>230</v>
      </c>
      <c r="CC1723" t="s">
        <v>139</v>
      </c>
      <c r="CD1723">
        <v>1401</v>
      </c>
      <c r="CE1723" t="s">
        <v>96</v>
      </c>
      <c r="CF1723" s="3">
        <v>43811</v>
      </c>
      <c r="CI1723">
        <v>1</v>
      </c>
      <c r="CJ1723">
        <v>1</v>
      </c>
      <c r="CK1723" t="s">
        <v>123</v>
      </c>
      <c r="CL1723" t="s">
        <v>89</v>
      </c>
    </row>
    <row r="1724" spans="1:90">
      <c r="A1724" t="s">
        <v>72</v>
      </c>
      <c r="B1724" t="s">
        <v>73</v>
      </c>
      <c r="C1724" t="s">
        <v>74</v>
      </c>
      <c r="E1724" t="str">
        <f>"FES1162728807"</f>
        <v>FES1162728807</v>
      </c>
      <c r="F1724" s="3">
        <v>43817</v>
      </c>
      <c r="G1724">
        <v>202006</v>
      </c>
      <c r="H1724" t="s">
        <v>75</v>
      </c>
      <c r="I1724" t="s">
        <v>76</v>
      </c>
      <c r="J1724" t="s">
        <v>77</v>
      </c>
      <c r="K1724" t="s">
        <v>78</v>
      </c>
      <c r="L1724" t="s">
        <v>79</v>
      </c>
      <c r="M1724" t="s">
        <v>80</v>
      </c>
      <c r="N1724" t="s">
        <v>1452</v>
      </c>
      <c r="O1724" t="s">
        <v>82</v>
      </c>
      <c r="P1724" t="str">
        <f>"217076892                     "</f>
        <v xml:space="preserve">217076892                     </v>
      </c>
      <c r="Q1724">
        <v>0</v>
      </c>
      <c r="R1724">
        <v>0</v>
      </c>
      <c r="S1724">
        <v>0</v>
      </c>
      <c r="T1724">
        <v>0</v>
      </c>
      <c r="U1724">
        <v>0</v>
      </c>
      <c r="V1724">
        <v>0</v>
      </c>
      <c r="W1724">
        <v>0</v>
      </c>
      <c r="X1724">
        <v>0</v>
      </c>
      <c r="Y1724">
        <v>0</v>
      </c>
      <c r="Z1724">
        <v>0</v>
      </c>
      <c r="AA1724">
        <v>0</v>
      </c>
      <c r="AB1724">
        <v>0</v>
      </c>
      <c r="AC1724">
        <v>0</v>
      </c>
      <c r="AD1724">
        <v>0</v>
      </c>
      <c r="AE1724">
        <v>0</v>
      </c>
      <c r="AF1724">
        <v>0</v>
      </c>
      <c r="AG1724">
        <v>0</v>
      </c>
      <c r="AH1724">
        <v>0</v>
      </c>
      <c r="AI1724">
        <v>0</v>
      </c>
      <c r="AJ1724">
        <v>0</v>
      </c>
      <c r="AK1724">
        <v>0</v>
      </c>
      <c r="AL1724">
        <v>0</v>
      </c>
      <c r="AM1724">
        <v>8.58</v>
      </c>
      <c r="AN1724">
        <v>0</v>
      </c>
      <c r="AO1724">
        <v>0</v>
      </c>
      <c r="AP1724">
        <v>0</v>
      </c>
      <c r="AQ1724">
        <v>0</v>
      </c>
      <c r="AR1724">
        <v>0</v>
      </c>
      <c r="AS1724">
        <v>0</v>
      </c>
      <c r="AT1724">
        <v>0</v>
      </c>
      <c r="AU1724">
        <v>0</v>
      </c>
      <c r="AV1724">
        <v>0</v>
      </c>
      <c r="AW1724">
        <v>0</v>
      </c>
      <c r="AX1724">
        <v>0</v>
      </c>
      <c r="AY1724">
        <v>0</v>
      </c>
      <c r="AZ1724">
        <v>0</v>
      </c>
      <c r="BA1724">
        <v>0</v>
      </c>
      <c r="BB1724">
        <v>0</v>
      </c>
      <c r="BC1724">
        <v>0</v>
      </c>
      <c r="BD1724">
        <v>0</v>
      </c>
      <c r="BE1724">
        <v>0</v>
      </c>
      <c r="BF1724">
        <v>0</v>
      </c>
      <c r="BG1724">
        <v>0</v>
      </c>
      <c r="BH1724">
        <v>1</v>
      </c>
      <c r="BI1724">
        <v>1</v>
      </c>
      <c r="BJ1724">
        <v>0.2</v>
      </c>
      <c r="BK1724">
        <v>1</v>
      </c>
      <c r="BL1724" s="4">
        <v>50.45</v>
      </c>
      <c r="BM1724" s="4">
        <v>7.57</v>
      </c>
      <c r="BN1724" s="4">
        <v>58.02</v>
      </c>
      <c r="BO1724" s="4">
        <v>58.02</v>
      </c>
      <c r="BQ1724" t="s">
        <v>256</v>
      </c>
      <c r="BR1724" t="s">
        <v>84</v>
      </c>
      <c r="BS1724" s="3">
        <v>43836</v>
      </c>
      <c r="BT1724" s="5">
        <v>0.32916666666666666</v>
      </c>
      <c r="BU1724" t="s">
        <v>2117</v>
      </c>
      <c r="BV1724" t="s">
        <v>89</v>
      </c>
      <c r="BW1724" t="s">
        <v>1335</v>
      </c>
      <c r="BX1724" t="s">
        <v>619</v>
      </c>
      <c r="BY1724">
        <v>1200</v>
      </c>
      <c r="CA1724" t="s">
        <v>1156</v>
      </c>
      <c r="CC1724" t="s">
        <v>80</v>
      </c>
      <c r="CD1724">
        <v>6001</v>
      </c>
      <c r="CE1724" t="s">
        <v>88</v>
      </c>
      <c r="CI1724">
        <v>1</v>
      </c>
      <c r="CJ1724">
        <v>13</v>
      </c>
      <c r="CK1724">
        <v>21</v>
      </c>
      <c r="CL1724" t="s">
        <v>89</v>
      </c>
    </row>
    <row r="1725" spans="1:90">
      <c r="A1725" t="s">
        <v>72</v>
      </c>
      <c r="B1725" t="s">
        <v>73</v>
      </c>
      <c r="C1725" t="s">
        <v>74</v>
      </c>
      <c r="E1725" t="str">
        <f>"FES1162728930"</f>
        <v>FES1162728930</v>
      </c>
      <c r="F1725" s="3">
        <v>43817</v>
      </c>
      <c r="G1725">
        <v>202006</v>
      </c>
      <c r="H1725" t="s">
        <v>75</v>
      </c>
      <c r="I1725" t="s">
        <v>76</v>
      </c>
      <c r="J1725" t="s">
        <v>77</v>
      </c>
      <c r="K1725" t="s">
        <v>78</v>
      </c>
      <c r="L1725" t="s">
        <v>75</v>
      </c>
      <c r="M1725" t="s">
        <v>76</v>
      </c>
      <c r="N1725" t="s">
        <v>312</v>
      </c>
      <c r="O1725" t="s">
        <v>82</v>
      </c>
      <c r="P1725" t="str">
        <f>"2170722038                    "</f>
        <v xml:space="preserve">2170722038                    </v>
      </c>
      <c r="Q1725">
        <v>0</v>
      </c>
      <c r="R1725">
        <v>0</v>
      </c>
      <c r="S1725">
        <v>0</v>
      </c>
      <c r="T1725">
        <v>0</v>
      </c>
      <c r="U1725">
        <v>0</v>
      </c>
      <c r="V1725">
        <v>0</v>
      </c>
      <c r="W1725">
        <v>0</v>
      </c>
      <c r="X1725">
        <v>0</v>
      </c>
      <c r="Y1725">
        <v>0</v>
      </c>
      <c r="Z1725">
        <v>0</v>
      </c>
      <c r="AA1725">
        <v>0</v>
      </c>
      <c r="AB1725">
        <v>0</v>
      </c>
      <c r="AC1725">
        <v>0</v>
      </c>
      <c r="AD1725">
        <v>0</v>
      </c>
      <c r="AE1725">
        <v>0</v>
      </c>
      <c r="AF1725">
        <v>0</v>
      </c>
      <c r="AG1725">
        <v>0</v>
      </c>
      <c r="AH1725">
        <v>0</v>
      </c>
      <c r="AI1725">
        <v>0</v>
      </c>
      <c r="AJ1725">
        <v>0</v>
      </c>
      <c r="AK1725">
        <v>0</v>
      </c>
      <c r="AL1725">
        <v>0</v>
      </c>
      <c r="AM1725">
        <v>6.71</v>
      </c>
      <c r="AN1725">
        <v>0</v>
      </c>
      <c r="AO1725">
        <v>0</v>
      </c>
      <c r="AP1725">
        <v>0</v>
      </c>
      <c r="AQ1725">
        <v>0</v>
      </c>
      <c r="AR1725">
        <v>0</v>
      </c>
      <c r="AS1725">
        <v>0</v>
      </c>
      <c r="AT1725">
        <v>0</v>
      </c>
      <c r="AU1725">
        <v>0</v>
      </c>
      <c r="AV1725">
        <v>0</v>
      </c>
      <c r="AW1725">
        <v>0</v>
      </c>
      <c r="AX1725">
        <v>0</v>
      </c>
      <c r="AY1725">
        <v>0</v>
      </c>
      <c r="AZ1725">
        <v>0</v>
      </c>
      <c r="BA1725">
        <v>0</v>
      </c>
      <c r="BB1725">
        <v>0</v>
      </c>
      <c r="BC1725">
        <v>0</v>
      </c>
      <c r="BD1725">
        <v>0</v>
      </c>
      <c r="BE1725">
        <v>0</v>
      </c>
      <c r="BF1725">
        <v>0</v>
      </c>
      <c r="BG1725">
        <v>0</v>
      </c>
      <c r="BH1725">
        <v>1</v>
      </c>
      <c r="BI1725">
        <v>1.1000000000000001</v>
      </c>
      <c r="BJ1725">
        <v>0.7</v>
      </c>
      <c r="BK1725">
        <v>1.5</v>
      </c>
      <c r="BL1725" s="4">
        <v>39.42</v>
      </c>
      <c r="BM1725" s="4">
        <v>5.91</v>
      </c>
      <c r="BN1725" s="4">
        <v>45.33</v>
      </c>
      <c r="BO1725" s="4">
        <v>45.33</v>
      </c>
      <c r="BQ1725" t="s">
        <v>147</v>
      </c>
      <c r="BR1725" t="s">
        <v>84</v>
      </c>
      <c r="BS1725" s="3">
        <v>43818</v>
      </c>
      <c r="BT1725" s="5">
        <v>0.33333333333333331</v>
      </c>
      <c r="BU1725" t="s">
        <v>2118</v>
      </c>
      <c r="BV1725" t="s">
        <v>86</v>
      </c>
      <c r="BY1725">
        <v>3651.38</v>
      </c>
      <c r="CA1725" t="s">
        <v>2119</v>
      </c>
      <c r="CC1725" t="s">
        <v>76</v>
      </c>
      <c r="CD1725">
        <v>1609</v>
      </c>
      <c r="CE1725" t="s">
        <v>116</v>
      </c>
      <c r="CF1725" s="3">
        <v>43819</v>
      </c>
      <c r="CI1725">
        <v>1</v>
      </c>
      <c r="CJ1725">
        <v>1</v>
      </c>
      <c r="CK1725">
        <v>22</v>
      </c>
      <c r="CL1725" t="s">
        <v>89</v>
      </c>
    </row>
    <row r="1726" spans="1:90">
      <c r="A1726" t="s">
        <v>72</v>
      </c>
      <c r="B1726" t="s">
        <v>73</v>
      </c>
      <c r="C1726" t="s">
        <v>74</v>
      </c>
      <c r="E1726" t="str">
        <f>"FES1162728929"</f>
        <v>FES1162728929</v>
      </c>
      <c r="F1726" s="3">
        <v>43817</v>
      </c>
      <c r="G1726">
        <v>202006</v>
      </c>
      <c r="H1726" t="s">
        <v>75</v>
      </c>
      <c r="I1726" t="s">
        <v>76</v>
      </c>
      <c r="J1726" t="s">
        <v>77</v>
      </c>
      <c r="K1726" t="s">
        <v>78</v>
      </c>
      <c r="L1726" t="s">
        <v>1271</v>
      </c>
      <c r="M1726" t="s">
        <v>1272</v>
      </c>
      <c r="N1726" t="s">
        <v>2120</v>
      </c>
      <c r="O1726" t="s">
        <v>82</v>
      </c>
      <c r="P1726" t="str">
        <f>"2170722036                    "</f>
        <v xml:space="preserve">2170722036                    </v>
      </c>
      <c r="Q1726">
        <v>0</v>
      </c>
      <c r="R1726">
        <v>0</v>
      </c>
      <c r="S1726">
        <v>0</v>
      </c>
      <c r="T1726">
        <v>0</v>
      </c>
      <c r="U1726">
        <v>0</v>
      </c>
      <c r="V1726">
        <v>0</v>
      </c>
      <c r="W1726">
        <v>0</v>
      </c>
      <c r="X1726">
        <v>0</v>
      </c>
      <c r="Y1726">
        <v>0</v>
      </c>
      <c r="Z1726">
        <v>0</v>
      </c>
      <c r="AA1726">
        <v>0</v>
      </c>
      <c r="AB1726">
        <v>0</v>
      </c>
      <c r="AC1726">
        <v>0</v>
      </c>
      <c r="AD1726">
        <v>0</v>
      </c>
      <c r="AE1726">
        <v>0</v>
      </c>
      <c r="AF1726">
        <v>0</v>
      </c>
      <c r="AG1726">
        <v>0</v>
      </c>
      <c r="AH1726">
        <v>0</v>
      </c>
      <c r="AI1726">
        <v>0</v>
      </c>
      <c r="AJ1726">
        <v>0</v>
      </c>
      <c r="AK1726">
        <v>0</v>
      </c>
      <c r="AL1726">
        <v>0</v>
      </c>
      <c r="AM1726">
        <v>17.149999999999999</v>
      </c>
      <c r="AN1726">
        <v>0</v>
      </c>
      <c r="AO1726">
        <v>0</v>
      </c>
      <c r="AP1726">
        <v>0</v>
      </c>
      <c r="AQ1726">
        <v>0</v>
      </c>
      <c r="AR1726">
        <v>0</v>
      </c>
      <c r="AS1726">
        <v>0</v>
      </c>
      <c r="AT1726">
        <v>0</v>
      </c>
      <c r="AU1726">
        <v>0</v>
      </c>
      <c r="AV1726">
        <v>0</v>
      </c>
      <c r="AW1726">
        <v>0</v>
      </c>
      <c r="AX1726">
        <v>0</v>
      </c>
      <c r="AY1726">
        <v>0</v>
      </c>
      <c r="AZ1726">
        <v>0</v>
      </c>
      <c r="BA1726">
        <v>0</v>
      </c>
      <c r="BB1726">
        <v>0</v>
      </c>
      <c r="BC1726">
        <v>0</v>
      </c>
      <c r="BD1726">
        <v>0</v>
      </c>
      <c r="BE1726">
        <v>0</v>
      </c>
      <c r="BF1726">
        <v>0</v>
      </c>
      <c r="BG1726">
        <v>0</v>
      </c>
      <c r="BH1726">
        <v>1</v>
      </c>
      <c r="BI1726">
        <v>4.5999999999999996</v>
      </c>
      <c r="BJ1726">
        <v>8.3000000000000007</v>
      </c>
      <c r="BK1726">
        <v>8.5</v>
      </c>
      <c r="BL1726" s="4">
        <v>100.82</v>
      </c>
      <c r="BM1726" s="4">
        <v>15.12</v>
      </c>
      <c r="BN1726" s="4">
        <v>115.94</v>
      </c>
      <c r="BO1726" s="4">
        <v>115.94</v>
      </c>
      <c r="BQ1726" t="s">
        <v>93</v>
      </c>
      <c r="BR1726" t="s">
        <v>84</v>
      </c>
      <c r="BS1726" s="3">
        <v>43818</v>
      </c>
      <c r="BT1726" s="5">
        <v>0.32291666666666669</v>
      </c>
      <c r="BU1726" t="s">
        <v>2121</v>
      </c>
      <c r="BV1726" t="s">
        <v>86</v>
      </c>
      <c r="BY1726">
        <v>41600.79</v>
      </c>
      <c r="CC1726" t="s">
        <v>1272</v>
      </c>
      <c r="CD1726">
        <v>1685</v>
      </c>
      <c r="CE1726" t="s">
        <v>116</v>
      </c>
      <c r="CF1726" s="3">
        <v>43819</v>
      </c>
      <c r="CI1726">
        <v>1</v>
      </c>
      <c r="CJ1726">
        <v>1</v>
      </c>
      <c r="CK1726">
        <v>22</v>
      </c>
      <c r="CL1726" t="s">
        <v>89</v>
      </c>
    </row>
    <row r="1727" spans="1:90">
      <c r="A1727" t="s">
        <v>72</v>
      </c>
      <c r="B1727" t="s">
        <v>73</v>
      </c>
      <c r="C1727" t="s">
        <v>74</v>
      </c>
      <c r="E1727" t="str">
        <f>"FES1162729023"</f>
        <v>FES1162729023</v>
      </c>
      <c r="F1727" s="3">
        <v>43817</v>
      </c>
      <c r="G1727">
        <v>202006</v>
      </c>
      <c r="H1727" t="s">
        <v>75</v>
      </c>
      <c r="I1727" t="s">
        <v>76</v>
      </c>
      <c r="J1727" t="s">
        <v>77</v>
      </c>
      <c r="K1727" t="s">
        <v>78</v>
      </c>
      <c r="L1727" t="s">
        <v>201</v>
      </c>
      <c r="M1727" t="s">
        <v>202</v>
      </c>
      <c r="N1727" t="s">
        <v>1716</v>
      </c>
      <c r="O1727" t="s">
        <v>82</v>
      </c>
      <c r="P1727" t="str">
        <f>"2170722132                    "</f>
        <v xml:space="preserve">2170722132                    </v>
      </c>
      <c r="Q1727">
        <v>0</v>
      </c>
      <c r="R1727">
        <v>0</v>
      </c>
      <c r="S1727">
        <v>0</v>
      </c>
      <c r="T1727">
        <v>0</v>
      </c>
      <c r="U1727">
        <v>0</v>
      </c>
      <c r="V1727">
        <v>0</v>
      </c>
      <c r="W1727">
        <v>0</v>
      </c>
      <c r="X1727">
        <v>0</v>
      </c>
      <c r="Y1727">
        <v>0</v>
      </c>
      <c r="Z1727">
        <v>0</v>
      </c>
      <c r="AA1727">
        <v>0</v>
      </c>
      <c r="AB1727">
        <v>0</v>
      </c>
      <c r="AC1727">
        <v>0</v>
      </c>
      <c r="AD1727">
        <v>0</v>
      </c>
      <c r="AE1727">
        <v>0</v>
      </c>
      <c r="AF1727">
        <v>0</v>
      </c>
      <c r="AG1727">
        <v>0</v>
      </c>
      <c r="AH1727">
        <v>0</v>
      </c>
      <c r="AI1727">
        <v>0</v>
      </c>
      <c r="AJ1727">
        <v>0</v>
      </c>
      <c r="AK1727">
        <v>0</v>
      </c>
      <c r="AL1727">
        <v>0</v>
      </c>
      <c r="AM1727">
        <v>8.58</v>
      </c>
      <c r="AN1727">
        <v>0</v>
      </c>
      <c r="AO1727">
        <v>0</v>
      </c>
      <c r="AP1727">
        <v>0</v>
      </c>
      <c r="AQ1727">
        <v>0</v>
      </c>
      <c r="AR1727">
        <v>0</v>
      </c>
      <c r="AS1727">
        <v>0</v>
      </c>
      <c r="AT1727">
        <v>0</v>
      </c>
      <c r="AU1727">
        <v>0</v>
      </c>
      <c r="AV1727">
        <v>0</v>
      </c>
      <c r="AW1727">
        <v>0</v>
      </c>
      <c r="AX1727">
        <v>0</v>
      </c>
      <c r="AY1727">
        <v>0</v>
      </c>
      <c r="AZ1727">
        <v>0</v>
      </c>
      <c r="BA1727">
        <v>0</v>
      </c>
      <c r="BB1727">
        <v>0</v>
      </c>
      <c r="BC1727">
        <v>0</v>
      </c>
      <c r="BD1727">
        <v>0</v>
      </c>
      <c r="BE1727">
        <v>0</v>
      </c>
      <c r="BF1727">
        <v>0</v>
      </c>
      <c r="BG1727">
        <v>0</v>
      </c>
      <c r="BH1727">
        <v>1</v>
      </c>
      <c r="BI1727">
        <v>1.4</v>
      </c>
      <c r="BJ1727">
        <v>0.9</v>
      </c>
      <c r="BK1727">
        <v>1.5</v>
      </c>
      <c r="BL1727" s="4">
        <v>50.45</v>
      </c>
      <c r="BM1727" s="4">
        <v>7.57</v>
      </c>
      <c r="BN1727" s="4">
        <v>58.02</v>
      </c>
      <c r="BO1727" s="4">
        <v>58.02</v>
      </c>
      <c r="BQ1727" t="s">
        <v>147</v>
      </c>
      <c r="BR1727" t="s">
        <v>84</v>
      </c>
      <c r="BS1727" t="s">
        <v>717</v>
      </c>
      <c r="BY1727">
        <v>4407.42</v>
      </c>
      <c r="CC1727" t="s">
        <v>202</v>
      </c>
      <c r="CD1727">
        <v>3620</v>
      </c>
      <c r="CE1727" t="s">
        <v>116</v>
      </c>
      <c r="CI1727">
        <v>1</v>
      </c>
      <c r="CJ1727" t="s">
        <v>717</v>
      </c>
      <c r="CK1727">
        <v>21</v>
      </c>
      <c r="CL1727" t="s">
        <v>89</v>
      </c>
    </row>
    <row r="1728" spans="1:90">
      <c r="A1728" t="s">
        <v>72</v>
      </c>
      <c r="B1728" t="s">
        <v>73</v>
      </c>
      <c r="C1728" t="s">
        <v>74</v>
      </c>
      <c r="E1728" t="str">
        <f>"FES1162728931"</f>
        <v>FES1162728931</v>
      </c>
      <c r="F1728" s="3">
        <v>43817</v>
      </c>
      <c r="G1728">
        <v>202006</v>
      </c>
      <c r="H1728" t="s">
        <v>75</v>
      </c>
      <c r="I1728" t="s">
        <v>76</v>
      </c>
      <c r="J1728" t="s">
        <v>77</v>
      </c>
      <c r="K1728" t="s">
        <v>78</v>
      </c>
      <c r="L1728" t="s">
        <v>646</v>
      </c>
      <c r="M1728" t="s">
        <v>647</v>
      </c>
      <c r="N1728" t="s">
        <v>648</v>
      </c>
      <c r="O1728" t="s">
        <v>82</v>
      </c>
      <c r="P1728" t="str">
        <f>"2170722040                    "</f>
        <v xml:space="preserve">2170722040                    </v>
      </c>
      <c r="Q1728">
        <v>0</v>
      </c>
      <c r="R1728">
        <v>0</v>
      </c>
      <c r="S1728">
        <v>0</v>
      </c>
      <c r="T1728">
        <v>0</v>
      </c>
      <c r="U1728">
        <v>0</v>
      </c>
      <c r="V1728">
        <v>0</v>
      </c>
      <c r="W1728">
        <v>0</v>
      </c>
      <c r="X1728">
        <v>0</v>
      </c>
      <c r="Y1728">
        <v>0</v>
      </c>
      <c r="Z1728">
        <v>0</v>
      </c>
      <c r="AA1728">
        <v>0</v>
      </c>
      <c r="AB1728">
        <v>0</v>
      </c>
      <c r="AC1728">
        <v>0</v>
      </c>
      <c r="AD1728">
        <v>0</v>
      </c>
      <c r="AE1728">
        <v>0</v>
      </c>
      <c r="AF1728">
        <v>0</v>
      </c>
      <c r="AG1728">
        <v>0</v>
      </c>
      <c r="AH1728">
        <v>0</v>
      </c>
      <c r="AI1728">
        <v>0</v>
      </c>
      <c r="AJ1728">
        <v>0</v>
      </c>
      <c r="AK1728">
        <v>0</v>
      </c>
      <c r="AL1728">
        <v>0</v>
      </c>
      <c r="AM1728">
        <v>12.07</v>
      </c>
      <c r="AN1728">
        <v>0</v>
      </c>
      <c r="AO1728">
        <v>0</v>
      </c>
      <c r="AP1728">
        <v>0</v>
      </c>
      <c r="AQ1728">
        <v>0</v>
      </c>
      <c r="AR1728">
        <v>0</v>
      </c>
      <c r="AS1728">
        <v>0</v>
      </c>
      <c r="AT1728">
        <v>0</v>
      </c>
      <c r="AU1728">
        <v>0</v>
      </c>
      <c r="AV1728">
        <v>0</v>
      </c>
      <c r="AW1728">
        <v>0</v>
      </c>
      <c r="AX1728">
        <v>0</v>
      </c>
      <c r="AY1728">
        <v>0</v>
      </c>
      <c r="AZ1728">
        <v>0</v>
      </c>
      <c r="BA1728">
        <v>0</v>
      </c>
      <c r="BB1728">
        <v>0</v>
      </c>
      <c r="BC1728">
        <v>0</v>
      </c>
      <c r="BD1728">
        <v>0</v>
      </c>
      <c r="BE1728">
        <v>0</v>
      </c>
      <c r="BF1728">
        <v>0</v>
      </c>
      <c r="BG1728">
        <v>0</v>
      </c>
      <c r="BH1728">
        <v>1</v>
      </c>
      <c r="BI1728">
        <v>1</v>
      </c>
      <c r="BJ1728">
        <v>0.2</v>
      </c>
      <c r="BK1728">
        <v>1</v>
      </c>
      <c r="BL1728" s="4">
        <v>70.95</v>
      </c>
      <c r="BM1728" s="4">
        <v>10.64</v>
      </c>
      <c r="BN1728" s="4">
        <v>81.59</v>
      </c>
      <c r="BO1728" s="4">
        <v>81.59</v>
      </c>
      <c r="BR1728" t="s">
        <v>84</v>
      </c>
      <c r="BS1728" s="3">
        <v>43818</v>
      </c>
      <c r="BT1728" s="5">
        <v>0.37152777777777773</v>
      </c>
      <c r="BU1728" t="s">
        <v>2122</v>
      </c>
      <c r="BV1728" t="s">
        <v>86</v>
      </c>
      <c r="BY1728">
        <v>1200</v>
      </c>
      <c r="CA1728" t="s">
        <v>707</v>
      </c>
      <c r="CC1728" t="s">
        <v>647</v>
      </c>
      <c r="CD1728">
        <v>299</v>
      </c>
      <c r="CE1728" t="s">
        <v>88</v>
      </c>
      <c r="CF1728" s="3">
        <v>43822</v>
      </c>
      <c r="CI1728">
        <v>1</v>
      </c>
      <c r="CJ1728">
        <v>1</v>
      </c>
      <c r="CK1728">
        <v>24</v>
      </c>
      <c r="CL1728" t="s">
        <v>89</v>
      </c>
    </row>
    <row r="1729" spans="1:90">
      <c r="A1729" t="s">
        <v>72</v>
      </c>
      <c r="B1729" t="s">
        <v>73</v>
      </c>
      <c r="C1729" t="s">
        <v>74</v>
      </c>
      <c r="E1729" t="str">
        <f>"FES1162728926"</f>
        <v>FES1162728926</v>
      </c>
      <c r="F1729" s="3">
        <v>43817</v>
      </c>
      <c r="G1729">
        <v>202006</v>
      </c>
      <c r="H1729" t="s">
        <v>75</v>
      </c>
      <c r="I1729" t="s">
        <v>76</v>
      </c>
      <c r="J1729" t="s">
        <v>77</v>
      </c>
      <c r="K1729" t="s">
        <v>78</v>
      </c>
      <c r="L1729" t="s">
        <v>164</v>
      </c>
      <c r="M1729" t="s">
        <v>165</v>
      </c>
      <c r="N1729" t="s">
        <v>263</v>
      </c>
      <c r="O1729" t="s">
        <v>82</v>
      </c>
      <c r="P1729" t="str">
        <f>"2170798188                    "</f>
        <v xml:space="preserve">2170798188                    </v>
      </c>
      <c r="Q1729">
        <v>0</v>
      </c>
      <c r="R1729">
        <v>0</v>
      </c>
      <c r="S1729">
        <v>0</v>
      </c>
      <c r="T1729">
        <v>0</v>
      </c>
      <c r="U1729">
        <v>0</v>
      </c>
      <c r="V1729">
        <v>0</v>
      </c>
      <c r="W1729">
        <v>0</v>
      </c>
      <c r="X1729">
        <v>0</v>
      </c>
      <c r="Y1729">
        <v>0</v>
      </c>
      <c r="Z1729">
        <v>0</v>
      </c>
      <c r="AA1729">
        <v>0</v>
      </c>
      <c r="AB1729">
        <v>0</v>
      </c>
      <c r="AC1729">
        <v>0</v>
      </c>
      <c r="AD1729">
        <v>0</v>
      </c>
      <c r="AE1729">
        <v>0</v>
      </c>
      <c r="AF1729">
        <v>0</v>
      </c>
      <c r="AG1729">
        <v>0</v>
      </c>
      <c r="AH1729">
        <v>0</v>
      </c>
      <c r="AI1729">
        <v>0</v>
      </c>
      <c r="AJ1729">
        <v>0</v>
      </c>
      <c r="AK1729">
        <v>0</v>
      </c>
      <c r="AL1729">
        <v>0</v>
      </c>
      <c r="AM1729">
        <v>10.73</v>
      </c>
      <c r="AN1729">
        <v>0</v>
      </c>
      <c r="AO1729">
        <v>0</v>
      </c>
      <c r="AP1729">
        <v>0</v>
      </c>
      <c r="AQ1729">
        <v>0</v>
      </c>
      <c r="AR1729">
        <v>0</v>
      </c>
      <c r="AS1729">
        <v>0</v>
      </c>
      <c r="AT1729">
        <v>0</v>
      </c>
      <c r="AU1729">
        <v>0</v>
      </c>
      <c r="AV1729">
        <v>0</v>
      </c>
      <c r="AW1729">
        <v>0</v>
      </c>
      <c r="AX1729">
        <v>0</v>
      </c>
      <c r="AY1729">
        <v>0</v>
      </c>
      <c r="AZ1729">
        <v>0</v>
      </c>
      <c r="BA1729">
        <v>0</v>
      </c>
      <c r="BB1729">
        <v>0</v>
      </c>
      <c r="BC1729">
        <v>0</v>
      </c>
      <c r="BD1729">
        <v>0</v>
      </c>
      <c r="BE1729">
        <v>0</v>
      </c>
      <c r="BF1729">
        <v>0</v>
      </c>
      <c r="BG1729">
        <v>0</v>
      </c>
      <c r="BH1729">
        <v>1</v>
      </c>
      <c r="BI1729">
        <v>2.2000000000000002</v>
      </c>
      <c r="BJ1729">
        <v>0.9</v>
      </c>
      <c r="BK1729">
        <v>2.5</v>
      </c>
      <c r="BL1729" s="4">
        <v>63.06</v>
      </c>
      <c r="BM1729" s="4">
        <v>9.4600000000000009</v>
      </c>
      <c r="BN1729" s="4">
        <v>72.52</v>
      </c>
      <c r="BO1729" s="4">
        <v>72.52</v>
      </c>
      <c r="BQ1729" t="s">
        <v>147</v>
      </c>
      <c r="BR1729" t="s">
        <v>84</v>
      </c>
      <c r="BS1729" s="3">
        <v>43818</v>
      </c>
      <c r="BT1729" s="5">
        <v>0.40972222222222227</v>
      </c>
      <c r="BU1729" t="s">
        <v>1827</v>
      </c>
      <c r="BV1729" t="s">
        <v>86</v>
      </c>
      <c r="BY1729">
        <v>4744.72</v>
      </c>
      <c r="CA1729" t="s">
        <v>371</v>
      </c>
      <c r="CC1729" t="s">
        <v>165</v>
      </c>
      <c r="CD1729">
        <v>5201</v>
      </c>
      <c r="CE1729" t="s">
        <v>116</v>
      </c>
      <c r="CF1729" s="3">
        <v>43822</v>
      </c>
      <c r="CI1729">
        <v>1</v>
      </c>
      <c r="CJ1729">
        <v>1</v>
      </c>
      <c r="CK1729">
        <v>21</v>
      </c>
      <c r="CL1729" t="s">
        <v>89</v>
      </c>
    </row>
    <row r="1730" spans="1:90">
      <c r="A1730" t="s">
        <v>72</v>
      </c>
      <c r="B1730" t="s">
        <v>73</v>
      </c>
      <c r="C1730" t="s">
        <v>74</v>
      </c>
      <c r="E1730" t="str">
        <f>"FES1162728806"</f>
        <v>FES1162728806</v>
      </c>
      <c r="F1730" s="3">
        <v>43817</v>
      </c>
      <c r="G1730">
        <v>202006</v>
      </c>
      <c r="H1730" t="s">
        <v>75</v>
      </c>
      <c r="I1730" t="s">
        <v>76</v>
      </c>
      <c r="J1730" t="s">
        <v>77</v>
      </c>
      <c r="K1730" t="s">
        <v>78</v>
      </c>
      <c r="L1730" t="s">
        <v>90</v>
      </c>
      <c r="M1730" t="s">
        <v>91</v>
      </c>
      <c r="N1730" t="s">
        <v>219</v>
      </c>
      <c r="O1730" t="s">
        <v>82</v>
      </c>
      <c r="P1730" t="str">
        <f>"2170796371                    "</f>
        <v xml:space="preserve">2170796371                    </v>
      </c>
      <c r="Q1730">
        <v>0</v>
      </c>
      <c r="R1730">
        <v>0</v>
      </c>
      <c r="S1730">
        <v>0</v>
      </c>
      <c r="T1730">
        <v>0</v>
      </c>
      <c r="U1730">
        <v>0</v>
      </c>
      <c r="V1730">
        <v>0</v>
      </c>
      <c r="W1730">
        <v>0</v>
      </c>
      <c r="X1730">
        <v>0</v>
      </c>
      <c r="Y1730">
        <v>0</v>
      </c>
      <c r="Z1730">
        <v>0</v>
      </c>
      <c r="AA1730">
        <v>0</v>
      </c>
      <c r="AB1730">
        <v>0</v>
      </c>
      <c r="AC1730">
        <v>0</v>
      </c>
      <c r="AD1730">
        <v>0</v>
      </c>
      <c r="AE1730">
        <v>0</v>
      </c>
      <c r="AF1730">
        <v>0</v>
      </c>
      <c r="AG1730">
        <v>0</v>
      </c>
      <c r="AH1730">
        <v>0</v>
      </c>
      <c r="AI1730">
        <v>0</v>
      </c>
      <c r="AJ1730">
        <v>0</v>
      </c>
      <c r="AK1730">
        <v>0</v>
      </c>
      <c r="AL1730">
        <v>0</v>
      </c>
      <c r="AM1730">
        <v>8.58</v>
      </c>
      <c r="AN1730">
        <v>0</v>
      </c>
      <c r="AO1730">
        <v>0</v>
      </c>
      <c r="AP1730">
        <v>0</v>
      </c>
      <c r="AQ1730">
        <v>0</v>
      </c>
      <c r="AR1730">
        <v>0</v>
      </c>
      <c r="AS1730">
        <v>0</v>
      </c>
      <c r="AT1730">
        <v>0</v>
      </c>
      <c r="AU1730">
        <v>0</v>
      </c>
      <c r="AV1730">
        <v>0</v>
      </c>
      <c r="AW1730">
        <v>0</v>
      </c>
      <c r="AX1730">
        <v>0</v>
      </c>
      <c r="AY1730">
        <v>0</v>
      </c>
      <c r="AZ1730">
        <v>0</v>
      </c>
      <c r="BA1730">
        <v>0</v>
      </c>
      <c r="BB1730">
        <v>0</v>
      </c>
      <c r="BC1730">
        <v>0</v>
      </c>
      <c r="BD1730">
        <v>0</v>
      </c>
      <c r="BE1730">
        <v>0</v>
      </c>
      <c r="BF1730">
        <v>0</v>
      </c>
      <c r="BG1730">
        <v>0</v>
      </c>
      <c r="BH1730">
        <v>1</v>
      </c>
      <c r="BI1730">
        <v>1</v>
      </c>
      <c r="BJ1730">
        <v>0.2</v>
      </c>
      <c r="BK1730">
        <v>1</v>
      </c>
      <c r="BL1730" s="4">
        <v>50.45</v>
      </c>
      <c r="BM1730" s="4">
        <v>7.57</v>
      </c>
      <c r="BN1730" s="4">
        <v>58.02</v>
      </c>
      <c r="BO1730" s="4">
        <v>58.02</v>
      </c>
      <c r="BQ1730" t="s">
        <v>147</v>
      </c>
      <c r="BR1730" t="s">
        <v>84</v>
      </c>
      <c r="BS1730" s="3">
        <v>43818</v>
      </c>
      <c r="BT1730" s="5">
        <v>0.33958333333333335</v>
      </c>
      <c r="BU1730" t="s">
        <v>220</v>
      </c>
      <c r="BV1730" t="s">
        <v>86</v>
      </c>
      <c r="BY1730">
        <v>1200</v>
      </c>
      <c r="CA1730" t="s">
        <v>112</v>
      </c>
      <c r="CC1730" t="s">
        <v>91</v>
      </c>
      <c r="CD1730">
        <v>7441</v>
      </c>
      <c r="CE1730" t="s">
        <v>88</v>
      </c>
      <c r="CF1730" s="3">
        <v>43819</v>
      </c>
      <c r="CI1730">
        <v>1</v>
      </c>
      <c r="CJ1730">
        <v>1</v>
      </c>
      <c r="CK1730">
        <v>21</v>
      </c>
      <c r="CL1730" t="s">
        <v>89</v>
      </c>
    </row>
    <row r="1731" spans="1:90">
      <c r="A1731" t="s">
        <v>72</v>
      </c>
      <c r="B1731" t="s">
        <v>73</v>
      </c>
      <c r="C1731" t="s">
        <v>74</v>
      </c>
      <c r="E1731" t="str">
        <f>"FES1162729022"</f>
        <v>FES1162729022</v>
      </c>
      <c r="F1731" s="3">
        <v>43817</v>
      </c>
      <c r="G1731">
        <v>202006</v>
      </c>
      <c r="H1731" t="s">
        <v>75</v>
      </c>
      <c r="I1731" t="s">
        <v>76</v>
      </c>
      <c r="J1731" t="s">
        <v>77</v>
      </c>
      <c r="K1731" t="s">
        <v>78</v>
      </c>
      <c r="L1731" t="s">
        <v>274</v>
      </c>
      <c r="M1731" t="s">
        <v>275</v>
      </c>
      <c r="N1731" t="s">
        <v>276</v>
      </c>
      <c r="O1731" t="s">
        <v>82</v>
      </c>
      <c r="P1731" t="str">
        <f>"2170722130                    "</f>
        <v xml:space="preserve">2170722130                    </v>
      </c>
      <c r="Q1731">
        <v>0</v>
      </c>
      <c r="R1731">
        <v>0</v>
      </c>
      <c r="S1731">
        <v>0</v>
      </c>
      <c r="T1731">
        <v>0</v>
      </c>
      <c r="U1731">
        <v>0</v>
      </c>
      <c r="V1731">
        <v>0</v>
      </c>
      <c r="W1731">
        <v>0</v>
      </c>
      <c r="X1731">
        <v>0</v>
      </c>
      <c r="Y1731">
        <v>0</v>
      </c>
      <c r="Z1731">
        <v>0</v>
      </c>
      <c r="AA1731">
        <v>0</v>
      </c>
      <c r="AB1731">
        <v>0</v>
      </c>
      <c r="AC1731">
        <v>0</v>
      </c>
      <c r="AD1731">
        <v>0</v>
      </c>
      <c r="AE1731">
        <v>0</v>
      </c>
      <c r="AF1731">
        <v>0</v>
      </c>
      <c r="AG1731">
        <v>0</v>
      </c>
      <c r="AH1731">
        <v>0</v>
      </c>
      <c r="AI1731">
        <v>0</v>
      </c>
      <c r="AJ1731">
        <v>0</v>
      </c>
      <c r="AK1731">
        <v>0</v>
      </c>
      <c r="AL1731">
        <v>0</v>
      </c>
      <c r="AM1731">
        <v>16.63</v>
      </c>
      <c r="AN1731">
        <v>0</v>
      </c>
      <c r="AO1731">
        <v>0</v>
      </c>
      <c r="AP1731">
        <v>0</v>
      </c>
      <c r="AQ1731">
        <v>0</v>
      </c>
      <c r="AR1731">
        <v>0</v>
      </c>
      <c r="AS1731">
        <v>0</v>
      </c>
      <c r="AT1731">
        <v>0</v>
      </c>
      <c r="AU1731">
        <v>0</v>
      </c>
      <c r="AV1731">
        <v>0</v>
      </c>
      <c r="AW1731">
        <v>0</v>
      </c>
      <c r="AX1731">
        <v>0</v>
      </c>
      <c r="AY1731">
        <v>0</v>
      </c>
      <c r="AZ1731">
        <v>0</v>
      </c>
      <c r="BA1731">
        <v>0</v>
      </c>
      <c r="BB1731">
        <v>0</v>
      </c>
      <c r="BC1731">
        <v>0</v>
      </c>
      <c r="BD1731">
        <v>0</v>
      </c>
      <c r="BE1731">
        <v>0</v>
      </c>
      <c r="BF1731">
        <v>0</v>
      </c>
      <c r="BG1731">
        <v>0</v>
      </c>
      <c r="BH1731">
        <v>1</v>
      </c>
      <c r="BI1731">
        <v>1</v>
      </c>
      <c r="BJ1731">
        <v>0.2</v>
      </c>
      <c r="BK1731">
        <v>1</v>
      </c>
      <c r="BL1731" s="4">
        <v>97.75</v>
      </c>
      <c r="BM1731" s="4">
        <v>14.66</v>
      </c>
      <c r="BN1731" s="4">
        <v>112.41</v>
      </c>
      <c r="BO1731" s="4">
        <v>112.41</v>
      </c>
      <c r="BQ1731" t="s">
        <v>277</v>
      </c>
      <c r="BR1731" t="s">
        <v>84</v>
      </c>
      <c r="BS1731" s="3">
        <v>43818</v>
      </c>
      <c r="BT1731" s="5">
        <v>0.48333333333333334</v>
      </c>
      <c r="BU1731" t="s">
        <v>2123</v>
      </c>
      <c r="BV1731" t="s">
        <v>86</v>
      </c>
      <c r="BY1731">
        <v>1200</v>
      </c>
      <c r="CA1731" t="s">
        <v>294</v>
      </c>
      <c r="CC1731" t="s">
        <v>275</v>
      </c>
      <c r="CD1731">
        <v>4449</v>
      </c>
      <c r="CE1731" t="s">
        <v>88</v>
      </c>
      <c r="CF1731" s="3">
        <v>43819</v>
      </c>
      <c r="CI1731">
        <v>1</v>
      </c>
      <c r="CJ1731">
        <v>1</v>
      </c>
      <c r="CK1731">
        <v>23</v>
      </c>
      <c r="CL1731" t="s">
        <v>89</v>
      </c>
    </row>
    <row r="1732" spans="1:90">
      <c r="A1732" t="s">
        <v>72</v>
      </c>
      <c r="B1732" t="s">
        <v>73</v>
      </c>
      <c r="C1732" t="s">
        <v>74</v>
      </c>
      <c r="E1732" t="str">
        <f>"FES1162728896"</f>
        <v>FES1162728896</v>
      </c>
      <c r="F1732" s="3">
        <v>43817</v>
      </c>
      <c r="G1732">
        <v>202006</v>
      </c>
      <c r="H1732" t="s">
        <v>75</v>
      </c>
      <c r="I1732" t="s">
        <v>76</v>
      </c>
      <c r="J1732" t="s">
        <v>77</v>
      </c>
      <c r="K1732" t="s">
        <v>78</v>
      </c>
      <c r="L1732" t="s">
        <v>90</v>
      </c>
      <c r="M1732" t="s">
        <v>91</v>
      </c>
      <c r="N1732" t="s">
        <v>110</v>
      </c>
      <c r="O1732" t="s">
        <v>82</v>
      </c>
      <c r="P1732" t="str">
        <f>"2170720108                    "</f>
        <v xml:space="preserve">2170720108                    </v>
      </c>
      <c r="Q1732">
        <v>0</v>
      </c>
      <c r="R1732">
        <v>0</v>
      </c>
      <c r="S1732">
        <v>0</v>
      </c>
      <c r="T1732">
        <v>0</v>
      </c>
      <c r="U1732">
        <v>0</v>
      </c>
      <c r="V1732">
        <v>0</v>
      </c>
      <c r="W1732">
        <v>0</v>
      </c>
      <c r="X1732">
        <v>0</v>
      </c>
      <c r="Y1732">
        <v>0</v>
      </c>
      <c r="Z1732">
        <v>0</v>
      </c>
      <c r="AA1732">
        <v>0</v>
      </c>
      <c r="AB1732">
        <v>0</v>
      </c>
      <c r="AC1732">
        <v>0</v>
      </c>
      <c r="AD1732">
        <v>0</v>
      </c>
      <c r="AE1732">
        <v>0</v>
      </c>
      <c r="AF1732">
        <v>0</v>
      </c>
      <c r="AG1732">
        <v>0</v>
      </c>
      <c r="AH1732">
        <v>0</v>
      </c>
      <c r="AI1732">
        <v>0</v>
      </c>
      <c r="AJ1732">
        <v>0</v>
      </c>
      <c r="AK1732">
        <v>0</v>
      </c>
      <c r="AL1732">
        <v>0</v>
      </c>
      <c r="AM1732">
        <v>8.58</v>
      </c>
      <c r="AN1732">
        <v>0</v>
      </c>
      <c r="AO1732">
        <v>0</v>
      </c>
      <c r="AP1732">
        <v>0</v>
      </c>
      <c r="AQ1732">
        <v>0</v>
      </c>
      <c r="AR1732">
        <v>0</v>
      </c>
      <c r="AS1732">
        <v>0</v>
      </c>
      <c r="AT1732">
        <v>0</v>
      </c>
      <c r="AU1732">
        <v>0</v>
      </c>
      <c r="AV1732">
        <v>0</v>
      </c>
      <c r="AW1732">
        <v>0</v>
      </c>
      <c r="AX1732">
        <v>0</v>
      </c>
      <c r="AY1732">
        <v>0</v>
      </c>
      <c r="AZ1732">
        <v>0</v>
      </c>
      <c r="BA1732">
        <v>0</v>
      </c>
      <c r="BB1732">
        <v>0</v>
      </c>
      <c r="BC1732">
        <v>0</v>
      </c>
      <c r="BD1732">
        <v>0</v>
      </c>
      <c r="BE1732">
        <v>0</v>
      </c>
      <c r="BF1732">
        <v>0</v>
      </c>
      <c r="BG1732">
        <v>0</v>
      </c>
      <c r="BH1732">
        <v>1</v>
      </c>
      <c r="BI1732">
        <v>1</v>
      </c>
      <c r="BJ1732">
        <v>0.2</v>
      </c>
      <c r="BK1732">
        <v>1</v>
      </c>
      <c r="BL1732" s="4">
        <v>50.45</v>
      </c>
      <c r="BM1732" s="4">
        <v>7.57</v>
      </c>
      <c r="BN1732" s="4">
        <v>58.02</v>
      </c>
      <c r="BO1732" s="4">
        <v>58.02</v>
      </c>
      <c r="BQ1732" t="s">
        <v>147</v>
      </c>
      <c r="BR1732" t="s">
        <v>84</v>
      </c>
      <c r="BS1732" s="3">
        <v>43818</v>
      </c>
      <c r="BT1732" s="5">
        <v>0.30972222222222223</v>
      </c>
      <c r="BU1732" t="s">
        <v>1446</v>
      </c>
      <c r="BV1732" t="s">
        <v>86</v>
      </c>
      <c r="BY1732">
        <v>1200</v>
      </c>
      <c r="CA1732" t="s">
        <v>112</v>
      </c>
      <c r="CC1732" t="s">
        <v>91</v>
      </c>
      <c r="CD1732">
        <v>7405</v>
      </c>
      <c r="CE1732" t="s">
        <v>88</v>
      </c>
      <c r="CF1732" s="3">
        <v>43819</v>
      </c>
      <c r="CI1732">
        <v>1</v>
      </c>
      <c r="CJ1732">
        <v>1</v>
      </c>
      <c r="CK1732">
        <v>21</v>
      </c>
      <c r="CL1732" t="s">
        <v>89</v>
      </c>
    </row>
    <row r="1733" spans="1:90">
      <c r="A1733" t="s">
        <v>72</v>
      </c>
      <c r="B1733" t="s">
        <v>73</v>
      </c>
      <c r="C1733" t="s">
        <v>74</v>
      </c>
      <c r="E1733" t="str">
        <f>"FES1162728908"</f>
        <v>FES1162728908</v>
      </c>
      <c r="F1733" s="3">
        <v>43817</v>
      </c>
      <c r="G1733">
        <v>202006</v>
      </c>
      <c r="H1733" t="s">
        <v>75</v>
      </c>
      <c r="I1733" t="s">
        <v>76</v>
      </c>
      <c r="J1733" t="s">
        <v>77</v>
      </c>
      <c r="K1733" t="s">
        <v>78</v>
      </c>
      <c r="L1733" t="s">
        <v>332</v>
      </c>
      <c r="M1733" t="s">
        <v>333</v>
      </c>
      <c r="N1733" t="s">
        <v>701</v>
      </c>
      <c r="O1733" t="s">
        <v>82</v>
      </c>
      <c r="P1733" t="str">
        <f>"2170721857                    "</f>
        <v xml:space="preserve">2170721857                    </v>
      </c>
      <c r="Q1733">
        <v>0</v>
      </c>
      <c r="R1733">
        <v>0</v>
      </c>
      <c r="S1733">
        <v>0</v>
      </c>
      <c r="T1733">
        <v>0</v>
      </c>
      <c r="U1733">
        <v>0</v>
      </c>
      <c r="V1733">
        <v>0</v>
      </c>
      <c r="W1733">
        <v>0</v>
      </c>
      <c r="X1733">
        <v>0</v>
      </c>
      <c r="Y1733">
        <v>0</v>
      </c>
      <c r="Z1733">
        <v>0</v>
      </c>
      <c r="AA1733">
        <v>0</v>
      </c>
      <c r="AB1733">
        <v>0</v>
      </c>
      <c r="AC1733">
        <v>0</v>
      </c>
      <c r="AD1733">
        <v>0</v>
      </c>
      <c r="AE1733">
        <v>0</v>
      </c>
      <c r="AF1733">
        <v>0</v>
      </c>
      <c r="AG1733">
        <v>0</v>
      </c>
      <c r="AH1733">
        <v>0</v>
      </c>
      <c r="AI1733">
        <v>0</v>
      </c>
      <c r="AJ1733">
        <v>0</v>
      </c>
      <c r="AK1733">
        <v>0</v>
      </c>
      <c r="AL1733">
        <v>0</v>
      </c>
      <c r="AM1733">
        <v>6.71</v>
      </c>
      <c r="AN1733">
        <v>0</v>
      </c>
      <c r="AO1733">
        <v>0</v>
      </c>
      <c r="AP1733">
        <v>0</v>
      </c>
      <c r="AQ1733">
        <v>0</v>
      </c>
      <c r="AR1733">
        <v>0</v>
      </c>
      <c r="AS1733">
        <v>0</v>
      </c>
      <c r="AT1733">
        <v>0</v>
      </c>
      <c r="AU1733">
        <v>0</v>
      </c>
      <c r="AV1733">
        <v>0</v>
      </c>
      <c r="AW1733">
        <v>0</v>
      </c>
      <c r="AX1733">
        <v>0</v>
      </c>
      <c r="AY1733">
        <v>0</v>
      </c>
      <c r="AZ1733">
        <v>0</v>
      </c>
      <c r="BA1733">
        <v>0</v>
      </c>
      <c r="BB1733">
        <v>0</v>
      </c>
      <c r="BC1733">
        <v>0</v>
      </c>
      <c r="BD1733">
        <v>0</v>
      </c>
      <c r="BE1733">
        <v>0</v>
      </c>
      <c r="BF1733">
        <v>0</v>
      </c>
      <c r="BG1733">
        <v>0</v>
      </c>
      <c r="BH1733">
        <v>1</v>
      </c>
      <c r="BI1733">
        <v>1</v>
      </c>
      <c r="BJ1733">
        <v>0.2</v>
      </c>
      <c r="BK1733">
        <v>1</v>
      </c>
      <c r="BL1733" s="4">
        <v>39.42</v>
      </c>
      <c r="BM1733" s="4">
        <v>5.91</v>
      </c>
      <c r="BN1733" s="4">
        <v>45.33</v>
      </c>
      <c r="BO1733" s="4">
        <v>45.33</v>
      </c>
      <c r="BQ1733" t="s">
        <v>93</v>
      </c>
      <c r="BR1733" t="s">
        <v>84</v>
      </c>
      <c r="BS1733" s="3">
        <v>43818</v>
      </c>
      <c r="BT1733" s="5">
        <v>0.37013888888888885</v>
      </c>
      <c r="BU1733" t="s">
        <v>2124</v>
      </c>
      <c r="BV1733" t="s">
        <v>86</v>
      </c>
      <c r="BY1733">
        <v>1200</v>
      </c>
      <c r="CA1733" t="s">
        <v>2125</v>
      </c>
      <c r="CC1733" t="s">
        <v>333</v>
      </c>
      <c r="CD1733">
        <v>2094</v>
      </c>
      <c r="CE1733" t="s">
        <v>88</v>
      </c>
      <c r="CF1733" s="3">
        <v>43819</v>
      </c>
      <c r="CI1733">
        <v>1</v>
      </c>
      <c r="CJ1733">
        <v>1</v>
      </c>
      <c r="CK1733">
        <v>22</v>
      </c>
      <c r="CL1733" t="s">
        <v>89</v>
      </c>
    </row>
    <row r="1734" spans="1:90">
      <c r="A1734" t="s">
        <v>72</v>
      </c>
      <c r="B1734" t="s">
        <v>73</v>
      </c>
      <c r="C1734" t="s">
        <v>74</v>
      </c>
      <c r="E1734" t="str">
        <f>"FES1162728853"</f>
        <v>FES1162728853</v>
      </c>
      <c r="F1734" s="3">
        <v>43817</v>
      </c>
      <c r="G1734">
        <v>202006</v>
      </c>
      <c r="H1734" t="s">
        <v>75</v>
      </c>
      <c r="I1734" t="s">
        <v>76</v>
      </c>
      <c r="J1734" t="s">
        <v>77</v>
      </c>
      <c r="K1734" t="s">
        <v>78</v>
      </c>
      <c r="L1734" t="s">
        <v>151</v>
      </c>
      <c r="M1734" t="s">
        <v>102</v>
      </c>
      <c r="N1734" t="s">
        <v>2126</v>
      </c>
      <c r="O1734" t="s">
        <v>82</v>
      </c>
      <c r="P1734" t="str">
        <f>"2170721714                    "</f>
        <v xml:space="preserve">2170721714                    </v>
      </c>
      <c r="Q1734">
        <v>0</v>
      </c>
      <c r="R1734">
        <v>0</v>
      </c>
      <c r="S1734">
        <v>0</v>
      </c>
      <c r="T1734">
        <v>0</v>
      </c>
      <c r="U1734">
        <v>0</v>
      </c>
      <c r="V1734">
        <v>0</v>
      </c>
      <c r="W1734">
        <v>0</v>
      </c>
      <c r="X1734">
        <v>0</v>
      </c>
      <c r="Y1734">
        <v>0</v>
      </c>
      <c r="Z1734">
        <v>0</v>
      </c>
      <c r="AA1734">
        <v>0</v>
      </c>
      <c r="AB1734">
        <v>0</v>
      </c>
      <c r="AC1734">
        <v>0</v>
      </c>
      <c r="AD1734">
        <v>0</v>
      </c>
      <c r="AE1734">
        <v>0</v>
      </c>
      <c r="AF1734">
        <v>0</v>
      </c>
      <c r="AG1734">
        <v>0</v>
      </c>
      <c r="AH1734">
        <v>0</v>
      </c>
      <c r="AI1734">
        <v>0</v>
      </c>
      <c r="AJ1734">
        <v>0</v>
      </c>
      <c r="AK1734">
        <v>0</v>
      </c>
      <c r="AL1734">
        <v>0</v>
      </c>
      <c r="AM1734">
        <v>8.58</v>
      </c>
      <c r="AN1734">
        <v>0</v>
      </c>
      <c r="AO1734">
        <v>0</v>
      </c>
      <c r="AP1734">
        <v>0</v>
      </c>
      <c r="AQ1734">
        <v>0</v>
      </c>
      <c r="AR1734">
        <v>0</v>
      </c>
      <c r="AS1734">
        <v>0</v>
      </c>
      <c r="AT1734">
        <v>0</v>
      </c>
      <c r="AU1734">
        <v>0</v>
      </c>
      <c r="AV1734">
        <v>0</v>
      </c>
      <c r="AW1734">
        <v>0</v>
      </c>
      <c r="AX1734">
        <v>0</v>
      </c>
      <c r="AY1734">
        <v>0</v>
      </c>
      <c r="AZ1734">
        <v>0</v>
      </c>
      <c r="BA1734">
        <v>0</v>
      </c>
      <c r="BB1734">
        <v>0</v>
      </c>
      <c r="BC1734">
        <v>0</v>
      </c>
      <c r="BD1734">
        <v>0</v>
      </c>
      <c r="BE1734">
        <v>0</v>
      </c>
      <c r="BF1734">
        <v>0</v>
      </c>
      <c r="BG1734">
        <v>0</v>
      </c>
      <c r="BH1734">
        <v>1</v>
      </c>
      <c r="BI1734">
        <v>1</v>
      </c>
      <c r="BJ1734">
        <v>0.2</v>
      </c>
      <c r="BK1734">
        <v>1</v>
      </c>
      <c r="BL1734" s="4">
        <v>50.45</v>
      </c>
      <c r="BM1734" s="4">
        <v>7.57</v>
      </c>
      <c r="BN1734" s="4">
        <v>58.02</v>
      </c>
      <c r="BO1734" s="4">
        <v>58.02</v>
      </c>
      <c r="BR1734" t="s">
        <v>84</v>
      </c>
      <c r="BS1734" s="3">
        <v>43818</v>
      </c>
      <c r="BT1734" s="5">
        <v>0.41666666666666669</v>
      </c>
      <c r="BU1734" t="s">
        <v>2127</v>
      </c>
      <c r="BV1734" t="s">
        <v>86</v>
      </c>
      <c r="BY1734">
        <v>1200</v>
      </c>
      <c r="CC1734" t="s">
        <v>102</v>
      </c>
      <c r="CD1734">
        <v>182</v>
      </c>
      <c r="CE1734" t="s">
        <v>88</v>
      </c>
      <c r="CF1734" s="3">
        <v>43819</v>
      </c>
      <c r="CI1734">
        <v>1</v>
      </c>
      <c r="CJ1734">
        <v>1</v>
      </c>
      <c r="CK1734">
        <v>21</v>
      </c>
      <c r="CL1734" t="s">
        <v>89</v>
      </c>
    </row>
    <row r="1735" spans="1:90">
      <c r="A1735" t="s">
        <v>72</v>
      </c>
      <c r="B1735" t="s">
        <v>73</v>
      </c>
      <c r="C1735" t="s">
        <v>74</v>
      </c>
      <c r="E1735" t="str">
        <f>"FES1162728803"</f>
        <v>FES1162728803</v>
      </c>
      <c r="F1735" s="3">
        <v>43817</v>
      </c>
      <c r="G1735">
        <v>202006</v>
      </c>
      <c r="H1735" t="s">
        <v>75</v>
      </c>
      <c r="I1735" t="s">
        <v>76</v>
      </c>
      <c r="J1735" t="s">
        <v>77</v>
      </c>
      <c r="K1735" t="s">
        <v>78</v>
      </c>
      <c r="L1735" t="s">
        <v>151</v>
      </c>
      <c r="M1735" t="s">
        <v>102</v>
      </c>
      <c r="N1735" t="s">
        <v>2128</v>
      </c>
      <c r="O1735" t="s">
        <v>82</v>
      </c>
      <c r="P1735" t="str">
        <f>"2170719242                    "</f>
        <v xml:space="preserve">2170719242                    </v>
      </c>
      <c r="Q1735">
        <v>0</v>
      </c>
      <c r="R1735">
        <v>0</v>
      </c>
      <c r="S1735">
        <v>0</v>
      </c>
      <c r="T1735">
        <v>0</v>
      </c>
      <c r="U1735">
        <v>0</v>
      </c>
      <c r="V1735">
        <v>0</v>
      </c>
      <c r="W1735">
        <v>0</v>
      </c>
      <c r="X1735">
        <v>0</v>
      </c>
      <c r="Y1735">
        <v>0</v>
      </c>
      <c r="Z1735">
        <v>0</v>
      </c>
      <c r="AA1735">
        <v>0</v>
      </c>
      <c r="AB1735">
        <v>0</v>
      </c>
      <c r="AC1735">
        <v>0</v>
      </c>
      <c r="AD1735">
        <v>0</v>
      </c>
      <c r="AE1735">
        <v>0</v>
      </c>
      <c r="AF1735">
        <v>0</v>
      </c>
      <c r="AG1735">
        <v>0</v>
      </c>
      <c r="AH1735">
        <v>0</v>
      </c>
      <c r="AI1735">
        <v>0</v>
      </c>
      <c r="AJ1735">
        <v>0</v>
      </c>
      <c r="AK1735">
        <v>0</v>
      </c>
      <c r="AL1735">
        <v>0</v>
      </c>
      <c r="AM1735">
        <v>15.02</v>
      </c>
      <c r="AN1735">
        <v>0</v>
      </c>
      <c r="AO1735">
        <v>0</v>
      </c>
      <c r="AP1735">
        <v>0</v>
      </c>
      <c r="AQ1735">
        <v>0</v>
      </c>
      <c r="AR1735">
        <v>0</v>
      </c>
      <c r="AS1735">
        <v>0</v>
      </c>
      <c r="AT1735">
        <v>0</v>
      </c>
      <c r="AU1735">
        <v>0</v>
      </c>
      <c r="AV1735">
        <v>0</v>
      </c>
      <c r="AW1735">
        <v>0</v>
      </c>
      <c r="AX1735">
        <v>0</v>
      </c>
      <c r="AY1735">
        <v>0</v>
      </c>
      <c r="AZ1735">
        <v>0</v>
      </c>
      <c r="BA1735">
        <v>0</v>
      </c>
      <c r="BB1735">
        <v>0</v>
      </c>
      <c r="BC1735">
        <v>0</v>
      </c>
      <c r="BD1735">
        <v>0</v>
      </c>
      <c r="BE1735">
        <v>0</v>
      </c>
      <c r="BF1735">
        <v>0</v>
      </c>
      <c r="BG1735">
        <v>0</v>
      </c>
      <c r="BH1735">
        <v>1</v>
      </c>
      <c r="BI1735">
        <v>3.4</v>
      </c>
      <c r="BJ1735">
        <v>0.8</v>
      </c>
      <c r="BK1735">
        <v>3.5</v>
      </c>
      <c r="BL1735" s="4">
        <v>88.27</v>
      </c>
      <c r="BM1735" s="4">
        <v>13.24</v>
      </c>
      <c r="BN1735" s="4">
        <v>101.51</v>
      </c>
      <c r="BO1735" s="4">
        <v>101.51</v>
      </c>
      <c r="BQ1735" t="s">
        <v>147</v>
      </c>
      <c r="BR1735" t="s">
        <v>84</v>
      </c>
      <c r="BS1735" s="3">
        <v>43818</v>
      </c>
      <c r="BT1735" s="5">
        <v>0.33680555555555558</v>
      </c>
      <c r="BU1735" t="s">
        <v>2129</v>
      </c>
      <c r="BV1735" t="s">
        <v>86</v>
      </c>
      <c r="BY1735">
        <v>4209.32</v>
      </c>
      <c r="CA1735" t="s">
        <v>328</v>
      </c>
      <c r="CC1735" t="s">
        <v>102</v>
      </c>
      <c r="CD1735">
        <v>184</v>
      </c>
      <c r="CE1735" t="s">
        <v>96</v>
      </c>
      <c r="CF1735" s="3">
        <v>43819</v>
      </c>
      <c r="CI1735">
        <v>1</v>
      </c>
      <c r="CJ1735">
        <v>1</v>
      </c>
      <c r="CK1735">
        <v>21</v>
      </c>
      <c r="CL1735" t="s">
        <v>89</v>
      </c>
    </row>
    <row r="1736" spans="1:90">
      <c r="A1736" t="s">
        <v>72</v>
      </c>
      <c r="B1736" t="s">
        <v>73</v>
      </c>
      <c r="C1736" t="s">
        <v>74</v>
      </c>
      <c r="E1736" t="str">
        <f>"FES1162728841"</f>
        <v>FES1162728841</v>
      </c>
      <c r="F1736" s="3">
        <v>43817</v>
      </c>
      <c r="G1736">
        <v>202006</v>
      </c>
      <c r="H1736" t="s">
        <v>75</v>
      </c>
      <c r="I1736" t="s">
        <v>76</v>
      </c>
      <c r="J1736" t="s">
        <v>77</v>
      </c>
      <c r="K1736" t="s">
        <v>78</v>
      </c>
      <c r="L1736" t="s">
        <v>198</v>
      </c>
      <c r="M1736" t="s">
        <v>199</v>
      </c>
      <c r="N1736" t="s">
        <v>639</v>
      </c>
      <c r="O1736" t="s">
        <v>82</v>
      </c>
      <c r="P1736" t="str">
        <f>"2170720880                    "</f>
        <v xml:space="preserve">2170720880                    </v>
      </c>
      <c r="Q1736">
        <v>0</v>
      </c>
      <c r="R1736">
        <v>0</v>
      </c>
      <c r="S1736">
        <v>0</v>
      </c>
      <c r="T1736">
        <v>0</v>
      </c>
      <c r="U1736">
        <v>0</v>
      </c>
      <c r="V1736">
        <v>0</v>
      </c>
      <c r="W1736">
        <v>0</v>
      </c>
      <c r="X1736">
        <v>0</v>
      </c>
      <c r="Y1736">
        <v>0</v>
      </c>
      <c r="Z1736">
        <v>0</v>
      </c>
      <c r="AA1736">
        <v>0</v>
      </c>
      <c r="AB1736">
        <v>0</v>
      </c>
      <c r="AC1736">
        <v>0</v>
      </c>
      <c r="AD1736">
        <v>0</v>
      </c>
      <c r="AE1736">
        <v>0</v>
      </c>
      <c r="AF1736">
        <v>0</v>
      </c>
      <c r="AG1736">
        <v>0</v>
      </c>
      <c r="AH1736">
        <v>0</v>
      </c>
      <c r="AI1736">
        <v>0</v>
      </c>
      <c r="AJ1736">
        <v>0</v>
      </c>
      <c r="AK1736">
        <v>0</v>
      </c>
      <c r="AL1736">
        <v>0</v>
      </c>
      <c r="AM1736">
        <v>8.58</v>
      </c>
      <c r="AN1736">
        <v>0</v>
      </c>
      <c r="AO1736">
        <v>0</v>
      </c>
      <c r="AP1736">
        <v>0</v>
      </c>
      <c r="AQ1736">
        <v>0</v>
      </c>
      <c r="AR1736">
        <v>0</v>
      </c>
      <c r="AS1736">
        <v>0</v>
      </c>
      <c r="AT1736">
        <v>0</v>
      </c>
      <c r="AU1736">
        <v>0</v>
      </c>
      <c r="AV1736">
        <v>0</v>
      </c>
      <c r="AW1736">
        <v>0</v>
      </c>
      <c r="AX1736">
        <v>0</v>
      </c>
      <c r="AY1736">
        <v>0</v>
      </c>
      <c r="AZ1736">
        <v>0</v>
      </c>
      <c r="BA1736">
        <v>0</v>
      </c>
      <c r="BB1736">
        <v>0</v>
      </c>
      <c r="BC1736">
        <v>0</v>
      </c>
      <c r="BD1736">
        <v>0</v>
      </c>
      <c r="BE1736">
        <v>0</v>
      </c>
      <c r="BF1736">
        <v>0</v>
      </c>
      <c r="BG1736">
        <v>0</v>
      </c>
      <c r="BH1736">
        <v>1</v>
      </c>
      <c r="BI1736">
        <v>1</v>
      </c>
      <c r="BJ1736">
        <v>0.2</v>
      </c>
      <c r="BK1736">
        <v>1</v>
      </c>
      <c r="BL1736" s="4">
        <v>50.45</v>
      </c>
      <c r="BM1736" s="4">
        <v>7.57</v>
      </c>
      <c r="BN1736" s="4">
        <v>58.02</v>
      </c>
      <c r="BO1736" s="4">
        <v>58.02</v>
      </c>
      <c r="BQ1736" t="s">
        <v>640</v>
      </c>
      <c r="BR1736" t="s">
        <v>84</v>
      </c>
      <c r="BS1736" s="3">
        <v>43818</v>
      </c>
      <c r="BT1736" s="5">
        <v>0.32430555555555557</v>
      </c>
      <c r="BU1736" t="s">
        <v>641</v>
      </c>
      <c r="BV1736" t="s">
        <v>86</v>
      </c>
      <c r="BY1736">
        <v>1200</v>
      </c>
      <c r="CA1736" t="s">
        <v>408</v>
      </c>
      <c r="CC1736" t="s">
        <v>199</v>
      </c>
      <c r="CD1736">
        <v>4052</v>
      </c>
      <c r="CE1736" t="s">
        <v>88</v>
      </c>
      <c r="CF1736" s="3">
        <v>43819</v>
      </c>
      <c r="CI1736">
        <v>1</v>
      </c>
      <c r="CJ1736">
        <v>1</v>
      </c>
      <c r="CK1736">
        <v>21</v>
      </c>
      <c r="CL1736" t="s">
        <v>89</v>
      </c>
    </row>
    <row r="1737" spans="1:90">
      <c r="A1737" t="s">
        <v>72</v>
      </c>
      <c r="B1737" t="s">
        <v>73</v>
      </c>
      <c r="C1737" t="s">
        <v>74</v>
      </c>
      <c r="E1737" t="str">
        <f>"FES1162728811"</f>
        <v>FES1162728811</v>
      </c>
      <c r="F1737" s="3">
        <v>43817</v>
      </c>
      <c r="G1737">
        <v>202006</v>
      </c>
      <c r="H1737" t="s">
        <v>75</v>
      </c>
      <c r="I1737" t="s">
        <v>76</v>
      </c>
      <c r="J1737" t="s">
        <v>77</v>
      </c>
      <c r="K1737" t="s">
        <v>78</v>
      </c>
      <c r="L1737" t="s">
        <v>201</v>
      </c>
      <c r="M1737" t="s">
        <v>202</v>
      </c>
      <c r="N1737" t="s">
        <v>335</v>
      </c>
      <c r="O1737" t="s">
        <v>82</v>
      </c>
      <c r="P1737" t="str">
        <f>"2170719774                    "</f>
        <v xml:space="preserve">2170719774                    </v>
      </c>
      <c r="Q1737">
        <v>0</v>
      </c>
      <c r="R1737">
        <v>0</v>
      </c>
      <c r="S1737">
        <v>0</v>
      </c>
      <c r="T1737">
        <v>0</v>
      </c>
      <c r="U1737">
        <v>0</v>
      </c>
      <c r="V1737">
        <v>0</v>
      </c>
      <c r="W1737">
        <v>0</v>
      </c>
      <c r="X1737">
        <v>0</v>
      </c>
      <c r="Y1737">
        <v>0</v>
      </c>
      <c r="Z1737">
        <v>0</v>
      </c>
      <c r="AA1737">
        <v>0</v>
      </c>
      <c r="AB1737">
        <v>0</v>
      </c>
      <c r="AC1737">
        <v>0</v>
      </c>
      <c r="AD1737">
        <v>0</v>
      </c>
      <c r="AE1737">
        <v>0</v>
      </c>
      <c r="AF1737">
        <v>0</v>
      </c>
      <c r="AG1737">
        <v>0</v>
      </c>
      <c r="AH1737">
        <v>0</v>
      </c>
      <c r="AI1737">
        <v>0</v>
      </c>
      <c r="AJ1737">
        <v>0</v>
      </c>
      <c r="AK1737">
        <v>0</v>
      </c>
      <c r="AL1737">
        <v>0</v>
      </c>
      <c r="AM1737">
        <v>8.58</v>
      </c>
      <c r="AN1737">
        <v>0</v>
      </c>
      <c r="AO1737">
        <v>0</v>
      </c>
      <c r="AP1737">
        <v>0</v>
      </c>
      <c r="AQ1737">
        <v>0</v>
      </c>
      <c r="AR1737">
        <v>0</v>
      </c>
      <c r="AS1737">
        <v>0</v>
      </c>
      <c r="AT1737">
        <v>0</v>
      </c>
      <c r="AU1737">
        <v>0</v>
      </c>
      <c r="AV1737">
        <v>0</v>
      </c>
      <c r="AW1737">
        <v>0</v>
      </c>
      <c r="AX1737">
        <v>0</v>
      </c>
      <c r="AY1737">
        <v>0</v>
      </c>
      <c r="AZ1737">
        <v>0</v>
      </c>
      <c r="BA1737">
        <v>0</v>
      </c>
      <c r="BB1737">
        <v>0</v>
      </c>
      <c r="BC1737">
        <v>0</v>
      </c>
      <c r="BD1737">
        <v>0</v>
      </c>
      <c r="BE1737">
        <v>0</v>
      </c>
      <c r="BF1737">
        <v>0</v>
      </c>
      <c r="BG1737">
        <v>0</v>
      </c>
      <c r="BH1737">
        <v>1</v>
      </c>
      <c r="BI1737">
        <v>1</v>
      </c>
      <c r="BJ1737">
        <v>0.2</v>
      </c>
      <c r="BK1737">
        <v>1</v>
      </c>
      <c r="BL1737" s="4">
        <v>50.45</v>
      </c>
      <c r="BM1737" s="4">
        <v>7.57</v>
      </c>
      <c r="BN1737" s="4">
        <v>58.02</v>
      </c>
      <c r="BO1737" s="4">
        <v>58.02</v>
      </c>
      <c r="BQ1737" t="s">
        <v>147</v>
      </c>
      <c r="BR1737" t="s">
        <v>84</v>
      </c>
      <c r="BS1737" s="3">
        <v>43818</v>
      </c>
      <c r="BT1737" s="5">
        <v>0.41319444444444442</v>
      </c>
      <c r="BU1737" t="s">
        <v>2130</v>
      </c>
      <c r="BV1737" t="s">
        <v>86</v>
      </c>
      <c r="BY1737">
        <v>1200</v>
      </c>
      <c r="CA1737" t="s">
        <v>288</v>
      </c>
      <c r="CC1737" t="s">
        <v>202</v>
      </c>
      <c r="CD1737">
        <v>3600</v>
      </c>
      <c r="CE1737" t="s">
        <v>88</v>
      </c>
      <c r="CF1737" s="3">
        <v>43819</v>
      </c>
      <c r="CI1737">
        <v>1</v>
      </c>
      <c r="CJ1737">
        <v>1</v>
      </c>
      <c r="CK1737">
        <v>21</v>
      </c>
      <c r="CL1737" t="s">
        <v>89</v>
      </c>
    </row>
    <row r="1738" spans="1:90">
      <c r="A1738" t="s">
        <v>72</v>
      </c>
      <c r="B1738" t="s">
        <v>73</v>
      </c>
      <c r="C1738" t="s">
        <v>74</v>
      </c>
      <c r="E1738" t="str">
        <f>"FES1162728932"</f>
        <v>FES1162728932</v>
      </c>
      <c r="F1738" s="3">
        <v>43817</v>
      </c>
      <c r="G1738">
        <v>202006</v>
      </c>
      <c r="H1738" t="s">
        <v>75</v>
      </c>
      <c r="I1738" t="s">
        <v>76</v>
      </c>
      <c r="J1738" t="s">
        <v>77</v>
      </c>
      <c r="K1738" t="s">
        <v>78</v>
      </c>
      <c r="L1738" t="s">
        <v>198</v>
      </c>
      <c r="M1738" t="s">
        <v>199</v>
      </c>
      <c r="N1738" t="s">
        <v>837</v>
      </c>
      <c r="O1738" t="s">
        <v>82</v>
      </c>
      <c r="P1738" t="str">
        <f>"2170722041                    "</f>
        <v xml:space="preserve">2170722041                    </v>
      </c>
      <c r="Q1738">
        <v>0</v>
      </c>
      <c r="R1738">
        <v>0</v>
      </c>
      <c r="S1738">
        <v>0</v>
      </c>
      <c r="T1738">
        <v>0</v>
      </c>
      <c r="U1738">
        <v>0</v>
      </c>
      <c r="V1738">
        <v>0</v>
      </c>
      <c r="W1738">
        <v>0</v>
      </c>
      <c r="X1738">
        <v>0</v>
      </c>
      <c r="Y1738">
        <v>0</v>
      </c>
      <c r="Z1738">
        <v>0</v>
      </c>
      <c r="AA1738">
        <v>0</v>
      </c>
      <c r="AB1738">
        <v>0</v>
      </c>
      <c r="AC1738">
        <v>0</v>
      </c>
      <c r="AD1738">
        <v>0</v>
      </c>
      <c r="AE1738">
        <v>0</v>
      </c>
      <c r="AF1738">
        <v>0</v>
      </c>
      <c r="AG1738">
        <v>0</v>
      </c>
      <c r="AH1738">
        <v>0</v>
      </c>
      <c r="AI1738">
        <v>0</v>
      </c>
      <c r="AJ1738">
        <v>0</v>
      </c>
      <c r="AK1738">
        <v>0</v>
      </c>
      <c r="AL1738">
        <v>0</v>
      </c>
      <c r="AM1738">
        <v>8.58</v>
      </c>
      <c r="AN1738">
        <v>0</v>
      </c>
      <c r="AO1738">
        <v>0</v>
      </c>
      <c r="AP1738">
        <v>0</v>
      </c>
      <c r="AQ1738">
        <v>0</v>
      </c>
      <c r="AR1738">
        <v>0</v>
      </c>
      <c r="AS1738">
        <v>0</v>
      </c>
      <c r="AT1738">
        <v>0</v>
      </c>
      <c r="AU1738">
        <v>0</v>
      </c>
      <c r="AV1738">
        <v>0</v>
      </c>
      <c r="AW1738">
        <v>0</v>
      </c>
      <c r="AX1738">
        <v>0</v>
      </c>
      <c r="AY1738">
        <v>0</v>
      </c>
      <c r="AZ1738">
        <v>0</v>
      </c>
      <c r="BA1738">
        <v>0</v>
      </c>
      <c r="BB1738">
        <v>0</v>
      </c>
      <c r="BC1738">
        <v>0</v>
      </c>
      <c r="BD1738">
        <v>0</v>
      </c>
      <c r="BE1738">
        <v>0</v>
      </c>
      <c r="BF1738">
        <v>0</v>
      </c>
      <c r="BG1738">
        <v>0</v>
      </c>
      <c r="BH1738">
        <v>1</v>
      </c>
      <c r="BI1738">
        <v>1</v>
      </c>
      <c r="BJ1738">
        <v>0.2</v>
      </c>
      <c r="BK1738">
        <v>1</v>
      </c>
      <c r="BL1738" s="4">
        <v>50.45</v>
      </c>
      <c r="BM1738" s="4">
        <v>7.57</v>
      </c>
      <c r="BN1738" s="4">
        <v>58.02</v>
      </c>
      <c r="BO1738" s="4">
        <v>58.02</v>
      </c>
      <c r="BQ1738" t="s">
        <v>135</v>
      </c>
      <c r="BR1738" t="s">
        <v>84</v>
      </c>
      <c r="BS1738" s="3">
        <v>43818</v>
      </c>
      <c r="BT1738" s="5">
        <v>0.58333333333333337</v>
      </c>
      <c r="BU1738" t="s">
        <v>1854</v>
      </c>
      <c r="BV1738" t="s">
        <v>89</v>
      </c>
      <c r="BW1738" t="s">
        <v>506</v>
      </c>
      <c r="BX1738" t="s">
        <v>1163</v>
      </c>
      <c r="BY1738">
        <v>1200</v>
      </c>
      <c r="CA1738" t="s">
        <v>839</v>
      </c>
      <c r="CC1738" t="s">
        <v>199</v>
      </c>
      <c r="CD1738">
        <v>4064</v>
      </c>
      <c r="CE1738" t="s">
        <v>88</v>
      </c>
      <c r="CF1738" s="3">
        <v>43819</v>
      </c>
      <c r="CI1738">
        <v>1</v>
      </c>
      <c r="CJ1738">
        <v>1</v>
      </c>
      <c r="CK1738">
        <v>21</v>
      </c>
      <c r="CL1738" t="s">
        <v>89</v>
      </c>
    </row>
    <row r="1739" spans="1:90">
      <c r="A1739" t="s">
        <v>72</v>
      </c>
      <c r="B1739" t="s">
        <v>73</v>
      </c>
      <c r="C1739" t="s">
        <v>74</v>
      </c>
      <c r="E1739" t="str">
        <f>"FES1162728861"</f>
        <v>FES1162728861</v>
      </c>
      <c r="F1739" s="3">
        <v>43817</v>
      </c>
      <c r="G1739">
        <v>202006</v>
      </c>
      <c r="H1739" t="s">
        <v>75</v>
      </c>
      <c r="I1739" t="s">
        <v>76</v>
      </c>
      <c r="J1739" t="s">
        <v>77</v>
      </c>
      <c r="K1739" t="s">
        <v>78</v>
      </c>
      <c r="L1739" t="s">
        <v>1183</v>
      </c>
      <c r="M1739" t="s">
        <v>1184</v>
      </c>
      <c r="N1739" t="s">
        <v>1185</v>
      </c>
      <c r="O1739" t="s">
        <v>82</v>
      </c>
      <c r="P1739" t="str">
        <f>"2170722002                    "</f>
        <v xml:space="preserve">2170722002                    </v>
      </c>
      <c r="Q1739">
        <v>0</v>
      </c>
      <c r="R1739">
        <v>0</v>
      </c>
      <c r="S1739">
        <v>0</v>
      </c>
      <c r="T1739">
        <v>0</v>
      </c>
      <c r="U1739">
        <v>0</v>
      </c>
      <c r="V1739">
        <v>0</v>
      </c>
      <c r="W1739">
        <v>0</v>
      </c>
      <c r="X1739">
        <v>0</v>
      </c>
      <c r="Y1739">
        <v>0</v>
      </c>
      <c r="Z1739">
        <v>0</v>
      </c>
      <c r="AA1739">
        <v>0</v>
      </c>
      <c r="AB1739">
        <v>0</v>
      </c>
      <c r="AC1739">
        <v>0</v>
      </c>
      <c r="AD1739">
        <v>0</v>
      </c>
      <c r="AE1739">
        <v>0</v>
      </c>
      <c r="AF1739">
        <v>0</v>
      </c>
      <c r="AG1739">
        <v>0</v>
      </c>
      <c r="AH1739">
        <v>0</v>
      </c>
      <c r="AI1739">
        <v>0</v>
      </c>
      <c r="AJ1739">
        <v>0</v>
      </c>
      <c r="AK1739">
        <v>0</v>
      </c>
      <c r="AL1739">
        <v>0</v>
      </c>
      <c r="AM1739">
        <v>16.63</v>
      </c>
      <c r="AN1739">
        <v>0</v>
      </c>
      <c r="AO1739">
        <v>0</v>
      </c>
      <c r="AP1739">
        <v>0</v>
      </c>
      <c r="AQ1739">
        <v>0</v>
      </c>
      <c r="AR1739">
        <v>0</v>
      </c>
      <c r="AS1739">
        <v>0</v>
      </c>
      <c r="AT1739">
        <v>0</v>
      </c>
      <c r="AU1739">
        <v>0</v>
      </c>
      <c r="AV1739">
        <v>0</v>
      </c>
      <c r="AW1739">
        <v>0</v>
      </c>
      <c r="AX1739">
        <v>0</v>
      </c>
      <c r="AY1739">
        <v>0</v>
      </c>
      <c r="AZ1739">
        <v>0</v>
      </c>
      <c r="BA1739">
        <v>0</v>
      </c>
      <c r="BB1739">
        <v>0</v>
      </c>
      <c r="BC1739">
        <v>0</v>
      </c>
      <c r="BD1739">
        <v>0</v>
      </c>
      <c r="BE1739">
        <v>0</v>
      </c>
      <c r="BF1739">
        <v>0</v>
      </c>
      <c r="BG1739">
        <v>0</v>
      </c>
      <c r="BH1739">
        <v>1</v>
      </c>
      <c r="BI1739">
        <v>1</v>
      </c>
      <c r="BJ1739">
        <v>0.2</v>
      </c>
      <c r="BK1739">
        <v>1</v>
      </c>
      <c r="BL1739" s="4">
        <v>97.75</v>
      </c>
      <c r="BM1739" s="4">
        <v>14.66</v>
      </c>
      <c r="BN1739" s="4">
        <v>112.41</v>
      </c>
      <c r="BO1739" s="4">
        <v>112.41</v>
      </c>
      <c r="BQ1739" t="s">
        <v>93</v>
      </c>
      <c r="BR1739" t="s">
        <v>84</v>
      </c>
      <c r="BS1739" s="3">
        <v>43818</v>
      </c>
      <c r="BT1739" s="5">
        <v>0.45833333333333331</v>
      </c>
      <c r="BU1739" t="s">
        <v>2131</v>
      </c>
      <c r="BV1739" t="s">
        <v>86</v>
      </c>
      <c r="BY1739">
        <v>1200</v>
      </c>
      <c r="CA1739" t="s">
        <v>1187</v>
      </c>
      <c r="CC1739" t="s">
        <v>1184</v>
      </c>
      <c r="CD1739">
        <v>3370</v>
      </c>
      <c r="CE1739" t="s">
        <v>88</v>
      </c>
      <c r="CF1739" s="3">
        <v>43822</v>
      </c>
      <c r="CI1739">
        <v>3</v>
      </c>
      <c r="CJ1739">
        <v>1</v>
      </c>
      <c r="CK1739">
        <v>23</v>
      </c>
      <c r="CL1739" t="s">
        <v>89</v>
      </c>
    </row>
    <row r="1740" spans="1:90">
      <c r="A1740" t="s">
        <v>72</v>
      </c>
      <c r="B1740" t="s">
        <v>73</v>
      </c>
      <c r="C1740" t="s">
        <v>74</v>
      </c>
      <c r="E1740" t="str">
        <f>"009935712072"</f>
        <v>009935712072</v>
      </c>
      <c r="F1740" s="3">
        <v>43817</v>
      </c>
      <c r="G1740">
        <v>202006</v>
      </c>
      <c r="H1740" t="s">
        <v>75</v>
      </c>
      <c r="I1740" t="s">
        <v>76</v>
      </c>
      <c r="J1740" t="s">
        <v>77</v>
      </c>
      <c r="K1740" t="s">
        <v>78</v>
      </c>
      <c r="L1740" t="s">
        <v>164</v>
      </c>
      <c r="M1740" t="s">
        <v>165</v>
      </c>
      <c r="N1740" t="s">
        <v>263</v>
      </c>
      <c r="O1740" t="s">
        <v>82</v>
      </c>
      <c r="P1740" t="str">
        <f>"1162728316                    "</f>
        <v xml:space="preserve">1162728316                    </v>
      </c>
      <c r="Q1740">
        <v>0</v>
      </c>
      <c r="R1740">
        <v>0</v>
      </c>
      <c r="S1740">
        <v>0</v>
      </c>
      <c r="T1740">
        <v>0</v>
      </c>
      <c r="U1740">
        <v>0</v>
      </c>
      <c r="V1740">
        <v>0</v>
      </c>
      <c r="W1740">
        <v>0</v>
      </c>
      <c r="X1740">
        <v>0</v>
      </c>
      <c r="Y1740">
        <v>0</v>
      </c>
      <c r="Z1740">
        <v>0</v>
      </c>
      <c r="AA1740">
        <v>0</v>
      </c>
      <c r="AB1740">
        <v>0</v>
      </c>
      <c r="AC1740">
        <v>0</v>
      </c>
      <c r="AD1740">
        <v>0</v>
      </c>
      <c r="AE1740">
        <v>0</v>
      </c>
      <c r="AF1740">
        <v>0</v>
      </c>
      <c r="AG1740">
        <v>0</v>
      </c>
      <c r="AH1740">
        <v>0</v>
      </c>
      <c r="AI1740">
        <v>0</v>
      </c>
      <c r="AJ1740">
        <v>0</v>
      </c>
      <c r="AK1740">
        <v>0</v>
      </c>
      <c r="AL1740">
        <v>0</v>
      </c>
      <c r="AM1740">
        <v>8.58</v>
      </c>
      <c r="AN1740">
        <v>0</v>
      </c>
      <c r="AO1740">
        <v>0</v>
      </c>
      <c r="AP1740">
        <v>0</v>
      </c>
      <c r="AQ1740">
        <v>0</v>
      </c>
      <c r="AR1740">
        <v>0</v>
      </c>
      <c r="AS1740">
        <v>0</v>
      </c>
      <c r="AT1740">
        <v>0</v>
      </c>
      <c r="AU1740">
        <v>0</v>
      </c>
      <c r="AV1740">
        <v>0</v>
      </c>
      <c r="AW1740">
        <v>0</v>
      </c>
      <c r="AX1740">
        <v>0</v>
      </c>
      <c r="AY1740">
        <v>0</v>
      </c>
      <c r="AZ1740">
        <v>0</v>
      </c>
      <c r="BA1740">
        <v>0</v>
      </c>
      <c r="BB1740">
        <v>0</v>
      </c>
      <c r="BC1740">
        <v>0</v>
      </c>
      <c r="BD1740">
        <v>0</v>
      </c>
      <c r="BE1740">
        <v>0</v>
      </c>
      <c r="BF1740">
        <v>0</v>
      </c>
      <c r="BG1740">
        <v>0</v>
      </c>
      <c r="BH1740">
        <v>1</v>
      </c>
      <c r="BI1740">
        <v>1</v>
      </c>
      <c r="BJ1740">
        <v>0.2</v>
      </c>
      <c r="BK1740">
        <v>1</v>
      </c>
      <c r="BL1740" s="4">
        <v>50.45</v>
      </c>
      <c r="BM1740" s="4">
        <v>7.57</v>
      </c>
      <c r="BN1740" s="4">
        <v>58.02</v>
      </c>
      <c r="BO1740" s="4">
        <v>58.02</v>
      </c>
      <c r="BP1740" t="s">
        <v>2132</v>
      </c>
      <c r="BQ1740" t="s">
        <v>147</v>
      </c>
      <c r="BR1740" t="s">
        <v>84</v>
      </c>
      <c r="BS1740" s="3">
        <v>43818</v>
      </c>
      <c r="BT1740" s="5">
        <v>0.42708333333333331</v>
      </c>
      <c r="BU1740" t="s">
        <v>1827</v>
      </c>
      <c r="BV1740" t="s">
        <v>86</v>
      </c>
      <c r="BY1740">
        <v>1200</v>
      </c>
      <c r="CA1740" t="s">
        <v>371</v>
      </c>
      <c r="CC1740" t="s">
        <v>165</v>
      </c>
      <c r="CD1740">
        <v>5201</v>
      </c>
      <c r="CE1740" t="s">
        <v>88</v>
      </c>
      <c r="CF1740" s="3">
        <v>43822</v>
      </c>
      <c r="CI1740">
        <v>1</v>
      </c>
      <c r="CJ1740">
        <v>1</v>
      </c>
      <c r="CK1740">
        <v>21</v>
      </c>
      <c r="CL1740" t="s">
        <v>89</v>
      </c>
    </row>
    <row r="1741" spans="1:90">
      <c r="A1741" t="s">
        <v>72</v>
      </c>
      <c r="B1741" t="s">
        <v>73</v>
      </c>
      <c r="C1741" t="s">
        <v>74</v>
      </c>
      <c r="E1741" t="str">
        <f>"FES1162728767"</f>
        <v>FES1162728767</v>
      </c>
      <c r="F1741" s="3">
        <v>43817</v>
      </c>
      <c r="G1741">
        <v>202006</v>
      </c>
      <c r="H1741" t="s">
        <v>75</v>
      </c>
      <c r="I1741" t="s">
        <v>76</v>
      </c>
      <c r="J1741" t="s">
        <v>77</v>
      </c>
      <c r="K1741" t="s">
        <v>78</v>
      </c>
      <c r="L1741" t="s">
        <v>151</v>
      </c>
      <c r="M1741" t="s">
        <v>102</v>
      </c>
      <c r="N1741" t="s">
        <v>324</v>
      </c>
      <c r="O1741" t="s">
        <v>82</v>
      </c>
      <c r="P1741" t="str">
        <f>"21721962                      "</f>
        <v xml:space="preserve">21721962                      </v>
      </c>
      <c r="Q1741">
        <v>0</v>
      </c>
      <c r="R1741">
        <v>0</v>
      </c>
      <c r="S1741">
        <v>0</v>
      </c>
      <c r="T1741">
        <v>0</v>
      </c>
      <c r="U1741">
        <v>0</v>
      </c>
      <c r="V1741">
        <v>0</v>
      </c>
      <c r="W1741">
        <v>0</v>
      </c>
      <c r="X1741">
        <v>0</v>
      </c>
      <c r="Y1741">
        <v>0</v>
      </c>
      <c r="Z1741">
        <v>0</v>
      </c>
      <c r="AA1741">
        <v>0</v>
      </c>
      <c r="AB1741">
        <v>0</v>
      </c>
      <c r="AC1741">
        <v>0</v>
      </c>
      <c r="AD1741">
        <v>0</v>
      </c>
      <c r="AE1741">
        <v>0</v>
      </c>
      <c r="AF1741">
        <v>0</v>
      </c>
      <c r="AG1741">
        <v>0</v>
      </c>
      <c r="AH1741">
        <v>0</v>
      </c>
      <c r="AI1741">
        <v>0</v>
      </c>
      <c r="AJ1741">
        <v>0</v>
      </c>
      <c r="AK1741">
        <v>0</v>
      </c>
      <c r="AL1741">
        <v>0</v>
      </c>
      <c r="AM1741">
        <v>8.58</v>
      </c>
      <c r="AN1741">
        <v>0</v>
      </c>
      <c r="AO1741">
        <v>0</v>
      </c>
      <c r="AP1741">
        <v>0</v>
      </c>
      <c r="AQ1741">
        <v>0</v>
      </c>
      <c r="AR1741">
        <v>0</v>
      </c>
      <c r="AS1741">
        <v>0</v>
      </c>
      <c r="AT1741">
        <v>0</v>
      </c>
      <c r="AU1741">
        <v>0</v>
      </c>
      <c r="AV1741">
        <v>0</v>
      </c>
      <c r="AW1741">
        <v>0</v>
      </c>
      <c r="AX1741">
        <v>0</v>
      </c>
      <c r="AY1741">
        <v>0</v>
      </c>
      <c r="AZ1741">
        <v>0</v>
      </c>
      <c r="BA1741">
        <v>0</v>
      </c>
      <c r="BB1741">
        <v>0</v>
      </c>
      <c r="BC1741">
        <v>0</v>
      </c>
      <c r="BD1741">
        <v>0</v>
      </c>
      <c r="BE1741">
        <v>0</v>
      </c>
      <c r="BF1741">
        <v>0</v>
      </c>
      <c r="BG1741">
        <v>0</v>
      </c>
      <c r="BH1741">
        <v>1</v>
      </c>
      <c r="BI1741">
        <v>1</v>
      </c>
      <c r="BJ1741">
        <v>0.2</v>
      </c>
      <c r="BK1741">
        <v>1</v>
      </c>
      <c r="BL1741" s="4">
        <v>50.45</v>
      </c>
      <c r="BM1741" s="4">
        <v>7.57</v>
      </c>
      <c r="BN1741" s="4">
        <v>58.02</v>
      </c>
      <c r="BO1741" s="4">
        <v>58.02</v>
      </c>
      <c r="BQ1741" t="s">
        <v>93</v>
      </c>
      <c r="BR1741" t="s">
        <v>84</v>
      </c>
      <c r="BS1741" s="3">
        <v>43818</v>
      </c>
      <c r="BT1741" s="5">
        <v>0.39583333333333331</v>
      </c>
      <c r="BU1741" t="s">
        <v>2133</v>
      </c>
      <c r="BV1741" t="s">
        <v>86</v>
      </c>
      <c r="BY1741">
        <v>1200</v>
      </c>
      <c r="CC1741" t="s">
        <v>102</v>
      </c>
      <c r="CD1741">
        <v>200</v>
      </c>
      <c r="CE1741" t="s">
        <v>88</v>
      </c>
      <c r="CF1741" s="3">
        <v>43819</v>
      </c>
      <c r="CI1741">
        <v>1</v>
      </c>
      <c r="CJ1741">
        <v>1</v>
      </c>
      <c r="CK1741">
        <v>21</v>
      </c>
      <c r="CL1741" t="s">
        <v>89</v>
      </c>
    </row>
    <row r="1742" spans="1:90">
      <c r="A1742" t="s">
        <v>72</v>
      </c>
      <c r="B1742" t="s">
        <v>73</v>
      </c>
      <c r="C1742" t="s">
        <v>74</v>
      </c>
      <c r="E1742" t="str">
        <f>"FES1162728765"</f>
        <v>FES1162728765</v>
      </c>
      <c r="F1742" s="3">
        <v>43817</v>
      </c>
      <c r="G1742">
        <v>202006</v>
      </c>
      <c r="H1742" t="s">
        <v>75</v>
      </c>
      <c r="I1742" t="s">
        <v>76</v>
      </c>
      <c r="J1742" t="s">
        <v>77</v>
      </c>
      <c r="K1742" t="s">
        <v>78</v>
      </c>
      <c r="L1742" t="s">
        <v>151</v>
      </c>
      <c r="M1742" t="s">
        <v>102</v>
      </c>
      <c r="N1742" t="s">
        <v>681</v>
      </c>
      <c r="O1742" t="s">
        <v>82</v>
      </c>
      <c r="P1742" t="str">
        <f>"2170721958                    "</f>
        <v xml:space="preserve">2170721958                    </v>
      </c>
      <c r="Q1742">
        <v>0</v>
      </c>
      <c r="R1742">
        <v>0</v>
      </c>
      <c r="S1742">
        <v>0</v>
      </c>
      <c r="T1742">
        <v>0</v>
      </c>
      <c r="U1742">
        <v>0</v>
      </c>
      <c r="V1742">
        <v>0</v>
      </c>
      <c r="W1742">
        <v>0</v>
      </c>
      <c r="X1742">
        <v>0</v>
      </c>
      <c r="Y1742">
        <v>0</v>
      </c>
      <c r="Z1742">
        <v>0</v>
      </c>
      <c r="AA1742">
        <v>0</v>
      </c>
      <c r="AB1742">
        <v>0</v>
      </c>
      <c r="AC1742">
        <v>0</v>
      </c>
      <c r="AD1742">
        <v>0</v>
      </c>
      <c r="AE1742">
        <v>0</v>
      </c>
      <c r="AF1742">
        <v>0</v>
      </c>
      <c r="AG1742">
        <v>0</v>
      </c>
      <c r="AH1742">
        <v>0</v>
      </c>
      <c r="AI1742">
        <v>0</v>
      </c>
      <c r="AJ1742">
        <v>0</v>
      </c>
      <c r="AK1742">
        <v>0</v>
      </c>
      <c r="AL1742">
        <v>0</v>
      </c>
      <c r="AM1742">
        <v>8.58</v>
      </c>
      <c r="AN1742">
        <v>0</v>
      </c>
      <c r="AO1742">
        <v>0</v>
      </c>
      <c r="AP1742">
        <v>0</v>
      </c>
      <c r="AQ1742">
        <v>0</v>
      </c>
      <c r="AR1742">
        <v>0</v>
      </c>
      <c r="AS1742">
        <v>0</v>
      </c>
      <c r="AT1742">
        <v>0</v>
      </c>
      <c r="AU1742">
        <v>0</v>
      </c>
      <c r="AV1742">
        <v>0</v>
      </c>
      <c r="AW1742">
        <v>0</v>
      </c>
      <c r="AX1742">
        <v>0</v>
      </c>
      <c r="AY1742">
        <v>0</v>
      </c>
      <c r="AZ1742">
        <v>0</v>
      </c>
      <c r="BA1742">
        <v>0</v>
      </c>
      <c r="BB1742">
        <v>0</v>
      </c>
      <c r="BC1742">
        <v>0</v>
      </c>
      <c r="BD1742">
        <v>0</v>
      </c>
      <c r="BE1742">
        <v>0</v>
      </c>
      <c r="BF1742">
        <v>0</v>
      </c>
      <c r="BG1742">
        <v>0</v>
      </c>
      <c r="BH1742">
        <v>1</v>
      </c>
      <c r="BI1742">
        <v>1</v>
      </c>
      <c r="BJ1742">
        <v>0.2</v>
      </c>
      <c r="BK1742">
        <v>1</v>
      </c>
      <c r="BL1742" s="4">
        <v>50.45</v>
      </c>
      <c r="BM1742" s="4">
        <v>7.57</v>
      </c>
      <c r="BN1742" s="4">
        <v>58.02</v>
      </c>
      <c r="BO1742" s="4">
        <v>58.02</v>
      </c>
      <c r="BR1742" t="s">
        <v>84</v>
      </c>
      <c r="BS1742" s="3">
        <v>43818</v>
      </c>
      <c r="BT1742" s="5">
        <v>0.30902777777777779</v>
      </c>
      <c r="BU1742" t="s">
        <v>2134</v>
      </c>
      <c r="BV1742" t="s">
        <v>86</v>
      </c>
      <c r="BY1742">
        <v>1200</v>
      </c>
      <c r="CA1742" t="s">
        <v>788</v>
      </c>
      <c r="CC1742" t="s">
        <v>102</v>
      </c>
      <c r="CD1742">
        <v>1</v>
      </c>
      <c r="CE1742" t="s">
        <v>88</v>
      </c>
      <c r="CF1742" s="3">
        <v>43819</v>
      </c>
      <c r="CI1742">
        <v>1</v>
      </c>
      <c r="CJ1742">
        <v>1</v>
      </c>
      <c r="CK1742">
        <v>21</v>
      </c>
      <c r="CL1742" t="s">
        <v>89</v>
      </c>
    </row>
    <row r="1743" spans="1:90">
      <c r="A1743" t="s">
        <v>72</v>
      </c>
      <c r="B1743" t="s">
        <v>73</v>
      </c>
      <c r="C1743" t="s">
        <v>74</v>
      </c>
      <c r="E1743" t="str">
        <f>"FES1162728924"</f>
        <v>FES1162728924</v>
      </c>
      <c r="F1743" s="3">
        <v>43817</v>
      </c>
      <c r="G1743">
        <v>202006</v>
      </c>
      <c r="H1743" t="s">
        <v>75</v>
      </c>
      <c r="I1743" t="s">
        <v>76</v>
      </c>
      <c r="J1743" t="s">
        <v>77</v>
      </c>
      <c r="K1743" t="s">
        <v>78</v>
      </c>
      <c r="L1743" t="s">
        <v>90</v>
      </c>
      <c r="M1743" t="s">
        <v>91</v>
      </c>
      <c r="N1743" t="s">
        <v>219</v>
      </c>
      <c r="O1743" t="s">
        <v>82</v>
      </c>
      <c r="P1743" t="str">
        <f>"2170722029                    "</f>
        <v xml:space="preserve">2170722029                    </v>
      </c>
      <c r="Q1743">
        <v>0</v>
      </c>
      <c r="R1743">
        <v>0</v>
      </c>
      <c r="S1743">
        <v>0</v>
      </c>
      <c r="T1743">
        <v>0</v>
      </c>
      <c r="U1743">
        <v>0</v>
      </c>
      <c r="V1743">
        <v>0</v>
      </c>
      <c r="W1743">
        <v>0</v>
      </c>
      <c r="X1743">
        <v>0</v>
      </c>
      <c r="Y1743">
        <v>0</v>
      </c>
      <c r="Z1743">
        <v>0</v>
      </c>
      <c r="AA1743">
        <v>0</v>
      </c>
      <c r="AB1743">
        <v>0</v>
      </c>
      <c r="AC1743">
        <v>0</v>
      </c>
      <c r="AD1743">
        <v>0</v>
      </c>
      <c r="AE1743">
        <v>0</v>
      </c>
      <c r="AF1743">
        <v>0</v>
      </c>
      <c r="AG1743">
        <v>0</v>
      </c>
      <c r="AH1743">
        <v>0</v>
      </c>
      <c r="AI1743">
        <v>0</v>
      </c>
      <c r="AJ1743">
        <v>0</v>
      </c>
      <c r="AK1743">
        <v>0</v>
      </c>
      <c r="AL1743">
        <v>0</v>
      </c>
      <c r="AM1743">
        <v>8.58</v>
      </c>
      <c r="AN1743">
        <v>0</v>
      </c>
      <c r="AO1743">
        <v>0</v>
      </c>
      <c r="AP1743">
        <v>0</v>
      </c>
      <c r="AQ1743">
        <v>0</v>
      </c>
      <c r="AR1743">
        <v>0</v>
      </c>
      <c r="AS1743">
        <v>0</v>
      </c>
      <c r="AT1743">
        <v>0</v>
      </c>
      <c r="AU1743">
        <v>0</v>
      </c>
      <c r="AV1743">
        <v>0</v>
      </c>
      <c r="AW1743">
        <v>0</v>
      </c>
      <c r="AX1743">
        <v>0</v>
      </c>
      <c r="AY1743">
        <v>0</v>
      </c>
      <c r="AZ1743">
        <v>0</v>
      </c>
      <c r="BA1743">
        <v>0</v>
      </c>
      <c r="BB1743">
        <v>0</v>
      </c>
      <c r="BC1743">
        <v>0</v>
      </c>
      <c r="BD1743">
        <v>0</v>
      </c>
      <c r="BE1743">
        <v>0</v>
      </c>
      <c r="BF1743">
        <v>0</v>
      </c>
      <c r="BG1743">
        <v>0</v>
      </c>
      <c r="BH1743">
        <v>1</v>
      </c>
      <c r="BI1743">
        <v>1</v>
      </c>
      <c r="BJ1743">
        <v>0.2</v>
      </c>
      <c r="BK1743">
        <v>1</v>
      </c>
      <c r="BL1743" s="4">
        <v>50.45</v>
      </c>
      <c r="BM1743" s="4">
        <v>7.57</v>
      </c>
      <c r="BN1743" s="4">
        <v>58.02</v>
      </c>
      <c r="BO1743" s="4">
        <v>58.02</v>
      </c>
      <c r="BQ1743" t="s">
        <v>147</v>
      </c>
      <c r="BR1743" t="s">
        <v>84</v>
      </c>
      <c r="BS1743" s="3">
        <v>43818</v>
      </c>
      <c r="BT1743" s="5">
        <v>0.33958333333333335</v>
      </c>
      <c r="BU1743" t="s">
        <v>220</v>
      </c>
      <c r="BV1743" t="s">
        <v>86</v>
      </c>
      <c r="BY1743">
        <v>1200</v>
      </c>
      <c r="CA1743" t="s">
        <v>112</v>
      </c>
      <c r="CC1743" t="s">
        <v>91</v>
      </c>
      <c r="CD1743">
        <v>7441</v>
      </c>
      <c r="CE1743" t="s">
        <v>88</v>
      </c>
      <c r="CF1743" s="3">
        <v>43819</v>
      </c>
      <c r="CI1743">
        <v>1</v>
      </c>
      <c r="CJ1743">
        <v>1</v>
      </c>
      <c r="CK1743">
        <v>21</v>
      </c>
      <c r="CL1743" t="s">
        <v>89</v>
      </c>
    </row>
    <row r="1744" spans="1:90">
      <c r="A1744" t="s">
        <v>72</v>
      </c>
      <c r="B1744" t="s">
        <v>73</v>
      </c>
      <c r="C1744" t="s">
        <v>74</v>
      </c>
      <c r="E1744" t="str">
        <f>"FES1162728648"</f>
        <v>FES1162728648</v>
      </c>
      <c r="F1744" s="3">
        <v>43817</v>
      </c>
      <c r="G1744">
        <v>202006</v>
      </c>
      <c r="H1744" t="s">
        <v>75</v>
      </c>
      <c r="I1744" t="s">
        <v>76</v>
      </c>
      <c r="J1744" t="s">
        <v>77</v>
      </c>
      <c r="K1744" t="s">
        <v>78</v>
      </c>
      <c r="L1744" t="s">
        <v>332</v>
      </c>
      <c r="M1744" t="s">
        <v>333</v>
      </c>
      <c r="N1744" t="s">
        <v>701</v>
      </c>
      <c r="O1744" t="s">
        <v>82</v>
      </c>
      <c r="P1744" t="str">
        <f>"2170721857                    "</f>
        <v xml:space="preserve">2170721857                    </v>
      </c>
      <c r="Q1744">
        <v>0</v>
      </c>
      <c r="R1744">
        <v>0</v>
      </c>
      <c r="S1744">
        <v>0</v>
      </c>
      <c r="T1744">
        <v>0</v>
      </c>
      <c r="U1744">
        <v>0</v>
      </c>
      <c r="V1744">
        <v>0</v>
      </c>
      <c r="W1744">
        <v>0</v>
      </c>
      <c r="X1744">
        <v>0</v>
      </c>
      <c r="Y1744">
        <v>0</v>
      </c>
      <c r="Z1744">
        <v>0</v>
      </c>
      <c r="AA1744">
        <v>0</v>
      </c>
      <c r="AB1744">
        <v>0</v>
      </c>
      <c r="AC1744">
        <v>0</v>
      </c>
      <c r="AD1744">
        <v>0</v>
      </c>
      <c r="AE1744">
        <v>0</v>
      </c>
      <c r="AF1744">
        <v>0</v>
      </c>
      <c r="AG1744">
        <v>0</v>
      </c>
      <c r="AH1744">
        <v>0</v>
      </c>
      <c r="AI1744">
        <v>0</v>
      </c>
      <c r="AJ1744">
        <v>0</v>
      </c>
      <c r="AK1744">
        <v>0</v>
      </c>
      <c r="AL1744">
        <v>0</v>
      </c>
      <c r="AM1744">
        <v>6.71</v>
      </c>
      <c r="AN1744">
        <v>0</v>
      </c>
      <c r="AO1744">
        <v>0</v>
      </c>
      <c r="AP1744">
        <v>0</v>
      </c>
      <c r="AQ1744">
        <v>0</v>
      </c>
      <c r="AR1744">
        <v>0</v>
      </c>
      <c r="AS1744">
        <v>0</v>
      </c>
      <c r="AT1744">
        <v>0</v>
      </c>
      <c r="AU1744">
        <v>0</v>
      </c>
      <c r="AV1744">
        <v>0</v>
      </c>
      <c r="AW1744">
        <v>0</v>
      </c>
      <c r="AX1744">
        <v>0</v>
      </c>
      <c r="AY1744">
        <v>0</v>
      </c>
      <c r="AZ1744">
        <v>0</v>
      </c>
      <c r="BA1744">
        <v>0</v>
      </c>
      <c r="BB1744">
        <v>0</v>
      </c>
      <c r="BC1744">
        <v>0</v>
      </c>
      <c r="BD1744">
        <v>0</v>
      </c>
      <c r="BE1744">
        <v>0</v>
      </c>
      <c r="BF1744">
        <v>0</v>
      </c>
      <c r="BG1744">
        <v>0</v>
      </c>
      <c r="BH1744">
        <v>1</v>
      </c>
      <c r="BI1744">
        <v>1</v>
      </c>
      <c r="BJ1744">
        <v>0.2</v>
      </c>
      <c r="BK1744">
        <v>1</v>
      </c>
      <c r="BL1744" s="4">
        <v>39.42</v>
      </c>
      <c r="BM1744" s="4">
        <v>5.91</v>
      </c>
      <c r="BN1744" s="4">
        <v>45.33</v>
      </c>
      <c r="BO1744" s="4">
        <v>45.33</v>
      </c>
      <c r="BQ1744" t="s">
        <v>93</v>
      </c>
      <c r="BR1744" t="s">
        <v>84</v>
      </c>
      <c r="BS1744" s="3">
        <v>43818</v>
      </c>
      <c r="BT1744" s="5">
        <v>0.36944444444444446</v>
      </c>
      <c r="BU1744" t="s">
        <v>2124</v>
      </c>
      <c r="BV1744" t="s">
        <v>86</v>
      </c>
      <c r="BY1744">
        <v>1200</v>
      </c>
      <c r="CA1744" t="s">
        <v>2125</v>
      </c>
      <c r="CC1744" t="s">
        <v>333</v>
      </c>
      <c r="CD1744">
        <v>2094</v>
      </c>
      <c r="CE1744" t="s">
        <v>88</v>
      </c>
      <c r="CF1744" s="3">
        <v>43819</v>
      </c>
      <c r="CI1744">
        <v>1</v>
      </c>
      <c r="CJ1744">
        <v>1</v>
      </c>
      <c r="CK1744">
        <v>22</v>
      </c>
      <c r="CL1744" t="s">
        <v>89</v>
      </c>
    </row>
    <row r="1745" spans="1:90">
      <c r="A1745" t="s">
        <v>72</v>
      </c>
      <c r="B1745" t="s">
        <v>73</v>
      </c>
      <c r="C1745" t="s">
        <v>74</v>
      </c>
      <c r="E1745" t="str">
        <f>"FES1162728565"</f>
        <v>FES1162728565</v>
      </c>
      <c r="F1745" s="3">
        <v>43817</v>
      </c>
      <c r="G1745">
        <v>202006</v>
      </c>
      <c r="H1745" t="s">
        <v>75</v>
      </c>
      <c r="I1745" t="s">
        <v>76</v>
      </c>
      <c r="J1745" t="s">
        <v>77</v>
      </c>
      <c r="K1745" t="s">
        <v>78</v>
      </c>
      <c r="L1745" t="s">
        <v>177</v>
      </c>
      <c r="M1745" t="s">
        <v>178</v>
      </c>
      <c r="N1745" t="s">
        <v>179</v>
      </c>
      <c r="O1745" t="s">
        <v>82</v>
      </c>
      <c r="P1745" t="str">
        <f>"2170719557                    "</f>
        <v xml:space="preserve">2170719557                    </v>
      </c>
      <c r="Q1745">
        <v>0</v>
      </c>
      <c r="R1745">
        <v>0</v>
      </c>
      <c r="S1745">
        <v>0</v>
      </c>
      <c r="T1745">
        <v>0</v>
      </c>
      <c r="U1745">
        <v>0</v>
      </c>
      <c r="V1745">
        <v>0</v>
      </c>
      <c r="W1745">
        <v>0</v>
      </c>
      <c r="X1745">
        <v>0</v>
      </c>
      <c r="Y1745">
        <v>0</v>
      </c>
      <c r="Z1745">
        <v>0</v>
      </c>
      <c r="AA1745">
        <v>0</v>
      </c>
      <c r="AB1745">
        <v>0</v>
      </c>
      <c r="AC1745">
        <v>0</v>
      </c>
      <c r="AD1745">
        <v>0</v>
      </c>
      <c r="AE1745">
        <v>0</v>
      </c>
      <c r="AF1745">
        <v>0</v>
      </c>
      <c r="AG1745">
        <v>0</v>
      </c>
      <c r="AH1745">
        <v>0</v>
      </c>
      <c r="AI1745">
        <v>0</v>
      </c>
      <c r="AJ1745">
        <v>0</v>
      </c>
      <c r="AK1745">
        <v>0</v>
      </c>
      <c r="AL1745">
        <v>0</v>
      </c>
      <c r="AM1745">
        <v>12.07</v>
      </c>
      <c r="AN1745">
        <v>0</v>
      </c>
      <c r="AO1745">
        <v>0</v>
      </c>
      <c r="AP1745">
        <v>0</v>
      </c>
      <c r="AQ1745">
        <v>0</v>
      </c>
      <c r="AR1745">
        <v>0</v>
      </c>
      <c r="AS1745">
        <v>0</v>
      </c>
      <c r="AT1745">
        <v>0</v>
      </c>
      <c r="AU1745">
        <v>0</v>
      </c>
      <c r="AV1745">
        <v>0</v>
      </c>
      <c r="AW1745">
        <v>0</v>
      </c>
      <c r="AX1745">
        <v>0</v>
      </c>
      <c r="AY1745">
        <v>0</v>
      </c>
      <c r="AZ1745">
        <v>0</v>
      </c>
      <c r="BA1745">
        <v>0</v>
      </c>
      <c r="BB1745">
        <v>0</v>
      </c>
      <c r="BC1745">
        <v>0</v>
      </c>
      <c r="BD1745">
        <v>0</v>
      </c>
      <c r="BE1745">
        <v>0</v>
      </c>
      <c r="BF1745">
        <v>0</v>
      </c>
      <c r="BG1745">
        <v>0</v>
      </c>
      <c r="BH1745">
        <v>1</v>
      </c>
      <c r="BI1745">
        <v>1.7</v>
      </c>
      <c r="BJ1745">
        <v>1.2</v>
      </c>
      <c r="BK1745">
        <v>2</v>
      </c>
      <c r="BL1745" s="4">
        <v>70.95</v>
      </c>
      <c r="BM1745" s="4">
        <v>10.64</v>
      </c>
      <c r="BN1745" s="4">
        <v>81.59</v>
      </c>
      <c r="BO1745" s="4">
        <v>81.59</v>
      </c>
      <c r="BQ1745" t="s">
        <v>147</v>
      </c>
      <c r="BR1745" t="s">
        <v>84</v>
      </c>
      <c r="BS1745" s="3">
        <v>43819</v>
      </c>
      <c r="BT1745" s="5">
        <v>0.51736111111111105</v>
      </c>
      <c r="BU1745" t="s">
        <v>2135</v>
      </c>
      <c r="BV1745" t="s">
        <v>89</v>
      </c>
      <c r="BW1745" t="s">
        <v>149</v>
      </c>
      <c r="BX1745" t="s">
        <v>181</v>
      </c>
      <c r="BY1745">
        <v>5967</v>
      </c>
      <c r="CA1745" t="s">
        <v>997</v>
      </c>
      <c r="CC1745" t="s">
        <v>178</v>
      </c>
      <c r="CD1745">
        <v>1028</v>
      </c>
      <c r="CE1745" t="s">
        <v>96</v>
      </c>
      <c r="CF1745" s="3">
        <v>43822</v>
      </c>
      <c r="CI1745">
        <v>1</v>
      </c>
      <c r="CJ1745">
        <v>2</v>
      </c>
      <c r="CK1745">
        <v>24</v>
      </c>
      <c r="CL1745" t="s">
        <v>89</v>
      </c>
    </row>
    <row r="1746" spans="1:90">
      <c r="A1746" t="s">
        <v>72</v>
      </c>
      <c r="B1746" t="s">
        <v>73</v>
      </c>
      <c r="C1746" t="s">
        <v>74</v>
      </c>
      <c r="E1746" t="str">
        <f>"FES1162728830"</f>
        <v>FES1162728830</v>
      </c>
      <c r="F1746" s="3">
        <v>43817</v>
      </c>
      <c r="G1746">
        <v>202006</v>
      </c>
      <c r="H1746" t="s">
        <v>75</v>
      </c>
      <c r="I1746" t="s">
        <v>76</v>
      </c>
      <c r="J1746" t="s">
        <v>77</v>
      </c>
      <c r="K1746" t="s">
        <v>78</v>
      </c>
      <c r="L1746" t="s">
        <v>132</v>
      </c>
      <c r="M1746" t="s">
        <v>133</v>
      </c>
      <c r="N1746" t="s">
        <v>2006</v>
      </c>
      <c r="O1746" t="s">
        <v>82</v>
      </c>
      <c r="P1746" t="str">
        <f>"2170720040                    "</f>
        <v xml:space="preserve">2170720040                    </v>
      </c>
      <c r="Q1746">
        <v>0</v>
      </c>
      <c r="R1746">
        <v>0</v>
      </c>
      <c r="S1746">
        <v>0</v>
      </c>
      <c r="T1746">
        <v>0</v>
      </c>
      <c r="U1746">
        <v>0</v>
      </c>
      <c r="V1746">
        <v>0</v>
      </c>
      <c r="W1746">
        <v>0</v>
      </c>
      <c r="X1746">
        <v>0</v>
      </c>
      <c r="Y1746">
        <v>0</v>
      </c>
      <c r="Z1746">
        <v>0</v>
      </c>
      <c r="AA1746">
        <v>0</v>
      </c>
      <c r="AB1746">
        <v>0</v>
      </c>
      <c r="AC1746">
        <v>0</v>
      </c>
      <c r="AD1746">
        <v>0</v>
      </c>
      <c r="AE1746">
        <v>0</v>
      </c>
      <c r="AF1746">
        <v>0</v>
      </c>
      <c r="AG1746">
        <v>0</v>
      </c>
      <c r="AH1746">
        <v>0</v>
      </c>
      <c r="AI1746">
        <v>0</v>
      </c>
      <c r="AJ1746">
        <v>0</v>
      </c>
      <c r="AK1746">
        <v>0</v>
      </c>
      <c r="AL1746">
        <v>0</v>
      </c>
      <c r="AM1746">
        <v>15.02</v>
      </c>
      <c r="AN1746">
        <v>0</v>
      </c>
      <c r="AO1746">
        <v>0</v>
      </c>
      <c r="AP1746">
        <v>0</v>
      </c>
      <c r="AQ1746">
        <v>0</v>
      </c>
      <c r="AR1746">
        <v>0</v>
      </c>
      <c r="AS1746">
        <v>0</v>
      </c>
      <c r="AT1746">
        <v>0</v>
      </c>
      <c r="AU1746">
        <v>0</v>
      </c>
      <c r="AV1746">
        <v>0</v>
      </c>
      <c r="AW1746">
        <v>0</v>
      </c>
      <c r="AX1746">
        <v>0</v>
      </c>
      <c r="AY1746">
        <v>0</v>
      </c>
      <c r="AZ1746">
        <v>0</v>
      </c>
      <c r="BA1746">
        <v>0</v>
      </c>
      <c r="BB1746">
        <v>0</v>
      </c>
      <c r="BC1746">
        <v>0</v>
      </c>
      <c r="BD1746">
        <v>0</v>
      </c>
      <c r="BE1746">
        <v>0</v>
      </c>
      <c r="BF1746">
        <v>0</v>
      </c>
      <c r="BG1746">
        <v>0</v>
      </c>
      <c r="BH1746">
        <v>1</v>
      </c>
      <c r="BI1746">
        <v>1.3</v>
      </c>
      <c r="BJ1746">
        <v>3.3</v>
      </c>
      <c r="BK1746">
        <v>3.5</v>
      </c>
      <c r="BL1746" s="4">
        <v>88.27</v>
      </c>
      <c r="BM1746" s="4">
        <v>13.24</v>
      </c>
      <c r="BN1746" s="4">
        <v>101.51</v>
      </c>
      <c r="BO1746" s="4">
        <v>101.51</v>
      </c>
      <c r="BR1746" t="s">
        <v>84</v>
      </c>
      <c r="BS1746" s="3">
        <v>43818</v>
      </c>
      <c r="BT1746" s="5">
        <v>0.38750000000000001</v>
      </c>
      <c r="BU1746" t="s">
        <v>2136</v>
      </c>
      <c r="BV1746" t="s">
        <v>86</v>
      </c>
      <c r="BY1746">
        <v>16534.560000000001</v>
      </c>
      <c r="CA1746" t="s">
        <v>2137</v>
      </c>
      <c r="CC1746" t="s">
        <v>133</v>
      </c>
      <c r="CD1746">
        <v>157</v>
      </c>
      <c r="CE1746" t="s">
        <v>96</v>
      </c>
      <c r="CF1746" s="3">
        <v>43819</v>
      </c>
      <c r="CI1746">
        <v>1</v>
      </c>
      <c r="CJ1746">
        <v>1</v>
      </c>
      <c r="CK1746">
        <v>21</v>
      </c>
      <c r="CL1746" t="s">
        <v>89</v>
      </c>
    </row>
    <row r="1747" spans="1:90">
      <c r="A1747" t="s">
        <v>72</v>
      </c>
      <c r="B1747" t="s">
        <v>73</v>
      </c>
      <c r="C1747" t="s">
        <v>74</v>
      </c>
      <c r="E1747" t="str">
        <f>"FES1162728557"</f>
        <v>FES1162728557</v>
      </c>
      <c r="F1747" s="3">
        <v>43817</v>
      </c>
      <c r="G1747">
        <v>202006</v>
      </c>
      <c r="H1747" t="s">
        <v>75</v>
      </c>
      <c r="I1747" t="s">
        <v>76</v>
      </c>
      <c r="J1747" t="s">
        <v>77</v>
      </c>
      <c r="K1747" t="s">
        <v>78</v>
      </c>
      <c r="L1747" t="s">
        <v>79</v>
      </c>
      <c r="M1747" t="s">
        <v>80</v>
      </c>
      <c r="N1747" t="s">
        <v>97</v>
      </c>
      <c r="O1747" t="s">
        <v>82</v>
      </c>
      <c r="P1747" t="str">
        <f>"2170718229                    "</f>
        <v xml:space="preserve">2170718229                    </v>
      </c>
      <c r="Q1747">
        <v>0</v>
      </c>
      <c r="R1747">
        <v>0</v>
      </c>
      <c r="S1747">
        <v>0</v>
      </c>
      <c r="T1747">
        <v>0</v>
      </c>
      <c r="U1747">
        <v>0</v>
      </c>
      <c r="V1747">
        <v>0</v>
      </c>
      <c r="W1747">
        <v>0</v>
      </c>
      <c r="X1747">
        <v>0</v>
      </c>
      <c r="Y1747">
        <v>0</v>
      </c>
      <c r="Z1747">
        <v>0</v>
      </c>
      <c r="AA1747">
        <v>0</v>
      </c>
      <c r="AB1747">
        <v>0</v>
      </c>
      <c r="AC1747">
        <v>0</v>
      </c>
      <c r="AD1747">
        <v>0</v>
      </c>
      <c r="AE1747">
        <v>0</v>
      </c>
      <c r="AF1747">
        <v>0</v>
      </c>
      <c r="AG1747">
        <v>0</v>
      </c>
      <c r="AH1747">
        <v>0</v>
      </c>
      <c r="AI1747">
        <v>0</v>
      </c>
      <c r="AJ1747">
        <v>0</v>
      </c>
      <c r="AK1747">
        <v>0</v>
      </c>
      <c r="AL1747">
        <v>0</v>
      </c>
      <c r="AM1747">
        <v>12.87</v>
      </c>
      <c r="AN1747">
        <v>0</v>
      </c>
      <c r="AO1747">
        <v>0</v>
      </c>
      <c r="AP1747">
        <v>0</v>
      </c>
      <c r="AQ1747">
        <v>0</v>
      </c>
      <c r="AR1747">
        <v>0</v>
      </c>
      <c r="AS1747">
        <v>0</v>
      </c>
      <c r="AT1747">
        <v>0</v>
      </c>
      <c r="AU1747">
        <v>0</v>
      </c>
      <c r="AV1747">
        <v>0</v>
      </c>
      <c r="AW1747">
        <v>0</v>
      </c>
      <c r="AX1747">
        <v>0</v>
      </c>
      <c r="AY1747">
        <v>0</v>
      </c>
      <c r="AZ1747">
        <v>0</v>
      </c>
      <c r="BA1747">
        <v>0</v>
      </c>
      <c r="BB1747">
        <v>0</v>
      </c>
      <c r="BC1747">
        <v>0</v>
      </c>
      <c r="BD1747">
        <v>0</v>
      </c>
      <c r="BE1747">
        <v>0</v>
      </c>
      <c r="BF1747">
        <v>0</v>
      </c>
      <c r="BG1747">
        <v>0</v>
      </c>
      <c r="BH1747">
        <v>1</v>
      </c>
      <c r="BI1747">
        <v>2.7</v>
      </c>
      <c r="BJ1747">
        <v>1.5</v>
      </c>
      <c r="BK1747">
        <v>3</v>
      </c>
      <c r="BL1747" s="4">
        <v>75.66</v>
      </c>
      <c r="BM1747" s="4">
        <v>11.35</v>
      </c>
      <c r="BN1747" s="4">
        <v>87.01</v>
      </c>
      <c r="BO1747" s="4">
        <v>87.01</v>
      </c>
      <c r="BQ1747" t="s">
        <v>93</v>
      </c>
      <c r="BR1747" t="s">
        <v>84</v>
      </c>
      <c r="BS1747" s="3">
        <v>43818</v>
      </c>
      <c r="BT1747" s="5">
        <v>0.3347222222222222</v>
      </c>
      <c r="BU1747" t="s">
        <v>600</v>
      </c>
      <c r="BV1747" t="s">
        <v>86</v>
      </c>
      <c r="BY1747">
        <v>7331.12</v>
      </c>
      <c r="CA1747" t="s">
        <v>302</v>
      </c>
      <c r="CC1747" t="s">
        <v>80</v>
      </c>
      <c r="CD1747">
        <v>6001</v>
      </c>
      <c r="CE1747" t="s">
        <v>96</v>
      </c>
      <c r="CF1747" s="3">
        <v>43819</v>
      </c>
      <c r="CI1747">
        <v>1</v>
      </c>
      <c r="CJ1747">
        <v>1</v>
      </c>
      <c r="CK1747">
        <v>21</v>
      </c>
      <c r="CL1747" t="s">
        <v>89</v>
      </c>
    </row>
    <row r="1748" spans="1:90">
      <c r="A1748" t="s">
        <v>72</v>
      </c>
      <c r="B1748" t="s">
        <v>73</v>
      </c>
      <c r="C1748" t="s">
        <v>74</v>
      </c>
      <c r="E1748" t="str">
        <f>"FES1162728786"</f>
        <v>FES1162728786</v>
      </c>
      <c r="F1748" s="3">
        <v>43817</v>
      </c>
      <c r="G1748">
        <v>202006</v>
      </c>
      <c r="H1748" t="s">
        <v>75</v>
      </c>
      <c r="I1748" t="s">
        <v>76</v>
      </c>
      <c r="J1748" t="s">
        <v>77</v>
      </c>
      <c r="K1748" t="s">
        <v>78</v>
      </c>
      <c r="L1748" t="s">
        <v>164</v>
      </c>
      <c r="M1748" t="s">
        <v>165</v>
      </c>
      <c r="N1748" t="s">
        <v>238</v>
      </c>
      <c r="O1748" t="s">
        <v>82</v>
      </c>
      <c r="P1748" t="str">
        <f>"2170721979                    "</f>
        <v xml:space="preserve">2170721979                    </v>
      </c>
      <c r="Q1748">
        <v>0</v>
      </c>
      <c r="R1748">
        <v>0</v>
      </c>
      <c r="S1748">
        <v>0</v>
      </c>
      <c r="T1748">
        <v>0</v>
      </c>
      <c r="U1748">
        <v>0</v>
      </c>
      <c r="V1748">
        <v>0</v>
      </c>
      <c r="W1748">
        <v>0</v>
      </c>
      <c r="X1748">
        <v>0</v>
      </c>
      <c r="Y1748">
        <v>0</v>
      </c>
      <c r="Z1748">
        <v>0</v>
      </c>
      <c r="AA1748">
        <v>0</v>
      </c>
      <c r="AB1748">
        <v>0</v>
      </c>
      <c r="AC1748">
        <v>0</v>
      </c>
      <c r="AD1748">
        <v>0</v>
      </c>
      <c r="AE1748">
        <v>0</v>
      </c>
      <c r="AF1748">
        <v>0</v>
      </c>
      <c r="AG1748">
        <v>0</v>
      </c>
      <c r="AH1748">
        <v>0</v>
      </c>
      <c r="AI1748">
        <v>0</v>
      </c>
      <c r="AJ1748">
        <v>0</v>
      </c>
      <c r="AK1748">
        <v>0</v>
      </c>
      <c r="AL1748">
        <v>0</v>
      </c>
      <c r="AM1748">
        <v>27.88</v>
      </c>
      <c r="AN1748">
        <v>0</v>
      </c>
      <c r="AO1748">
        <v>0</v>
      </c>
      <c r="AP1748">
        <v>0</v>
      </c>
      <c r="AQ1748">
        <v>0</v>
      </c>
      <c r="AR1748">
        <v>0</v>
      </c>
      <c r="AS1748">
        <v>0</v>
      </c>
      <c r="AT1748">
        <v>0</v>
      </c>
      <c r="AU1748">
        <v>0</v>
      </c>
      <c r="AV1748">
        <v>0</v>
      </c>
      <c r="AW1748">
        <v>0</v>
      </c>
      <c r="AX1748">
        <v>0</v>
      </c>
      <c r="AY1748">
        <v>0</v>
      </c>
      <c r="AZ1748">
        <v>0</v>
      </c>
      <c r="BA1748">
        <v>0</v>
      </c>
      <c r="BB1748">
        <v>0</v>
      </c>
      <c r="BC1748">
        <v>0</v>
      </c>
      <c r="BD1748">
        <v>0</v>
      </c>
      <c r="BE1748">
        <v>0</v>
      </c>
      <c r="BF1748">
        <v>0</v>
      </c>
      <c r="BG1748">
        <v>0</v>
      </c>
      <c r="BH1748">
        <v>1</v>
      </c>
      <c r="BI1748">
        <v>6.4</v>
      </c>
      <c r="BJ1748">
        <v>1.6</v>
      </c>
      <c r="BK1748">
        <v>6.5</v>
      </c>
      <c r="BL1748" s="4">
        <v>163.89</v>
      </c>
      <c r="BM1748" s="4">
        <v>24.58</v>
      </c>
      <c r="BN1748" s="4">
        <v>188.47</v>
      </c>
      <c r="BO1748" s="4">
        <v>188.47</v>
      </c>
      <c r="BQ1748" t="s">
        <v>147</v>
      </c>
      <c r="BR1748" t="s">
        <v>84</v>
      </c>
      <c r="BS1748" s="3">
        <v>43818</v>
      </c>
      <c r="BT1748" s="5">
        <v>0.39652777777777781</v>
      </c>
      <c r="BU1748" t="s">
        <v>239</v>
      </c>
      <c r="BV1748" t="s">
        <v>86</v>
      </c>
      <c r="BY1748">
        <v>8135.64</v>
      </c>
      <c r="CA1748" t="s">
        <v>168</v>
      </c>
      <c r="CC1748" t="s">
        <v>165</v>
      </c>
      <c r="CD1748">
        <v>5201</v>
      </c>
      <c r="CE1748" t="s">
        <v>96</v>
      </c>
      <c r="CF1748" s="3">
        <v>43822</v>
      </c>
      <c r="CI1748">
        <v>1</v>
      </c>
      <c r="CJ1748">
        <v>1</v>
      </c>
      <c r="CK1748">
        <v>21</v>
      </c>
      <c r="CL1748" t="s">
        <v>89</v>
      </c>
    </row>
    <row r="1749" spans="1:90">
      <c r="A1749" t="s">
        <v>72</v>
      </c>
      <c r="B1749" t="s">
        <v>73</v>
      </c>
      <c r="C1749" t="s">
        <v>74</v>
      </c>
      <c r="E1749" t="str">
        <f>"FES1162728402"</f>
        <v>FES1162728402</v>
      </c>
      <c r="F1749" s="3">
        <v>43817</v>
      </c>
      <c r="G1749">
        <v>202006</v>
      </c>
      <c r="H1749" t="s">
        <v>75</v>
      </c>
      <c r="I1749" t="s">
        <v>76</v>
      </c>
      <c r="J1749" t="s">
        <v>77</v>
      </c>
      <c r="K1749" t="s">
        <v>78</v>
      </c>
      <c r="L1749" t="s">
        <v>79</v>
      </c>
      <c r="M1749" t="s">
        <v>80</v>
      </c>
      <c r="N1749" t="s">
        <v>97</v>
      </c>
      <c r="O1749" t="s">
        <v>82</v>
      </c>
      <c r="P1749" t="str">
        <f>"2170718427                    "</f>
        <v xml:space="preserve">2170718427                    </v>
      </c>
      <c r="Q1749">
        <v>0</v>
      </c>
      <c r="R1749">
        <v>0</v>
      </c>
      <c r="S1749">
        <v>0</v>
      </c>
      <c r="T1749">
        <v>0</v>
      </c>
      <c r="U1749">
        <v>0</v>
      </c>
      <c r="V1749">
        <v>0</v>
      </c>
      <c r="W1749">
        <v>0</v>
      </c>
      <c r="X1749">
        <v>0</v>
      </c>
      <c r="Y1749">
        <v>0</v>
      </c>
      <c r="Z1749">
        <v>0</v>
      </c>
      <c r="AA1749">
        <v>0</v>
      </c>
      <c r="AB1749">
        <v>0</v>
      </c>
      <c r="AC1749">
        <v>0</v>
      </c>
      <c r="AD1749">
        <v>0</v>
      </c>
      <c r="AE1749">
        <v>0</v>
      </c>
      <c r="AF1749">
        <v>0</v>
      </c>
      <c r="AG1749">
        <v>0</v>
      </c>
      <c r="AH1749">
        <v>0</v>
      </c>
      <c r="AI1749">
        <v>0</v>
      </c>
      <c r="AJ1749">
        <v>0</v>
      </c>
      <c r="AK1749">
        <v>0</v>
      </c>
      <c r="AL1749">
        <v>0</v>
      </c>
      <c r="AM1749">
        <v>21.45</v>
      </c>
      <c r="AN1749">
        <v>0</v>
      </c>
      <c r="AO1749">
        <v>0</v>
      </c>
      <c r="AP1749">
        <v>0</v>
      </c>
      <c r="AQ1749">
        <v>0</v>
      </c>
      <c r="AR1749">
        <v>0</v>
      </c>
      <c r="AS1749">
        <v>0</v>
      </c>
      <c r="AT1749">
        <v>0</v>
      </c>
      <c r="AU1749">
        <v>0</v>
      </c>
      <c r="AV1749">
        <v>0</v>
      </c>
      <c r="AW1749">
        <v>0</v>
      </c>
      <c r="AX1749">
        <v>0</v>
      </c>
      <c r="AY1749">
        <v>0</v>
      </c>
      <c r="AZ1749">
        <v>0</v>
      </c>
      <c r="BA1749">
        <v>0</v>
      </c>
      <c r="BB1749">
        <v>0</v>
      </c>
      <c r="BC1749">
        <v>0</v>
      </c>
      <c r="BD1749">
        <v>0</v>
      </c>
      <c r="BE1749">
        <v>0</v>
      </c>
      <c r="BF1749">
        <v>0</v>
      </c>
      <c r="BG1749">
        <v>0</v>
      </c>
      <c r="BH1749">
        <v>1</v>
      </c>
      <c r="BI1749">
        <v>4.7</v>
      </c>
      <c r="BJ1749">
        <v>3.2</v>
      </c>
      <c r="BK1749">
        <v>5</v>
      </c>
      <c r="BL1749" s="4">
        <v>126.08</v>
      </c>
      <c r="BM1749" s="4">
        <v>18.91</v>
      </c>
      <c r="BN1749" s="4">
        <v>144.99</v>
      </c>
      <c r="BO1749" s="4">
        <v>144.99</v>
      </c>
      <c r="BQ1749" t="s">
        <v>93</v>
      </c>
      <c r="BR1749" t="s">
        <v>84</v>
      </c>
      <c r="BS1749" s="3">
        <v>43818</v>
      </c>
      <c r="BT1749" s="5">
        <v>0.34583333333333338</v>
      </c>
      <c r="BU1749" t="s">
        <v>600</v>
      </c>
      <c r="BV1749" t="s">
        <v>86</v>
      </c>
      <c r="BY1749">
        <v>15760.01</v>
      </c>
      <c r="CA1749" t="s">
        <v>302</v>
      </c>
      <c r="CC1749" t="s">
        <v>80</v>
      </c>
      <c r="CD1749">
        <v>6001</v>
      </c>
      <c r="CE1749" t="s">
        <v>96</v>
      </c>
      <c r="CF1749" s="3">
        <v>43819</v>
      </c>
      <c r="CI1749">
        <v>1</v>
      </c>
      <c r="CJ1749">
        <v>1</v>
      </c>
      <c r="CK1749">
        <v>21</v>
      </c>
      <c r="CL1749" t="s">
        <v>89</v>
      </c>
    </row>
    <row r="1750" spans="1:90">
      <c r="A1750" t="s">
        <v>72</v>
      </c>
      <c r="B1750" t="s">
        <v>73</v>
      </c>
      <c r="C1750" t="s">
        <v>74</v>
      </c>
      <c r="E1750" t="str">
        <f>"FES1162728906"</f>
        <v>FES1162728906</v>
      </c>
      <c r="F1750" s="3">
        <v>43817</v>
      </c>
      <c r="G1750">
        <v>202006</v>
      </c>
      <c r="H1750" t="s">
        <v>75</v>
      </c>
      <c r="I1750" t="s">
        <v>76</v>
      </c>
      <c r="J1750" t="s">
        <v>77</v>
      </c>
      <c r="K1750" t="s">
        <v>78</v>
      </c>
      <c r="L1750" t="s">
        <v>75</v>
      </c>
      <c r="M1750" t="s">
        <v>76</v>
      </c>
      <c r="N1750" t="s">
        <v>1095</v>
      </c>
      <c r="O1750" t="s">
        <v>82</v>
      </c>
      <c r="P1750" t="str">
        <f>"2170721584                    "</f>
        <v xml:space="preserve">2170721584                    </v>
      </c>
      <c r="Q1750">
        <v>0</v>
      </c>
      <c r="R1750">
        <v>0</v>
      </c>
      <c r="S1750">
        <v>0</v>
      </c>
      <c r="T1750">
        <v>0</v>
      </c>
      <c r="U1750">
        <v>0</v>
      </c>
      <c r="V1750">
        <v>0</v>
      </c>
      <c r="W1750">
        <v>0</v>
      </c>
      <c r="X1750">
        <v>0</v>
      </c>
      <c r="Y1750">
        <v>0</v>
      </c>
      <c r="Z1750">
        <v>0</v>
      </c>
      <c r="AA1750">
        <v>0</v>
      </c>
      <c r="AB1750">
        <v>0</v>
      </c>
      <c r="AC1750">
        <v>0</v>
      </c>
      <c r="AD1750">
        <v>0</v>
      </c>
      <c r="AE1750">
        <v>0</v>
      </c>
      <c r="AF1750">
        <v>0</v>
      </c>
      <c r="AG1750">
        <v>0</v>
      </c>
      <c r="AH1750">
        <v>0</v>
      </c>
      <c r="AI1750">
        <v>0</v>
      </c>
      <c r="AJ1750">
        <v>0</v>
      </c>
      <c r="AK1750">
        <v>0</v>
      </c>
      <c r="AL1750">
        <v>0</v>
      </c>
      <c r="AM1750">
        <v>6.71</v>
      </c>
      <c r="AN1750">
        <v>0</v>
      </c>
      <c r="AO1750">
        <v>0</v>
      </c>
      <c r="AP1750">
        <v>0</v>
      </c>
      <c r="AQ1750">
        <v>0</v>
      </c>
      <c r="AR1750">
        <v>0</v>
      </c>
      <c r="AS1750">
        <v>0</v>
      </c>
      <c r="AT1750">
        <v>0</v>
      </c>
      <c r="AU1750">
        <v>0</v>
      </c>
      <c r="AV1750">
        <v>0</v>
      </c>
      <c r="AW1750">
        <v>0</v>
      </c>
      <c r="AX1750">
        <v>0</v>
      </c>
      <c r="AY1750">
        <v>0</v>
      </c>
      <c r="AZ1750">
        <v>0</v>
      </c>
      <c r="BA1750">
        <v>0</v>
      </c>
      <c r="BB1750">
        <v>0</v>
      </c>
      <c r="BC1750">
        <v>0</v>
      </c>
      <c r="BD1750">
        <v>0</v>
      </c>
      <c r="BE1750">
        <v>0</v>
      </c>
      <c r="BF1750">
        <v>0</v>
      </c>
      <c r="BG1750">
        <v>0</v>
      </c>
      <c r="BH1750">
        <v>1</v>
      </c>
      <c r="BI1750">
        <v>1</v>
      </c>
      <c r="BJ1750">
        <v>0.2</v>
      </c>
      <c r="BK1750">
        <v>1</v>
      </c>
      <c r="BL1750" s="4">
        <v>39.42</v>
      </c>
      <c r="BM1750" s="4">
        <v>5.91</v>
      </c>
      <c r="BN1750" s="4">
        <v>45.33</v>
      </c>
      <c r="BO1750" s="4">
        <v>45.33</v>
      </c>
      <c r="BQ1750" t="s">
        <v>147</v>
      </c>
      <c r="BR1750" t="s">
        <v>84</v>
      </c>
      <c r="BS1750" s="3">
        <v>43818</v>
      </c>
      <c r="BT1750" s="5">
        <v>0.36458333333333331</v>
      </c>
      <c r="BU1750" t="s">
        <v>2138</v>
      </c>
      <c r="BV1750" t="s">
        <v>86</v>
      </c>
      <c r="BY1750">
        <v>1200</v>
      </c>
      <c r="CA1750" t="s">
        <v>320</v>
      </c>
      <c r="CC1750" t="s">
        <v>76</v>
      </c>
      <c r="CD1750">
        <v>1665</v>
      </c>
      <c r="CE1750" t="s">
        <v>88</v>
      </c>
      <c r="CF1750" s="3">
        <v>43819</v>
      </c>
      <c r="CI1750">
        <v>1</v>
      </c>
      <c r="CJ1750">
        <v>1</v>
      </c>
      <c r="CK1750">
        <v>22</v>
      </c>
      <c r="CL1750" t="s">
        <v>89</v>
      </c>
    </row>
    <row r="1751" spans="1:90">
      <c r="A1751" t="s">
        <v>72</v>
      </c>
      <c r="B1751" t="s">
        <v>73</v>
      </c>
      <c r="C1751" t="s">
        <v>74</v>
      </c>
      <c r="E1751" t="str">
        <f>"FES1162728827"</f>
        <v>FES1162728827</v>
      </c>
      <c r="F1751" s="3">
        <v>43817</v>
      </c>
      <c r="G1751">
        <v>202006</v>
      </c>
      <c r="H1751" t="s">
        <v>75</v>
      </c>
      <c r="I1751" t="s">
        <v>76</v>
      </c>
      <c r="J1751" t="s">
        <v>77</v>
      </c>
      <c r="K1751" t="s">
        <v>78</v>
      </c>
      <c r="L1751" t="s">
        <v>75</v>
      </c>
      <c r="M1751" t="s">
        <v>76</v>
      </c>
      <c r="N1751" t="s">
        <v>411</v>
      </c>
      <c r="O1751" t="s">
        <v>82</v>
      </c>
      <c r="P1751" t="str">
        <f>"2170720009                    "</f>
        <v xml:space="preserve">2170720009                    </v>
      </c>
      <c r="Q1751">
        <v>0</v>
      </c>
      <c r="R1751">
        <v>0</v>
      </c>
      <c r="S1751">
        <v>0</v>
      </c>
      <c r="T1751">
        <v>0</v>
      </c>
      <c r="U1751">
        <v>0</v>
      </c>
      <c r="V1751">
        <v>0</v>
      </c>
      <c r="W1751">
        <v>0</v>
      </c>
      <c r="X1751">
        <v>0</v>
      </c>
      <c r="Y1751">
        <v>0</v>
      </c>
      <c r="Z1751">
        <v>0</v>
      </c>
      <c r="AA1751">
        <v>0</v>
      </c>
      <c r="AB1751">
        <v>0</v>
      </c>
      <c r="AC1751">
        <v>0</v>
      </c>
      <c r="AD1751">
        <v>0</v>
      </c>
      <c r="AE1751">
        <v>0</v>
      </c>
      <c r="AF1751">
        <v>0</v>
      </c>
      <c r="AG1751">
        <v>0</v>
      </c>
      <c r="AH1751">
        <v>0</v>
      </c>
      <c r="AI1751">
        <v>0</v>
      </c>
      <c r="AJ1751">
        <v>0</v>
      </c>
      <c r="AK1751">
        <v>0</v>
      </c>
      <c r="AL1751">
        <v>0</v>
      </c>
      <c r="AM1751">
        <v>6.71</v>
      </c>
      <c r="AN1751">
        <v>0</v>
      </c>
      <c r="AO1751">
        <v>0</v>
      </c>
      <c r="AP1751">
        <v>0</v>
      </c>
      <c r="AQ1751">
        <v>0</v>
      </c>
      <c r="AR1751">
        <v>0</v>
      </c>
      <c r="AS1751">
        <v>0</v>
      </c>
      <c r="AT1751">
        <v>0</v>
      </c>
      <c r="AU1751">
        <v>0</v>
      </c>
      <c r="AV1751">
        <v>0</v>
      </c>
      <c r="AW1751">
        <v>0</v>
      </c>
      <c r="AX1751">
        <v>0</v>
      </c>
      <c r="AY1751">
        <v>0</v>
      </c>
      <c r="AZ1751">
        <v>0</v>
      </c>
      <c r="BA1751">
        <v>0</v>
      </c>
      <c r="BB1751">
        <v>0</v>
      </c>
      <c r="BC1751">
        <v>0</v>
      </c>
      <c r="BD1751">
        <v>0</v>
      </c>
      <c r="BE1751">
        <v>0</v>
      </c>
      <c r="BF1751">
        <v>0</v>
      </c>
      <c r="BG1751">
        <v>0</v>
      </c>
      <c r="BH1751">
        <v>1</v>
      </c>
      <c r="BI1751">
        <v>1</v>
      </c>
      <c r="BJ1751">
        <v>0.2</v>
      </c>
      <c r="BK1751">
        <v>1</v>
      </c>
      <c r="BL1751" s="4">
        <v>39.42</v>
      </c>
      <c r="BM1751" s="4">
        <v>5.91</v>
      </c>
      <c r="BN1751" s="4">
        <v>45.33</v>
      </c>
      <c r="BO1751" s="4">
        <v>45.33</v>
      </c>
      <c r="BQ1751" t="s">
        <v>147</v>
      </c>
      <c r="BR1751" t="s">
        <v>84</v>
      </c>
      <c r="BS1751" s="3">
        <v>43818</v>
      </c>
      <c r="BT1751" s="5">
        <v>0.29166666666666669</v>
      </c>
      <c r="BU1751" t="s">
        <v>2139</v>
      </c>
      <c r="BV1751" t="s">
        <v>86</v>
      </c>
      <c r="BY1751">
        <v>1200</v>
      </c>
      <c r="CA1751" t="s">
        <v>320</v>
      </c>
      <c r="CC1751" t="s">
        <v>76</v>
      </c>
      <c r="CD1751">
        <v>1665</v>
      </c>
      <c r="CE1751" t="s">
        <v>88</v>
      </c>
      <c r="CF1751" s="3">
        <v>43819</v>
      </c>
      <c r="CI1751">
        <v>1</v>
      </c>
      <c r="CJ1751">
        <v>1</v>
      </c>
      <c r="CK1751">
        <v>22</v>
      </c>
      <c r="CL1751" t="s">
        <v>89</v>
      </c>
    </row>
    <row r="1752" spans="1:90">
      <c r="A1752" t="s">
        <v>72</v>
      </c>
      <c r="B1752" t="s">
        <v>73</v>
      </c>
      <c r="C1752" t="s">
        <v>74</v>
      </c>
      <c r="E1752" t="str">
        <f>"FES1162728848"</f>
        <v>FES1162728848</v>
      </c>
      <c r="F1752" s="3">
        <v>43817</v>
      </c>
      <c r="G1752">
        <v>202006</v>
      </c>
      <c r="H1752" t="s">
        <v>75</v>
      </c>
      <c r="I1752" t="s">
        <v>76</v>
      </c>
      <c r="J1752" t="s">
        <v>77</v>
      </c>
      <c r="K1752" t="s">
        <v>78</v>
      </c>
      <c r="L1752" t="s">
        <v>90</v>
      </c>
      <c r="M1752" t="s">
        <v>91</v>
      </c>
      <c r="N1752" t="s">
        <v>548</v>
      </c>
      <c r="O1752" t="s">
        <v>82</v>
      </c>
      <c r="P1752" t="str">
        <f>"2170721477                    "</f>
        <v xml:space="preserve">2170721477                    </v>
      </c>
      <c r="Q1752">
        <v>0</v>
      </c>
      <c r="R1752">
        <v>0</v>
      </c>
      <c r="S1752">
        <v>0</v>
      </c>
      <c r="T1752">
        <v>0</v>
      </c>
      <c r="U1752">
        <v>0</v>
      </c>
      <c r="V1752">
        <v>0</v>
      </c>
      <c r="W1752">
        <v>0</v>
      </c>
      <c r="X1752">
        <v>0</v>
      </c>
      <c r="Y1752">
        <v>0</v>
      </c>
      <c r="Z1752">
        <v>0</v>
      </c>
      <c r="AA1752">
        <v>0</v>
      </c>
      <c r="AB1752">
        <v>0</v>
      </c>
      <c r="AC1752">
        <v>0</v>
      </c>
      <c r="AD1752">
        <v>0</v>
      </c>
      <c r="AE1752">
        <v>0</v>
      </c>
      <c r="AF1752">
        <v>0</v>
      </c>
      <c r="AG1752">
        <v>0</v>
      </c>
      <c r="AH1752">
        <v>0</v>
      </c>
      <c r="AI1752">
        <v>0</v>
      </c>
      <c r="AJ1752">
        <v>0</v>
      </c>
      <c r="AK1752">
        <v>0</v>
      </c>
      <c r="AL1752">
        <v>0</v>
      </c>
      <c r="AM1752">
        <v>8.58</v>
      </c>
      <c r="AN1752">
        <v>0</v>
      </c>
      <c r="AO1752">
        <v>0</v>
      </c>
      <c r="AP1752">
        <v>0</v>
      </c>
      <c r="AQ1752">
        <v>0</v>
      </c>
      <c r="AR1752">
        <v>0</v>
      </c>
      <c r="AS1752">
        <v>0</v>
      </c>
      <c r="AT1752">
        <v>0</v>
      </c>
      <c r="AU1752">
        <v>0</v>
      </c>
      <c r="AV1752">
        <v>0</v>
      </c>
      <c r="AW1752">
        <v>0</v>
      </c>
      <c r="AX1752">
        <v>0</v>
      </c>
      <c r="AY1752">
        <v>0</v>
      </c>
      <c r="AZ1752">
        <v>0</v>
      </c>
      <c r="BA1752">
        <v>0</v>
      </c>
      <c r="BB1752">
        <v>0</v>
      </c>
      <c r="BC1752">
        <v>0</v>
      </c>
      <c r="BD1752">
        <v>0</v>
      </c>
      <c r="BE1752">
        <v>0</v>
      </c>
      <c r="BF1752">
        <v>0</v>
      </c>
      <c r="BG1752">
        <v>0</v>
      </c>
      <c r="BH1752">
        <v>1</v>
      </c>
      <c r="BI1752">
        <v>1</v>
      </c>
      <c r="BJ1752">
        <v>0.2</v>
      </c>
      <c r="BK1752">
        <v>1</v>
      </c>
      <c r="BL1752" s="4">
        <v>50.45</v>
      </c>
      <c r="BM1752" s="4">
        <v>7.57</v>
      </c>
      <c r="BN1752" s="4">
        <v>58.02</v>
      </c>
      <c r="BO1752" s="4">
        <v>58.02</v>
      </c>
      <c r="BQ1752" t="s">
        <v>147</v>
      </c>
      <c r="BR1752" t="s">
        <v>84</v>
      </c>
      <c r="BS1752" s="3">
        <v>43818</v>
      </c>
      <c r="BT1752" s="5">
        <v>0.32847222222222222</v>
      </c>
      <c r="BU1752" t="s">
        <v>1461</v>
      </c>
      <c r="BV1752" t="s">
        <v>86</v>
      </c>
      <c r="BY1752">
        <v>1200</v>
      </c>
      <c r="CA1752" t="s">
        <v>550</v>
      </c>
      <c r="CC1752" t="s">
        <v>91</v>
      </c>
      <c r="CD1752">
        <v>7530</v>
      </c>
      <c r="CE1752" t="s">
        <v>88</v>
      </c>
      <c r="CF1752" s="3">
        <v>43819</v>
      </c>
      <c r="CI1752">
        <v>1</v>
      </c>
      <c r="CJ1752">
        <v>1</v>
      </c>
      <c r="CK1752">
        <v>21</v>
      </c>
      <c r="CL1752" t="s">
        <v>89</v>
      </c>
    </row>
    <row r="1753" spans="1:90">
      <c r="A1753" t="s">
        <v>72</v>
      </c>
      <c r="B1753" t="s">
        <v>73</v>
      </c>
      <c r="C1753" t="s">
        <v>74</v>
      </c>
      <c r="E1753" t="str">
        <f>"FES1162728835"</f>
        <v>FES1162728835</v>
      </c>
      <c r="F1753" s="3">
        <v>43817</v>
      </c>
      <c r="G1753">
        <v>202006</v>
      </c>
      <c r="H1753" t="s">
        <v>75</v>
      </c>
      <c r="I1753" t="s">
        <v>76</v>
      </c>
      <c r="J1753" t="s">
        <v>77</v>
      </c>
      <c r="K1753" t="s">
        <v>78</v>
      </c>
      <c r="L1753" t="s">
        <v>90</v>
      </c>
      <c r="M1753" t="s">
        <v>91</v>
      </c>
      <c r="N1753" t="s">
        <v>110</v>
      </c>
      <c r="O1753" t="s">
        <v>82</v>
      </c>
      <c r="P1753" t="str">
        <f>"2170720113                    "</f>
        <v xml:space="preserve">2170720113                    </v>
      </c>
      <c r="Q1753">
        <v>0</v>
      </c>
      <c r="R1753">
        <v>0</v>
      </c>
      <c r="S1753">
        <v>0</v>
      </c>
      <c r="T1753">
        <v>0</v>
      </c>
      <c r="U1753">
        <v>0</v>
      </c>
      <c r="V1753">
        <v>0</v>
      </c>
      <c r="W1753">
        <v>0</v>
      </c>
      <c r="X1753">
        <v>0</v>
      </c>
      <c r="Y1753">
        <v>0</v>
      </c>
      <c r="Z1753">
        <v>0</v>
      </c>
      <c r="AA1753">
        <v>0</v>
      </c>
      <c r="AB1753">
        <v>0</v>
      </c>
      <c r="AC1753">
        <v>0</v>
      </c>
      <c r="AD1753">
        <v>0</v>
      </c>
      <c r="AE1753">
        <v>0</v>
      </c>
      <c r="AF1753">
        <v>0</v>
      </c>
      <c r="AG1753">
        <v>0</v>
      </c>
      <c r="AH1753">
        <v>0</v>
      </c>
      <c r="AI1753">
        <v>0</v>
      </c>
      <c r="AJ1753">
        <v>0</v>
      </c>
      <c r="AK1753">
        <v>0</v>
      </c>
      <c r="AL1753">
        <v>0</v>
      </c>
      <c r="AM1753">
        <v>8.58</v>
      </c>
      <c r="AN1753">
        <v>0</v>
      </c>
      <c r="AO1753">
        <v>0</v>
      </c>
      <c r="AP1753">
        <v>0</v>
      </c>
      <c r="AQ1753">
        <v>0</v>
      </c>
      <c r="AR1753">
        <v>0</v>
      </c>
      <c r="AS1753">
        <v>0</v>
      </c>
      <c r="AT1753">
        <v>0</v>
      </c>
      <c r="AU1753">
        <v>0</v>
      </c>
      <c r="AV1753">
        <v>0</v>
      </c>
      <c r="AW1753">
        <v>0</v>
      </c>
      <c r="AX1753">
        <v>0</v>
      </c>
      <c r="AY1753">
        <v>0</v>
      </c>
      <c r="AZ1753">
        <v>0</v>
      </c>
      <c r="BA1753">
        <v>0</v>
      </c>
      <c r="BB1753">
        <v>0</v>
      </c>
      <c r="BC1753">
        <v>0</v>
      </c>
      <c r="BD1753">
        <v>0</v>
      </c>
      <c r="BE1753">
        <v>0</v>
      </c>
      <c r="BF1753">
        <v>0</v>
      </c>
      <c r="BG1753">
        <v>0</v>
      </c>
      <c r="BH1753">
        <v>1</v>
      </c>
      <c r="BI1753">
        <v>1</v>
      </c>
      <c r="BJ1753">
        <v>0.2</v>
      </c>
      <c r="BK1753">
        <v>1</v>
      </c>
      <c r="BL1753" s="4">
        <v>50.45</v>
      </c>
      <c r="BM1753" s="4">
        <v>7.57</v>
      </c>
      <c r="BN1753" s="4">
        <v>58.02</v>
      </c>
      <c r="BO1753" s="4">
        <v>58.02</v>
      </c>
      <c r="BQ1753" t="s">
        <v>147</v>
      </c>
      <c r="BR1753" t="s">
        <v>84</v>
      </c>
      <c r="BS1753" s="3">
        <v>43818</v>
      </c>
      <c r="BT1753" s="5">
        <v>0.30972222222222223</v>
      </c>
      <c r="BU1753" t="s">
        <v>1446</v>
      </c>
      <c r="BV1753" t="s">
        <v>86</v>
      </c>
      <c r="BY1753">
        <v>1200</v>
      </c>
      <c r="CA1753" t="s">
        <v>112</v>
      </c>
      <c r="CC1753" t="s">
        <v>91</v>
      </c>
      <c r="CD1753">
        <v>7405</v>
      </c>
      <c r="CE1753" t="s">
        <v>88</v>
      </c>
      <c r="CF1753" s="3">
        <v>43819</v>
      </c>
      <c r="CI1753">
        <v>1</v>
      </c>
      <c r="CJ1753">
        <v>1</v>
      </c>
      <c r="CK1753">
        <v>21</v>
      </c>
      <c r="CL1753" t="s">
        <v>89</v>
      </c>
    </row>
    <row r="1754" spans="1:90">
      <c r="A1754" t="s">
        <v>72</v>
      </c>
      <c r="B1754" t="s">
        <v>73</v>
      </c>
      <c r="C1754" t="s">
        <v>74</v>
      </c>
      <c r="E1754" t="str">
        <f>"FES1162728935"</f>
        <v>FES1162728935</v>
      </c>
      <c r="F1754" s="3">
        <v>43817</v>
      </c>
      <c r="G1754">
        <v>202006</v>
      </c>
      <c r="H1754" t="s">
        <v>75</v>
      </c>
      <c r="I1754" t="s">
        <v>76</v>
      </c>
      <c r="J1754" t="s">
        <v>77</v>
      </c>
      <c r="K1754" t="s">
        <v>78</v>
      </c>
      <c r="L1754" t="s">
        <v>90</v>
      </c>
      <c r="M1754" t="s">
        <v>91</v>
      </c>
      <c r="N1754" t="s">
        <v>1400</v>
      </c>
      <c r="O1754" t="s">
        <v>82</v>
      </c>
      <c r="P1754" t="str">
        <f>"2170722045                    "</f>
        <v xml:space="preserve">2170722045                    </v>
      </c>
      <c r="Q1754">
        <v>0</v>
      </c>
      <c r="R1754">
        <v>0</v>
      </c>
      <c r="S1754">
        <v>0</v>
      </c>
      <c r="T1754">
        <v>0</v>
      </c>
      <c r="U1754">
        <v>0</v>
      </c>
      <c r="V1754">
        <v>0</v>
      </c>
      <c r="W1754">
        <v>0</v>
      </c>
      <c r="X1754">
        <v>0</v>
      </c>
      <c r="Y1754">
        <v>0</v>
      </c>
      <c r="Z1754">
        <v>0</v>
      </c>
      <c r="AA1754">
        <v>0</v>
      </c>
      <c r="AB1754">
        <v>0</v>
      </c>
      <c r="AC1754">
        <v>0</v>
      </c>
      <c r="AD1754">
        <v>0</v>
      </c>
      <c r="AE1754">
        <v>0</v>
      </c>
      <c r="AF1754">
        <v>0</v>
      </c>
      <c r="AG1754">
        <v>0</v>
      </c>
      <c r="AH1754">
        <v>0</v>
      </c>
      <c r="AI1754">
        <v>0</v>
      </c>
      <c r="AJ1754">
        <v>0</v>
      </c>
      <c r="AK1754">
        <v>0</v>
      </c>
      <c r="AL1754">
        <v>0</v>
      </c>
      <c r="AM1754">
        <v>8.58</v>
      </c>
      <c r="AN1754">
        <v>0</v>
      </c>
      <c r="AO1754">
        <v>0</v>
      </c>
      <c r="AP1754">
        <v>0</v>
      </c>
      <c r="AQ1754">
        <v>0</v>
      </c>
      <c r="AR1754">
        <v>0</v>
      </c>
      <c r="AS1754">
        <v>0</v>
      </c>
      <c r="AT1754">
        <v>0</v>
      </c>
      <c r="AU1754">
        <v>0</v>
      </c>
      <c r="AV1754">
        <v>0</v>
      </c>
      <c r="AW1754">
        <v>0</v>
      </c>
      <c r="AX1754">
        <v>0</v>
      </c>
      <c r="AY1754">
        <v>0</v>
      </c>
      <c r="AZ1754">
        <v>0</v>
      </c>
      <c r="BA1754">
        <v>0</v>
      </c>
      <c r="BB1754">
        <v>0</v>
      </c>
      <c r="BC1754">
        <v>0</v>
      </c>
      <c r="BD1754">
        <v>0</v>
      </c>
      <c r="BE1754">
        <v>0</v>
      </c>
      <c r="BF1754">
        <v>0</v>
      </c>
      <c r="BG1754">
        <v>0</v>
      </c>
      <c r="BH1754">
        <v>1</v>
      </c>
      <c r="BI1754">
        <v>1</v>
      </c>
      <c r="BJ1754">
        <v>0.2</v>
      </c>
      <c r="BK1754">
        <v>1</v>
      </c>
      <c r="BL1754" s="4">
        <v>50.45</v>
      </c>
      <c r="BM1754" s="4">
        <v>7.57</v>
      </c>
      <c r="BN1754" s="4">
        <v>58.02</v>
      </c>
      <c r="BO1754" s="4">
        <v>58.02</v>
      </c>
      <c r="BQ1754" t="s">
        <v>135</v>
      </c>
      <c r="BR1754" t="s">
        <v>84</v>
      </c>
      <c r="BS1754" s="3">
        <v>43818</v>
      </c>
      <c r="BT1754" s="5">
        <v>0.3611111111111111</v>
      </c>
      <c r="BU1754" t="s">
        <v>2140</v>
      </c>
      <c r="BV1754" t="s">
        <v>86</v>
      </c>
      <c r="BY1754">
        <v>1200</v>
      </c>
      <c r="CA1754" t="s">
        <v>273</v>
      </c>
      <c r="CC1754" t="s">
        <v>91</v>
      </c>
      <c r="CD1754">
        <v>7945</v>
      </c>
      <c r="CE1754" t="s">
        <v>88</v>
      </c>
      <c r="CF1754" s="3">
        <v>43819</v>
      </c>
      <c r="CI1754">
        <v>1</v>
      </c>
      <c r="CJ1754">
        <v>1</v>
      </c>
      <c r="CK1754">
        <v>21</v>
      </c>
      <c r="CL1754" t="s">
        <v>89</v>
      </c>
    </row>
    <row r="1755" spans="1:90">
      <c r="A1755" t="s">
        <v>72</v>
      </c>
      <c r="B1755" t="s">
        <v>73</v>
      </c>
      <c r="C1755" t="s">
        <v>74</v>
      </c>
      <c r="E1755" t="str">
        <f>"FES1162728919"</f>
        <v>FES1162728919</v>
      </c>
      <c r="F1755" s="3">
        <v>43817</v>
      </c>
      <c r="G1755">
        <v>202006</v>
      </c>
      <c r="H1755" t="s">
        <v>75</v>
      </c>
      <c r="I1755" t="s">
        <v>76</v>
      </c>
      <c r="J1755" t="s">
        <v>77</v>
      </c>
      <c r="K1755" t="s">
        <v>78</v>
      </c>
      <c r="L1755" t="s">
        <v>90</v>
      </c>
      <c r="M1755" t="s">
        <v>91</v>
      </c>
      <c r="N1755" t="s">
        <v>2141</v>
      </c>
      <c r="O1755" t="s">
        <v>82</v>
      </c>
      <c r="P1755" t="str">
        <f>"2170722020                    "</f>
        <v xml:space="preserve">2170722020                    </v>
      </c>
      <c r="Q1755">
        <v>0</v>
      </c>
      <c r="R1755">
        <v>0</v>
      </c>
      <c r="S1755">
        <v>0</v>
      </c>
      <c r="T1755">
        <v>0</v>
      </c>
      <c r="U1755">
        <v>0</v>
      </c>
      <c r="V1755">
        <v>0</v>
      </c>
      <c r="W1755">
        <v>0</v>
      </c>
      <c r="X1755">
        <v>0</v>
      </c>
      <c r="Y1755">
        <v>0</v>
      </c>
      <c r="Z1755">
        <v>0</v>
      </c>
      <c r="AA1755">
        <v>0</v>
      </c>
      <c r="AB1755">
        <v>0</v>
      </c>
      <c r="AC1755">
        <v>0</v>
      </c>
      <c r="AD1755">
        <v>0</v>
      </c>
      <c r="AE1755">
        <v>0</v>
      </c>
      <c r="AF1755">
        <v>0</v>
      </c>
      <c r="AG1755">
        <v>0</v>
      </c>
      <c r="AH1755">
        <v>0</v>
      </c>
      <c r="AI1755">
        <v>0</v>
      </c>
      <c r="AJ1755">
        <v>0</v>
      </c>
      <c r="AK1755">
        <v>0</v>
      </c>
      <c r="AL1755">
        <v>0</v>
      </c>
      <c r="AM1755">
        <v>8.58</v>
      </c>
      <c r="AN1755">
        <v>0</v>
      </c>
      <c r="AO1755">
        <v>0</v>
      </c>
      <c r="AP1755">
        <v>0</v>
      </c>
      <c r="AQ1755">
        <v>0</v>
      </c>
      <c r="AR1755">
        <v>0</v>
      </c>
      <c r="AS1755">
        <v>0</v>
      </c>
      <c r="AT1755">
        <v>0</v>
      </c>
      <c r="AU1755">
        <v>0</v>
      </c>
      <c r="AV1755">
        <v>0</v>
      </c>
      <c r="AW1755">
        <v>0</v>
      </c>
      <c r="AX1755">
        <v>0</v>
      </c>
      <c r="AY1755">
        <v>0</v>
      </c>
      <c r="AZ1755">
        <v>0</v>
      </c>
      <c r="BA1755">
        <v>0</v>
      </c>
      <c r="BB1755">
        <v>0</v>
      </c>
      <c r="BC1755">
        <v>0</v>
      </c>
      <c r="BD1755">
        <v>0</v>
      </c>
      <c r="BE1755">
        <v>0</v>
      </c>
      <c r="BF1755">
        <v>0</v>
      </c>
      <c r="BG1755">
        <v>0</v>
      </c>
      <c r="BH1755">
        <v>1</v>
      </c>
      <c r="BI1755">
        <v>1</v>
      </c>
      <c r="BJ1755">
        <v>0.2</v>
      </c>
      <c r="BK1755">
        <v>1</v>
      </c>
      <c r="BL1755" s="4">
        <v>50.45</v>
      </c>
      <c r="BM1755" s="4">
        <v>7.57</v>
      </c>
      <c r="BN1755" s="4">
        <v>58.02</v>
      </c>
      <c r="BO1755" s="4">
        <v>58.02</v>
      </c>
      <c r="BQ1755" t="s">
        <v>93</v>
      </c>
      <c r="BR1755" t="s">
        <v>84</v>
      </c>
      <c r="BS1755" s="3">
        <v>43818</v>
      </c>
      <c r="BT1755" s="5">
        <v>0.39999999999999997</v>
      </c>
      <c r="BU1755" t="s">
        <v>2142</v>
      </c>
      <c r="BV1755" t="s">
        <v>86</v>
      </c>
      <c r="BY1755">
        <v>1200</v>
      </c>
      <c r="CA1755" t="s">
        <v>563</v>
      </c>
      <c r="CC1755" t="s">
        <v>91</v>
      </c>
      <c r="CD1755">
        <v>7460</v>
      </c>
      <c r="CE1755" t="s">
        <v>88</v>
      </c>
      <c r="CF1755" s="3">
        <v>43818</v>
      </c>
      <c r="CI1755">
        <v>1</v>
      </c>
      <c r="CJ1755">
        <v>1</v>
      </c>
      <c r="CK1755">
        <v>21</v>
      </c>
      <c r="CL1755" t="s">
        <v>89</v>
      </c>
    </row>
    <row r="1756" spans="1:90">
      <c r="A1756" t="s">
        <v>72</v>
      </c>
      <c r="B1756" t="s">
        <v>73</v>
      </c>
      <c r="C1756" t="s">
        <v>74</v>
      </c>
      <c r="E1756" t="str">
        <f>"FES1162728901"</f>
        <v>FES1162728901</v>
      </c>
      <c r="F1756" s="3">
        <v>43817</v>
      </c>
      <c r="G1756">
        <v>202006</v>
      </c>
      <c r="H1756" t="s">
        <v>75</v>
      </c>
      <c r="I1756" t="s">
        <v>76</v>
      </c>
      <c r="J1756" t="s">
        <v>77</v>
      </c>
      <c r="K1756" t="s">
        <v>78</v>
      </c>
      <c r="L1756" t="s">
        <v>90</v>
      </c>
      <c r="M1756" t="s">
        <v>91</v>
      </c>
      <c r="N1756" t="s">
        <v>1068</v>
      </c>
      <c r="O1756" t="s">
        <v>82</v>
      </c>
      <c r="P1756" t="str">
        <f>"2170721368                    "</f>
        <v xml:space="preserve">2170721368                    </v>
      </c>
      <c r="Q1756">
        <v>0</v>
      </c>
      <c r="R1756">
        <v>0</v>
      </c>
      <c r="S1756">
        <v>0</v>
      </c>
      <c r="T1756">
        <v>0</v>
      </c>
      <c r="U1756">
        <v>0</v>
      </c>
      <c r="V1756">
        <v>0</v>
      </c>
      <c r="W1756">
        <v>0</v>
      </c>
      <c r="X1756">
        <v>0</v>
      </c>
      <c r="Y1756">
        <v>0</v>
      </c>
      <c r="Z1756">
        <v>0</v>
      </c>
      <c r="AA1756">
        <v>0</v>
      </c>
      <c r="AB1756">
        <v>0</v>
      </c>
      <c r="AC1756">
        <v>0</v>
      </c>
      <c r="AD1756">
        <v>0</v>
      </c>
      <c r="AE1756">
        <v>0</v>
      </c>
      <c r="AF1756">
        <v>0</v>
      </c>
      <c r="AG1756">
        <v>0</v>
      </c>
      <c r="AH1756">
        <v>0</v>
      </c>
      <c r="AI1756">
        <v>0</v>
      </c>
      <c r="AJ1756">
        <v>0</v>
      </c>
      <c r="AK1756">
        <v>0</v>
      </c>
      <c r="AL1756">
        <v>0</v>
      </c>
      <c r="AM1756">
        <v>8.58</v>
      </c>
      <c r="AN1756">
        <v>0</v>
      </c>
      <c r="AO1756">
        <v>0</v>
      </c>
      <c r="AP1756">
        <v>0</v>
      </c>
      <c r="AQ1756">
        <v>0</v>
      </c>
      <c r="AR1756">
        <v>0</v>
      </c>
      <c r="AS1756">
        <v>0</v>
      </c>
      <c r="AT1756">
        <v>0</v>
      </c>
      <c r="AU1756">
        <v>0</v>
      </c>
      <c r="AV1756">
        <v>0</v>
      </c>
      <c r="AW1756">
        <v>0</v>
      </c>
      <c r="AX1756">
        <v>0</v>
      </c>
      <c r="AY1756">
        <v>0</v>
      </c>
      <c r="AZ1756">
        <v>0</v>
      </c>
      <c r="BA1756">
        <v>0</v>
      </c>
      <c r="BB1756">
        <v>0</v>
      </c>
      <c r="BC1756">
        <v>0</v>
      </c>
      <c r="BD1756">
        <v>0</v>
      </c>
      <c r="BE1756">
        <v>0</v>
      </c>
      <c r="BF1756">
        <v>0</v>
      </c>
      <c r="BG1756">
        <v>0</v>
      </c>
      <c r="BH1756">
        <v>1</v>
      </c>
      <c r="BI1756">
        <v>1</v>
      </c>
      <c r="BJ1756">
        <v>0.2</v>
      </c>
      <c r="BK1756">
        <v>1</v>
      </c>
      <c r="BL1756" s="4">
        <v>50.45</v>
      </c>
      <c r="BM1756" s="4">
        <v>7.57</v>
      </c>
      <c r="BN1756" s="4">
        <v>58.02</v>
      </c>
      <c r="BO1756" s="4">
        <v>58.02</v>
      </c>
      <c r="BQ1756" t="s">
        <v>466</v>
      </c>
      <c r="BR1756" t="s">
        <v>84</v>
      </c>
      <c r="BS1756" s="3">
        <v>43818</v>
      </c>
      <c r="BT1756" s="5">
        <v>0.33888888888888885</v>
      </c>
      <c r="BU1756" t="s">
        <v>2143</v>
      </c>
      <c r="BV1756" t="s">
        <v>86</v>
      </c>
      <c r="BY1756">
        <v>1200</v>
      </c>
      <c r="CA1756" t="s">
        <v>532</v>
      </c>
      <c r="CC1756" t="s">
        <v>91</v>
      </c>
      <c r="CD1756">
        <v>7405</v>
      </c>
      <c r="CE1756" t="s">
        <v>88</v>
      </c>
      <c r="CF1756" s="3">
        <v>43819</v>
      </c>
      <c r="CI1756">
        <v>1</v>
      </c>
      <c r="CJ1756">
        <v>1</v>
      </c>
      <c r="CK1756">
        <v>21</v>
      </c>
      <c r="CL1756" t="s">
        <v>89</v>
      </c>
    </row>
    <row r="1757" spans="1:90">
      <c r="A1757" t="s">
        <v>72</v>
      </c>
      <c r="B1757" t="s">
        <v>73</v>
      </c>
      <c r="C1757" t="s">
        <v>74</v>
      </c>
      <c r="E1757" t="str">
        <f>"FES1162728796"</f>
        <v>FES1162728796</v>
      </c>
      <c r="F1757" s="3">
        <v>43817</v>
      </c>
      <c r="G1757">
        <v>202006</v>
      </c>
      <c r="H1757" t="s">
        <v>75</v>
      </c>
      <c r="I1757" t="s">
        <v>76</v>
      </c>
      <c r="J1757" t="s">
        <v>77</v>
      </c>
      <c r="K1757" t="s">
        <v>78</v>
      </c>
      <c r="L1757" t="s">
        <v>90</v>
      </c>
      <c r="M1757" t="s">
        <v>91</v>
      </c>
      <c r="N1757" t="s">
        <v>965</v>
      </c>
      <c r="O1757" t="s">
        <v>82</v>
      </c>
      <c r="P1757" t="str">
        <f>"2170717089                    "</f>
        <v xml:space="preserve">2170717089                    </v>
      </c>
      <c r="Q1757">
        <v>0</v>
      </c>
      <c r="R1757">
        <v>0</v>
      </c>
      <c r="S1757">
        <v>0</v>
      </c>
      <c r="T1757">
        <v>0</v>
      </c>
      <c r="U1757">
        <v>0</v>
      </c>
      <c r="V1757">
        <v>0</v>
      </c>
      <c r="W1757">
        <v>0</v>
      </c>
      <c r="X1757">
        <v>0</v>
      </c>
      <c r="Y1757">
        <v>0</v>
      </c>
      <c r="Z1757">
        <v>0</v>
      </c>
      <c r="AA1757">
        <v>0</v>
      </c>
      <c r="AB1757">
        <v>0</v>
      </c>
      <c r="AC1757">
        <v>0</v>
      </c>
      <c r="AD1757">
        <v>0</v>
      </c>
      <c r="AE1757">
        <v>0</v>
      </c>
      <c r="AF1757">
        <v>0</v>
      </c>
      <c r="AG1757">
        <v>0</v>
      </c>
      <c r="AH1757">
        <v>0</v>
      </c>
      <c r="AI1757">
        <v>0</v>
      </c>
      <c r="AJ1757">
        <v>0</v>
      </c>
      <c r="AK1757">
        <v>0</v>
      </c>
      <c r="AL1757">
        <v>0</v>
      </c>
      <c r="AM1757">
        <v>8.58</v>
      </c>
      <c r="AN1757">
        <v>0</v>
      </c>
      <c r="AO1757">
        <v>0</v>
      </c>
      <c r="AP1757">
        <v>0</v>
      </c>
      <c r="AQ1757">
        <v>0</v>
      </c>
      <c r="AR1757">
        <v>0</v>
      </c>
      <c r="AS1757">
        <v>0</v>
      </c>
      <c r="AT1757">
        <v>0</v>
      </c>
      <c r="AU1757">
        <v>0</v>
      </c>
      <c r="AV1757">
        <v>0</v>
      </c>
      <c r="AW1757">
        <v>0</v>
      </c>
      <c r="AX1757">
        <v>0</v>
      </c>
      <c r="AY1757">
        <v>0</v>
      </c>
      <c r="AZ1757">
        <v>0</v>
      </c>
      <c r="BA1757">
        <v>0</v>
      </c>
      <c r="BB1757">
        <v>0</v>
      </c>
      <c r="BC1757">
        <v>0</v>
      </c>
      <c r="BD1757">
        <v>0</v>
      </c>
      <c r="BE1757">
        <v>0</v>
      </c>
      <c r="BF1757">
        <v>0</v>
      </c>
      <c r="BG1757">
        <v>0</v>
      </c>
      <c r="BH1757">
        <v>1</v>
      </c>
      <c r="BI1757">
        <v>1</v>
      </c>
      <c r="BJ1757">
        <v>0.2</v>
      </c>
      <c r="BK1757">
        <v>1</v>
      </c>
      <c r="BL1757" s="4">
        <v>50.45</v>
      </c>
      <c r="BM1757" s="4">
        <v>7.57</v>
      </c>
      <c r="BN1757" s="4">
        <v>58.02</v>
      </c>
      <c r="BO1757" s="4">
        <v>58.02</v>
      </c>
      <c r="BQ1757" t="s">
        <v>966</v>
      </c>
      <c r="BR1757" t="s">
        <v>84</v>
      </c>
      <c r="BS1757" s="3">
        <v>43818</v>
      </c>
      <c r="BT1757" s="5">
        <v>0.4375</v>
      </c>
      <c r="BU1757" t="s">
        <v>2144</v>
      </c>
      <c r="BV1757" t="s">
        <v>86</v>
      </c>
      <c r="BY1757">
        <v>1200</v>
      </c>
      <c r="CA1757" t="s">
        <v>968</v>
      </c>
      <c r="CC1757" t="s">
        <v>91</v>
      </c>
      <c r="CD1757">
        <v>7925</v>
      </c>
      <c r="CE1757" t="s">
        <v>88</v>
      </c>
      <c r="CF1757" s="3">
        <v>43819</v>
      </c>
      <c r="CI1757">
        <v>1</v>
      </c>
      <c r="CJ1757">
        <v>1</v>
      </c>
      <c r="CK1757">
        <v>21</v>
      </c>
      <c r="CL1757" t="s">
        <v>89</v>
      </c>
    </row>
    <row r="1758" spans="1:90">
      <c r="A1758" t="s">
        <v>72</v>
      </c>
      <c r="B1758" t="s">
        <v>73</v>
      </c>
      <c r="C1758" t="s">
        <v>74</v>
      </c>
      <c r="E1758" t="str">
        <f>"FES1162728904"</f>
        <v>FES1162728904</v>
      </c>
      <c r="F1758" s="3">
        <v>43817</v>
      </c>
      <c r="G1758">
        <v>202006</v>
      </c>
      <c r="H1758" t="s">
        <v>75</v>
      </c>
      <c r="I1758" t="s">
        <v>76</v>
      </c>
      <c r="J1758" t="s">
        <v>77</v>
      </c>
      <c r="K1758" t="s">
        <v>78</v>
      </c>
      <c r="L1758" t="s">
        <v>90</v>
      </c>
      <c r="M1758" t="s">
        <v>91</v>
      </c>
      <c r="N1758" t="s">
        <v>548</v>
      </c>
      <c r="O1758" t="s">
        <v>82</v>
      </c>
      <c r="P1758" t="str">
        <f>"2170721477                    "</f>
        <v xml:space="preserve">2170721477                    </v>
      </c>
      <c r="Q1758">
        <v>0</v>
      </c>
      <c r="R1758">
        <v>0</v>
      </c>
      <c r="S1758">
        <v>0</v>
      </c>
      <c r="T1758">
        <v>0</v>
      </c>
      <c r="U1758">
        <v>0</v>
      </c>
      <c r="V1758">
        <v>0</v>
      </c>
      <c r="W1758">
        <v>0</v>
      </c>
      <c r="X1758">
        <v>0</v>
      </c>
      <c r="Y1758">
        <v>0</v>
      </c>
      <c r="Z1758">
        <v>0</v>
      </c>
      <c r="AA1758">
        <v>0</v>
      </c>
      <c r="AB1758">
        <v>0</v>
      </c>
      <c r="AC1758">
        <v>0</v>
      </c>
      <c r="AD1758">
        <v>0</v>
      </c>
      <c r="AE1758">
        <v>0</v>
      </c>
      <c r="AF1758">
        <v>0</v>
      </c>
      <c r="AG1758">
        <v>0</v>
      </c>
      <c r="AH1758">
        <v>0</v>
      </c>
      <c r="AI1758">
        <v>0</v>
      </c>
      <c r="AJ1758">
        <v>0</v>
      </c>
      <c r="AK1758">
        <v>0</v>
      </c>
      <c r="AL1758">
        <v>0</v>
      </c>
      <c r="AM1758">
        <v>8.58</v>
      </c>
      <c r="AN1758">
        <v>0</v>
      </c>
      <c r="AO1758">
        <v>0</v>
      </c>
      <c r="AP1758">
        <v>0</v>
      </c>
      <c r="AQ1758">
        <v>0</v>
      </c>
      <c r="AR1758">
        <v>0</v>
      </c>
      <c r="AS1758">
        <v>0</v>
      </c>
      <c r="AT1758">
        <v>0</v>
      </c>
      <c r="AU1758">
        <v>0</v>
      </c>
      <c r="AV1758">
        <v>0</v>
      </c>
      <c r="AW1758">
        <v>0</v>
      </c>
      <c r="AX1758">
        <v>0</v>
      </c>
      <c r="AY1758">
        <v>0</v>
      </c>
      <c r="AZ1758">
        <v>0</v>
      </c>
      <c r="BA1758">
        <v>0</v>
      </c>
      <c r="BB1758">
        <v>0</v>
      </c>
      <c r="BC1758">
        <v>0</v>
      </c>
      <c r="BD1758">
        <v>0</v>
      </c>
      <c r="BE1758">
        <v>0</v>
      </c>
      <c r="BF1758">
        <v>0</v>
      </c>
      <c r="BG1758">
        <v>0</v>
      </c>
      <c r="BH1758">
        <v>1</v>
      </c>
      <c r="BI1758">
        <v>1</v>
      </c>
      <c r="BJ1758">
        <v>0.2</v>
      </c>
      <c r="BK1758">
        <v>1</v>
      </c>
      <c r="BL1758" s="4">
        <v>50.45</v>
      </c>
      <c r="BM1758" s="4">
        <v>7.57</v>
      </c>
      <c r="BN1758" s="4">
        <v>58.02</v>
      </c>
      <c r="BO1758" s="4">
        <v>58.02</v>
      </c>
      <c r="BQ1758" t="s">
        <v>147</v>
      </c>
      <c r="BR1758" t="s">
        <v>84</v>
      </c>
      <c r="BS1758" s="3">
        <v>43818</v>
      </c>
      <c r="BT1758" s="5">
        <v>0.32847222222222222</v>
      </c>
      <c r="BU1758" t="s">
        <v>1461</v>
      </c>
      <c r="BV1758" t="s">
        <v>86</v>
      </c>
      <c r="BY1758">
        <v>1200</v>
      </c>
      <c r="CA1758" t="s">
        <v>550</v>
      </c>
      <c r="CC1758" t="s">
        <v>91</v>
      </c>
      <c r="CD1758">
        <v>7530</v>
      </c>
      <c r="CE1758" t="s">
        <v>88</v>
      </c>
      <c r="CF1758" s="3">
        <v>43819</v>
      </c>
      <c r="CI1758">
        <v>1</v>
      </c>
      <c r="CJ1758">
        <v>1</v>
      </c>
      <c r="CK1758">
        <v>21</v>
      </c>
      <c r="CL1758" t="s">
        <v>89</v>
      </c>
    </row>
    <row r="1759" spans="1:90">
      <c r="A1759" t="s">
        <v>72</v>
      </c>
      <c r="B1759" t="s">
        <v>73</v>
      </c>
      <c r="C1759" t="s">
        <v>74</v>
      </c>
      <c r="E1759" t="str">
        <f>"FES1162728258"</f>
        <v>FES1162728258</v>
      </c>
      <c r="F1759" s="3">
        <v>43817</v>
      </c>
      <c r="G1759">
        <v>202006</v>
      </c>
      <c r="H1759" t="s">
        <v>75</v>
      </c>
      <c r="I1759" t="s">
        <v>76</v>
      </c>
      <c r="J1759" t="s">
        <v>77</v>
      </c>
      <c r="K1759" t="s">
        <v>78</v>
      </c>
      <c r="L1759" t="s">
        <v>117</v>
      </c>
      <c r="M1759" t="s">
        <v>118</v>
      </c>
      <c r="N1759" t="s">
        <v>255</v>
      </c>
      <c r="O1759" t="s">
        <v>82</v>
      </c>
      <c r="P1759" t="str">
        <f>"2170721179                    "</f>
        <v xml:space="preserve">2170721179                    </v>
      </c>
      <c r="Q1759">
        <v>0</v>
      </c>
      <c r="R1759">
        <v>0</v>
      </c>
      <c r="S1759">
        <v>0</v>
      </c>
      <c r="T1759">
        <v>0</v>
      </c>
      <c r="U1759">
        <v>0</v>
      </c>
      <c r="V1759">
        <v>0</v>
      </c>
      <c r="W1759">
        <v>0</v>
      </c>
      <c r="X1759">
        <v>0</v>
      </c>
      <c r="Y1759">
        <v>0</v>
      </c>
      <c r="Z1759">
        <v>0</v>
      </c>
      <c r="AA1759">
        <v>0</v>
      </c>
      <c r="AB1759">
        <v>0</v>
      </c>
      <c r="AC1759">
        <v>0</v>
      </c>
      <c r="AD1759">
        <v>0</v>
      </c>
      <c r="AE1759">
        <v>0</v>
      </c>
      <c r="AF1759">
        <v>0</v>
      </c>
      <c r="AG1759">
        <v>0</v>
      </c>
      <c r="AH1759">
        <v>0</v>
      </c>
      <c r="AI1759">
        <v>0</v>
      </c>
      <c r="AJ1759">
        <v>0</v>
      </c>
      <c r="AK1759">
        <v>0</v>
      </c>
      <c r="AL1759">
        <v>0</v>
      </c>
      <c r="AM1759">
        <v>6.71</v>
      </c>
      <c r="AN1759">
        <v>0</v>
      </c>
      <c r="AO1759">
        <v>0</v>
      </c>
      <c r="AP1759">
        <v>0</v>
      </c>
      <c r="AQ1759">
        <v>0</v>
      </c>
      <c r="AR1759">
        <v>0</v>
      </c>
      <c r="AS1759">
        <v>0</v>
      </c>
      <c r="AT1759">
        <v>0</v>
      </c>
      <c r="AU1759">
        <v>0</v>
      </c>
      <c r="AV1759">
        <v>0</v>
      </c>
      <c r="AW1759">
        <v>0</v>
      </c>
      <c r="AX1759">
        <v>0</v>
      </c>
      <c r="AY1759">
        <v>0</v>
      </c>
      <c r="AZ1759">
        <v>0</v>
      </c>
      <c r="BA1759">
        <v>0</v>
      </c>
      <c r="BB1759">
        <v>0</v>
      </c>
      <c r="BC1759">
        <v>0</v>
      </c>
      <c r="BD1759">
        <v>0</v>
      </c>
      <c r="BE1759">
        <v>0</v>
      </c>
      <c r="BF1759">
        <v>0</v>
      </c>
      <c r="BG1759">
        <v>0</v>
      </c>
      <c r="BH1759">
        <v>1</v>
      </c>
      <c r="BI1759">
        <v>1</v>
      </c>
      <c r="BJ1759">
        <v>0.2</v>
      </c>
      <c r="BK1759">
        <v>1</v>
      </c>
      <c r="BL1759" s="4">
        <v>39.42</v>
      </c>
      <c r="BM1759" s="4">
        <v>5.91</v>
      </c>
      <c r="BN1759" s="4">
        <v>45.33</v>
      </c>
      <c r="BO1759" s="4">
        <v>45.33</v>
      </c>
      <c r="BQ1759" t="s">
        <v>256</v>
      </c>
      <c r="BR1759" t="s">
        <v>84</v>
      </c>
      <c r="BS1759" s="3">
        <v>43818</v>
      </c>
      <c r="BT1759" s="5">
        <v>0.375</v>
      </c>
      <c r="BU1759" t="s">
        <v>2145</v>
      </c>
      <c r="BV1759" t="s">
        <v>86</v>
      </c>
      <c r="BY1759">
        <v>1200</v>
      </c>
      <c r="CA1759" t="s">
        <v>2146</v>
      </c>
      <c r="CC1759" t="s">
        <v>118</v>
      </c>
      <c r="CD1759">
        <v>1540</v>
      </c>
      <c r="CE1759" t="s">
        <v>88</v>
      </c>
      <c r="CF1759" s="3">
        <v>43819</v>
      </c>
      <c r="CI1759">
        <v>1</v>
      </c>
      <c r="CJ1759">
        <v>1</v>
      </c>
      <c r="CK1759">
        <v>22</v>
      </c>
      <c r="CL1759" t="s">
        <v>89</v>
      </c>
    </row>
    <row r="1760" spans="1:90">
      <c r="A1760" t="s">
        <v>72</v>
      </c>
      <c r="B1760" t="s">
        <v>73</v>
      </c>
      <c r="C1760" t="s">
        <v>74</v>
      </c>
      <c r="E1760" t="str">
        <f>"FES1162728437"</f>
        <v>FES1162728437</v>
      </c>
      <c r="F1760" s="3">
        <v>43817</v>
      </c>
      <c r="G1760">
        <v>202006</v>
      </c>
      <c r="H1760" t="s">
        <v>75</v>
      </c>
      <c r="I1760" t="s">
        <v>76</v>
      </c>
      <c r="J1760" t="s">
        <v>77</v>
      </c>
      <c r="K1760" t="s">
        <v>78</v>
      </c>
      <c r="L1760" t="s">
        <v>169</v>
      </c>
      <c r="M1760" t="s">
        <v>170</v>
      </c>
      <c r="N1760" t="s">
        <v>570</v>
      </c>
      <c r="O1760" t="s">
        <v>82</v>
      </c>
      <c r="P1760" t="str">
        <f>"2170720843                    "</f>
        <v xml:space="preserve">2170720843                    </v>
      </c>
      <c r="Q1760">
        <v>0</v>
      </c>
      <c r="R1760">
        <v>0</v>
      </c>
      <c r="S1760">
        <v>0</v>
      </c>
      <c r="T1760">
        <v>0</v>
      </c>
      <c r="U1760">
        <v>0</v>
      </c>
      <c r="V1760">
        <v>0</v>
      </c>
      <c r="W1760">
        <v>0</v>
      </c>
      <c r="X1760">
        <v>0</v>
      </c>
      <c r="Y1760">
        <v>0</v>
      </c>
      <c r="Z1760">
        <v>0</v>
      </c>
      <c r="AA1760">
        <v>0</v>
      </c>
      <c r="AB1760">
        <v>0</v>
      </c>
      <c r="AC1760">
        <v>0</v>
      </c>
      <c r="AD1760">
        <v>0</v>
      </c>
      <c r="AE1760">
        <v>0</v>
      </c>
      <c r="AF1760">
        <v>0</v>
      </c>
      <c r="AG1760">
        <v>0</v>
      </c>
      <c r="AH1760">
        <v>0</v>
      </c>
      <c r="AI1760">
        <v>0</v>
      </c>
      <c r="AJ1760">
        <v>0</v>
      </c>
      <c r="AK1760">
        <v>0</v>
      </c>
      <c r="AL1760">
        <v>0</v>
      </c>
      <c r="AM1760">
        <v>6.71</v>
      </c>
      <c r="AN1760">
        <v>0</v>
      </c>
      <c r="AO1760">
        <v>0</v>
      </c>
      <c r="AP1760">
        <v>0</v>
      </c>
      <c r="AQ1760">
        <v>0</v>
      </c>
      <c r="AR1760">
        <v>0</v>
      </c>
      <c r="AS1760">
        <v>0</v>
      </c>
      <c r="AT1760">
        <v>0</v>
      </c>
      <c r="AU1760">
        <v>0</v>
      </c>
      <c r="AV1760">
        <v>0</v>
      </c>
      <c r="AW1760">
        <v>0</v>
      </c>
      <c r="AX1760">
        <v>0</v>
      </c>
      <c r="AY1760">
        <v>0</v>
      </c>
      <c r="AZ1760">
        <v>0</v>
      </c>
      <c r="BA1760">
        <v>0</v>
      </c>
      <c r="BB1760">
        <v>0</v>
      </c>
      <c r="BC1760">
        <v>0</v>
      </c>
      <c r="BD1760">
        <v>0</v>
      </c>
      <c r="BE1760">
        <v>0</v>
      </c>
      <c r="BF1760">
        <v>0</v>
      </c>
      <c r="BG1760">
        <v>0</v>
      </c>
      <c r="BH1760">
        <v>1</v>
      </c>
      <c r="BI1760">
        <v>1</v>
      </c>
      <c r="BJ1760">
        <v>0.2</v>
      </c>
      <c r="BK1760">
        <v>1</v>
      </c>
      <c r="BL1760" s="4">
        <v>39.42</v>
      </c>
      <c r="BM1760" s="4">
        <v>5.91</v>
      </c>
      <c r="BN1760" s="4">
        <v>45.33</v>
      </c>
      <c r="BO1760" s="4">
        <v>45.33</v>
      </c>
      <c r="BR1760" t="s">
        <v>84</v>
      </c>
      <c r="BS1760" s="3">
        <v>43818</v>
      </c>
      <c r="BT1760" s="5">
        <v>0.29444444444444445</v>
      </c>
      <c r="BU1760" t="s">
        <v>2147</v>
      </c>
      <c r="BV1760" t="s">
        <v>86</v>
      </c>
      <c r="BY1760">
        <v>1200</v>
      </c>
      <c r="CA1760" t="s">
        <v>174</v>
      </c>
      <c r="CC1760" t="s">
        <v>170</v>
      </c>
      <c r="CD1760">
        <v>1460</v>
      </c>
      <c r="CE1760" t="s">
        <v>88</v>
      </c>
      <c r="CF1760" s="3">
        <v>43819</v>
      </c>
      <c r="CI1760">
        <v>1</v>
      </c>
      <c r="CJ1760">
        <v>1</v>
      </c>
      <c r="CK1760">
        <v>22</v>
      </c>
      <c r="CL1760" t="s">
        <v>89</v>
      </c>
    </row>
    <row r="1761" spans="1:90">
      <c r="A1761" t="s">
        <v>72</v>
      </c>
      <c r="B1761" t="s">
        <v>73</v>
      </c>
      <c r="C1761" t="s">
        <v>74</v>
      </c>
      <c r="E1761" t="str">
        <f>"FES1162728618"</f>
        <v>FES1162728618</v>
      </c>
      <c r="F1761" s="3">
        <v>43817</v>
      </c>
      <c r="G1761">
        <v>202006</v>
      </c>
      <c r="H1761" t="s">
        <v>75</v>
      </c>
      <c r="I1761" t="s">
        <v>76</v>
      </c>
      <c r="J1761" t="s">
        <v>77</v>
      </c>
      <c r="K1761" t="s">
        <v>78</v>
      </c>
      <c r="L1761" t="s">
        <v>332</v>
      </c>
      <c r="M1761" t="s">
        <v>333</v>
      </c>
      <c r="N1761" t="s">
        <v>701</v>
      </c>
      <c r="O1761" t="s">
        <v>82</v>
      </c>
      <c r="P1761" t="str">
        <f>"21707218738                   "</f>
        <v xml:space="preserve">21707218738                   </v>
      </c>
      <c r="Q1761">
        <v>0</v>
      </c>
      <c r="R1761">
        <v>0</v>
      </c>
      <c r="S1761">
        <v>0</v>
      </c>
      <c r="T1761">
        <v>0</v>
      </c>
      <c r="U1761">
        <v>0</v>
      </c>
      <c r="V1761">
        <v>0</v>
      </c>
      <c r="W1761">
        <v>0</v>
      </c>
      <c r="X1761">
        <v>0</v>
      </c>
      <c r="Y1761">
        <v>0</v>
      </c>
      <c r="Z1761">
        <v>0</v>
      </c>
      <c r="AA1761">
        <v>0</v>
      </c>
      <c r="AB1761">
        <v>0</v>
      </c>
      <c r="AC1761">
        <v>0</v>
      </c>
      <c r="AD1761">
        <v>0</v>
      </c>
      <c r="AE1761">
        <v>0</v>
      </c>
      <c r="AF1761">
        <v>0</v>
      </c>
      <c r="AG1761">
        <v>0</v>
      </c>
      <c r="AH1761">
        <v>0</v>
      </c>
      <c r="AI1761">
        <v>0</v>
      </c>
      <c r="AJ1761">
        <v>0</v>
      </c>
      <c r="AK1761">
        <v>0</v>
      </c>
      <c r="AL1761">
        <v>0</v>
      </c>
      <c r="AM1761">
        <v>6.71</v>
      </c>
      <c r="AN1761">
        <v>0</v>
      </c>
      <c r="AO1761">
        <v>0</v>
      </c>
      <c r="AP1761">
        <v>0</v>
      </c>
      <c r="AQ1761">
        <v>0</v>
      </c>
      <c r="AR1761">
        <v>0</v>
      </c>
      <c r="AS1761">
        <v>0</v>
      </c>
      <c r="AT1761">
        <v>0</v>
      </c>
      <c r="AU1761">
        <v>0</v>
      </c>
      <c r="AV1761">
        <v>0</v>
      </c>
      <c r="AW1761">
        <v>0</v>
      </c>
      <c r="AX1761">
        <v>0</v>
      </c>
      <c r="AY1761">
        <v>0</v>
      </c>
      <c r="AZ1761">
        <v>0</v>
      </c>
      <c r="BA1761">
        <v>0</v>
      </c>
      <c r="BB1761">
        <v>0</v>
      </c>
      <c r="BC1761">
        <v>0</v>
      </c>
      <c r="BD1761">
        <v>0</v>
      </c>
      <c r="BE1761">
        <v>0</v>
      </c>
      <c r="BF1761">
        <v>0</v>
      </c>
      <c r="BG1761">
        <v>0</v>
      </c>
      <c r="BH1761">
        <v>1</v>
      </c>
      <c r="BI1761">
        <v>1</v>
      </c>
      <c r="BJ1761">
        <v>0.2</v>
      </c>
      <c r="BK1761">
        <v>1</v>
      </c>
      <c r="BL1761" s="4">
        <v>39.42</v>
      </c>
      <c r="BM1761" s="4">
        <v>5.91</v>
      </c>
      <c r="BN1761" s="4">
        <v>45.33</v>
      </c>
      <c r="BO1761" s="4">
        <v>45.33</v>
      </c>
      <c r="BQ1761" t="s">
        <v>93</v>
      </c>
      <c r="BR1761" t="s">
        <v>84</v>
      </c>
      <c r="BS1761" s="3">
        <v>43818</v>
      </c>
      <c r="BT1761" s="5">
        <v>0.36805555555555558</v>
      </c>
      <c r="BU1761" t="s">
        <v>2148</v>
      </c>
      <c r="BV1761" t="s">
        <v>86</v>
      </c>
      <c r="BY1761">
        <v>1200</v>
      </c>
      <c r="CA1761" t="s">
        <v>2125</v>
      </c>
      <c r="CC1761" t="s">
        <v>333</v>
      </c>
      <c r="CD1761">
        <v>2094</v>
      </c>
      <c r="CE1761" t="s">
        <v>88</v>
      </c>
      <c r="CF1761" s="3">
        <v>43819</v>
      </c>
      <c r="CI1761">
        <v>1</v>
      </c>
      <c r="CJ1761">
        <v>1</v>
      </c>
      <c r="CK1761">
        <v>22</v>
      </c>
      <c r="CL1761" t="s">
        <v>89</v>
      </c>
    </row>
    <row r="1762" spans="1:90">
      <c r="A1762" t="s">
        <v>72</v>
      </c>
      <c r="B1762" t="s">
        <v>73</v>
      </c>
      <c r="C1762" t="s">
        <v>74</v>
      </c>
      <c r="E1762" t="str">
        <f>"FES1162728814"</f>
        <v>FES1162728814</v>
      </c>
      <c r="F1762" s="3">
        <v>43817</v>
      </c>
      <c r="G1762">
        <v>202006</v>
      </c>
      <c r="H1762" t="s">
        <v>75</v>
      </c>
      <c r="I1762" t="s">
        <v>76</v>
      </c>
      <c r="J1762" t="s">
        <v>77</v>
      </c>
      <c r="K1762" t="s">
        <v>78</v>
      </c>
      <c r="L1762" t="s">
        <v>90</v>
      </c>
      <c r="M1762" t="s">
        <v>91</v>
      </c>
      <c r="N1762" t="s">
        <v>1815</v>
      </c>
      <c r="O1762" t="s">
        <v>82</v>
      </c>
      <c r="P1762" t="str">
        <f>"2170719838                    "</f>
        <v xml:space="preserve">2170719838                    </v>
      </c>
      <c r="Q1762">
        <v>0</v>
      </c>
      <c r="R1762">
        <v>0</v>
      </c>
      <c r="S1762">
        <v>0</v>
      </c>
      <c r="T1762">
        <v>0</v>
      </c>
      <c r="U1762">
        <v>0</v>
      </c>
      <c r="V1762">
        <v>0</v>
      </c>
      <c r="W1762">
        <v>0</v>
      </c>
      <c r="X1762">
        <v>0</v>
      </c>
      <c r="Y1762">
        <v>0</v>
      </c>
      <c r="Z1762">
        <v>0</v>
      </c>
      <c r="AA1762">
        <v>0</v>
      </c>
      <c r="AB1762">
        <v>0</v>
      </c>
      <c r="AC1762">
        <v>0</v>
      </c>
      <c r="AD1762">
        <v>0</v>
      </c>
      <c r="AE1762">
        <v>0</v>
      </c>
      <c r="AF1762">
        <v>0</v>
      </c>
      <c r="AG1762">
        <v>0</v>
      </c>
      <c r="AH1762">
        <v>0</v>
      </c>
      <c r="AI1762">
        <v>0</v>
      </c>
      <c r="AJ1762">
        <v>0</v>
      </c>
      <c r="AK1762">
        <v>0</v>
      </c>
      <c r="AL1762">
        <v>0</v>
      </c>
      <c r="AM1762">
        <v>8.58</v>
      </c>
      <c r="AN1762">
        <v>0</v>
      </c>
      <c r="AO1762">
        <v>0</v>
      </c>
      <c r="AP1762">
        <v>0</v>
      </c>
      <c r="AQ1762">
        <v>0</v>
      </c>
      <c r="AR1762">
        <v>0</v>
      </c>
      <c r="AS1762">
        <v>0</v>
      </c>
      <c r="AT1762">
        <v>0</v>
      </c>
      <c r="AU1762">
        <v>0</v>
      </c>
      <c r="AV1762">
        <v>0</v>
      </c>
      <c r="AW1762">
        <v>0</v>
      </c>
      <c r="AX1762">
        <v>0</v>
      </c>
      <c r="AY1762">
        <v>0</v>
      </c>
      <c r="AZ1762">
        <v>0</v>
      </c>
      <c r="BA1762">
        <v>0</v>
      </c>
      <c r="BB1762">
        <v>0</v>
      </c>
      <c r="BC1762">
        <v>0</v>
      </c>
      <c r="BD1762">
        <v>0</v>
      </c>
      <c r="BE1762">
        <v>0</v>
      </c>
      <c r="BF1762">
        <v>0</v>
      </c>
      <c r="BG1762">
        <v>0</v>
      </c>
      <c r="BH1762">
        <v>1</v>
      </c>
      <c r="BI1762">
        <v>1</v>
      </c>
      <c r="BJ1762">
        <v>0.2</v>
      </c>
      <c r="BK1762">
        <v>1</v>
      </c>
      <c r="BL1762" s="4">
        <v>50.45</v>
      </c>
      <c r="BM1762" s="4">
        <v>7.57</v>
      </c>
      <c r="BN1762" s="4">
        <v>58.02</v>
      </c>
      <c r="BO1762" s="4">
        <v>58.02</v>
      </c>
      <c r="BQ1762" t="s">
        <v>135</v>
      </c>
      <c r="BR1762" t="s">
        <v>84</v>
      </c>
      <c r="BS1762" s="3">
        <v>43818</v>
      </c>
      <c r="BT1762" s="5">
        <v>0.38680555555555557</v>
      </c>
      <c r="BU1762" t="s">
        <v>2149</v>
      </c>
      <c r="BV1762" t="s">
        <v>86</v>
      </c>
      <c r="BY1762">
        <v>1200</v>
      </c>
      <c r="CA1762" t="s">
        <v>145</v>
      </c>
      <c r="CC1762" t="s">
        <v>91</v>
      </c>
      <c r="CD1762">
        <v>7441</v>
      </c>
      <c r="CE1762" t="s">
        <v>88</v>
      </c>
      <c r="CF1762" s="3">
        <v>43819</v>
      </c>
      <c r="CI1762">
        <v>1</v>
      </c>
      <c r="CJ1762">
        <v>1</v>
      </c>
      <c r="CK1762">
        <v>21</v>
      </c>
      <c r="CL1762" t="s">
        <v>89</v>
      </c>
    </row>
    <row r="1763" spans="1:90">
      <c r="A1763" t="s">
        <v>72</v>
      </c>
      <c r="B1763" t="s">
        <v>73</v>
      </c>
      <c r="C1763" t="s">
        <v>74</v>
      </c>
      <c r="E1763" t="str">
        <f>"FES1162728824"</f>
        <v>FES1162728824</v>
      </c>
      <c r="F1763" s="3">
        <v>43817</v>
      </c>
      <c r="G1763">
        <v>202006</v>
      </c>
      <c r="H1763" t="s">
        <v>75</v>
      </c>
      <c r="I1763" t="s">
        <v>76</v>
      </c>
      <c r="J1763" t="s">
        <v>77</v>
      </c>
      <c r="K1763" t="s">
        <v>78</v>
      </c>
      <c r="L1763" t="s">
        <v>90</v>
      </c>
      <c r="M1763" t="s">
        <v>91</v>
      </c>
      <c r="N1763" t="s">
        <v>790</v>
      </c>
      <c r="O1763" t="s">
        <v>82</v>
      </c>
      <c r="P1763" t="str">
        <f>"2170719989                    "</f>
        <v xml:space="preserve">2170719989                    </v>
      </c>
      <c r="Q1763">
        <v>0</v>
      </c>
      <c r="R1763">
        <v>0</v>
      </c>
      <c r="S1763">
        <v>0</v>
      </c>
      <c r="T1763">
        <v>0</v>
      </c>
      <c r="U1763">
        <v>0</v>
      </c>
      <c r="V1763">
        <v>0</v>
      </c>
      <c r="W1763">
        <v>0</v>
      </c>
      <c r="X1763">
        <v>0</v>
      </c>
      <c r="Y1763">
        <v>0</v>
      </c>
      <c r="Z1763">
        <v>0</v>
      </c>
      <c r="AA1763">
        <v>0</v>
      </c>
      <c r="AB1763">
        <v>0</v>
      </c>
      <c r="AC1763">
        <v>0</v>
      </c>
      <c r="AD1763">
        <v>0</v>
      </c>
      <c r="AE1763">
        <v>0</v>
      </c>
      <c r="AF1763">
        <v>0</v>
      </c>
      <c r="AG1763">
        <v>0</v>
      </c>
      <c r="AH1763">
        <v>0</v>
      </c>
      <c r="AI1763">
        <v>0</v>
      </c>
      <c r="AJ1763">
        <v>0</v>
      </c>
      <c r="AK1763">
        <v>0</v>
      </c>
      <c r="AL1763">
        <v>0</v>
      </c>
      <c r="AM1763">
        <v>8.58</v>
      </c>
      <c r="AN1763">
        <v>0</v>
      </c>
      <c r="AO1763">
        <v>0</v>
      </c>
      <c r="AP1763">
        <v>0</v>
      </c>
      <c r="AQ1763">
        <v>0</v>
      </c>
      <c r="AR1763">
        <v>0</v>
      </c>
      <c r="AS1763">
        <v>0</v>
      </c>
      <c r="AT1763">
        <v>0</v>
      </c>
      <c r="AU1763">
        <v>0</v>
      </c>
      <c r="AV1763">
        <v>0</v>
      </c>
      <c r="AW1763">
        <v>0</v>
      </c>
      <c r="AX1763">
        <v>0</v>
      </c>
      <c r="AY1763">
        <v>0</v>
      </c>
      <c r="AZ1763">
        <v>0</v>
      </c>
      <c r="BA1763">
        <v>0</v>
      </c>
      <c r="BB1763">
        <v>0</v>
      </c>
      <c r="BC1763">
        <v>0</v>
      </c>
      <c r="BD1763">
        <v>0</v>
      </c>
      <c r="BE1763">
        <v>0</v>
      </c>
      <c r="BF1763">
        <v>0</v>
      </c>
      <c r="BG1763">
        <v>0</v>
      </c>
      <c r="BH1763">
        <v>1</v>
      </c>
      <c r="BI1763">
        <v>1</v>
      </c>
      <c r="BJ1763">
        <v>0.2</v>
      </c>
      <c r="BK1763">
        <v>1</v>
      </c>
      <c r="BL1763" s="4">
        <v>50.45</v>
      </c>
      <c r="BM1763" s="4">
        <v>7.57</v>
      </c>
      <c r="BN1763" s="4">
        <v>58.02</v>
      </c>
      <c r="BO1763" s="4">
        <v>58.02</v>
      </c>
      <c r="BQ1763" t="s">
        <v>93</v>
      </c>
      <c r="BR1763" t="s">
        <v>84</v>
      </c>
      <c r="BS1763" s="3">
        <v>43818</v>
      </c>
      <c r="BT1763" s="5">
        <v>0.3979166666666667</v>
      </c>
      <c r="BU1763" t="s">
        <v>2150</v>
      </c>
      <c r="BV1763" t="s">
        <v>86</v>
      </c>
      <c r="BY1763">
        <v>1200</v>
      </c>
      <c r="CA1763" t="s">
        <v>2076</v>
      </c>
      <c r="CC1763" t="s">
        <v>91</v>
      </c>
      <c r="CD1763">
        <v>7490</v>
      </c>
      <c r="CE1763" t="s">
        <v>88</v>
      </c>
      <c r="CF1763" s="3">
        <v>43819</v>
      </c>
      <c r="CI1763">
        <v>1</v>
      </c>
      <c r="CJ1763">
        <v>1</v>
      </c>
      <c r="CK1763">
        <v>21</v>
      </c>
      <c r="CL1763" t="s">
        <v>89</v>
      </c>
    </row>
    <row r="1764" spans="1:90">
      <c r="A1764" t="s">
        <v>72</v>
      </c>
      <c r="B1764" t="s">
        <v>73</v>
      </c>
      <c r="C1764" t="s">
        <v>74</v>
      </c>
      <c r="E1764" t="str">
        <f>"FES1162728523"</f>
        <v>FES1162728523</v>
      </c>
      <c r="F1764" s="3">
        <v>43817</v>
      </c>
      <c r="G1764">
        <v>202006</v>
      </c>
      <c r="H1764" t="s">
        <v>75</v>
      </c>
      <c r="I1764" t="s">
        <v>76</v>
      </c>
      <c r="J1764" t="s">
        <v>77</v>
      </c>
      <c r="K1764" t="s">
        <v>78</v>
      </c>
      <c r="L1764" t="s">
        <v>75</v>
      </c>
      <c r="M1764" t="s">
        <v>76</v>
      </c>
      <c r="N1764" t="s">
        <v>289</v>
      </c>
      <c r="O1764" t="s">
        <v>82</v>
      </c>
      <c r="P1764" t="str">
        <f>"2170721363                    "</f>
        <v xml:space="preserve">2170721363                    </v>
      </c>
      <c r="Q1764">
        <v>0</v>
      </c>
      <c r="R1764">
        <v>0</v>
      </c>
      <c r="S1764">
        <v>0</v>
      </c>
      <c r="T1764">
        <v>0</v>
      </c>
      <c r="U1764">
        <v>0</v>
      </c>
      <c r="V1764">
        <v>0</v>
      </c>
      <c r="W1764">
        <v>0</v>
      </c>
      <c r="X1764">
        <v>0</v>
      </c>
      <c r="Y1764">
        <v>0</v>
      </c>
      <c r="Z1764">
        <v>0</v>
      </c>
      <c r="AA1764">
        <v>0</v>
      </c>
      <c r="AB1764">
        <v>0</v>
      </c>
      <c r="AC1764">
        <v>0</v>
      </c>
      <c r="AD1764">
        <v>0</v>
      </c>
      <c r="AE1764">
        <v>0</v>
      </c>
      <c r="AF1764">
        <v>0</v>
      </c>
      <c r="AG1764">
        <v>0</v>
      </c>
      <c r="AH1764">
        <v>0</v>
      </c>
      <c r="AI1764">
        <v>0</v>
      </c>
      <c r="AJ1764">
        <v>0</v>
      </c>
      <c r="AK1764">
        <v>0</v>
      </c>
      <c r="AL1764">
        <v>0</v>
      </c>
      <c r="AM1764">
        <v>9.92</v>
      </c>
      <c r="AN1764">
        <v>0</v>
      </c>
      <c r="AO1764">
        <v>0</v>
      </c>
      <c r="AP1764">
        <v>0</v>
      </c>
      <c r="AQ1764">
        <v>0</v>
      </c>
      <c r="AR1764">
        <v>0</v>
      </c>
      <c r="AS1764">
        <v>0</v>
      </c>
      <c r="AT1764">
        <v>0</v>
      </c>
      <c r="AU1764">
        <v>0</v>
      </c>
      <c r="AV1764">
        <v>0</v>
      </c>
      <c r="AW1764">
        <v>0</v>
      </c>
      <c r="AX1764">
        <v>0</v>
      </c>
      <c r="AY1764">
        <v>0</v>
      </c>
      <c r="AZ1764">
        <v>0</v>
      </c>
      <c r="BA1764">
        <v>0</v>
      </c>
      <c r="BB1764">
        <v>0</v>
      </c>
      <c r="BC1764">
        <v>0</v>
      </c>
      <c r="BD1764">
        <v>0</v>
      </c>
      <c r="BE1764">
        <v>0</v>
      </c>
      <c r="BF1764">
        <v>0</v>
      </c>
      <c r="BG1764">
        <v>0</v>
      </c>
      <c r="BH1764">
        <v>1</v>
      </c>
      <c r="BI1764">
        <v>3.8</v>
      </c>
      <c r="BJ1764">
        <v>3.7</v>
      </c>
      <c r="BK1764">
        <v>4</v>
      </c>
      <c r="BL1764" s="4">
        <v>58.31</v>
      </c>
      <c r="BM1764" s="4">
        <v>8.75</v>
      </c>
      <c r="BN1764" s="4">
        <v>67.06</v>
      </c>
      <c r="BO1764" s="4">
        <v>67.06</v>
      </c>
      <c r="BQ1764" t="s">
        <v>290</v>
      </c>
      <c r="BR1764" t="s">
        <v>84</v>
      </c>
      <c r="BS1764" s="3">
        <v>43818</v>
      </c>
      <c r="BT1764" s="5">
        <v>0.31666666666666665</v>
      </c>
      <c r="BU1764" t="s">
        <v>1962</v>
      </c>
      <c r="BV1764" t="s">
        <v>86</v>
      </c>
      <c r="BY1764">
        <v>18354.97</v>
      </c>
      <c r="CA1764" t="s">
        <v>155</v>
      </c>
      <c r="CC1764" t="s">
        <v>76</v>
      </c>
      <c r="CD1764">
        <v>1601</v>
      </c>
      <c r="CE1764" t="s">
        <v>96</v>
      </c>
      <c r="CF1764" s="3">
        <v>43819</v>
      </c>
      <c r="CI1764">
        <v>1</v>
      </c>
      <c r="CJ1764">
        <v>1</v>
      </c>
      <c r="CK1764">
        <v>22</v>
      </c>
      <c r="CL1764" t="s">
        <v>89</v>
      </c>
    </row>
    <row r="1765" spans="1:90">
      <c r="A1765" t="s">
        <v>72</v>
      </c>
      <c r="B1765" t="s">
        <v>73</v>
      </c>
      <c r="C1765" t="s">
        <v>74</v>
      </c>
      <c r="E1765" t="str">
        <f>"FES1162728519"</f>
        <v>FES1162728519</v>
      </c>
      <c r="F1765" s="3">
        <v>43817</v>
      </c>
      <c r="G1765">
        <v>202006</v>
      </c>
      <c r="H1765" t="s">
        <v>75</v>
      </c>
      <c r="I1765" t="s">
        <v>76</v>
      </c>
      <c r="J1765" t="s">
        <v>77</v>
      </c>
      <c r="K1765" t="s">
        <v>78</v>
      </c>
      <c r="L1765" t="s">
        <v>332</v>
      </c>
      <c r="M1765" t="s">
        <v>333</v>
      </c>
      <c r="N1765" t="s">
        <v>701</v>
      </c>
      <c r="O1765" t="s">
        <v>82</v>
      </c>
      <c r="P1765" t="str">
        <f>"2170721755                    "</f>
        <v xml:space="preserve">2170721755                    </v>
      </c>
      <c r="Q1765">
        <v>0</v>
      </c>
      <c r="R1765">
        <v>0</v>
      </c>
      <c r="S1765">
        <v>0</v>
      </c>
      <c r="T1765">
        <v>0</v>
      </c>
      <c r="U1765">
        <v>0</v>
      </c>
      <c r="V1765">
        <v>0</v>
      </c>
      <c r="W1765">
        <v>0</v>
      </c>
      <c r="X1765">
        <v>0</v>
      </c>
      <c r="Y1765">
        <v>0</v>
      </c>
      <c r="Z1765">
        <v>0</v>
      </c>
      <c r="AA1765">
        <v>0</v>
      </c>
      <c r="AB1765">
        <v>0</v>
      </c>
      <c r="AC1765">
        <v>0</v>
      </c>
      <c r="AD1765">
        <v>0</v>
      </c>
      <c r="AE1765">
        <v>0</v>
      </c>
      <c r="AF1765">
        <v>0</v>
      </c>
      <c r="AG1765">
        <v>0</v>
      </c>
      <c r="AH1765">
        <v>0</v>
      </c>
      <c r="AI1765">
        <v>0</v>
      </c>
      <c r="AJ1765">
        <v>0</v>
      </c>
      <c r="AK1765">
        <v>0</v>
      </c>
      <c r="AL1765">
        <v>0</v>
      </c>
      <c r="AM1765">
        <v>9.92</v>
      </c>
      <c r="AN1765">
        <v>0</v>
      </c>
      <c r="AO1765">
        <v>0</v>
      </c>
      <c r="AP1765">
        <v>0</v>
      </c>
      <c r="AQ1765">
        <v>0</v>
      </c>
      <c r="AR1765">
        <v>0</v>
      </c>
      <c r="AS1765">
        <v>0</v>
      </c>
      <c r="AT1765">
        <v>0</v>
      </c>
      <c r="AU1765">
        <v>0</v>
      </c>
      <c r="AV1765">
        <v>0</v>
      </c>
      <c r="AW1765">
        <v>0</v>
      </c>
      <c r="AX1765">
        <v>0</v>
      </c>
      <c r="AY1765">
        <v>0</v>
      </c>
      <c r="AZ1765">
        <v>0</v>
      </c>
      <c r="BA1765">
        <v>0</v>
      </c>
      <c r="BB1765">
        <v>0</v>
      </c>
      <c r="BC1765">
        <v>0</v>
      </c>
      <c r="BD1765">
        <v>0</v>
      </c>
      <c r="BE1765">
        <v>0</v>
      </c>
      <c r="BF1765">
        <v>0</v>
      </c>
      <c r="BG1765">
        <v>0</v>
      </c>
      <c r="BH1765">
        <v>1</v>
      </c>
      <c r="BI1765">
        <v>3.6</v>
      </c>
      <c r="BJ1765">
        <v>3.1</v>
      </c>
      <c r="BK1765">
        <v>4</v>
      </c>
      <c r="BL1765" s="4">
        <v>58.31</v>
      </c>
      <c r="BM1765" s="4">
        <v>8.75</v>
      </c>
      <c r="BN1765" s="4">
        <v>67.06</v>
      </c>
      <c r="BO1765" s="4">
        <v>67.06</v>
      </c>
      <c r="BQ1765" t="s">
        <v>93</v>
      </c>
      <c r="BR1765" t="s">
        <v>84</v>
      </c>
      <c r="BS1765" s="3">
        <v>43818</v>
      </c>
      <c r="BT1765" s="5">
        <v>0.36944444444444446</v>
      </c>
      <c r="BU1765" t="s">
        <v>2124</v>
      </c>
      <c r="BV1765" t="s">
        <v>86</v>
      </c>
      <c r="BY1765">
        <v>15393.85</v>
      </c>
      <c r="CA1765" t="s">
        <v>2125</v>
      </c>
      <c r="CC1765" t="s">
        <v>333</v>
      </c>
      <c r="CD1765">
        <v>2094</v>
      </c>
      <c r="CE1765" t="s">
        <v>96</v>
      </c>
      <c r="CF1765" s="3">
        <v>43819</v>
      </c>
      <c r="CI1765">
        <v>1</v>
      </c>
      <c r="CJ1765">
        <v>1</v>
      </c>
      <c r="CK1765">
        <v>22</v>
      </c>
      <c r="CL1765" t="s">
        <v>89</v>
      </c>
    </row>
    <row r="1766" spans="1:90">
      <c r="A1766" t="s">
        <v>72</v>
      </c>
      <c r="B1766" t="s">
        <v>73</v>
      </c>
      <c r="C1766" t="s">
        <v>74</v>
      </c>
      <c r="E1766" t="str">
        <f>"FES1162728813"</f>
        <v>FES1162728813</v>
      </c>
      <c r="F1766" s="3">
        <v>43817</v>
      </c>
      <c r="G1766">
        <v>202006</v>
      </c>
      <c r="H1766" t="s">
        <v>75</v>
      </c>
      <c r="I1766" t="s">
        <v>76</v>
      </c>
      <c r="J1766" t="s">
        <v>77</v>
      </c>
      <c r="K1766" t="s">
        <v>78</v>
      </c>
      <c r="L1766" t="s">
        <v>90</v>
      </c>
      <c r="M1766" t="s">
        <v>91</v>
      </c>
      <c r="N1766" t="s">
        <v>918</v>
      </c>
      <c r="O1766" t="s">
        <v>82</v>
      </c>
      <c r="P1766" t="str">
        <f>"2170719796                    "</f>
        <v xml:space="preserve">2170719796                    </v>
      </c>
      <c r="Q1766">
        <v>0</v>
      </c>
      <c r="R1766">
        <v>0</v>
      </c>
      <c r="S1766">
        <v>0</v>
      </c>
      <c r="T1766">
        <v>0</v>
      </c>
      <c r="U1766">
        <v>0</v>
      </c>
      <c r="V1766">
        <v>0</v>
      </c>
      <c r="W1766">
        <v>0</v>
      </c>
      <c r="X1766">
        <v>0</v>
      </c>
      <c r="Y1766">
        <v>0</v>
      </c>
      <c r="Z1766">
        <v>0</v>
      </c>
      <c r="AA1766">
        <v>0</v>
      </c>
      <c r="AB1766">
        <v>0</v>
      </c>
      <c r="AC1766">
        <v>0</v>
      </c>
      <c r="AD1766">
        <v>0</v>
      </c>
      <c r="AE1766">
        <v>0</v>
      </c>
      <c r="AF1766">
        <v>0</v>
      </c>
      <c r="AG1766">
        <v>0</v>
      </c>
      <c r="AH1766">
        <v>0</v>
      </c>
      <c r="AI1766">
        <v>0</v>
      </c>
      <c r="AJ1766">
        <v>0</v>
      </c>
      <c r="AK1766">
        <v>0</v>
      </c>
      <c r="AL1766">
        <v>0</v>
      </c>
      <c r="AM1766">
        <v>15.02</v>
      </c>
      <c r="AN1766">
        <v>0</v>
      </c>
      <c r="AO1766">
        <v>0</v>
      </c>
      <c r="AP1766">
        <v>0</v>
      </c>
      <c r="AQ1766">
        <v>0</v>
      </c>
      <c r="AR1766">
        <v>0</v>
      </c>
      <c r="AS1766">
        <v>0</v>
      </c>
      <c r="AT1766">
        <v>0</v>
      </c>
      <c r="AU1766">
        <v>0</v>
      </c>
      <c r="AV1766">
        <v>0</v>
      </c>
      <c r="AW1766">
        <v>0</v>
      </c>
      <c r="AX1766">
        <v>0</v>
      </c>
      <c r="AY1766">
        <v>0</v>
      </c>
      <c r="AZ1766">
        <v>0</v>
      </c>
      <c r="BA1766">
        <v>0</v>
      </c>
      <c r="BB1766">
        <v>0</v>
      </c>
      <c r="BC1766">
        <v>0</v>
      </c>
      <c r="BD1766">
        <v>0</v>
      </c>
      <c r="BE1766">
        <v>0</v>
      </c>
      <c r="BF1766">
        <v>0</v>
      </c>
      <c r="BG1766">
        <v>0</v>
      </c>
      <c r="BH1766">
        <v>1</v>
      </c>
      <c r="BI1766">
        <v>1.9</v>
      </c>
      <c r="BJ1766">
        <v>3.1</v>
      </c>
      <c r="BK1766">
        <v>3.5</v>
      </c>
      <c r="BL1766" s="4">
        <v>88.27</v>
      </c>
      <c r="BM1766" s="4">
        <v>13.24</v>
      </c>
      <c r="BN1766" s="4">
        <v>101.51</v>
      </c>
      <c r="BO1766" s="4">
        <v>101.51</v>
      </c>
      <c r="BQ1766" t="s">
        <v>919</v>
      </c>
      <c r="BR1766" t="s">
        <v>84</v>
      </c>
      <c r="BS1766" s="3">
        <v>43818</v>
      </c>
      <c r="BT1766" s="5">
        <v>0.36388888888888887</v>
      </c>
      <c r="BU1766" t="s">
        <v>1608</v>
      </c>
      <c r="BV1766" t="s">
        <v>86</v>
      </c>
      <c r="BY1766">
        <v>15506.58</v>
      </c>
      <c r="CA1766" t="s">
        <v>539</v>
      </c>
      <c r="CC1766" t="s">
        <v>91</v>
      </c>
      <c r="CD1766">
        <v>7530</v>
      </c>
      <c r="CE1766" t="s">
        <v>96</v>
      </c>
      <c r="CF1766" s="3">
        <v>43819</v>
      </c>
      <c r="CI1766">
        <v>1</v>
      </c>
      <c r="CJ1766">
        <v>1</v>
      </c>
      <c r="CK1766">
        <v>21</v>
      </c>
      <c r="CL1766" t="s">
        <v>89</v>
      </c>
    </row>
    <row r="1767" spans="1:90">
      <c r="A1767" t="s">
        <v>72</v>
      </c>
      <c r="B1767" t="s">
        <v>73</v>
      </c>
      <c r="C1767" t="s">
        <v>74</v>
      </c>
      <c r="E1767" t="str">
        <f>"FES1162728619"</f>
        <v>FES1162728619</v>
      </c>
      <c r="F1767" s="3">
        <v>43817</v>
      </c>
      <c r="G1767">
        <v>202006</v>
      </c>
      <c r="H1767" t="s">
        <v>75</v>
      </c>
      <c r="I1767" t="s">
        <v>76</v>
      </c>
      <c r="J1767" t="s">
        <v>77</v>
      </c>
      <c r="K1767" t="s">
        <v>78</v>
      </c>
      <c r="L1767" t="s">
        <v>332</v>
      </c>
      <c r="M1767" t="s">
        <v>333</v>
      </c>
      <c r="N1767" t="s">
        <v>701</v>
      </c>
      <c r="O1767" t="s">
        <v>82</v>
      </c>
      <c r="P1767" t="str">
        <f>"2170721839                    "</f>
        <v xml:space="preserve">2170721839                    </v>
      </c>
      <c r="Q1767">
        <v>0</v>
      </c>
      <c r="R1767">
        <v>0</v>
      </c>
      <c r="S1767">
        <v>0</v>
      </c>
      <c r="T1767">
        <v>0</v>
      </c>
      <c r="U1767">
        <v>0</v>
      </c>
      <c r="V1767">
        <v>0</v>
      </c>
      <c r="W1767">
        <v>0</v>
      </c>
      <c r="X1767">
        <v>0</v>
      </c>
      <c r="Y1767">
        <v>0</v>
      </c>
      <c r="Z1767">
        <v>0</v>
      </c>
      <c r="AA1767">
        <v>0</v>
      </c>
      <c r="AB1767">
        <v>0</v>
      </c>
      <c r="AC1767">
        <v>0</v>
      </c>
      <c r="AD1767">
        <v>0</v>
      </c>
      <c r="AE1767">
        <v>0</v>
      </c>
      <c r="AF1767">
        <v>0</v>
      </c>
      <c r="AG1767">
        <v>0</v>
      </c>
      <c r="AH1767">
        <v>0</v>
      </c>
      <c r="AI1767">
        <v>0</v>
      </c>
      <c r="AJ1767">
        <v>0</v>
      </c>
      <c r="AK1767">
        <v>0</v>
      </c>
      <c r="AL1767">
        <v>0</v>
      </c>
      <c r="AM1767">
        <v>7.51</v>
      </c>
      <c r="AN1767">
        <v>0</v>
      </c>
      <c r="AO1767">
        <v>0</v>
      </c>
      <c r="AP1767">
        <v>0</v>
      </c>
      <c r="AQ1767">
        <v>0</v>
      </c>
      <c r="AR1767">
        <v>0</v>
      </c>
      <c r="AS1767">
        <v>0</v>
      </c>
      <c r="AT1767">
        <v>0</v>
      </c>
      <c r="AU1767">
        <v>0</v>
      </c>
      <c r="AV1767">
        <v>0</v>
      </c>
      <c r="AW1767">
        <v>0</v>
      </c>
      <c r="AX1767">
        <v>0</v>
      </c>
      <c r="AY1767">
        <v>0</v>
      </c>
      <c r="AZ1767">
        <v>0</v>
      </c>
      <c r="BA1767">
        <v>0</v>
      </c>
      <c r="BB1767">
        <v>0</v>
      </c>
      <c r="BC1767">
        <v>0</v>
      </c>
      <c r="BD1767">
        <v>0</v>
      </c>
      <c r="BE1767">
        <v>0</v>
      </c>
      <c r="BF1767">
        <v>0</v>
      </c>
      <c r="BG1767">
        <v>0</v>
      </c>
      <c r="BH1767">
        <v>1</v>
      </c>
      <c r="BI1767">
        <v>2.5</v>
      </c>
      <c r="BJ1767">
        <v>1.8</v>
      </c>
      <c r="BK1767">
        <v>2.5</v>
      </c>
      <c r="BL1767" s="4">
        <v>44.14</v>
      </c>
      <c r="BM1767" s="4">
        <v>6.62</v>
      </c>
      <c r="BN1767" s="4">
        <v>50.76</v>
      </c>
      <c r="BO1767" s="4">
        <v>50.76</v>
      </c>
      <c r="BQ1767" t="s">
        <v>93</v>
      </c>
      <c r="BR1767" t="s">
        <v>84</v>
      </c>
      <c r="BS1767" s="3">
        <v>43818</v>
      </c>
      <c r="BT1767" s="5">
        <v>0.36805555555555558</v>
      </c>
      <c r="BU1767" t="s">
        <v>2148</v>
      </c>
      <c r="BV1767" t="s">
        <v>86</v>
      </c>
      <c r="BY1767">
        <v>9043.99</v>
      </c>
      <c r="CA1767" t="s">
        <v>2125</v>
      </c>
      <c r="CC1767" t="s">
        <v>333</v>
      </c>
      <c r="CD1767">
        <v>2094</v>
      </c>
      <c r="CE1767" t="s">
        <v>116</v>
      </c>
      <c r="CF1767" s="3">
        <v>43819</v>
      </c>
      <c r="CI1767">
        <v>1</v>
      </c>
      <c r="CJ1767">
        <v>1</v>
      </c>
      <c r="CK1767">
        <v>22</v>
      </c>
      <c r="CL1767" t="s">
        <v>89</v>
      </c>
    </row>
    <row r="1768" spans="1:90">
      <c r="A1768" t="s">
        <v>72</v>
      </c>
      <c r="B1768" t="s">
        <v>73</v>
      </c>
      <c r="C1768" t="s">
        <v>74</v>
      </c>
      <c r="E1768" t="str">
        <f>"FES1162728810"</f>
        <v>FES1162728810</v>
      </c>
      <c r="F1768" s="3">
        <v>43817</v>
      </c>
      <c r="G1768">
        <v>202006</v>
      </c>
      <c r="H1768" t="s">
        <v>75</v>
      </c>
      <c r="I1768" t="s">
        <v>76</v>
      </c>
      <c r="J1768" t="s">
        <v>77</v>
      </c>
      <c r="K1768" t="s">
        <v>78</v>
      </c>
      <c r="L1768" t="s">
        <v>186</v>
      </c>
      <c r="M1768" t="s">
        <v>187</v>
      </c>
      <c r="N1768" t="s">
        <v>188</v>
      </c>
      <c r="O1768" t="s">
        <v>82</v>
      </c>
      <c r="P1768" t="str">
        <f>"2170719758                    "</f>
        <v xml:space="preserve">2170719758                    </v>
      </c>
      <c r="Q1768">
        <v>0</v>
      </c>
      <c r="R1768">
        <v>0</v>
      </c>
      <c r="S1768">
        <v>0</v>
      </c>
      <c r="T1768">
        <v>0</v>
      </c>
      <c r="U1768">
        <v>0</v>
      </c>
      <c r="V1768">
        <v>0</v>
      </c>
      <c r="W1768">
        <v>0</v>
      </c>
      <c r="X1768">
        <v>0</v>
      </c>
      <c r="Y1768">
        <v>0</v>
      </c>
      <c r="Z1768">
        <v>0</v>
      </c>
      <c r="AA1768">
        <v>0</v>
      </c>
      <c r="AB1768">
        <v>0</v>
      </c>
      <c r="AC1768">
        <v>0</v>
      </c>
      <c r="AD1768">
        <v>0</v>
      </c>
      <c r="AE1768">
        <v>0</v>
      </c>
      <c r="AF1768">
        <v>0</v>
      </c>
      <c r="AG1768">
        <v>0</v>
      </c>
      <c r="AH1768">
        <v>0</v>
      </c>
      <c r="AI1768">
        <v>0</v>
      </c>
      <c r="AJ1768">
        <v>0</v>
      </c>
      <c r="AK1768">
        <v>0</v>
      </c>
      <c r="AL1768">
        <v>0</v>
      </c>
      <c r="AM1768">
        <v>35.409999999999997</v>
      </c>
      <c r="AN1768">
        <v>0</v>
      </c>
      <c r="AO1768">
        <v>0</v>
      </c>
      <c r="AP1768">
        <v>0</v>
      </c>
      <c r="AQ1768">
        <v>0</v>
      </c>
      <c r="AR1768">
        <v>0</v>
      </c>
      <c r="AS1768">
        <v>0</v>
      </c>
      <c r="AT1768">
        <v>0</v>
      </c>
      <c r="AU1768">
        <v>0</v>
      </c>
      <c r="AV1768">
        <v>0</v>
      </c>
      <c r="AW1768">
        <v>0</v>
      </c>
      <c r="AX1768">
        <v>0</v>
      </c>
      <c r="AY1768">
        <v>0</v>
      </c>
      <c r="AZ1768">
        <v>0</v>
      </c>
      <c r="BA1768">
        <v>0</v>
      </c>
      <c r="BB1768">
        <v>0</v>
      </c>
      <c r="BC1768">
        <v>0</v>
      </c>
      <c r="BD1768">
        <v>0</v>
      </c>
      <c r="BE1768">
        <v>0</v>
      </c>
      <c r="BF1768">
        <v>0</v>
      </c>
      <c r="BG1768">
        <v>0</v>
      </c>
      <c r="BH1768">
        <v>1</v>
      </c>
      <c r="BI1768">
        <v>4.5</v>
      </c>
      <c r="BJ1768">
        <v>1.3</v>
      </c>
      <c r="BK1768">
        <v>4.5</v>
      </c>
      <c r="BL1768" s="4">
        <v>208.13</v>
      </c>
      <c r="BM1768" s="4">
        <v>31.22</v>
      </c>
      <c r="BN1768" s="4">
        <v>239.35</v>
      </c>
      <c r="BO1768" s="4">
        <v>239.35</v>
      </c>
      <c r="BQ1768" t="s">
        <v>93</v>
      </c>
      <c r="BR1768" t="s">
        <v>84</v>
      </c>
      <c r="BS1768" t="s">
        <v>717</v>
      </c>
      <c r="BW1768" t="s">
        <v>1335</v>
      </c>
      <c r="BX1768" t="s">
        <v>619</v>
      </c>
      <c r="BY1768">
        <v>6332.47</v>
      </c>
      <c r="CC1768" t="s">
        <v>187</v>
      </c>
      <c r="CD1768">
        <v>6849</v>
      </c>
      <c r="CE1768" t="s">
        <v>96</v>
      </c>
      <c r="CI1768">
        <v>3</v>
      </c>
      <c r="CJ1768" t="s">
        <v>717</v>
      </c>
      <c r="CK1768">
        <v>23</v>
      </c>
      <c r="CL1768" t="s">
        <v>89</v>
      </c>
    </row>
    <row r="1769" spans="1:90">
      <c r="A1769" t="s">
        <v>72</v>
      </c>
      <c r="B1769" t="s">
        <v>73</v>
      </c>
      <c r="C1769" t="s">
        <v>74</v>
      </c>
      <c r="E1769" t="str">
        <f>"FES1162728566"</f>
        <v>FES1162728566</v>
      </c>
      <c r="F1769" s="3">
        <v>43817</v>
      </c>
      <c r="G1769">
        <v>202006</v>
      </c>
      <c r="H1769" t="s">
        <v>75</v>
      </c>
      <c r="I1769" t="s">
        <v>76</v>
      </c>
      <c r="J1769" t="s">
        <v>77</v>
      </c>
      <c r="K1769" t="s">
        <v>78</v>
      </c>
      <c r="L1769" t="s">
        <v>1497</v>
      </c>
      <c r="M1769" t="s">
        <v>1498</v>
      </c>
      <c r="N1769" t="s">
        <v>2017</v>
      </c>
      <c r="O1769" t="s">
        <v>82</v>
      </c>
      <c r="P1769" t="str">
        <f>"2170717615                    "</f>
        <v xml:space="preserve">2170717615                    </v>
      </c>
      <c r="Q1769">
        <v>0</v>
      </c>
      <c r="R1769">
        <v>0</v>
      </c>
      <c r="S1769">
        <v>0</v>
      </c>
      <c r="T1769">
        <v>0</v>
      </c>
      <c r="U1769">
        <v>0</v>
      </c>
      <c r="V1769">
        <v>0</v>
      </c>
      <c r="W1769">
        <v>0</v>
      </c>
      <c r="X1769">
        <v>0</v>
      </c>
      <c r="Y1769">
        <v>0</v>
      </c>
      <c r="Z1769">
        <v>0</v>
      </c>
      <c r="AA1769">
        <v>0</v>
      </c>
      <c r="AB1769">
        <v>0</v>
      </c>
      <c r="AC1769">
        <v>0</v>
      </c>
      <c r="AD1769">
        <v>0</v>
      </c>
      <c r="AE1769">
        <v>0</v>
      </c>
      <c r="AF1769">
        <v>0</v>
      </c>
      <c r="AG1769">
        <v>0</v>
      </c>
      <c r="AH1769">
        <v>0</v>
      </c>
      <c r="AI1769">
        <v>0</v>
      </c>
      <c r="AJ1769">
        <v>0</v>
      </c>
      <c r="AK1769">
        <v>0</v>
      </c>
      <c r="AL1769">
        <v>0</v>
      </c>
      <c r="AM1769">
        <v>12.07</v>
      </c>
      <c r="AN1769">
        <v>0</v>
      </c>
      <c r="AO1769">
        <v>0</v>
      </c>
      <c r="AP1769">
        <v>0</v>
      </c>
      <c r="AQ1769">
        <v>0</v>
      </c>
      <c r="AR1769">
        <v>0</v>
      </c>
      <c r="AS1769">
        <v>0</v>
      </c>
      <c r="AT1769">
        <v>0</v>
      </c>
      <c r="AU1769">
        <v>0</v>
      </c>
      <c r="AV1769">
        <v>0</v>
      </c>
      <c r="AW1769">
        <v>0</v>
      </c>
      <c r="AX1769">
        <v>0</v>
      </c>
      <c r="AY1769">
        <v>0</v>
      </c>
      <c r="AZ1769">
        <v>0</v>
      </c>
      <c r="BA1769">
        <v>0</v>
      </c>
      <c r="BB1769">
        <v>0</v>
      </c>
      <c r="BC1769">
        <v>0</v>
      </c>
      <c r="BD1769">
        <v>0</v>
      </c>
      <c r="BE1769">
        <v>0</v>
      </c>
      <c r="BF1769">
        <v>0</v>
      </c>
      <c r="BG1769">
        <v>0</v>
      </c>
      <c r="BH1769">
        <v>1</v>
      </c>
      <c r="BI1769">
        <v>1.5</v>
      </c>
      <c r="BJ1769">
        <v>1.3</v>
      </c>
      <c r="BK1769">
        <v>1.5</v>
      </c>
      <c r="BL1769" s="4">
        <v>70.95</v>
      </c>
      <c r="BM1769" s="4">
        <v>10.64</v>
      </c>
      <c r="BN1769" s="4">
        <v>81.59</v>
      </c>
      <c r="BO1769" s="4">
        <v>81.59</v>
      </c>
      <c r="BQ1769" t="s">
        <v>2018</v>
      </c>
      <c r="BR1769" t="s">
        <v>84</v>
      </c>
      <c r="BS1769" s="3">
        <v>43818</v>
      </c>
      <c r="BT1769" s="5">
        <v>0.56736111111111109</v>
      </c>
      <c r="BU1769" t="s">
        <v>2151</v>
      </c>
      <c r="BV1769" t="s">
        <v>86</v>
      </c>
      <c r="BY1769">
        <v>6282.61</v>
      </c>
      <c r="CA1769" t="s">
        <v>2152</v>
      </c>
      <c r="CC1769" t="s">
        <v>1498</v>
      </c>
      <c r="CD1769">
        <v>208</v>
      </c>
      <c r="CE1769" t="s">
        <v>96</v>
      </c>
      <c r="CF1769" s="3">
        <v>43822</v>
      </c>
      <c r="CI1769">
        <v>1</v>
      </c>
      <c r="CJ1769">
        <v>1</v>
      </c>
      <c r="CK1769">
        <v>24</v>
      </c>
      <c r="CL1769" t="s">
        <v>89</v>
      </c>
    </row>
    <row r="1770" spans="1:90">
      <c r="A1770" t="s">
        <v>72</v>
      </c>
      <c r="B1770" t="s">
        <v>73</v>
      </c>
      <c r="C1770" t="s">
        <v>74</v>
      </c>
      <c r="E1770" t="str">
        <f>"FES1162728764"</f>
        <v>FES1162728764</v>
      </c>
      <c r="F1770" s="3">
        <v>43817</v>
      </c>
      <c r="G1770">
        <v>202006</v>
      </c>
      <c r="H1770" t="s">
        <v>75</v>
      </c>
      <c r="I1770" t="s">
        <v>76</v>
      </c>
      <c r="J1770" t="s">
        <v>77</v>
      </c>
      <c r="K1770" t="s">
        <v>78</v>
      </c>
      <c r="L1770" t="s">
        <v>213</v>
      </c>
      <c r="M1770" t="s">
        <v>214</v>
      </c>
      <c r="N1770" t="s">
        <v>303</v>
      </c>
      <c r="O1770" t="s">
        <v>82</v>
      </c>
      <c r="P1770" t="str">
        <f>"2170719594                    "</f>
        <v xml:space="preserve">2170719594                    </v>
      </c>
      <c r="Q1770">
        <v>0</v>
      </c>
      <c r="R1770">
        <v>0</v>
      </c>
      <c r="S1770">
        <v>0</v>
      </c>
      <c r="T1770">
        <v>0</v>
      </c>
      <c r="U1770">
        <v>0</v>
      </c>
      <c r="V1770">
        <v>0</v>
      </c>
      <c r="W1770">
        <v>0</v>
      </c>
      <c r="X1770">
        <v>0</v>
      </c>
      <c r="Y1770">
        <v>0</v>
      </c>
      <c r="Z1770">
        <v>0</v>
      </c>
      <c r="AA1770">
        <v>0</v>
      </c>
      <c r="AB1770">
        <v>0</v>
      </c>
      <c r="AC1770">
        <v>0</v>
      </c>
      <c r="AD1770">
        <v>0</v>
      </c>
      <c r="AE1770">
        <v>0</v>
      </c>
      <c r="AF1770">
        <v>0</v>
      </c>
      <c r="AG1770">
        <v>0</v>
      </c>
      <c r="AH1770">
        <v>0</v>
      </c>
      <c r="AI1770">
        <v>0</v>
      </c>
      <c r="AJ1770">
        <v>0</v>
      </c>
      <c r="AK1770">
        <v>0</v>
      </c>
      <c r="AL1770">
        <v>0</v>
      </c>
      <c r="AM1770">
        <v>30.03</v>
      </c>
      <c r="AN1770">
        <v>0</v>
      </c>
      <c r="AO1770">
        <v>0</v>
      </c>
      <c r="AP1770">
        <v>0</v>
      </c>
      <c r="AQ1770">
        <v>0</v>
      </c>
      <c r="AR1770">
        <v>0</v>
      </c>
      <c r="AS1770">
        <v>0</v>
      </c>
      <c r="AT1770">
        <v>0</v>
      </c>
      <c r="AU1770">
        <v>0</v>
      </c>
      <c r="AV1770">
        <v>0</v>
      </c>
      <c r="AW1770">
        <v>0</v>
      </c>
      <c r="AX1770">
        <v>0</v>
      </c>
      <c r="AY1770">
        <v>0</v>
      </c>
      <c r="AZ1770">
        <v>0</v>
      </c>
      <c r="BA1770">
        <v>0</v>
      </c>
      <c r="BB1770">
        <v>0</v>
      </c>
      <c r="BC1770">
        <v>0</v>
      </c>
      <c r="BD1770">
        <v>0</v>
      </c>
      <c r="BE1770">
        <v>0</v>
      </c>
      <c r="BF1770">
        <v>0</v>
      </c>
      <c r="BG1770">
        <v>0</v>
      </c>
      <c r="BH1770">
        <v>1</v>
      </c>
      <c r="BI1770">
        <v>6.6</v>
      </c>
      <c r="BJ1770">
        <v>3.1</v>
      </c>
      <c r="BK1770">
        <v>7</v>
      </c>
      <c r="BL1770" s="4">
        <v>176.5</v>
      </c>
      <c r="BM1770" s="4">
        <v>26.48</v>
      </c>
      <c r="BN1770" s="4">
        <v>202.98</v>
      </c>
      <c r="BO1770" s="4">
        <v>202.98</v>
      </c>
      <c r="BQ1770" t="s">
        <v>147</v>
      </c>
      <c r="BR1770" t="s">
        <v>84</v>
      </c>
      <c r="BS1770" s="3">
        <v>43818</v>
      </c>
      <c r="BT1770" s="5">
        <v>0.3298611111111111</v>
      </c>
      <c r="BU1770" t="s">
        <v>2153</v>
      </c>
      <c r="BV1770" t="s">
        <v>86</v>
      </c>
      <c r="BY1770">
        <v>15325.93</v>
      </c>
      <c r="CA1770" t="s">
        <v>99</v>
      </c>
      <c r="CC1770" t="s">
        <v>214</v>
      </c>
      <c r="CD1770">
        <v>6230</v>
      </c>
      <c r="CE1770" t="s">
        <v>116</v>
      </c>
      <c r="CF1770" s="3">
        <v>43819</v>
      </c>
      <c r="CI1770">
        <v>1</v>
      </c>
      <c r="CJ1770">
        <v>1</v>
      </c>
      <c r="CK1770">
        <v>21</v>
      </c>
      <c r="CL1770" t="s">
        <v>89</v>
      </c>
    </row>
    <row r="1771" spans="1:90">
      <c r="A1771" t="s">
        <v>72</v>
      </c>
      <c r="B1771" t="s">
        <v>73</v>
      </c>
      <c r="C1771" t="s">
        <v>74</v>
      </c>
      <c r="E1771" t="str">
        <f>"FES1162728879"</f>
        <v>FES1162728879</v>
      </c>
      <c r="F1771" s="3">
        <v>43817</v>
      </c>
      <c r="G1771">
        <v>202006</v>
      </c>
      <c r="H1771" t="s">
        <v>75</v>
      </c>
      <c r="I1771" t="s">
        <v>76</v>
      </c>
      <c r="J1771" t="s">
        <v>77</v>
      </c>
      <c r="K1771" t="s">
        <v>78</v>
      </c>
      <c r="L1771" t="s">
        <v>75</v>
      </c>
      <c r="M1771" t="s">
        <v>76</v>
      </c>
      <c r="N1771" t="s">
        <v>1038</v>
      </c>
      <c r="O1771" t="s">
        <v>82</v>
      </c>
      <c r="P1771" t="str">
        <f>"2170719703                    "</f>
        <v xml:space="preserve">2170719703                    </v>
      </c>
      <c r="Q1771">
        <v>0</v>
      </c>
      <c r="R1771">
        <v>0</v>
      </c>
      <c r="S1771">
        <v>0</v>
      </c>
      <c r="T1771">
        <v>0</v>
      </c>
      <c r="U1771">
        <v>0</v>
      </c>
      <c r="V1771">
        <v>0</v>
      </c>
      <c r="W1771">
        <v>0</v>
      </c>
      <c r="X1771">
        <v>0</v>
      </c>
      <c r="Y1771">
        <v>0</v>
      </c>
      <c r="Z1771">
        <v>0</v>
      </c>
      <c r="AA1771">
        <v>0</v>
      </c>
      <c r="AB1771">
        <v>0</v>
      </c>
      <c r="AC1771">
        <v>0</v>
      </c>
      <c r="AD1771">
        <v>0</v>
      </c>
      <c r="AE1771">
        <v>0</v>
      </c>
      <c r="AF1771">
        <v>0</v>
      </c>
      <c r="AG1771">
        <v>0</v>
      </c>
      <c r="AH1771">
        <v>0</v>
      </c>
      <c r="AI1771">
        <v>0</v>
      </c>
      <c r="AJ1771">
        <v>0</v>
      </c>
      <c r="AK1771">
        <v>0</v>
      </c>
      <c r="AL1771">
        <v>0</v>
      </c>
      <c r="AM1771">
        <v>6.71</v>
      </c>
      <c r="AN1771">
        <v>0</v>
      </c>
      <c r="AO1771">
        <v>0</v>
      </c>
      <c r="AP1771">
        <v>0</v>
      </c>
      <c r="AQ1771">
        <v>0</v>
      </c>
      <c r="AR1771">
        <v>0</v>
      </c>
      <c r="AS1771">
        <v>0</v>
      </c>
      <c r="AT1771">
        <v>0</v>
      </c>
      <c r="AU1771">
        <v>0</v>
      </c>
      <c r="AV1771">
        <v>0</v>
      </c>
      <c r="AW1771">
        <v>0</v>
      </c>
      <c r="AX1771">
        <v>0</v>
      </c>
      <c r="AY1771">
        <v>0</v>
      </c>
      <c r="AZ1771">
        <v>0</v>
      </c>
      <c r="BA1771">
        <v>0</v>
      </c>
      <c r="BB1771">
        <v>0</v>
      </c>
      <c r="BC1771">
        <v>0</v>
      </c>
      <c r="BD1771">
        <v>0</v>
      </c>
      <c r="BE1771">
        <v>0</v>
      </c>
      <c r="BF1771">
        <v>0</v>
      </c>
      <c r="BG1771">
        <v>0</v>
      </c>
      <c r="BH1771">
        <v>1</v>
      </c>
      <c r="BI1771">
        <v>1</v>
      </c>
      <c r="BJ1771">
        <v>0.2</v>
      </c>
      <c r="BK1771">
        <v>1</v>
      </c>
      <c r="BL1771" s="4">
        <v>39.42</v>
      </c>
      <c r="BM1771" s="4">
        <v>5.91</v>
      </c>
      <c r="BN1771" s="4">
        <v>45.33</v>
      </c>
      <c r="BO1771" s="4">
        <v>45.33</v>
      </c>
      <c r="BQ1771" t="s">
        <v>93</v>
      </c>
      <c r="BR1771" t="s">
        <v>84</v>
      </c>
      <c r="BS1771" s="3">
        <v>43818</v>
      </c>
      <c r="BT1771" s="5">
        <v>0.43402777777777773</v>
      </c>
      <c r="BU1771" t="s">
        <v>1039</v>
      </c>
      <c r="BV1771" t="s">
        <v>86</v>
      </c>
      <c r="BY1771">
        <v>1200</v>
      </c>
      <c r="CA1771" t="s">
        <v>588</v>
      </c>
      <c r="CC1771" t="s">
        <v>76</v>
      </c>
      <c r="CD1771">
        <v>1625</v>
      </c>
      <c r="CE1771" t="s">
        <v>88</v>
      </c>
      <c r="CF1771" s="3">
        <v>43819</v>
      </c>
      <c r="CI1771">
        <v>1</v>
      </c>
      <c r="CJ1771">
        <v>1</v>
      </c>
      <c r="CK1771">
        <v>22</v>
      </c>
      <c r="CL1771" t="s">
        <v>89</v>
      </c>
    </row>
    <row r="1772" spans="1:90">
      <c r="A1772" t="s">
        <v>72</v>
      </c>
      <c r="B1772" t="s">
        <v>73</v>
      </c>
      <c r="C1772" t="s">
        <v>74</v>
      </c>
      <c r="E1772" t="str">
        <f>"FES1162728655"</f>
        <v>FES1162728655</v>
      </c>
      <c r="F1772" s="3">
        <v>43817</v>
      </c>
      <c r="G1772">
        <v>202006</v>
      </c>
      <c r="H1772" t="s">
        <v>75</v>
      </c>
      <c r="I1772" t="s">
        <v>76</v>
      </c>
      <c r="J1772" t="s">
        <v>77</v>
      </c>
      <c r="K1772" t="s">
        <v>78</v>
      </c>
      <c r="L1772" t="s">
        <v>79</v>
      </c>
      <c r="M1772" t="s">
        <v>80</v>
      </c>
      <c r="N1772" t="s">
        <v>129</v>
      </c>
      <c r="O1772" t="s">
        <v>82</v>
      </c>
      <c r="P1772" t="str">
        <f>"2170721865                    "</f>
        <v xml:space="preserve">2170721865                    </v>
      </c>
      <c r="Q1772">
        <v>0</v>
      </c>
      <c r="R1772">
        <v>0</v>
      </c>
      <c r="S1772">
        <v>0</v>
      </c>
      <c r="T1772">
        <v>0</v>
      </c>
      <c r="U1772">
        <v>0</v>
      </c>
      <c r="V1772">
        <v>0</v>
      </c>
      <c r="W1772">
        <v>0</v>
      </c>
      <c r="X1772">
        <v>0</v>
      </c>
      <c r="Y1772">
        <v>0</v>
      </c>
      <c r="Z1772">
        <v>0</v>
      </c>
      <c r="AA1772">
        <v>0</v>
      </c>
      <c r="AB1772">
        <v>0</v>
      </c>
      <c r="AC1772">
        <v>0</v>
      </c>
      <c r="AD1772">
        <v>0</v>
      </c>
      <c r="AE1772">
        <v>0</v>
      </c>
      <c r="AF1772">
        <v>0</v>
      </c>
      <c r="AG1772">
        <v>0</v>
      </c>
      <c r="AH1772">
        <v>0</v>
      </c>
      <c r="AI1772">
        <v>0</v>
      </c>
      <c r="AJ1772">
        <v>0</v>
      </c>
      <c r="AK1772">
        <v>0</v>
      </c>
      <c r="AL1772">
        <v>0</v>
      </c>
      <c r="AM1772">
        <v>25.74</v>
      </c>
      <c r="AN1772">
        <v>0</v>
      </c>
      <c r="AO1772">
        <v>0</v>
      </c>
      <c r="AP1772">
        <v>0</v>
      </c>
      <c r="AQ1772">
        <v>0</v>
      </c>
      <c r="AR1772">
        <v>0</v>
      </c>
      <c r="AS1772">
        <v>0</v>
      </c>
      <c r="AT1772">
        <v>0</v>
      </c>
      <c r="AU1772">
        <v>0</v>
      </c>
      <c r="AV1772">
        <v>0</v>
      </c>
      <c r="AW1772">
        <v>0</v>
      </c>
      <c r="AX1772">
        <v>0</v>
      </c>
      <c r="AY1772">
        <v>0</v>
      </c>
      <c r="AZ1772">
        <v>0</v>
      </c>
      <c r="BA1772">
        <v>0</v>
      </c>
      <c r="BB1772">
        <v>0</v>
      </c>
      <c r="BC1772">
        <v>0</v>
      </c>
      <c r="BD1772">
        <v>0</v>
      </c>
      <c r="BE1772">
        <v>0</v>
      </c>
      <c r="BF1772">
        <v>0</v>
      </c>
      <c r="BG1772">
        <v>0</v>
      </c>
      <c r="BH1772">
        <v>1</v>
      </c>
      <c r="BI1772">
        <v>5.7</v>
      </c>
      <c r="BJ1772">
        <v>3</v>
      </c>
      <c r="BK1772">
        <v>6</v>
      </c>
      <c r="BL1772" s="4">
        <v>151.29</v>
      </c>
      <c r="BM1772" s="4">
        <v>22.69</v>
      </c>
      <c r="BN1772" s="4">
        <v>173.98</v>
      </c>
      <c r="BO1772" s="4">
        <v>173.98</v>
      </c>
      <c r="BQ1772" t="s">
        <v>147</v>
      </c>
      <c r="BR1772" t="s">
        <v>84</v>
      </c>
      <c r="BS1772" s="3">
        <v>43818</v>
      </c>
      <c r="BT1772" s="5">
        <v>0.38680555555555557</v>
      </c>
      <c r="BU1772" t="s">
        <v>130</v>
      </c>
      <c r="BV1772" t="s">
        <v>86</v>
      </c>
      <c r="BY1772">
        <v>15194.53</v>
      </c>
      <c r="CA1772" t="s">
        <v>131</v>
      </c>
      <c r="CC1772" t="s">
        <v>80</v>
      </c>
      <c r="CD1772">
        <v>6001</v>
      </c>
      <c r="CE1772" t="s">
        <v>96</v>
      </c>
      <c r="CF1772" s="3">
        <v>43819</v>
      </c>
      <c r="CI1772">
        <v>1</v>
      </c>
      <c r="CJ1772">
        <v>1</v>
      </c>
      <c r="CK1772">
        <v>21</v>
      </c>
      <c r="CL1772" t="s">
        <v>89</v>
      </c>
    </row>
    <row r="1773" spans="1:90">
      <c r="A1773" t="s">
        <v>72</v>
      </c>
      <c r="B1773" t="s">
        <v>73</v>
      </c>
      <c r="C1773" t="s">
        <v>74</v>
      </c>
      <c r="E1773" t="str">
        <f>"FES1162728692"</f>
        <v>FES1162728692</v>
      </c>
      <c r="F1773" s="3">
        <v>43817</v>
      </c>
      <c r="G1773">
        <v>202006</v>
      </c>
      <c r="H1773" t="s">
        <v>75</v>
      </c>
      <c r="I1773" t="s">
        <v>76</v>
      </c>
      <c r="J1773" t="s">
        <v>77</v>
      </c>
      <c r="K1773" t="s">
        <v>78</v>
      </c>
      <c r="L1773" t="s">
        <v>79</v>
      </c>
      <c r="M1773" t="s">
        <v>80</v>
      </c>
      <c r="N1773" t="s">
        <v>129</v>
      </c>
      <c r="O1773" t="s">
        <v>82</v>
      </c>
      <c r="P1773" t="str">
        <f>"2170721891                    "</f>
        <v xml:space="preserve">2170721891                    </v>
      </c>
      <c r="Q1773">
        <v>0</v>
      </c>
      <c r="R1773">
        <v>0</v>
      </c>
      <c r="S1773">
        <v>0</v>
      </c>
      <c r="T1773">
        <v>0</v>
      </c>
      <c r="U1773">
        <v>0</v>
      </c>
      <c r="V1773">
        <v>0</v>
      </c>
      <c r="W1773">
        <v>0</v>
      </c>
      <c r="X1773">
        <v>0</v>
      </c>
      <c r="Y1773">
        <v>0</v>
      </c>
      <c r="Z1773">
        <v>0</v>
      </c>
      <c r="AA1773">
        <v>0</v>
      </c>
      <c r="AB1773">
        <v>0</v>
      </c>
      <c r="AC1773">
        <v>0</v>
      </c>
      <c r="AD1773">
        <v>0</v>
      </c>
      <c r="AE1773">
        <v>0</v>
      </c>
      <c r="AF1773">
        <v>0</v>
      </c>
      <c r="AG1773">
        <v>0</v>
      </c>
      <c r="AH1773">
        <v>0</v>
      </c>
      <c r="AI1773">
        <v>0</v>
      </c>
      <c r="AJ1773">
        <v>0</v>
      </c>
      <c r="AK1773">
        <v>0</v>
      </c>
      <c r="AL1773">
        <v>0</v>
      </c>
      <c r="AM1773">
        <v>34.31</v>
      </c>
      <c r="AN1773">
        <v>0</v>
      </c>
      <c r="AO1773">
        <v>0</v>
      </c>
      <c r="AP1773">
        <v>0</v>
      </c>
      <c r="AQ1773">
        <v>0</v>
      </c>
      <c r="AR1773">
        <v>0</v>
      </c>
      <c r="AS1773">
        <v>0</v>
      </c>
      <c r="AT1773">
        <v>0</v>
      </c>
      <c r="AU1773">
        <v>0</v>
      </c>
      <c r="AV1773">
        <v>0</v>
      </c>
      <c r="AW1773">
        <v>0</v>
      </c>
      <c r="AX1773">
        <v>0</v>
      </c>
      <c r="AY1773">
        <v>0</v>
      </c>
      <c r="AZ1773">
        <v>0</v>
      </c>
      <c r="BA1773">
        <v>0</v>
      </c>
      <c r="BB1773">
        <v>0</v>
      </c>
      <c r="BC1773">
        <v>0</v>
      </c>
      <c r="BD1773">
        <v>0</v>
      </c>
      <c r="BE1773">
        <v>0</v>
      </c>
      <c r="BF1773">
        <v>0</v>
      </c>
      <c r="BG1773">
        <v>0</v>
      </c>
      <c r="BH1773">
        <v>1</v>
      </c>
      <c r="BI1773">
        <v>7.8</v>
      </c>
      <c r="BJ1773">
        <v>1.9</v>
      </c>
      <c r="BK1773">
        <v>8</v>
      </c>
      <c r="BL1773" s="4">
        <v>201.7</v>
      </c>
      <c r="BM1773" s="4">
        <v>30.26</v>
      </c>
      <c r="BN1773" s="4">
        <v>231.96</v>
      </c>
      <c r="BO1773" s="4">
        <v>231.96</v>
      </c>
      <c r="BQ1773" t="s">
        <v>147</v>
      </c>
      <c r="BR1773" t="s">
        <v>84</v>
      </c>
      <c r="BS1773" s="3">
        <v>43818</v>
      </c>
      <c r="BT1773" s="5">
        <v>0.38680555555555557</v>
      </c>
      <c r="BU1773" t="s">
        <v>2154</v>
      </c>
      <c r="BV1773" t="s">
        <v>86</v>
      </c>
      <c r="BY1773">
        <v>9363.6</v>
      </c>
      <c r="CA1773" t="s">
        <v>131</v>
      </c>
      <c r="CC1773" t="s">
        <v>80</v>
      </c>
      <c r="CD1773">
        <v>6001</v>
      </c>
      <c r="CE1773" t="s">
        <v>96</v>
      </c>
      <c r="CF1773" s="3">
        <v>43819</v>
      </c>
      <c r="CI1773">
        <v>1</v>
      </c>
      <c r="CJ1773">
        <v>1</v>
      </c>
      <c r="CK1773">
        <v>21</v>
      </c>
      <c r="CL1773" t="s">
        <v>89</v>
      </c>
    </row>
    <row r="1774" spans="1:90">
      <c r="A1774" t="s">
        <v>72</v>
      </c>
      <c r="B1774" t="s">
        <v>73</v>
      </c>
      <c r="C1774" t="s">
        <v>74</v>
      </c>
      <c r="E1774" t="str">
        <f>"FES1162728563"</f>
        <v>FES1162728563</v>
      </c>
      <c r="F1774" s="3">
        <v>43817</v>
      </c>
      <c r="G1774">
        <v>202006</v>
      </c>
      <c r="H1774" t="s">
        <v>75</v>
      </c>
      <c r="I1774" t="s">
        <v>76</v>
      </c>
      <c r="J1774" t="s">
        <v>77</v>
      </c>
      <c r="K1774" t="s">
        <v>78</v>
      </c>
      <c r="L1774" t="s">
        <v>79</v>
      </c>
      <c r="M1774" t="s">
        <v>80</v>
      </c>
      <c r="N1774" t="s">
        <v>183</v>
      </c>
      <c r="O1774" t="s">
        <v>82</v>
      </c>
      <c r="P1774" t="str">
        <f>"2170719044                    "</f>
        <v xml:space="preserve">2170719044                    </v>
      </c>
      <c r="Q1774">
        <v>0</v>
      </c>
      <c r="R1774">
        <v>0</v>
      </c>
      <c r="S1774">
        <v>0</v>
      </c>
      <c r="T1774">
        <v>0</v>
      </c>
      <c r="U1774">
        <v>0</v>
      </c>
      <c r="V1774">
        <v>0</v>
      </c>
      <c r="W1774">
        <v>0</v>
      </c>
      <c r="X1774">
        <v>0</v>
      </c>
      <c r="Y1774">
        <v>0</v>
      </c>
      <c r="Z1774">
        <v>0</v>
      </c>
      <c r="AA1774">
        <v>0</v>
      </c>
      <c r="AB1774">
        <v>0</v>
      </c>
      <c r="AC1774">
        <v>0</v>
      </c>
      <c r="AD1774">
        <v>0</v>
      </c>
      <c r="AE1774">
        <v>0</v>
      </c>
      <c r="AF1774">
        <v>0</v>
      </c>
      <c r="AG1774">
        <v>0</v>
      </c>
      <c r="AH1774">
        <v>0</v>
      </c>
      <c r="AI1774">
        <v>0</v>
      </c>
      <c r="AJ1774">
        <v>0</v>
      </c>
      <c r="AK1774">
        <v>0</v>
      </c>
      <c r="AL1774">
        <v>0</v>
      </c>
      <c r="AM1774">
        <v>17.16</v>
      </c>
      <c r="AN1774">
        <v>0</v>
      </c>
      <c r="AO1774">
        <v>0</v>
      </c>
      <c r="AP1774">
        <v>0</v>
      </c>
      <c r="AQ1774">
        <v>0</v>
      </c>
      <c r="AR1774">
        <v>0</v>
      </c>
      <c r="AS1774">
        <v>0</v>
      </c>
      <c r="AT1774">
        <v>0</v>
      </c>
      <c r="AU1774">
        <v>0</v>
      </c>
      <c r="AV1774">
        <v>0</v>
      </c>
      <c r="AW1774">
        <v>0</v>
      </c>
      <c r="AX1774">
        <v>0</v>
      </c>
      <c r="AY1774">
        <v>0</v>
      </c>
      <c r="AZ1774">
        <v>0</v>
      </c>
      <c r="BA1774">
        <v>0</v>
      </c>
      <c r="BB1774">
        <v>0</v>
      </c>
      <c r="BC1774">
        <v>0</v>
      </c>
      <c r="BD1774">
        <v>0</v>
      </c>
      <c r="BE1774">
        <v>0</v>
      </c>
      <c r="BF1774">
        <v>0</v>
      </c>
      <c r="BG1774">
        <v>0</v>
      </c>
      <c r="BH1774">
        <v>1</v>
      </c>
      <c r="BI1774">
        <v>3.6</v>
      </c>
      <c r="BJ1774">
        <v>1.6</v>
      </c>
      <c r="BK1774">
        <v>4</v>
      </c>
      <c r="BL1774" s="4">
        <v>100.87</v>
      </c>
      <c r="BM1774" s="4">
        <v>15.13</v>
      </c>
      <c r="BN1774" s="4">
        <v>116</v>
      </c>
      <c r="BO1774" s="4">
        <v>116</v>
      </c>
      <c r="BQ1774" t="s">
        <v>147</v>
      </c>
      <c r="BR1774" t="s">
        <v>84</v>
      </c>
      <c r="BS1774" s="3">
        <v>43818</v>
      </c>
      <c r="BT1774" s="5">
        <v>0.38194444444444442</v>
      </c>
      <c r="BU1774" t="s">
        <v>2155</v>
      </c>
      <c r="BV1774" t="s">
        <v>86</v>
      </c>
      <c r="BY1774">
        <v>7899.1</v>
      </c>
      <c r="CA1774" t="s">
        <v>185</v>
      </c>
      <c r="CC1774" t="s">
        <v>80</v>
      </c>
      <c r="CD1774">
        <v>6001</v>
      </c>
      <c r="CE1774" t="s">
        <v>96</v>
      </c>
      <c r="CF1774" s="3">
        <v>43819</v>
      </c>
      <c r="CI1774">
        <v>1</v>
      </c>
      <c r="CJ1774">
        <v>1</v>
      </c>
      <c r="CK1774">
        <v>21</v>
      </c>
      <c r="CL1774" t="s">
        <v>89</v>
      </c>
    </row>
    <row r="1775" spans="1:90">
      <c r="A1775" t="s">
        <v>72</v>
      </c>
      <c r="B1775" t="s">
        <v>73</v>
      </c>
      <c r="C1775" t="s">
        <v>74</v>
      </c>
      <c r="E1775" t="str">
        <f>"FES1162728526"</f>
        <v>FES1162728526</v>
      </c>
      <c r="F1775" s="3">
        <v>43817</v>
      </c>
      <c r="G1775">
        <v>202006</v>
      </c>
      <c r="H1775" t="s">
        <v>75</v>
      </c>
      <c r="I1775" t="s">
        <v>76</v>
      </c>
      <c r="J1775" t="s">
        <v>77</v>
      </c>
      <c r="K1775" t="s">
        <v>78</v>
      </c>
      <c r="L1775" t="s">
        <v>213</v>
      </c>
      <c r="M1775" t="s">
        <v>214</v>
      </c>
      <c r="N1775" t="s">
        <v>2156</v>
      </c>
      <c r="O1775" t="s">
        <v>82</v>
      </c>
      <c r="P1775" t="str">
        <f>"2170718573                    "</f>
        <v xml:space="preserve">2170718573                    </v>
      </c>
      <c r="Q1775">
        <v>0</v>
      </c>
      <c r="R1775">
        <v>0</v>
      </c>
      <c r="S1775">
        <v>0</v>
      </c>
      <c r="T1775">
        <v>0</v>
      </c>
      <c r="U1775">
        <v>0</v>
      </c>
      <c r="V1775">
        <v>0</v>
      </c>
      <c r="W1775">
        <v>0</v>
      </c>
      <c r="X1775">
        <v>0</v>
      </c>
      <c r="Y1775">
        <v>0</v>
      </c>
      <c r="Z1775">
        <v>0</v>
      </c>
      <c r="AA1775">
        <v>0</v>
      </c>
      <c r="AB1775">
        <v>0</v>
      </c>
      <c r="AC1775">
        <v>0</v>
      </c>
      <c r="AD1775">
        <v>0</v>
      </c>
      <c r="AE1775">
        <v>0</v>
      </c>
      <c r="AF1775">
        <v>0</v>
      </c>
      <c r="AG1775">
        <v>0</v>
      </c>
      <c r="AH1775">
        <v>0</v>
      </c>
      <c r="AI1775">
        <v>0</v>
      </c>
      <c r="AJ1775">
        <v>0</v>
      </c>
      <c r="AK1775">
        <v>0</v>
      </c>
      <c r="AL1775">
        <v>0</v>
      </c>
      <c r="AM1775">
        <v>8.58</v>
      </c>
      <c r="AN1775">
        <v>0</v>
      </c>
      <c r="AO1775">
        <v>0</v>
      </c>
      <c r="AP1775">
        <v>0</v>
      </c>
      <c r="AQ1775">
        <v>0</v>
      </c>
      <c r="AR1775">
        <v>0</v>
      </c>
      <c r="AS1775">
        <v>0</v>
      </c>
      <c r="AT1775">
        <v>0</v>
      </c>
      <c r="AU1775">
        <v>0</v>
      </c>
      <c r="AV1775">
        <v>0</v>
      </c>
      <c r="AW1775">
        <v>0</v>
      </c>
      <c r="AX1775">
        <v>0</v>
      </c>
      <c r="AY1775">
        <v>0</v>
      </c>
      <c r="AZ1775">
        <v>0</v>
      </c>
      <c r="BA1775">
        <v>0</v>
      </c>
      <c r="BB1775">
        <v>0</v>
      </c>
      <c r="BC1775">
        <v>0</v>
      </c>
      <c r="BD1775">
        <v>0</v>
      </c>
      <c r="BE1775">
        <v>0</v>
      </c>
      <c r="BF1775">
        <v>0</v>
      </c>
      <c r="BG1775">
        <v>0</v>
      </c>
      <c r="BH1775">
        <v>1</v>
      </c>
      <c r="BI1775">
        <v>1.9</v>
      </c>
      <c r="BJ1775">
        <v>1.6</v>
      </c>
      <c r="BK1775">
        <v>2</v>
      </c>
      <c r="BL1775" s="4">
        <v>50.45</v>
      </c>
      <c r="BM1775" s="4">
        <v>7.57</v>
      </c>
      <c r="BN1775" s="4">
        <v>58.02</v>
      </c>
      <c r="BO1775" s="4">
        <v>58.02</v>
      </c>
      <c r="BQ1775" t="s">
        <v>93</v>
      </c>
      <c r="BR1775" t="s">
        <v>84</v>
      </c>
      <c r="BS1775" s="3">
        <v>43836</v>
      </c>
      <c r="BT1775" s="5">
        <v>0.35347222222222219</v>
      </c>
      <c r="BU1775" t="s">
        <v>2157</v>
      </c>
      <c r="BV1775" t="s">
        <v>89</v>
      </c>
      <c r="BW1775" t="s">
        <v>1335</v>
      </c>
      <c r="BX1775" t="s">
        <v>619</v>
      </c>
      <c r="BY1775">
        <v>7964.63</v>
      </c>
      <c r="CA1775" t="s">
        <v>302</v>
      </c>
      <c r="CC1775" t="s">
        <v>214</v>
      </c>
      <c r="CD1775">
        <v>6229</v>
      </c>
      <c r="CE1775" t="s">
        <v>96</v>
      </c>
      <c r="CI1775">
        <v>1</v>
      </c>
      <c r="CJ1775">
        <v>13</v>
      </c>
      <c r="CK1775">
        <v>21</v>
      </c>
      <c r="CL1775" t="s">
        <v>89</v>
      </c>
    </row>
    <row r="1776" spans="1:90">
      <c r="A1776" t="s">
        <v>72</v>
      </c>
      <c r="B1776" t="s">
        <v>73</v>
      </c>
      <c r="C1776" t="s">
        <v>74</v>
      </c>
      <c r="E1776" t="str">
        <f>"FES1162728733"</f>
        <v>FES1162728733</v>
      </c>
      <c r="F1776" s="3">
        <v>43817</v>
      </c>
      <c r="G1776">
        <v>202006</v>
      </c>
      <c r="H1776" t="s">
        <v>75</v>
      </c>
      <c r="I1776" t="s">
        <v>76</v>
      </c>
      <c r="J1776" t="s">
        <v>77</v>
      </c>
      <c r="K1776" t="s">
        <v>78</v>
      </c>
      <c r="L1776" t="s">
        <v>79</v>
      </c>
      <c r="M1776" t="s">
        <v>80</v>
      </c>
      <c r="N1776" t="s">
        <v>1101</v>
      </c>
      <c r="O1776" t="s">
        <v>82</v>
      </c>
      <c r="P1776" t="str">
        <f>"2170721459                    "</f>
        <v xml:space="preserve">2170721459                    </v>
      </c>
      <c r="Q1776">
        <v>0</v>
      </c>
      <c r="R1776">
        <v>0</v>
      </c>
      <c r="S1776">
        <v>0</v>
      </c>
      <c r="T1776">
        <v>0</v>
      </c>
      <c r="U1776">
        <v>0</v>
      </c>
      <c r="V1776">
        <v>0</v>
      </c>
      <c r="W1776">
        <v>0</v>
      </c>
      <c r="X1776">
        <v>0</v>
      </c>
      <c r="Y1776">
        <v>0</v>
      </c>
      <c r="Z1776">
        <v>0</v>
      </c>
      <c r="AA1776">
        <v>0</v>
      </c>
      <c r="AB1776">
        <v>0</v>
      </c>
      <c r="AC1776">
        <v>0</v>
      </c>
      <c r="AD1776">
        <v>0</v>
      </c>
      <c r="AE1776">
        <v>0</v>
      </c>
      <c r="AF1776">
        <v>0</v>
      </c>
      <c r="AG1776">
        <v>0</v>
      </c>
      <c r="AH1776">
        <v>0</v>
      </c>
      <c r="AI1776">
        <v>0</v>
      </c>
      <c r="AJ1776">
        <v>0</v>
      </c>
      <c r="AK1776">
        <v>0</v>
      </c>
      <c r="AL1776">
        <v>0</v>
      </c>
      <c r="AM1776">
        <v>8.58</v>
      </c>
      <c r="AN1776">
        <v>0</v>
      </c>
      <c r="AO1776">
        <v>0</v>
      </c>
      <c r="AP1776">
        <v>0</v>
      </c>
      <c r="AQ1776">
        <v>0</v>
      </c>
      <c r="AR1776">
        <v>0</v>
      </c>
      <c r="AS1776">
        <v>0</v>
      </c>
      <c r="AT1776">
        <v>0</v>
      </c>
      <c r="AU1776">
        <v>0</v>
      </c>
      <c r="AV1776">
        <v>0</v>
      </c>
      <c r="AW1776">
        <v>0</v>
      </c>
      <c r="AX1776">
        <v>0</v>
      </c>
      <c r="AY1776">
        <v>0</v>
      </c>
      <c r="AZ1776">
        <v>0</v>
      </c>
      <c r="BA1776">
        <v>0</v>
      </c>
      <c r="BB1776">
        <v>0</v>
      </c>
      <c r="BC1776">
        <v>0</v>
      </c>
      <c r="BD1776">
        <v>0</v>
      </c>
      <c r="BE1776">
        <v>0</v>
      </c>
      <c r="BF1776">
        <v>0</v>
      </c>
      <c r="BG1776">
        <v>0</v>
      </c>
      <c r="BH1776">
        <v>1</v>
      </c>
      <c r="BI1776">
        <v>1.3</v>
      </c>
      <c r="BJ1776">
        <v>1.9</v>
      </c>
      <c r="BK1776">
        <v>2</v>
      </c>
      <c r="BL1776" s="4">
        <v>50.45</v>
      </c>
      <c r="BM1776" s="4">
        <v>7.57</v>
      </c>
      <c r="BN1776" s="4">
        <v>58.02</v>
      </c>
      <c r="BO1776" s="4">
        <v>58.02</v>
      </c>
      <c r="BQ1776" t="s">
        <v>147</v>
      </c>
      <c r="BR1776" t="s">
        <v>84</v>
      </c>
      <c r="BS1776" s="3">
        <v>43818</v>
      </c>
      <c r="BT1776" s="5">
        <v>0.39930555555555558</v>
      </c>
      <c r="BU1776" t="s">
        <v>2158</v>
      </c>
      <c r="BV1776" t="s">
        <v>86</v>
      </c>
      <c r="BY1776">
        <v>9392.2099999999991</v>
      </c>
      <c r="CA1776" t="s">
        <v>419</v>
      </c>
      <c r="CC1776" t="s">
        <v>80</v>
      </c>
      <c r="CD1776">
        <v>6001</v>
      </c>
      <c r="CE1776" t="s">
        <v>96</v>
      </c>
      <c r="CF1776" s="3">
        <v>43819</v>
      </c>
      <c r="CI1776">
        <v>1</v>
      </c>
      <c r="CJ1776">
        <v>1</v>
      </c>
      <c r="CK1776">
        <v>21</v>
      </c>
      <c r="CL1776" t="s">
        <v>89</v>
      </c>
    </row>
    <row r="1777" spans="1:90">
      <c r="A1777" t="s">
        <v>72</v>
      </c>
      <c r="B1777" t="s">
        <v>73</v>
      </c>
      <c r="C1777" t="s">
        <v>74</v>
      </c>
      <c r="E1777" t="str">
        <f>"FES1162728826"</f>
        <v>FES1162728826</v>
      </c>
      <c r="F1777" s="3">
        <v>43817</v>
      </c>
      <c r="G1777">
        <v>202006</v>
      </c>
      <c r="H1777" t="s">
        <v>75</v>
      </c>
      <c r="I1777" t="s">
        <v>76</v>
      </c>
      <c r="J1777" t="s">
        <v>77</v>
      </c>
      <c r="K1777" t="s">
        <v>78</v>
      </c>
      <c r="L1777" t="s">
        <v>75</v>
      </c>
      <c r="M1777" t="s">
        <v>76</v>
      </c>
      <c r="N1777" t="s">
        <v>411</v>
      </c>
      <c r="O1777" t="s">
        <v>82</v>
      </c>
      <c r="P1777" t="str">
        <f>"2170720008                    "</f>
        <v xml:space="preserve">2170720008                    </v>
      </c>
      <c r="Q1777">
        <v>0</v>
      </c>
      <c r="R1777">
        <v>0</v>
      </c>
      <c r="S1777">
        <v>0</v>
      </c>
      <c r="T1777">
        <v>0</v>
      </c>
      <c r="U1777">
        <v>0</v>
      </c>
      <c r="V1777">
        <v>0</v>
      </c>
      <c r="W1777">
        <v>0</v>
      </c>
      <c r="X1777">
        <v>0</v>
      </c>
      <c r="Y1777">
        <v>0</v>
      </c>
      <c r="Z1777">
        <v>0</v>
      </c>
      <c r="AA1777">
        <v>0</v>
      </c>
      <c r="AB1777">
        <v>0</v>
      </c>
      <c r="AC1777">
        <v>0</v>
      </c>
      <c r="AD1777">
        <v>0</v>
      </c>
      <c r="AE1777">
        <v>0</v>
      </c>
      <c r="AF1777">
        <v>0</v>
      </c>
      <c r="AG1777">
        <v>0</v>
      </c>
      <c r="AH1777">
        <v>0</v>
      </c>
      <c r="AI1777">
        <v>0</v>
      </c>
      <c r="AJ1777">
        <v>0</v>
      </c>
      <c r="AK1777">
        <v>0</v>
      </c>
      <c r="AL1777">
        <v>0</v>
      </c>
      <c r="AM1777">
        <v>6.71</v>
      </c>
      <c r="AN1777">
        <v>0</v>
      </c>
      <c r="AO1777">
        <v>0</v>
      </c>
      <c r="AP1777">
        <v>0</v>
      </c>
      <c r="AQ1777">
        <v>0</v>
      </c>
      <c r="AR1777">
        <v>0</v>
      </c>
      <c r="AS1777">
        <v>0</v>
      </c>
      <c r="AT1777">
        <v>0</v>
      </c>
      <c r="AU1777">
        <v>0</v>
      </c>
      <c r="AV1777">
        <v>0</v>
      </c>
      <c r="AW1777">
        <v>0</v>
      </c>
      <c r="AX1777">
        <v>0</v>
      </c>
      <c r="AY1777">
        <v>0</v>
      </c>
      <c r="AZ1777">
        <v>0</v>
      </c>
      <c r="BA1777">
        <v>0</v>
      </c>
      <c r="BB1777">
        <v>0</v>
      </c>
      <c r="BC1777">
        <v>0</v>
      </c>
      <c r="BD1777">
        <v>0</v>
      </c>
      <c r="BE1777">
        <v>0</v>
      </c>
      <c r="BF1777">
        <v>0</v>
      </c>
      <c r="BG1777">
        <v>0</v>
      </c>
      <c r="BH1777">
        <v>1</v>
      </c>
      <c r="BI1777">
        <v>1</v>
      </c>
      <c r="BJ1777">
        <v>0.2</v>
      </c>
      <c r="BK1777">
        <v>1</v>
      </c>
      <c r="BL1777" s="4">
        <v>39.42</v>
      </c>
      <c r="BM1777" s="4">
        <v>5.91</v>
      </c>
      <c r="BN1777" s="4">
        <v>45.33</v>
      </c>
      <c r="BO1777" s="4">
        <v>45.33</v>
      </c>
      <c r="BQ1777" t="s">
        <v>147</v>
      </c>
      <c r="BR1777" t="s">
        <v>84</v>
      </c>
      <c r="BS1777" s="3">
        <v>43818</v>
      </c>
      <c r="BT1777" s="5">
        <v>0.29166666666666669</v>
      </c>
      <c r="BU1777" t="s">
        <v>2139</v>
      </c>
      <c r="BV1777" t="s">
        <v>86</v>
      </c>
      <c r="BY1777">
        <v>1200</v>
      </c>
      <c r="CA1777" t="s">
        <v>320</v>
      </c>
      <c r="CC1777" t="s">
        <v>76</v>
      </c>
      <c r="CD1777">
        <v>1665</v>
      </c>
      <c r="CE1777" t="s">
        <v>88</v>
      </c>
      <c r="CF1777" s="3">
        <v>43819</v>
      </c>
      <c r="CI1777">
        <v>1</v>
      </c>
      <c r="CJ1777">
        <v>1</v>
      </c>
      <c r="CK1777">
        <v>22</v>
      </c>
      <c r="CL1777" t="s">
        <v>89</v>
      </c>
    </row>
    <row r="1778" spans="1:90">
      <c r="A1778" t="s">
        <v>72</v>
      </c>
      <c r="B1778" t="s">
        <v>73</v>
      </c>
      <c r="C1778" t="s">
        <v>74</v>
      </c>
      <c r="E1778" t="str">
        <f>"FES1162728866"</f>
        <v>FES1162728866</v>
      </c>
      <c r="F1778" s="3">
        <v>43817</v>
      </c>
      <c r="G1778">
        <v>202006</v>
      </c>
      <c r="H1778" t="s">
        <v>75</v>
      </c>
      <c r="I1778" t="s">
        <v>76</v>
      </c>
      <c r="J1778" t="s">
        <v>77</v>
      </c>
      <c r="K1778" t="s">
        <v>78</v>
      </c>
      <c r="L1778" t="s">
        <v>2159</v>
      </c>
      <c r="M1778" t="s">
        <v>2159</v>
      </c>
      <c r="N1778" t="s">
        <v>2160</v>
      </c>
      <c r="O1778" t="s">
        <v>82</v>
      </c>
      <c r="P1778" t="str">
        <f>"2170722007                    "</f>
        <v xml:space="preserve">2170722007                    </v>
      </c>
      <c r="Q1778">
        <v>0</v>
      </c>
      <c r="R1778">
        <v>0</v>
      </c>
      <c r="S1778">
        <v>0</v>
      </c>
      <c r="T1778">
        <v>0</v>
      </c>
      <c r="U1778">
        <v>0</v>
      </c>
      <c r="V1778">
        <v>0</v>
      </c>
      <c r="W1778">
        <v>0</v>
      </c>
      <c r="X1778">
        <v>0</v>
      </c>
      <c r="Y1778">
        <v>0</v>
      </c>
      <c r="Z1778">
        <v>0</v>
      </c>
      <c r="AA1778">
        <v>0</v>
      </c>
      <c r="AB1778">
        <v>0</v>
      </c>
      <c r="AC1778">
        <v>0</v>
      </c>
      <c r="AD1778">
        <v>0</v>
      </c>
      <c r="AE1778">
        <v>0</v>
      </c>
      <c r="AF1778">
        <v>0</v>
      </c>
      <c r="AG1778">
        <v>0</v>
      </c>
      <c r="AH1778">
        <v>0</v>
      </c>
      <c r="AI1778">
        <v>0</v>
      </c>
      <c r="AJ1778">
        <v>0</v>
      </c>
      <c r="AK1778">
        <v>0</v>
      </c>
      <c r="AL1778">
        <v>0</v>
      </c>
      <c r="AM1778">
        <v>16.63</v>
      </c>
      <c r="AN1778">
        <v>0</v>
      </c>
      <c r="AO1778">
        <v>0</v>
      </c>
      <c r="AP1778">
        <v>0</v>
      </c>
      <c r="AQ1778">
        <v>0</v>
      </c>
      <c r="AR1778">
        <v>0</v>
      </c>
      <c r="AS1778">
        <v>0</v>
      </c>
      <c r="AT1778">
        <v>0</v>
      </c>
      <c r="AU1778">
        <v>0</v>
      </c>
      <c r="AV1778">
        <v>0</v>
      </c>
      <c r="AW1778">
        <v>0</v>
      </c>
      <c r="AX1778">
        <v>0</v>
      </c>
      <c r="AY1778">
        <v>0</v>
      </c>
      <c r="AZ1778">
        <v>0</v>
      </c>
      <c r="BA1778">
        <v>0</v>
      </c>
      <c r="BB1778">
        <v>0</v>
      </c>
      <c r="BC1778">
        <v>0</v>
      </c>
      <c r="BD1778">
        <v>0</v>
      </c>
      <c r="BE1778">
        <v>0</v>
      </c>
      <c r="BF1778">
        <v>0</v>
      </c>
      <c r="BG1778">
        <v>0</v>
      </c>
      <c r="BH1778">
        <v>1</v>
      </c>
      <c r="BI1778">
        <v>2</v>
      </c>
      <c r="BJ1778">
        <v>0.9</v>
      </c>
      <c r="BK1778">
        <v>2</v>
      </c>
      <c r="BL1778" s="4">
        <v>97.75</v>
      </c>
      <c r="BM1778" s="4">
        <v>14.66</v>
      </c>
      <c r="BN1778" s="4">
        <v>112.41</v>
      </c>
      <c r="BO1778" s="4">
        <v>112.41</v>
      </c>
      <c r="BR1778" t="s">
        <v>84</v>
      </c>
      <c r="BS1778" s="3">
        <v>43819</v>
      </c>
      <c r="BT1778" s="5">
        <v>0.54166666666666663</v>
      </c>
      <c r="BU1778" t="s">
        <v>2161</v>
      </c>
      <c r="BV1778" t="s">
        <v>86</v>
      </c>
      <c r="BY1778">
        <v>4729.83</v>
      </c>
      <c r="CA1778" t="s">
        <v>2162</v>
      </c>
      <c r="CC1778" t="s">
        <v>2159</v>
      </c>
      <c r="CD1778">
        <v>6835</v>
      </c>
      <c r="CE1778" t="s">
        <v>96</v>
      </c>
      <c r="CF1778" s="3">
        <v>43822</v>
      </c>
      <c r="CI1778">
        <v>3</v>
      </c>
      <c r="CJ1778">
        <v>2</v>
      </c>
      <c r="CK1778">
        <v>23</v>
      </c>
      <c r="CL1778" t="s">
        <v>89</v>
      </c>
    </row>
    <row r="1779" spans="1:90">
      <c r="A1779" t="s">
        <v>72</v>
      </c>
      <c r="B1779" t="s">
        <v>73</v>
      </c>
      <c r="C1779" t="s">
        <v>74</v>
      </c>
      <c r="E1779" t="str">
        <f>"FES1162728819"</f>
        <v>FES1162728819</v>
      </c>
      <c r="F1779" s="3">
        <v>43817</v>
      </c>
      <c r="G1779">
        <v>202006</v>
      </c>
      <c r="H1779" t="s">
        <v>75</v>
      </c>
      <c r="I1779" t="s">
        <v>76</v>
      </c>
      <c r="J1779" t="s">
        <v>77</v>
      </c>
      <c r="K1779" t="s">
        <v>78</v>
      </c>
      <c r="L1779" t="s">
        <v>151</v>
      </c>
      <c r="M1779" t="s">
        <v>102</v>
      </c>
      <c r="N1779" t="s">
        <v>2163</v>
      </c>
      <c r="O1779" t="s">
        <v>82</v>
      </c>
      <c r="P1779" t="str">
        <f>"2170719936                    "</f>
        <v xml:space="preserve">2170719936                    </v>
      </c>
      <c r="Q1779">
        <v>0</v>
      </c>
      <c r="R1779">
        <v>0</v>
      </c>
      <c r="S1779">
        <v>0</v>
      </c>
      <c r="T1779">
        <v>0</v>
      </c>
      <c r="U1779">
        <v>0</v>
      </c>
      <c r="V1779">
        <v>0</v>
      </c>
      <c r="W1779">
        <v>0</v>
      </c>
      <c r="X1779">
        <v>0</v>
      </c>
      <c r="Y1779">
        <v>0</v>
      </c>
      <c r="Z1779">
        <v>0</v>
      </c>
      <c r="AA1779">
        <v>0</v>
      </c>
      <c r="AB1779">
        <v>0</v>
      </c>
      <c r="AC1779">
        <v>0</v>
      </c>
      <c r="AD1779">
        <v>0</v>
      </c>
      <c r="AE1779">
        <v>0</v>
      </c>
      <c r="AF1779">
        <v>0</v>
      </c>
      <c r="AG1779">
        <v>0</v>
      </c>
      <c r="AH1779">
        <v>0</v>
      </c>
      <c r="AI1779">
        <v>0</v>
      </c>
      <c r="AJ1779">
        <v>0</v>
      </c>
      <c r="AK1779">
        <v>0</v>
      </c>
      <c r="AL1779">
        <v>0</v>
      </c>
      <c r="AM1779">
        <v>8.58</v>
      </c>
      <c r="AN1779">
        <v>0</v>
      </c>
      <c r="AO1779">
        <v>0</v>
      </c>
      <c r="AP1779">
        <v>0</v>
      </c>
      <c r="AQ1779">
        <v>0</v>
      </c>
      <c r="AR1779">
        <v>0</v>
      </c>
      <c r="AS1779">
        <v>0</v>
      </c>
      <c r="AT1779">
        <v>0</v>
      </c>
      <c r="AU1779">
        <v>0</v>
      </c>
      <c r="AV1779">
        <v>0</v>
      </c>
      <c r="AW1779">
        <v>0</v>
      </c>
      <c r="AX1779">
        <v>0</v>
      </c>
      <c r="AY1779">
        <v>0</v>
      </c>
      <c r="AZ1779">
        <v>0</v>
      </c>
      <c r="BA1779">
        <v>0</v>
      </c>
      <c r="BB1779">
        <v>0</v>
      </c>
      <c r="BC1779">
        <v>0</v>
      </c>
      <c r="BD1779">
        <v>0</v>
      </c>
      <c r="BE1779">
        <v>0</v>
      </c>
      <c r="BF1779">
        <v>0</v>
      </c>
      <c r="BG1779">
        <v>0</v>
      </c>
      <c r="BH1779">
        <v>1</v>
      </c>
      <c r="BI1779">
        <v>1</v>
      </c>
      <c r="BJ1779">
        <v>0.2</v>
      </c>
      <c r="BK1779">
        <v>1</v>
      </c>
      <c r="BL1779" s="4">
        <v>50.45</v>
      </c>
      <c r="BM1779" s="4">
        <v>7.57</v>
      </c>
      <c r="BN1779" s="4">
        <v>58.02</v>
      </c>
      <c r="BO1779" s="4">
        <v>58.02</v>
      </c>
      <c r="BQ1779" t="s">
        <v>147</v>
      </c>
      <c r="BR1779" t="s">
        <v>84</v>
      </c>
      <c r="BS1779" s="3">
        <v>43818</v>
      </c>
      <c r="BT1779" s="5">
        <v>0.70833333333333337</v>
      </c>
      <c r="BU1779" t="s">
        <v>2164</v>
      </c>
      <c r="BV1779" t="s">
        <v>89</v>
      </c>
      <c r="BY1779">
        <v>1200</v>
      </c>
      <c r="CC1779" t="s">
        <v>102</v>
      </c>
      <c r="CD1779">
        <v>127</v>
      </c>
      <c r="CE1779" t="s">
        <v>88</v>
      </c>
      <c r="CF1779" s="3">
        <v>43822</v>
      </c>
      <c r="CI1779">
        <v>1</v>
      </c>
      <c r="CJ1779">
        <v>1</v>
      </c>
      <c r="CK1779">
        <v>21</v>
      </c>
      <c r="CL1779" t="s">
        <v>89</v>
      </c>
    </row>
    <row r="1780" spans="1:90">
      <c r="A1780" t="s">
        <v>72</v>
      </c>
      <c r="B1780" t="s">
        <v>73</v>
      </c>
      <c r="C1780" t="s">
        <v>74</v>
      </c>
      <c r="E1780" t="str">
        <f>"FES1162728887"</f>
        <v>FES1162728887</v>
      </c>
      <c r="F1780" s="3">
        <v>43817</v>
      </c>
      <c r="G1780">
        <v>202006</v>
      </c>
      <c r="H1780" t="s">
        <v>75</v>
      </c>
      <c r="I1780" t="s">
        <v>76</v>
      </c>
      <c r="J1780" t="s">
        <v>77</v>
      </c>
      <c r="K1780" t="s">
        <v>78</v>
      </c>
      <c r="L1780" t="s">
        <v>151</v>
      </c>
      <c r="M1780" t="s">
        <v>102</v>
      </c>
      <c r="N1780" t="s">
        <v>2165</v>
      </c>
      <c r="O1780" t="s">
        <v>82</v>
      </c>
      <c r="P1780" t="str">
        <f>"2170719831                    "</f>
        <v xml:space="preserve">2170719831                    </v>
      </c>
      <c r="Q1780">
        <v>0</v>
      </c>
      <c r="R1780">
        <v>0</v>
      </c>
      <c r="S1780">
        <v>0</v>
      </c>
      <c r="T1780">
        <v>0</v>
      </c>
      <c r="U1780">
        <v>0</v>
      </c>
      <c r="V1780">
        <v>0</v>
      </c>
      <c r="W1780">
        <v>0</v>
      </c>
      <c r="X1780">
        <v>0</v>
      </c>
      <c r="Y1780">
        <v>0</v>
      </c>
      <c r="Z1780">
        <v>0</v>
      </c>
      <c r="AA1780">
        <v>0</v>
      </c>
      <c r="AB1780">
        <v>0</v>
      </c>
      <c r="AC1780">
        <v>0</v>
      </c>
      <c r="AD1780">
        <v>0</v>
      </c>
      <c r="AE1780">
        <v>0</v>
      </c>
      <c r="AF1780">
        <v>0</v>
      </c>
      <c r="AG1780">
        <v>0</v>
      </c>
      <c r="AH1780">
        <v>0</v>
      </c>
      <c r="AI1780">
        <v>0</v>
      </c>
      <c r="AJ1780">
        <v>0</v>
      </c>
      <c r="AK1780">
        <v>0</v>
      </c>
      <c r="AL1780">
        <v>0</v>
      </c>
      <c r="AM1780">
        <v>8.58</v>
      </c>
      <c r="AN1780">
        <v>0</v>
      </c>
      <c r="AO1780">
        <v>0</v>
      </c>
      <c r="AP1780">
        <v>0</v>
      </c>
      <c r="AQ1780">
        <v>0</v>
      </c>
      <c r="AR1780">
        <v>0</v>
      </c>
      <c r="AS1780">
        <v>0</v>
      </c>
      <c r="AT1780">
        <v>0</v>
      </c>
      <c r="AU1780">
        <v>0</v>
      </c>
      <c r="AV1780">
        <v>0</v>
      </c>
      <c r="AW1780">
        <v>0</v>
      </c>
      <c r="AX1780">
        <v>0</v>
      </c>
      <c r="AY1780">
        <v>0</v>
      </c>
      <c r="AZ1780">
        <v>0</v>
      </c>
      <c r="BA1780">
        <v>0</v>
      </c>
      <c r="BB1780">
        <v>0</v>
      </c>
      <c r="BC1780">
        <v>0</v>
      </c>
      <c r="BD1780">
        <v>0</v>
      </c>
      <c r="BE1780">
        <v>0</v>
      </c>
      <c r="BF1780">
        <v>0</v>
      </c>
      <c r="BG1780">
        <v>0</v>
      </c>
      <c r="BH1780">
        <v>1</v>
      </c>
      <c r="BI1780">
        <v>1</v>
      </c>
      <c r="BJ1780">
        <v>0.2</v>
      </c>
      <c r="BK1780">
        <v>1</v>
      </c>
      <c r="BL1780" s="4">
        <v>50.45</v>
      </c>
      <c r="BM1780" s="4">
        <v>7.57</v>
      </c>
      <c r="BN1780" s="4">
        <v>58.02</v>
      </c>
      <c r="BO1780" s="4">
        <v>58.02</v>
      </c>
      <c r="BR1780" t="s">
        <v>84</v>
      </c>
      <c r="BS1780" s="3">
        <v>43818</v>
      </c>
      <c r="BT1780" s="5">
        <v>0.38819444444444445</v>
      </c>
      <c r="BU1780" t="s">
        <v>1701</v>
      </c>
      <c r="BV1780" t="s">
        <v>86</v>
      </c>
      <c r="BY1780">
        <v>1200</v>
      </c>
      <c r="CA1780" t="s">
        <v>1357</v>
      </c>
      <c r="CC1780" t="s">
        <v>102</v>
      </c>
      <c r="CD1780">
        <v>200</v>
      </c>
      <c r="CE1780" t="s">
        <v>88</v>
      </c>
      <c r="CF1780" s="3">
        <v>43819</v>
      </c>
      <c r="CI1780">
        <v>1</v>
      </c>
      <c r="CJ1780">
        <v>1</v>
      </c>
      <c r="CK1780">
        <v>21</v>
      </c>
      <c r="CL1780" t="s">
        <v>89</v>
      </c>
    </row>
    <row r="1781" spans="1:90">
      <c r="A1781" t="s">
        <v>72</v>
      </c>
      <c r="B1781" t="s">
        <v>73</v>
      </c>
      <c r="C1781" t="s">
        <v>74</v>
      </c>
      <c r="E1781" t="str">
        <f>"FES1162728829"</f>
        <v>FES1162728829</v>
      </c>
      <c r="F1781" s="3">
        <v>43817</v>
      </c>
      <c r="G1781">
        <v>202006</v>
      </c>
      <c r="H1781" t="s">
        <v>75</v>
      </c>
      <c r="I1781" t="s">
        <v>76</v>
      </c>
      <c r="J1781" t="s">
        <v>77</v>
      </c>
      <c r="K1781" t="s">
        <v>78</v>
      </c>
      <c r="L1781" t="s">
        <v>177</v>
      </c>
      <c r="M1781" t="s">
        <v>178</v>
      </c>
      <c r="N1781" t="s">
        <v>179</v>
      </c>
      <c r="O1781" t="s">
        <v>82</v>
      </c>
      <c r="P1781" t="str">
        <f>"2170720036                    "</f>
        <v xml:space="preserve">2170720036                    </v>
      </c>
      <c r="Q1781">
        <v>0</v>
      </c>
      <c r="R1781">
        <v>0</v>
      </c>
      <c r="S1781">
        <v>0</v>
      </c>
      <c r="T1781">
        <v>0</v>
      </c>
      <c r="U1781">
        <v>0</v>
      </c>
      <c r="V1781">
        <v>0</v>
      </c>
      <c r="W1781">
        <v>0</v>
      </c>
      <c r="X1781">
        <v>0</v>
      </c>
      <c r="Y1781">
        <v>0</v>
      </c>
      <c r="Z1781">
        <v>0</v>
      </c>
      <c r="AA1781">
        <v>0</v>
      </c>
      <c r="AB1781">
        <v>0</v>
      </c>
      <c r="AC1781">
        <v>0</v>
      </c>
      <c r="AD1781">
        <v>0</v>
      </c>
      <c r="AE1781">
        <v>0</v>
      </c>
      <c r="AF1781">
        <v>0</v>
      </c>
      <c r="AG1781">
        <v>0</v>
      </c>
      <c r="AH1781">
        <v>0</v>
      </c>
      <c r="AI1781">
        <v>0</v>
      </c>
      <c r="AJ1781">
        <v>0</v>
      </c>
      <c r="AK1781">
        <v>0</v>
      </c>
      <c r="AL1781">
        <v>0</v>
      </c>
      <c r="AM1781">
        <v>12.07</v>
      </c>
      <c r="AN1781">
        <v>0</v>
      </c>
      <c r="AO1781">
        <v>0</v>
      </c>
      <c r="AP1781">
        <v>0</v>
      </c>
      <c r="AQ1781">
        <v>0</v>
      </c>
      <c r="AR1781">
        <v>0</v>
      </c>
      <c r="AS1781">
        <v>0</v>
      </c>
      <c r="AT1781">
        <v>0</v>
      </c>
      <c r="AU1781">
        <v>0</v>
      </c>
      <c r="AV1781">
        <v>0</v>
      </c>
      <c r="AW1781">
        <v>0</v>
      </c>
      <c r="AX1781">
        <v>0</v>
      </c>
      <c r="AY1781">
        <v>0</v>
      </c>
      <c r="AZ1781">
        <v>0</v>
      </c>
      <c r="BA1781">
        <v>0</v>
      </c>
      <c r="BB1781">
        <v>0</v>
      </c>
      <c r="BC1781">
        <v>0</v>
      </c>
      <c r="BD1781">
        <v>0</v>
      </c>
      <c r="BE1781">
        <v>0</v>
      </c>
      <c r="BF1781">
        <v>0</v>
      </c>
      <c r="BG1781">
        <v>0</v>
      </c>
      <c r="BH1781">
        <v>1</v>
      </c>
      <c r="BI1781">
        <v>1</v>
      </c>
      <c r="BJ1781">
        <v>0.2</v>
      </c>
      <c r="BK1781">
        <v>1</v>
      </c>
      <c r="BL1781" s="4">
        <v>70.95</v>
      </c>
      <c r="BM1781" s="4">
        <v>10.64</v>
      </c>
      <c r="BN1781" s="4">
        <v>81.59</v>
      </c>
      <c r="BO1781" s="4">
        <v>81.59</v>
      </c>
      <c r="BQ1781" t="s">
        <v>147</v>
      </c>
      <c r="BR1781" t="s">
        <v>84</v>
      </c>
      <c r="BS1781" s="3">
        <v>43819</v>
      </c>
      <c r="BT1781" s="5">
        <v>0.51388888888888895</v>
      </c>
      <c r="BU1781" t="s">
        <v>2135</v>
      </c>
      <c r="BV1781" t="s">
        <v>89</v>
      </c>
      <c r="BW1781" t="s">
        <v>149</v>
      </c>
      <c r="BX1781" t="s">
        <v>181</v>
      </c>
      <c r="BY1781">
        <v>1200</v>
      </c>
      <c r="CA1781" t="s">
        <v>344</v>
      </c>
      <c r="CC1781" t="s">
        <v>178</v>
      </c>
      <c r="CD1781">
        <v>1028</v>
      </c>
      <c r="CE1781" t="s">
        <v>88</v>
      </c>
      <c r="CF1781" s="3">
        <v>43822</v>
      </c>
      <c r="CI1781">
        <v>1</v>
      </c>
      <c r="CJ1781">
        <v>2</v>
      </c>
      <c r="CK1781">
        <v>24</v>
      </c>
      <c r="CL1781" t="s">
        <v>89</v>
      </c>
    </row>
    <row r="1782" spans="1:90">
      <c r="A1782" t="s">
        <v>72</v>
      </c>
      <c r="B1782" t="s">
        <v>73</v>
      </c>
      <c r="C1782" t="s">
        <v>74</v>
      </c>
      <c r="E1782" t="str">
        <f>"FES1162728902"</f>
        <v>FES1162728902</v>
      </c>
      <c r="F1782" s="3">
        <v>43817</v>
      </c>
      <c r="G1782">
        <v>202006</v>
      </c>
      <c r="H1782" t="s">
        <v>75</v>
      </c>
      <c r="I1782" t="s">
        <v>76</v>
      </c>
      <c r="J1782" t="s">
        <v>77</v>
      </c>
      <c r="K1782" t="s">
        <v>78</v>
      </c>
      <c r="L1782" t="s">
        <v>75</v>
      </c>
      <c r="M1782" t="s">
        <v>76</v>
      </c>
      <c r="N1782" t="s">
        <v>312</v>
      </c>
      <c r="O1782" t="s">
        <v>82</v>
      </c>
      <c r="P1782" t="str">
        <f>"2170721417                    "</f>
        <v xml:space="preserve">2170721417                    </v>
      </c>
      <c r="Q1782">
        <v>0</v>
      </c>
      <c r="R1782">
        <v>0</v>
      </c>
      <c r="S1782">
        <v>0</v>
      </c>
      <c r="T1782">
        <v>0</v>
      </c>
      <c r="U1782">
        <v>0</v>
      </c>
      <c r="V1782">
        <v>0</v>
      </c>
      <c r="W1782">
        <v>0</v>
      </c>
      <c r="X1782">
        <v>0</v>
      </c>
      <c r="Y1782">
        <v>0</v>
      </c>
      <c r="Z1782">
        <v>0</v>
      </c>
      <c r="AA1782">
        <v>0</v>
      </c>
      <c r="AB1782">
        <v>0</v>
      </c>
      <c r="AC1782">
        <v>0</v>
      </c>
      <c r="AD1782">
        <v>0</v>
      </c>
      <c r="AE1782">
        <v>0</v>
      </c>
      <c r="AF1782">
        <v>0</v>
      </c>
      <c r="AG1782">
        <v>0</v>
      </c>
      <c r="AH1782">
        <v>0</v>
      </c>
      <c r="AI1782">
        <v>0</v>
      </c>
      <c r="AJ1782">
        <v>0</v>
      </c>
      <c r="AK1782">
        <v>0</v>
      </c>
      <c r="AL1782">
        <v>0</v>
      </c>
      <c r="AM1782">
        <v>6.71</v>
      </c>
      <c r="AN1782">
        <v>0</v>
      </c>
      <c r="AO1782">
        <v>0</v>
      </c>
      <c r="AP1782">
        <v>0</v>
      </c>
      <c r="AQ1782">
        <v>0</v>
      </c>
      <c r="AR1782">
        <v>0</v>
      </c>
      <c r="AS1782">
        <v>0</v>
      </c>
      <c r="AT1782">
        <v>0</v>
      </c>
      <c r="AU1782">
        <v>0</v>
      </c>
      <c r="AV1782">
        <v>0</v>
      </c>
      <c r="AW1782">
        <v>0</v>
      </c>
      <c r="AX1782">
        <v>0</v>
      </c>
      <c r="AY1782">
        <v>0</v>
      </c>
      <c r="AZ1782">
        <v>0</v>
      </c>
      <c r="BA1782">
        <v>0</v>
      </c>
      <c r="BB1782">
        <v>0</v>
      </c>
      <c r="BC1782">
        <v>0</v>
      </c>
      <c r="BD1782">
        <v>0</v>
      </c>
      <c r="BE1782">
        <v>0</v>
      </c>
      <c r="BF1782">
        <v>0</v>
      </c>
      <c r="BG1782">
        <v>0</v>
      </c>
      <c r="BH1782">
        <v>1</v>
      </c>
      <c r="BI1782">
        <v>1</v>
      </c>
      <c r="BJ1782">
        <v>0.2</v>
      </c>
      <c r="BK1782">
        <v>1</v>
      </c>
      <c r="BL1782" s="4">
        <v>39.42</v>
      </c>
      <c r="BM1782" s="4">
        <v>5.91</v>
      </c>
      <c r="BN1782" s="4">
        <v>45.33</v>
      </c>
      <c r="BO1782" s="4">
        <v>45.33</v>
      </c>
      <c r="BQ1782" t="s">
        <v>147</v>
      </c>
      <c r="BR1782" t="s">
        <v>84</v>
      </c>
      <c r="BS1782" s="3">
        <v>43818</v>
      </c>
      <c r="BT1782" s="5">
        <v>0.33333333333333331</v>
      </c>
      <c r="BU1782" t="s">
        <v>2118</v>
      </c>
      <c r="BV1782" t="s">
        <v>86</v>
      </c>
      <c r="BY1782">
        <v>1200</v>
      </c>
      <c r="CA1782" t="s">
        <v>2119</v>
      </c>
      <c r="CC1782" t="s">
        <v>76</v>
      </c>
      <c r="CD1782">
        <v>1609</v>
      </c>
      <c r="CE1782" t="s">
        <v>88</v>
      </c>
      <c r="CF1782" s="3">
        <v>43819</v>
      </c>
      <c r="CI1782">
        <v>1</v>
      </c>
      <c r="CJ1782">
        <v>1</v>
      </c>
      <c r="CK1782">
        <v>22</v>
      </c>
      <c r="CL1782" t="s">
        <v>89</v>
      </c>
    </row>
    <row r="1783" spans="1:90">
      <c r="A1783" t="s">
        <v>72</v>
      </c>
      <c r="B1783" t="s">
        <v>73</v>
      </c>
      <c r="C1783" t="s">
        <v>74</v>
      </c>
      <c r="E1783" t="str">
        <f>"FES1162728532"</f>
        <v>FES1162728532</v>
      </c>
      <c r="F1783" s="3">
        <v>43817</v>
      </c>
      <c r="G1783">
        <v>202006</v>
      </c>
      <c r="H1783" t="s">
        <v>75</v>
      </c>
      <c r="I1783" t="s">
        <v>76</v>
      </c>
      <c r="J1783" t="s">
        <v>77</v>
      </c>
      <c r="K1783" t="s">
        <v>78</v>
      </c>
      <c r="L1783" t="s">
        <v>164</v>
      </c>
      <c r="M1783" t="s">
        <v>165</v>
      </c>
      <c r="N1783" t="s">
        <v>369</v>
      </c>
      <c r="O1783" t="s">
        <v>82</v>
      </c>
      <c r="P1783" t="str">
        <f>"2170721452                    "</f>
        <v xml:space="preserve">2170721452                    </v>
      </c>
      <c r="Q1783">
        <v>0</v>
      </c>
      <c r="R1783">
        <v>0</v>
      </c>
      <c r="S1783">
        <v>0</v>
      </c>
      <c r="T1783">
        <v>0</v>
      </c>
      <c r="U1783">
        <v>0</v>
      </c>
      <c r="V1783">
        <v>0</v>
      </c>
      <c r="W1783">
        <v>0</v>
      </c>
      <c r="X1783">
        <v>0</v>
      </c>
      <c r="Y1783">
        <v>0</v>
      </c>
      <c r="Z1783">
        <v>0</v>
      </c>
      <c r="AA1783">
        <v>0</v>
      </c>
      <c r="AB1783">
        <v>0</v>
      </c>
      <c r="AC1783">
        <v>0</v>
      </c>
      <c r="AD1783">
        <v>0</v>
      </c>
      <c r="AE1783">
        <v>0</v>
      </c>
      <c r="AF1783">
        <v>0</v>
      </c>
      <c r="AG1783">
        <v>0</v>
      </c>
      <c r="AH1783">
        <v>0</v>
      </c>
      <c r="AI1783">
        <v>0</v>
      </c>
      <c r="AJ1783">
        <v>0</v>
      </c>
      <c r="AK1783">
        <v>0</v>
      </c>
      <c r="AL1783">
        <v>0</v>
      </c>
      <c r="AM1783">
        <v>15.02</v>
      </c>
      <c r="AN1783">
        <v>0</v>
      </c>
      <c r="AO1783">
        <v>0</v>
      </c>
      <c r="AP1783">
        <v>0</v>
      </c>
      <c r="AQ1783">
        <v>0</v>
      </c>
      <c r="AR1783">
        <v>0</v>
      </c>
      <c r="AS1783">
        <v>0</v>
      </c>
      <c r="AT1783">
        <v>0</v>
      </c>
      <c r="AU1783">
        <v>0</v>
      </c>
      <c r="AV1783">
        <v>0</v>
      </c>
      <c r="AW1783">
        <v>0</v>
      </c>
      <c r="AX1783">
        <v>0</v>
      </c>
      <c r="AY1783">
        <v>0</v>
      </c>
      <c r="AZ1783">
        <v>0</v>
      </c>
      <c r="BA1783">
        <v>0</v>
      </c>
      <c r="BB1783">
        <v>0</v>
      </c>
      <c r="BC1783">
        <v>0</v>
      </c>
      <c r="BD1783">
        <v>0</v>
      </c>
      <c r="BE1783">
        <v>0</v>
      </c>
      <c r="BF1783">
        <v>0</v>
      </c>
      <c r="BG1783">
        <v>0</v>
      </c>
      <c r="BH1783">
        <v>1</v>
      </c>
      <c r="BI1783">
        <v>3.3</v>
      </c>
      <c r="BJ1783">
        <v>1.3</v>
      </c>
      <c r="BK1783">
        <v>3.5</v>
      </c>
      <c r="BL1783" s="4">
        <v>88.27</v>
      </c>
      <c r="BM1783" s="4">
        <v>13.24</v>
      </c>
      <c r="BN1783" s="4">
        <v>101.51</v>
      </c>
      <c r="BO1783" s="4">
        <v>101.51</v>
      </c>
      <c r="BQ1783" t="s">
        <v>93</v>
      </c>
      <c r="BR1783" t="s">
        <v>84</v>
      </c>
      <c r="BS1783" s="3">
        <v>43818</v>
      </c>
      <c r="BT1783" s="5">
        <v>0.39930555555555558</v>
      </c>
      <c r="BU1783" t="s">
        <v>1013</v>
      </c>
      <c r="BV1783" t="s">
        <v>86</v>
      </c>
      <c r="BY1783">
        <v>6591.65</v>
      </c>
      <c r="CA1783" t="s">
        <v>371</v>
      </c>
      <c r="CC1783" t="s">
        <v>165</v>
      </c>
      <c r="CD1783">
        <v>5201</v>
      </c>
      <c r="CE1783" t="s">
        <v>116</v>
      </c>
      <c r="CF1783" s="3">
        <v>43822</v>
      </c>
      <c r="CI1783">
        <v>1</v>
      </c>
      <c r="CJ1783">
        <v>1</v>
      </c>
      <c r="CK1783">
        <v>21</v>
      </c>
      <c r="CL1783" t="s">
        <v>89</v>
      </c>
    </row>
    <row r="1784" spans="1:90">
      <c r="A1784" t="s">
        <v>72</v>
      </c>
      <c r="B1784" t="s">
        <v>73</v>
      </c>
      <c r="C1784" t="s">
        <v>74</v>
      </c>
      <c r="E1784" t="str">
        <f>"FES1162728677"</f>
        <v>FES1162728677</v>
      </c>
      <c r="F1784" s="3">
        <v>43817</v>
      </c>
      <c r="G1784">
        <v>202006</v>
      </c>
      <c r="H1784" t="s">
        <v>75</v>
      </c>
      <c r="I1784" t="s">
        <v>76</v>
      </c>
      <c r="J1784" t="s">
        <v>77</v>
      </c>
      <c r="K1784" t="s">
        <v>78</v>
      </c>
      <c r="L1784" t="s">
        <v>164</v>
      </c>
      <c r="M1784" t="s">
        <v>165</v>
      </c>
      <c r="N1784" t="s">
        <v>263</v>
      </c>
      <c r="O1784" t="s">
        <v>82</v>
      </c>
      <c r="P1784" t="str">
        <f>"2170721873                    "</f>
        <v xml:space="preserve">2170721873                    </v>
      </c>
      <c r="Q1784">
        <v>0</v>
      </c>
      <c r="R1784">
        <v>0</v>
      </c>
      <c r="S1784">
        <v>0</v>
      </c>
      <c r="T1784">
        <v>0</v>
      </c>
      <c r="U1784">
        <v>0</v>
      </c>
      <c r="V1784">
        <v>0</v>
      </c>
      <c r="W1784">
        <v>0</v>
      </c>
      <c r="X1784">
        <v>0</v>
      </c>
      <c r="Y1784">
        <v>0</v>
      </c>
      <c r="Z1784">
        <v>0</v>
      </c>
      <c r="AA1784">
        <v>0</v>
      </c>
      <c r="AB1784">
        <v>0</v>
      </c>
      <c r="AC1784">
        <v>0</v>
      </c>
      <c r="AD1784">
        <v>0</v>
      </c>
      <c r="AE1784">
        <v>0</v>
      </c>
      <c r="AF1784">
        <v>0</v>
      </c>
      <c r="AG1784">
        <v>0</v>
      </c>
      <c r="AH1784">
        <v>0</v>
      </c>
      <c r="AI1784">
        <v>0</v>
      </c>
      <c r="AJ1784">
        <v>0</v>
      </c>
      <c r="AK1784">
        <v>0</v>
      </c>
      <c r="AL1784">
        <v>0</v>
      </c>
      <c r="AM1784">
        <v>42.89</v>
      </c>
      <c r="AN1784">
        <v>0</v>
      </c>
      <c r="AO1784">
        <v>0</v>
      </c>
      <c r="AP1784">
        <v>0</v>
      </c>
      <c r="AQ1784">
        <v>0</v>
      </c>
      <c r="AR1784">
        <v>0</v>
      </c>
      <c r="AS1784">
        <v>0</v>
      </c>
      <c r="AT1784">
        <v>0</v>
      </c>
      <c r="AU1784">
        <v>0</v>
      </c>
      <c r="AV1784">
        <v>0</v>
      </c>
      <c r="AW1784">
        <v>0</v>
      </c>
      <c r="AX1784">
        <v>0</v>
      </c>
      <c r="AY1784">
        <v>0</v>
      </c>
      <c r="AZ1784">
        <v>0</v>
      </c>
      <c r="BA1784">
        <v>0</v>
      </c>
      <c r="BB1784">
        <v>0</v>
      </c>
      <c r="BC1784">
        <v>0</v>
      </c>
      <c r="BD1784">
        <v>0</v>
      </c>
      <c r="BE1784">
        <v>0</v>
      </c>
      <c r="BF1784">
        <v>0</v>
      </c>
      <c r="BG1784">
        <v>0</v>
      </c>
      <c r="BH1784">
        <v>1</v>
      </c>
      <c r="BI1784">
        <v>9.9</v>
      </c>
      <c r="BJ1784">
        <v>2.9</v>
      </c>
      <c r="BK1784">
        <v>10</v>
      </c>
      <c r="BL1784" s="4">
        <v>252.12</v>
      </c>
      <c r="BM1784" s="4">
        <v>37.82</v>
      </c>
      <c r="BN1784" s="4">
        <v>289.94</v>
      </c>
      <c r="BO1784" s="4">
        <v>289.94</v>
      </c>
      <c r="BQ1784" t="s">
        <v>147</v>
      </c>
      <c r="BR1784" t="s">
        <v>84</v>
      </c>
      <c r="BS1784" s="3">
        <v>43818</v>
      </c>
      <c r="BT1784" s="5">
        <v>0.41250000000000003</v>
      </c>
      <c r="BU1784" t="s">
        <v>1827</v>
      </c>
      <c r="BV1784" t="s">
        <v>86</v>
      </c>
      <c r="BY1784">
        <v>14416.74</v>
      </c>
      <c r="CA1784" t="s">
        <v>371</v>
      </c>
      <c r="CC1784" t="s">
        <v>165</v>
      </c>
      <c r="CD1784">
        <v>5201</v>
      </c>
      <c r="CE1784" t="s">
        <v>96</v>
      </c>
      <c r="CF1784" s="3">
        <v>43822</v>
      </c>
      <c r="CI1784">
        <v>1</v>
      </c>
      <c r="CJ1784">
        <v>1</v>
      </c>
      <c r="CK1784">
        <v>21</v>
      </c>
      <c r="CL1784" t="s">
        <v>89</v>
      </c>
    </row>
    <row r="1785" spans="1:90">
      <c r="A1785" t="s">
        <v>72</v>
      </c>
      <c r="B1785" t="s">
        <v>73</v>
      </c>
      <c r="C1785" t="s">
        <v>74</v>
      </c>
      <c r="E1785" t="str">
        <f>"FES1162728747"</f>
        <v>FES1162728747</v>
      </c>
      <c r="F1785" s="3">
        <v>43817</v>
      </c>
      <c r="G1785">
        <v>202006</v>
      </c>
      <c r="H1785" t="s">
        <v>75</v>
      </c>
      <c r="I1785" t="s">
        <v>76</v>
      </c>
      <c r="J1785" t="s">
        <v>77</v>
      </c>
      <c r="K1785" t="s">
        <v>78</v>
      </c>
      <c r="L1785" t="s">
        <v>164</v>
      </c>
      <c r="M1785" t="s">
        <v>165</v>
      </c>
      <c r="N1785" t="s">
        <v>379</v>
      </c>
      <c r="O1785" t="s">
        <v>82</v>
      </c>
      <c r="P1785" t="str">
        <f>"2170721938                    "</f>
        <v xml:space="preserve">2170721938                    </v>
      </c>
      <c r="Q1785">
        <v>0</v>
      </c>
      <c r="R1785">
        <v>0</v>
      </c>
      <c r="S1785">
        <v>0</v>
      </c>
      <c r="T1785">
        <v>0</v>
      </c>
      <c r="U1785">
        <v>0</v>
      </c>
      <c r="V1785">
        <v>0</v>
      </c>
      <c r="W1785">
        <v>0</v>
      </c>
      <c r="X1785">
        <v>0</v>
      </c>
      <c r="Y1785">
        <v>0</v>
      </c>
      <c r="Z1785">
        <v>0</v>
      </c>
      <c r="AA1785">
        <v>0</v>
      </c>
      <c r="AB1785">
        <v>0</v>
      </c>
      <c r="AC1785">
        <v>0</v>
      </c>
      <c r="AD1785">
        <v>0</v>
      </c>
      <c r="AE1785">
        <v>0</v>
      </c>
      <c r="AF1785">
        <v>0</v>
      </c>
      <c r="AG1785">
        <v>0</v>
      </c>
      <c r="AH1785">
        <v>0</v>
      </c>
      <c r="AI1785">
        <v>0</v>
      </c>
      <c r="AJ1785">
        <v>0</v>
      </c>
      <c r="AK1785">
        <v>0</v>
      </c>
      <c r="AL1785">
        <v>0</v>
      </c>
      <c r="AM1785">
        <v>15.02</v>
      </c>
      <c r="AN1785">
        <v>0</v>
      </c>
      <c r="AO1785">
        <v>0</v>
      </c>
      <c r="AP1785">
        <v>0</v>
      </c>
      <c r="AQ1785">
        <v>0</v>
      </c>
      <c r="AR1785">
        <v>0</v>
      </c>
      <c r="AS1785">
        <v>0</v>
      </c>
      <c r="AT1785">
        <v>0</v>
      </c>
      <c r="AU1785">
        <v>0</v>
      </c>
      <c r="AV1785">
        <v>0</v>
      </c>
      <c r="AW1785">
        <v>0</v>
      </c>
      <c r="AX1785">
        <v>0</v>
      </c>
      <c r="AY1785">
        <v>0</v>
      </c>
      <c r="AZ1785">
        <v>0</v>
      </c>
      <c r="BA1785">
        <v>0</v>
      </c>
      <c r="BB1785">
        <v>0</v>
      </c>
      <c r="BC1785">
        <v>0</v>
      </c>
      <c r="BD1785">
        <v>0</v>
      </c>
      <c r="BE1785">
        <v>0</v>
      </c>
      <c r="BF1785">
        <v>0</v>
      </c>
      <c r="BG1785">
        <v>0</v>
      </c>
      <c r="BH1785">
        <v>1</v>
      </c>
      <c r="BI1785">
        <v>2.6</v>
      </c>
      <c r="BJ1785">
        <v>3.2</v>
      </c>
      <c r="BK1785">
        <v>3.5</v>
      </c>
      <c r="BL1785" s="4">
        <v>88.27</v>
      </c>
      <c r="BM1785" s="4">
        <v>13.24</v>
      </c>
      <c r="BN1785" s="4">
        <v>101.51</v>
      </c>
      <c r="BO1785" s="4">
        <v>101.51</v>
      </c>
      <c r="BQ1785" t="s">
        <v>147</v>
      </c>
      <c r="BR1785" t="s">
        <v>84</v>
      </c>
      <c r="BS1785" s="3">
        <v>43818</v>
      </c>
      <c r="BT1785" s="5">
        <v>0.39583333333333331</v>
      </c>
      <c r="BU1785" t="s">
        <v>1988</v>
      </c>
      <c r="BV1785" t="s">
        <v>86</v>
      </c>
      <c r="BY1785">
        <v>16035.08</v>
      </c>
      <c r="CA1785" t="s">
        <v>1989</v>
      </c>
      <c r="CC1785" t="s">
        <v>165</v>
      </c>
      <c r="CD1785">
        <v>5201</v>
      </c>
      <c r="CE1785" t="s">
        <v>96</v>
      </c>
      <c r="CF1785" s="3">
        <v>43822</v>
      </c>
      <c r="CI1785">
        <v>1</v>
      </c>
      <c r="CJ1785">
        <v>1</v>
      </c>
      <c r="CK1785">
        <v>21</v>
      </c>
      <c r="CL1785" t="s">
        <v>89</v>
      </c>
    </row>
    <row r="1786" spans="1:90">
      <c r="A1786" t="s">
        <v>72</v>
      </c>
      <c r="B1786" t="s">
        <v>73</v>
      </c>
      <c r="C1786" t="s">
        <v>74</v>
      </c>
      <c r="E1786" t="str">
        <f>"FES1162728676"</f>
        <v>FES1162728676</v>
      </c>
      <c r="F1786" s="3">
        <v>43817</v>
      </c>
      <c r="G1786">
        <v>202006</v>
      </c>
      <c r="H1786" t="s">
        <v>75</v>
      </c>
      <c r="I1786" t="s">
        <v>76</v>
      </c>
      <c r="J1786" t="s">
        <v>77</v>
      </c>
      <c r="K1786" t="s">
        <v>78</v>
      </c>
      <c r="L1786" t="s">
        <v>164</v>
      </c>
      <c r="M1786" t="s">
        <v>165</v>
      </c>
      <c r="N1786" t="s">
        <v>238</v>
      </c>
      <c r="O1786" t="s">
        <v>82</v>
      </c>
      <c r="P1786" t="str">
        <f>"2170721872                    "</f>
        <v xml:space="preserve">2170721872                    </v>
      </c>
      <c r="Q1786">
        <v>0</v>
      </c>
      <c r="R1786">
        <v>0</v>
      </c>
      <c r="S1786">
        <v>0</v>
      </c>
      <c r="T1786">
        <v>0</v>
      </c>
      <c r="U1786">
        <v>0</v>
      </c>
      <c r="V1786">
        <v>0</v>
      </c>
      <c r="W1786">
        <v>0</v>
      </c>
      <c r="X1786">
        <v>0</v>
      </c>
      <c r="Y1786">
        <v>0</v>
      </c>
      <c r="Z1786">
        <v>0</v>
      </c>
      <c r="AA1786">
        <v>0</v>
      </c>
      <c r="AB1786">
        <v>0</v>
      </c>
      <c r="AC1786">
        <v>0</v>
      </c>
      <c r="AD1786">
        <v>0</v>
      </c>
      <c r="AE1786">
        <v>0</v>
      </c>
      <c r="AF1786">
        <v>0</v>
      </c>
      <c r="AG1786">
        <v>0</v>
      </c>
      <c r="AH1786">
        <v>0</v>
      </c>
      <c r="AI1786">
        <v>0</v>
      </c>
      <c r="AJ1786">
        <v>0</v>
      </c>
      <c r="AK1786">
        <v>0</v>
      </c>
      <c r="AL1786">
        <v>0</v>
      </c>
      <c r="AM1786">
        <v>8.58</v>
      </c>
      <c r="AN1786">
        <v>0</v>
      </c>
      <c r="AO1786">
        <v>0</v>
      </c>
      <c r="AP1786">
        <v>0</v>
      </c>
      <c r="AQ1786">
        <v>0</v>
      </c>
      <c r="AR1786">
        <v>0</v>
      </c>
      <c r="AS1786">
        <v>0</v>
      </c>
      <c r="AT1786">
        <v>0</v>
      </c>
      <c r="AU1786">
        <v>0</v>
      </c>
      <c r="AV1786">
        <v>0</v>
      </c>
      <c r="AW1786">
        <v>0</v>
      </c>
      <c r="AX1786">
        <v>0</v>
      </c>
      <c r="AY1786">
        <v>0</v>
      </c>
      <c r="AZ1786">
        <v>0</v>
      </c>
      <c r="BA1786">
        <v>0</v>
      </c>
      <c r="BB1786">
        <v>0</v>
      </c>
      <c r="BC1786">
        <v>0</v>
      </c>
      <c r="BD1786">
        <v>0</v>
      </c>
      <c r="BE1786">
        <v>0</v>
      </c>
      <c r="BF1786">
        <v>0</v>
      </c>
      <c r="BG1786">
        <v>0</v>
      </c>
      <c r="BH1786">
        <v>1</v>
      </c>
      <c r="BI1786">
        <v>1.5</v>
      </c>
      <c r="BJ1786">
        <v>1.6</v>
      </c>
      <c r="BK1786">
        <v>2</v>
      </c>
      <c r="BL1786" s="4">
        <v>50.45</v>
      </c>
      <c r="BM1786" s="4">
        <v>7.57</v>
      </c>
      <c r="BN1786" s="4">
        <v>58.02</v>
      </c>
      <c r="BO1786" s="4">
        <v>58.02</v>
      </c>
      <c r="BQ1786" t="s">
        <v>147</v>
      </c>
      <c r="BR1786" t="s">
        <v>84</v>
      </c>
      <c r="BS1786" s="3">
        <v>43818</v>
      </c>
      <c r="BT1786" s="5">
        <v>0.39652777777777781</v>
      </c>
      <c r="BU1786" t="s">
        <v>239</v>
      </c>
      <c r="BV1786" t="s">
        <v>86</v>
      </c>
      <c r="BY1786">
        <v>7884.54</v>
      </c>
      <c r="CA1786" t="s">
        <v>168</v>
      </c>
      <c r="CC1786" t="s">
        <v>165</v>
      </c>
      <c r="CD1786">
        <v>5201</v>
      </c>
      <c r="CE1786" t="s">
        <v>96</v>
      </c>
      <c r="CF1786" s="3">
        <v>43822</v>
      </c>
      <c r="CI1786">
        <v>1</v>
      </c>
      <c r="CJ1786">
        <v>1</v>
      </c>
      <c r="CK1786">
        <v>21</v>
      </c>
      <c r="CL1786" t="s">
        <v>89</v>
      </c>
    </row>
    <row r="1787" spans="1:90">
      <c r="A1787" t="s">
        <v>72</v>
      </c>
      <c r="B1787" t="s">
        <v>73</v>
      </c>
      <c r="C1787" t="s">
        <v>74</v>
      </c>
      <c r="E1787" t="str">
        <f>"FES1162728646"</f>
        <v>FES1162728646</v>
      </c>
      <c r="F1787" s="3">
        <v>43817</v>
      </c>
      <c r="G1787">
        <v>202006</v>
      </c>
      <c r="H1787" t="s">
        <v>75</v>
      </c>
      <c r="I1787" t="s">
        <v>76</v>
      </c>
      <c r="J1787" t="s">
        <v>77</v>
      </c>
      <c r="K1787" t="s">
        <v>78</v>
      </c>
      <c r="L1787" t="s">
        <v>164</v>
      </c>
      <c r="M1787" t="s">
        <v>165</v>
      </c>
      <c r="N1787" t="s">
        <v>658</v>
      </c>
      <c r="O1787" t="s">
        <v>82</v>
      </c>
      <c r="P1787" t="str">
        <f>"2170720126                    "</f>
        <v xml:space="preserve">2170720126                    </v>
      </c>
      <c r="Q1787">
        <v>0</v>
      </c>
      <c r="R1787">
        <v>0</v>
      </c>
      <c r="S1787">
        <v>0</v>
      </c>
      <c r="T1787">
        <v>0</v>
      </c>
      <c r="U1787">
        <v>0</v>
      </c>
      <c r="V1787">
        <v>0</v>
      </c>
      <c r="W1787">
        <v>0</v>
      </c>
      <c r="X1787">
        <v>0</v>
      </c>
      <c r="Y1787">
        <v>0</v>
      </c>
      <c r="Z1787">
        <v>0</v>
      </c>
      <c r="AA1787">
        <v>0</v>
      </c>
      <c r="AB1787">
        <v>0</v>
      </c>
      <c r="AC1787">
        <v>0</v>
      </c>
      <c r="AD1787">
        <v>0</v>
      </c>
      <c r="AE1787">
        <v>0</v>
      </c>
      <c r="AF1787">
        <v>0</v>
      </c>
      <c r="AG1787">
        <v>0</v>
      </c>
      <c r="AH1787">
        <v>0</v>
      </c>
      <c r="AI1787">
        <v>0</v>
      </c>
      <c r="AJ1787">
        <v>0</v>
      </c>
      <c r="AK1787">
        <v>0</v>
      </c>
      <c r="AL1787">
        <v>0</v>
      </c>
      <c r="AM1787">
        <v>12.87</v>
      </c>
      <c r="AN1787">
        <v>0</v>
      </c>
      <c r="AO1787">
        <v>0</v>
      </c>
      <c r="AP1787">
        <v>0</v>
      </c>
      <c r="AQ1787">
        <v>0</v>
      </c>
      <c r="AR1787">
        <v>0</v>
      </c>
      <c r="AS1787">
        <v>0</v>
      </c>
      <c r="AT1787">
        <v>0</v>
      </c>
      <c r="AU1787">
        <v>0</v>
      </c>
      <c r="AV1787">
        <v>0</v>
      </c>
      <c r="AW1787">
        <v>0</v>
      </c>
      <c r="AX1787">
        <v>0</v>
      </c>
      <c r="AY1787">
        <v>0</v>
      </c>
      <c r="AZ1787">
        <v>0</v>
      </c>
      <c r="BA1787">
        <v>0</v>
      </c>
      <c r="BB1787">
        <v>0</v>
      </c>
      <c r="BC1787">
        <v>0</v>
      </c>
      <c r="BD1787">
        <v>0</v>
      </c>
      <c r="BE1787">
        <v>0</v>
      </c>
      <c r="BF1787">
        <v>0</v>
      </c>
      <c r="BG1787">
        <v>0</v>
      </c>
      <c r="BH1787">
        <v>1</v>
      </c>
      <c r="BI1787">
        <v>2.6</v>
      </c>
      <c r="BJ1787">
        <v>1.4</v>
      </c>
      <c r="BK1787">
        <v>3</v>
      </c>
      <c r="BL1787" s="4">
        <v>75.66</v>
      </c>
      <c r="BM1787" s="4">
        <v>11.35</v>
      </c>
      <c r="BN1787" s="4">
        <v>87.01</v>
      </c>
      <c r="BO1787" s="4">
        <v>87.01</v>
      </c>
      <c r="BR1787" t="s">
        <v>84</v>
      </c>
      <c r="BS1787" s="3">
        <v>43818</v>
      </c>
      <c r="BT1787" s="5">
        <v>0.39583333333333331</v>
      </c>
      <c r="BU1787" t="s">
        <v>1988</v>
      </c>
      <c r="BV1787" t="s">
        <v>86</v>
      </c>
      <c r="BY1787">
        <v>7204.19</v>
      </c>
      <c r="CA1787" t="s">
        <v>1989</v>
      </c>
      <c r="CC1787" t="s">
        <v>165</v>
      </c>
      <c r="CD1787">
        <v>5200</v>
      </c>
      <c r="CE1787" t="s">
        <v>96</v>
      </c>
      <c r="CF1787" s="3">
        <v>43822</v>
      </c>
      <c r="CI1787">
        <v>1</v>
      </c>
      <c r="CJ1787">
        <v>1</v>
      </c>
      <c r="CK1787">
        <v>21</v>
      </c>
      <c r="CL1787" t="s">
        <v>89</v>
      </c>
    </row>
    <row r="1788" spans="1:90">
      <c r="A1788" t="s">
        <v>72</v>
      </c>
      <c r="B1788" t="s">
        <v>73</v>
      </c>
      <c r="C1788" t="s">
        <v>74</v>
      </c>
      <c r="E1788" t="str">
        <f>"FES1162728722"</f>
        <v>FES1162728722</v>
      </c>
      <c r="F1788" s="3">
        <v>43817</v>
      </c>
      <c r="G1788">
        <v>202006</v>
      </c>
      <c r="H1788" t="s">
        <v>75</v>
      </c>
      <c r="I1788" t="s">
        <v>76</v>
      </c>
      <c r="J1788" t="s">
        <v>77</v>
      </c>
      <c r="K1788" t="s">
        <v>78</v>
      </c>
      <c r="L1788" t="s">
        <v>79</v>
      </c>
      <c r="M1788" t="s">
        <v>80</v>
      </c>
      <c r="N1788" t="s">
        <v>97</v>
      </c>
      <c r="O1788" t="s">
        <v>82</v>
      </c>
      <c r="P1788" t="str">
        <f>"2170718441                    "</f>
        <v xml:space="preserve">2170718441                    </v>
      </c>
      <c r="Q1788">
        <v>0</v>
      </c>
      <c r="R1788">
        <v>0</v>
      </c>
      <c r="S1788">
        <v>0</v>
      </c>
      <c r="T1788">
        <v>0</v>
      </c>
      <c r="U1788">
        <v>0</v>
      </c>
      <c r="V1788">
        <v>0</v>
      </c>
      <c r="W1788">
        <v>0</v>
      </c>
      <c r="X1788">
        <v>0</v>
      </c>
      <c r="Y1788">
        <v>0</v>
      </c>
      <c r="Z1788">
        <v>0</v>
      </c>
      <c r="AA1788">
        <v>0</v>
      </c>
      <c r="AB1788">
        <v>0</v>
      </c>
      <c r="AC1788">
        <v>0</v>
      </c>
      <c r="AD1788">
        <v>0</v>
      </c>
      <c r="AE1788">
        <v>0</v>
      </c>
      <c r="AF1788">
        <v>0</v>
      </c>
      <c r="AG1788">
        <v>0</v>
      </c>
      <c r="AH1788">
        <v>0</v>
      </c>
      <c r="AI1788">
        <v>0</v>
      </c>
      <c r="AJ1788">
        <v>0</v>
      </c>
      <c r="AK1788">
        <v>0</v>
      </c>
      <c r="AL1788">
        <v>0</v>
      </c>
      <c r="AM1788">
        <v>12.87</v>
      </c>
      <c r="AN1788">
        <v>0</v>
      </c>
      <c r="AO1788">
        <v>0</v>
      </c>
      <c r="AP1788">
        <v>0</v>
      </c>
      <c r="AQ1788">
        <v>0</v>
      </c>
      <c r="AR1788">
        <v>0</v>
      </c>
      <c r="AS1788">
        <v>0</v>
      </c>
      <c r="AT1788">
        <v>0</v>
      </c>
      <c r="AU1788">
        <v>0</v>
      </c>
      <c r="AV1788">
        <v>0</v>
      </c>
      <c r="AW1788">
        <v>0</v>
      </c>
      <c r="AX1788">
        <v>0</v>
      </c>
      <c r="AY1788">
        <v>0</v>
      </c>
      <c r="AZ1788">
        <v>0</v>
      </c>
      <c r="BA1788">
        <v>0</v>
      </c>
      <c r="BB1788">
        <v>0</v>
      </c>
      <c r="BC1788">
        <v>0</v>
      </c>
      <c r="BD1788">
        <v>0</v>
      </c>
      <c r="BE1788">
        <v>0</v>
      </c>
      <c r="BF1788">
        <v>0</v>
      </c>
      <c r="BG1788">
        <v>0</v>
      </c>
      <c r="BH1788">
        <v>1</v>
      </c>
      <c r="BI1788">
        <v>1</v>
      </c>
      <c r="BJ1788">
        <v>2.6</v>
      </c>
      <c r="BK1788">
        <v>3</v>
      </c>
      <c r="BL1788" s="4">
        <v>75.66</v>
      </c>
      <c r="BM1788" s="4">
        <v>11.35</v>
      </c>
      <c r="BN1788" s="4">
        <v>87.01</v>
      </c>
      <c r="BO1788" s="4">
        <v>87.01</v>
      </c>
      <c r="BQ1788" t="s">
        <v>93</v>
      </c>
      <c r="BR1788" t="s">
        <v>84</v>
      </c>
      <c r="BS1788" s="3">
        <v>43818</v>
      </c>
      <c r="BT1788" s="5">
        <v>0.33333333333333331</v>
      </c>
      <c r="BU1788" t="s">
        <v>600</v>
      </c>
      <c r="BV1788" t="s">
        <v>86</v>
      </c>
      <c r="BY1788">
        <v>13021.89</v>
      </c>
      <c r="CA1788" t="s">
        <v>302</v>
      </c>
      <c r="CC1788" t="s">
        <v>80</v>
      </c>
      <c r="CD1788">
        <v>6001</v>
      </c>
      <c r="CE1788" t="s">
        <v>116</v>
      </c>
      <c r="CF1788" s="3">
        <v>43819</v>
      </c>
      <c r="CI1788">
        <v>1</v>
      </c>
      <c r="CJ1788">
        <v>1</v>
      </c>
      <c r="CK1788">
        <v>21</v>
      </c>
      <c r="CL1788" t="s">
        <v>89</v>
      </c>
    </row>
    <row r="1789" spans="1:90">
      <c r="A1789" t="s">
        <v>72</v>
      </c>
      <c r="B1789" t="s">
        <v>73</v>
      </c>
      <c r="C1789" t="s">
        <v>74</v>
      </c>
      <c r="E1789" t="str">
        <f>"009935712073"</f>
        <v>009935712073</v>
      </c>
      <c r="F1789" s="3">
        <v>43817</v>
      </c>
      <c r="G1789">
        <v>202006</v>
      </c>
      <c r="H1789" t="s">
        <v>75</v>
      </c>
      <c r="I1789" t="s">
        <v>76</v>
      </c>
      <c r="J1789" t="s">
        <v>77</v>
      </c>
      <c r="K1789" t="s">
        <v>78</v>
      </c>
      <c r="L1789" t="s">
        <v>646</v>
      </c>
      <c r="M1789" t="s">
        <v>647</v>
      </c>
      <c r="N1789" t="s">
        <v>2166</v>
      </c>
      <c r="O1789" t="s">
        <v>82</v>
      </c>
      <c r="P1789" t="str">
        <f>"BESTTER                       "</f>
        <v xml:space="preserve">BESTTER                       </v>
      </c>
      <c r="Q1789">
        <v>0</v>
      </c>
      <c r="R1789">
        <v>0</v>
      </c>
      <c r="S1789">
        <v>0</v>
      </c>
      <c r="T1789">
        <v>0</v>
      </c>
      <c r="U1789">
        <v>0</v>
      </c>
      <c r="V1789">
        <v>0</v>
      </c>
      <c r="W1789">
        <v>0</v>
      </c>
      <c r="X1789">
        <v>0</v>
      </c>
      <c r="Y1789">
        <v>0</v>
      </c>
      <c r="Z1789">
        <v>0</v>
      </c>
      <c r="AA1789">
        <v>0</v>
      </c>
      <c r="AB1789">
        <v>0</v>
      </c>
      <c r="AC1789">
        <v>0</v>
      </c>
      <c r="AD1789">
        <v>0</v>
      </c>
      <c r="AE1789">
        <v>0</v>
      </c>
      <c r="AF1789">
        <v>0</v>
      </c>
      <c r="AG1789">
        <v>0</v>
      </c>
      <c r="AH1789">
        <v>0</v>
      </c>
      <c r="AI1789">
        <v>0</v>
      </c>
      <c r="AJ1789">
        <v>0</v>
      </c>
      <c r="AK1789">
        <v>0</v>
      </c>
      <c r="AL1789">
        <v>0</v>
      </c>
      <c r="AM1789">
        <v>12.07</v>
      </c>
      <c r="AN1789">
        <v>0</v>
      </c>
      <c r="AO1789">
        <v>0</v>
      </c>
      <c r="AP1789">
        <v>0</v>
      </c>
      <c r="AQ1789">
        <v>0</v>
      </c>
      <c r="AR1789">
        <v>0</v>
      </c>
      <c r="AS1789">
        <v>0</v>
      </c>
      <c r="AT1789">
        <v>0</v>
      </c>
      <c r="AU1789">
        <v>0</v>
      </c>
      <c r="AV1789">
        <v>0</v>
      </c>
      <c r="AW1789">
        <v>0</v>
      </c>
      <c r="AX1789">
        <v>0</v>
      </c>
      <c r="AY1789">
        <v>0</v>
      </c>
      <c r="AZ1789">
        <v>0</v>
      </c>
      <c r="BA1789">
        <v>0</v>
      </c>
      <c r="BB1789">
        <v>0</v>
      </c>
      <c r="BC1789">
        <v>0</v>
      </c>
      <c r="BD1789">
        <v>0</v>
      </c>
      <c r="BE1789">
        <v>0</v>
      </c>
      <c r="BF1789">
        <v>0</v>
      </c>
      <c r="BG1789">
        <v>0</v>
      </c>
      <c r="BH1789">
        <v>1</v>
      </c>
      <c r="BI1789">
        <v>1</v>
      </c>
      <c r="BJ1789">
        <v>0.2</v>
      </c>
      <c r="BK1789">
        <v>1</v>
      </c>
      <c r="BL1789" s="4">
        <v>70.95</v>
      </c>
      <c r="BM1789" s="4">
        <v>10.64</v>
      </c>
      <c r="BN1789" s="4">
        <v>81.59</v>
      </c>
      <c r="BO1789" s="4">
        <v>81.59</v>
      </c>
      <c r="BP1789" t="s">
        <v>2048</v>
      </c>
      <c r="BR1789" t="s">
        <v>84</v>
      </c>
      <c r="BS1789" s="3">
        <v>43823</v>
      </c>
      <c r="BT1789" s="5">
        <v>0.52361111111111114</v>
      </c>
      <c r="BU1789" t="s">
        <v>2167</v>
      </c>
      <c r="BV1789" t="s">
        <v>89</v>
      </c>
      <c r="BW1789" t="s">
        <v>149</v>
      </c>
      <c r="BX1789" t="s">
        <v>2168</v>
      </c>
      <c r="BY1789">
        <v>1200</v>
      </c>
      <c r="CA1789" t="s">
        <v>2169</v>
      </c>
      <c r="CC1789" t="s">
        <v>647</v>
      </c>
      <c r="CD1789">
        <v>299</v>
      </c>
      <c r="CE1789" t="s">
        <v>88</v>
      </c>
      <c r="CF1789" s="3">
        <v>43829</v>
      </c>
      <c r="CI1789">
        <v>1</v>
      </c>
      <c r="CJ1789">
        <v>4</v>
      </c>
      <c r="CK1789">
        <v>24</v>
      </c>
      <c r="CL1789" t="s">
        <v>89</v>
      </c>
    </row>
    <row r="1790" spans="1:90">
      <c r="A1790" t="s">
        <v>72</v>
      </c>
      <c r="B1790" t="s">
        <v>73</v>
      </c>
      <c r="C1790" t="s">
        <v>74</v>
      </c>
      <c r="E1790" t="str">
        <f>"FES1162728551"</f>
        <v>FES1162728551</v>
      </c>
      <c r="F1790" s="3">
        <v>43817</v>
      </c>
      <c r="G1790">
        <v>202006</v>
      </c>
      <c r="H1790" t="s">
        <v>75</v>
      </c>
      <c r="I1790" t="s">
        <v>76</v>
      </c>
      <c r="J1790" t="s">
        <v>77</v>
      </c>
      <c r="K1790" t="s">
        <v>78</v>
      </c>
      <c r="L1790" t="s">
        <v>164</v>
      </c>
      <c r="M1790" t="s">
        <v>165</v>
      </c>
      <c r="N1790" t="s">
        <v>1282</v>
      </c>
      <c r="O1790" t="s">
        <v>82</v>
      </c>
      <c r="P1790" t="str">
        <f>"2170721809                    "</f>
        <v xml:space="preserve">2170721809                    </v>
      </c>
      <c r="Q1790">
        <v>0</v>
      </c>
      <c r="R1790">
        <v>0</v>
      </c>
      <c r="S1790">
        <v>0</v>
      </c>
      <c r="T1790">
        <v>0</v>
      </c>
      <c r="U1790">
        <v>0</v>
      </c>
      <c r="V1790">
        <v>0</v>
      </c>
      <c r="W1790">
        <v>0</v>
      </c>
      <c r="X1790">
        <v>0</v>
      </c>
      <c r="Y1790">
        <v>0</v>
      </c>
      <c r="Z1790">
        <v>0</v>
      </c>
      <c r="AA1790">
        <v>0</v>
      </c>
      <c r="AB1790">
        <v>0</v>
      </c>
      <c r="AC1790">
        <v>0</v>
      </c>
      <c r="AD1790">
        <v>0</v>
      </c>
      <c r="AE1790">
        <v>0</v>
      </c>
      <c r="AF1790">
        <v>0</v>
      </c>
      <c r="AG1790">
        <v>0</v>
      </c>
      <c r="AH1790">
        <v>0</v>
      </c>
      <c r="AI1790">
        <v>0</v>
      </c>
      <c r="AJ1790">
        <v>0</v>
      </c>
      <c r="AK1790">
        <v>0</v>
      </c>
      <c r="AL1790">
        <v>0</v>
      </c>
      <c r="AM1790">
        <v>25.74</v>
      </c>
      <c r="AN1790">
        <v>0</v>
      </c>
      <c r="AO1790">
        <v>0</v>
      </c>
      <c r="AP1790">
        <v>0</v>
      </c>
      <c r="AQ1790">
        <v>0</v>
      </c>
      <c r="AR1790">
        <v>0</v>
      </c>
      <c r="AS1790">
        <v>0</v>
      </c>
      <c r="AT1790">
        <v>0</v>
      </c>
      <c r="AU1790">
        <v>0</v>
      </c>
      <c r="AV1790">
        <v>0</v>
      </c>
      <c r="AW1790">
        <v>0</v>
      </c>
      <c r="AX1790">
        <v>0</v>
      </c>
      <c r="AY1790">
        <v>0</v>
      </c>
      <c r="AZ1790">
        <v>0</v>
      </c>
      <c r="BA1790">
        <v>0</v>
      </c>
      <c r="BB1790">
        <v>0</v>
      </c>
      <c r="BC1790">
        <v>0</v>
      </c>
      <c r="BD1790">
        <v>0</v>
      </c>
      <c r="BE1790">
        <v>0</v>
      </c>
      <c r="BF1790">
        <v>0</v>
      </c>
      <c r="BG1790">
        <v>0</v>
      </c>
      <c r="BH1790">
        <v>1</v>
      </c>
      <c r="BI1790">
        <v>3.8</v>
      </c>
      <c r="BJ1790">
        <v>5.8</v>
      </c>
      <c r="BK1790">
        <v>6</v>
      </c>
      <c r="BL1790" s="4">
        <v>151.29</v>
      </c>
      <c r="BM1790" s="4">
        <v>22.69</v>
      </c>
      <c r="BN1790" s="4">
        <v>173.98</v>
      </c>
      <c r="BO1790" s="4">
        <v>173.98</v>
      </c>
      <c r="BR1790" t="s">
        <v>84</v>
      </c>
      <c r="BS1790" s="3">
        <v>43818</v>
      </c>
      <c r="BT1790" s="5">
        <v>0.4291666666666667</v>
      </c>
      <c r="BU1790" t="s">
        <v>2170</v>
      </c>
      <c r="BV1790" t="s">
        <v>86</v>
      </c>
      <c r="BY1790">
        <v>29152.15</v>
      </c>
      <c r="CA1790" t="s">
        <v>371</v>
      </c>
      <c r="CC1790" t="s">
        <v>165</v>
      </c>
      <c r="CD1790">
        <v>5201</v>
      </c>
      <c r="CE1790" t="s">
        <v>116</v>
      </c>
      <c r="CF1790" s="3">
        <v>43822</v>
      </c>
      <c r="CI1790">
        <v>1</v>
      </c>
      <c r="CJ1790">
        <v>1</v>
      </c>
      <c r="CK1790">
        <v>21</v>
      </c>
      <c r="CL1790" t="s">
        <v>89</v>
      </c>
    </row>
    <row r="1791" spans="1:90">
      <c r="A1791" t="s">
        <v>72</v>
      </c>
      <c r="B1791" t="s">
        <v>73</v>
      </c>
      <c r="C1791" t="s">
        <v>74</v>
      </c>
      <c r="E1791" t="str">
        <f>"FES1162728788"</f>
        <v>FES1162728788</v>
      </c>
      <c r="F1791" s="3">
        <v>43817</v>
      </c>
      <c r="G1791">
        <v>202006</v>
      </c>
      <c r="H1791" t="s">
        <v>75</v>
      </c>
      <c r="I1791" t="s">
        <v>76</v>
      </c>
      <c r="J1791" t="s">
        <v>77</v>
      </c>
      <c r="K1791" t="s">
        <v>78</v>
      </c>
      <c r="L1791" t="s">
        <v>164</v>
      </c>
      <c r="M1791" t="s">
        <v>165</v>
      </c>
      <c r="N1791" t="s">
        <v>238</v>
      </c>
      <c r="O1791" t="s">
        <v>82</v>
      </c>
      <c r="P1791" t="str">
        <f>"2170721982                    "</f>
        <v xml:space="preserve">2170721982                    </v>
      </c>
      <c r="Q1791">
        <v>0</v>
      </c>
      <c r="R1791">
        <v>0</v>
      </c>
      <c r="S1791">
        <v>0</v>
      </c>
      <c r="T1791">
        <v>0</v>
      </c>
      <c r="U1791">
        <v>0</v>
      </c>
      <c r="V1791">
        <v>0</v>
      </c>
      <c r="W1791">
        <v>0</v>
      </c>
      <c r="X1791">
        <v>0</v>
      </c>
      <c r="Y1791">
        <v>0</v>
      </c>
      <c r="Z1791">
        <v>0</v>
      </c>
      <c r="AA1791">
        <v>0</v>
      </c>
      <c r="AB1791">
        <v>0</v>
      </c>
      <c r="AC1791">
        <v>0</v>
      </c>
      <c r="AD1791">
        <v>0</v>
      </c>
      <c r="AE1791">
        <v>0</v>
      </c>
      <c r="AF1791">
        <v>0</v>
      </c>
      <c r="AG1791">
        <v>0</v>
      </c>
      <c r="AH1791">
        <v>0</v>
      </c>
      <c r="AI1791">
        <v>0</v>
      </c>
      <c r="AJ1791">
        <v>0</v>
      </c>
      <c r="AK1791">
        <v>0</v>
      </c>
      <c r="AL1791">
        <v>0</v>
      </c>
      <c r="AM1791">
        <v>15.02</v>
      </c>
      <c r="AN1791">
        <v>0</v>
      </c>
      <c r="AO1791">
        <v>0</v>
      </c>
      <c r="AP1791">
        <v>0</v>
      </c>
      <c r="AQ1791">
        <v>0</v>
      </c>
      <c r="AR1791">
        <v>0</v>
      </c>
      <c r="AS1791">
        <v>0</v>
      </c>
      <c r="AT1791">
        <v>0</v>
      </c>
      <c r="AU1791">
        <v>0</v>
      </c>
      <c r="AV1791">
        <v>0</v>
      </c>
      <c r="AW1791">
        <v>0</v>
      </c>
      <c r="AX1791">
        <v>0</v>
      </c>
      <c r="AY1791">
        <v>0</v>
      </c>
      <c r="AZ1791">
        <v>0</v>
      </c>
      <c r="BA1791">
        <v>0</v>
      </c>
      <c r="BB1791">
        <v>0</v>
      </c>
      <c r="BC1791">
        <v>0</v>
      </c>
      <c r="BD1791">
        <v>0</v>
      </c>
      <c r="BE1791">
        <v>0</v>
      </c>
      <c r="BF1791">
        <v>0</v>
      </c>
      <c r="BG1791">
        <v>0</v>
      </c>
      <c r="BH1791">
        <v>1</v>
      </c>
      <c r="BI1791">
        <v>3.2</v>
      </c>
      <c r="BJ1791">
        <v>1.9</v>
      </c>
      <c r="BK1791">
        <v>3.5</v>
      </c>
      <c r="BL1791" s="4">
        <v>88.27</v>
      </c>
      <c r="BM1791" s="4">
        <v>13.24</v>
      </c>
      <c r="BN1791" s="4">
        <v>101.51</v>
      </c>
      <c r="BO1791" s="4">
        <v>101.51</v>
      </c>
      <c r="BQ1791" t="s">
        <v>147</v>
      </c>
      <c r="BR1791" t="s">
        <v>84</v>
      </c>
      <c r="BS1791" s="3">
        <v>43818</v>
      </c>
      <c r="BT1791" s="5">
        <v>0.39583333333333331</v>
      </c>
      <c r="BU1791" t="s">
        <v>239</v>
      </c>
      <c r="BV1791" t="s">
        <v>86</v>
      </c>
      <c r="BY1791">
        <v>9597.56</v>
      </c>
      <c r="CA1791" t="s">
        <v>168</v>
      </c>
      <c r="CC1791" t="s">
        <v>165</v>
      </c>
      <c r="CD1791">
        <v>5201</v>
      </c>
      <c r="CE1791" t="s">
        <v>96</v>
      </c>
      <c r="CF1791" s="3">
        <v>43822</v>
      </c>
      <c r="CI1791">
        <v>1</v>
      </c>
      <c r="CJ1791">
        <v>1</v>
      </c>
      <c r="CK1791">
        <v>21</v>
      </c>
      <c r="CL1791" t="s">
        <v>89</v>
      </c>
    </row>
    <row r="1792" spans="1:90">
      <c r="A1792" t="s">
        <v>72</v>
      </c>
      <c r="B1792" t="s">
        <v>73</v>
      </c>
      <c r="C1792" t="s">
        <v>74</v>
      </c>
      <c r="E1792" t="str">
        <f>"FES1162728742"</f>
        <v>FES1162728742</v>
      </c>
      <c r="F1792" s="3">
        <v>43817</v>
      </c>
      <c r="G1792">
        <v>202006</v>
      </c>
      <c r="H1792" t="s">
        <v>75</v>
      </c>
      <c r="I1792" t="s">
        <v>76</v>
      </c>
      <c r="J1792" t="s">
        <v>77</v>
      </c>
      <c r="K1792" t="s">
        <v>78</v>
      </c>
      <c r="L1792" t="s">
        <v>79</v>
      </c>
      <c r="M1792" t="s">
        <v>80</v>
      </c>
      <c r="N1792" t="s">
        <v>129</v>
      </c>
      <c r="O1792" t="s">
        <v>82</v>
      </c>
      <c r="P1792" t="str">
        <f>"2170721929                    "</f>
        <v xml:space="preserve">2170721929                    </v>
      </c>
      <c r="Q1792">
        <v>0</v>
      </c>
      <c r="R1792">
        <v>0</v>
      </c>
      <c r="S1792">
        <v>0</v>
      </c>
      <c r="T1792">
        <v>0</v>
      </c>
      <c r="U1792">
        <v>0</v>
      </c>
      <c r="V1792">
        <v>0</v>
      </c>
      <c r="W1792">
        <v>0</v>
      </c>
      <c r="X1792">
        <v>0</v>
      </c>
      <c r="Y1792">
        <v>0</v>
      </c>
      <c r="Z1792">
        <v>0</v>
      </c>
      <c r="AA1792">
        <v>0</v>
      </c>
      <c r="AB1792">
        <v>0</v>
      </c>
      <c r="AC1792">
        <v>0</v>
      </c>
      <c r="AD1792">
        <v>0</v>
      </c>
      <c r="AE1792">
        <v>0</v>
      </c>
      <c r="AF1792">
        <v>0</v>
      </c>
      <c r="AG1792">
        <v>0</v>
      </c>
      <c r="AH1792">
        <v>0</v>
      </c>
      <c r="AI1792">
        <v>0</v>
      </c>
      <c r="AJ1792">
        <v>0</v>
      </c>
      <c r="AK1792">
        <v>0</v>
      </c>
      <c r="AL1792">
        <v>0</v>
      </c>
      <c r="AM1792">
        <v>55.76</v>
      </c>
      <c r="AN1792">
        <v>0</v>
      </c>
      <c r="AO1792">
        <v>0</v>
      </c>
      <c r="AP1792">
        <v>0</v>
      </c>
      <c r="AQ1792">
        <v>0</v>
      </c>
      <c r="AR1792">
        <v>0</v>
      </c>
      <c r="AS1792">
        <v>0</v>
      </c>
      <c r="AT1792">
        <v>0</v>
      </c>
      <c r="AU1792">
        <v>0</v>
      </c>
      <c r="AV1792">
        <v>0</v>
      </c>
      <c r="AW1792">
        <v>0</v>
      </c>
      <c r="AX1792">
        <v>0</v>
      </c>
      <c r="AY1792">
        <v>0</v>
      </c>
      <c r="AZ1792">
        <v>0</v>
      </c>
      <c r="BA1792">
        <v>0</v>
      </c>
      <c r="BB1792">
        <v>0</v>
      </c>
      <c r="BC1792">
        <v>0</v>
      </c>
      <c r="BD1792">
        <v>0</v>
      </c>
      <c r="BE1792">
        <v>0</v>
      </c>
      <c r="BF1792">
        <v>0</v>
      </c>
      <c r="BG1792">
        <v>0</v>
      </c>
      <c r="BH1792">
        <v>1</v>
      </c>
      <c r="BI1792">
        <v>9.1</v>
      </c>
      <c r="BJ1792">
        <v>12.9</v>
      </c>
      <c r="BK1792">
        <v>13</v>
      </c>
      <c r="BL1792" s="4">
        <v>327.75</v>
      </c>
      <c r="BM1792" s="4">
        <v>49.16</v>
      </c>
      <c r="BN1792" s="4">
        <v>376.91</v>
      </c>
      <c r="BO1792" s="4">
        <v>376.91</v>
      </c>
      <c r="BQ1792" t="s">
        <v>147</v>
      </c>
      <c r="BR1792" t="s">
        <v>84</v>
      </c>
      <c r="BS1792" s="3">
        <v>43818</v>
      </c>
      <c r="BT1792" s="5">
        <v>0.38680555555555557</v>
      </c>
      <c r="BU1792" t="s">
        <v>130</v>
      </c>
      <c r="BV1792" t="s">
        <v>86</v>
      </c>
      <c r="BY1792">
        <v>64562.38</v>
      </c>
      <c r="CA1792" t="s">
        <v>131</v>
      </c>
      <c r="CC1792" t="s">
        <v>80</v>
      </c>
      <c r="CD1792">
        <v>6001</v>
      </c>
      <c r="CE1792" t="s">
        <v>116</v>
      </c>
      <c r="CF1792" s="3">
        <v>43819</v>
      </c>
      <c r="CI1792">
        <v>1</v>
      </c>
      <c r="CJ1792">
        <v>1</v>
      </c>
      <c r="CK1792">
        <v>21</v>
      </c>
      <c r="CL1792" t="s">
        <v>89</v>
      </c>
    </row>
    <row r="1793" spans="1:90">
      <c r="A1793" t="s">
        <v>72</v>
      </c>
      <c r="B1793" t="s">
        <v>73</v>
      </c>
      <c r="C1793" t="s">
        <v>74</v>
      </c>
      <c r="E1793" t="str">
        <f>"FES1162728582"</f>
        <v>FES1162728582</v>
      </c>
      <c r="F1793" s="3">
        <v>43817</v>
      </c>
      <c r="G1793">
        <v>202006</v>
      </c>
      <c r="H1793" t="s">
        <v>75</v>
      </c>
      <c r="I1793" t="s">
        <v>76</v>
      </c>
      <c r="J1793" t="s">
        <v>77</v>
      </c>
      <c r="K1793" t="s">
        <v>78</v>
      </c>
      <c r="L1793" t="s">
        <v>79</v>
      </c>
      <c r="M1793" t="s">
        <v>80</v>
      </c>
      <c r="N1793" t="s">
        <v>1101</v>
      </c>
      <c r="O1793" t="s">
        <v>82</v>
      </c>
      <c r="P1793" t="str">
        <f>"2170721549                    "</f>
        <v xml:space="preserve">2170721549                    </v>
      </c>
      <c r="Q1793">
        <v>0</v>
      </c>
      <c r="R1793">
        <v>0</v>
      </c>
      <c r="S1793">
        <v>0</v>
      </c>
      <c r="T1793">
        <v>0</v>
      </c>
      <c r="U1793">
        <v>0</v>
      </c>
      <c r="V1793">
        <v>0</v>
      </c>
      <c r="W1793">
        <v>0</v>
      </c>
      <c r="X1793">
        <v>0</v>
      </c>
      <c r="Y1793">
        <v>0</v>
      </c>
      <c r="Z1793">
        <v>0</v>
      </c>
      <c r="AA1793">
        <v>0</v>
      </c>
      <c r="AB1793">
        <v>0</v>
      </c>
      <c r="AC1793">
        <v>0</v>
      </c>
      <c r="AD1793">
        <v>0</v>
      </c>
      <c r="AE1793">
        <v>0</v>
      </c>
      <c r="AF1793">
        <v>0</v>
      </c>
      <c r="AG1793">
        <v>0</v>
      </c>
      <c r="AH1793">
        <v>0</v>
      </c>
      <c r="AI1793">
        <v>0</v>
      </c>
      <c r="AJ1793">
        <v>0</v>
      </c>
      <c r="AK1793">
        <v>0</v>
      </c>
      <c r="AL1793">
        <v>0</v>
      </c>
      <c r="AM1793">
        <v>77.2</v>
      </c>
      <c r="AN1793">
        <v>0</v>
      </c>
      <c r="AO1793">
        <v>0</v>
      </c>
      <c r="AP1793">
        <v>0</v>
      </c>
      <c r="AQ1793">
        <v>0</v>
      </c>
      <c r="AR1793">
        <v>0</v>
      </c>
      <c r="AS1793">
        <v>0</v>
      </c>
      <c r="AT1793">
        <v>0</v>
      </c>
      <c r="AU1793">
        <v>0</v>
      </c>
      <c r="AV1793">
        <v>0</v>
      </c>
      <c r="AW1793">
        <v>0</v>
      </c>
      <c r="AX1793">
        <v>0</v>
      </c>
      <c r="AY1793">
        <v>0</v>
      </c>
      <c r="AZ1793">
        <v>0</v>
      </c>
      <c r="BA1793">
        <v>0</v>
      </c>
      <c r="BB1793">
        <v>0</v>
      </c>
      <c r="BC1793">
        <v>0</v>
      </c>
      <c r="BD1793">
        <v>0</v>
      </c>
      <c r="BE1793">
        <v>0</v>
      </c>
      <c r="BF1793">
        <v>0</v>
      </c>
      <c r="BG1793">
        <v>0</v>
      </c>
      <c r="BH1793">
        <v>1</v>
      </c>
      <c r="BI1793">
        <v>15.6</v>
      </c>
      <c r="BJ1793">
        <v>17.7</v>
      </c>
      <c r="BK1793">
        <v>18</v>
      </c>
      <c r="BL1793" s="4">
        <v>453.79</v>
      </c>
      <c r="BM1793" s="4">
        <v>68.069999999999993</v>
      </c>
      <c r="BN1793" s="4">
        <v>521.86</v>
      </c>
      <c r="BO1793" s="4">
        <v>521.86</v>
      </c>
      <c r="BQ1793" t="s">
        <v>147</v>
      </c>
      <c r="BR1793" t="s">
        <v>84</v>
      </c>
      <c r="BS1793" s="3">
        <v>43818</v>
      </c>
      <c r="BT1793" s="5">
        <v>0.39930555555555558</v>
      </c>
      <c r="BU1793" t="s">
        <v>2158</v>
      </c>
      <c r="BV1793" t="s">
        <v>86</v>
      </c>
      <c r="BY1793">
        <v>88577.279999999999</v>
      </c>
      <c r="CA1793" t="s">
        <v>419</v>
      </c>
      <c r="CC1793" t="s">
        <v>80</v>
      </c>
      <c r="CD1793">
        <v>6001</v>
      </c>
      <c r="CE1793" t="s">
        <v>96</v>
      </c>
      <c r="CF1793" s="3">
        <v>43819</v>
      </c>
      <c r="CI1793">
        <v>1</v>
      </c>
      <c r="CJ1793">
        <v>1</v>
      </c>
      <c r="CK1793">
        <v>21</v>
      </c>
      <c r="CL1793" t="s">
        <v>89</v>
      </c>
    </row>
    <row r="1794" spans="1:90">
      <c r="A1794" t="s">
        <v>72</v>
      </c>
      <c r="B1794" t="s">
        <v>73</v>
      </c>
      <c r="C1794" t="s">
        <v>74</v>
      </c>
      <c r="E1794" t="str">
        <f>"FES1162728070"</f>
        <v>FES1162728070</v>
      </c>
      <c r="F1794" s="3">
        <v>43817</v>
      </c>
      <c r="G1794">
        <v>202006</v>
      </c>
      <c r="H1794" t="s">
        <v>75</v>
      </c>
      <c r="I1794" t="s">
        <v>76</v>
      </c>
      <c r="J1794" t="s">
        <v>77</v>
      </c>
      <c r="K1794" t="s">
        <v>78</v>
      </c>
      <c r="L1794" t="s">
        <v>79</v>
      </c>
      <c r="M1794" t="s">
        <v>80</v>
      </c>
      <c r="N1794" t="s">
        <v>97</v>
      </c>
      <c r="O1794" t="s">
        <v>82</v>
      </c>
      <c r="P1794" t="str">
        <f>"2170718227                    "</f>
        <v xml:space="preserve">2170718227                    </v>
      </c>
      <c r="Q1794">
        <v>0</v>
      </c>
      <c r="R1794">
        <v>0</v>
      </c>
      <c r="S1794">
        <v>0</v>
      </c>
      <c r="T1794">
        <v>0</v>
      </c>
      <c r="U1794">
        <v>0</v>
      </c>
      <c r="V1794">
        <v>0</v>
      </c>
      <c r="W1794">
        <v>0</v>
      </c>
      <c r="X1794">
        <v>0</v>
      </c>
      <c r="Y1794">
        <v>0</v>
      </c>
      <c r="Z1794">
        <v>0</v>
      </c>
      <c r="AA1794">
        <v>0</v>
      </c>
      <c r="AB1794">
        <v>0</v>
      </c>
      <c r="AC1794">
        <v>0</v>
      </c>
      <c r="AD1794">
        <v>0</v>
      </c>
      <c r="AE1794">
        <v>0</v>
      </c>
      <c r="AF1794">
        <v>0</v>
      </c>
      <c r="AG1794">
        <v>0</v>
      </c>
      <c r="AH1794">
        <v>0</v>
      </c>
      <c r="AI1794">
        <v>0</v>
      </c>
      <c r="AJ1794">
        <v>0</v>
      </c>
      <c r="AK1794">
        <v>0</v>
      </c>
      <c r="AL1794">
        <v>0</v>
      </c>
      <c r="AM1794">
        <v>15.02</v>
      </c>
      <c r="AN1794">
        <v>0</v>
      </c>
      <c r="AO1794">
        <v>0</v>
      </c>
      <c r="AP1794">
        <v>0</v>
      </c>
      <c r="AQ1794">
        <v>0</v>
      </c>
      <c r="AR1794">
        <v>0</v>
      </c>
      <c r="AS1794">
        <v>0</v>
      </c>
      <c r="AT1794">
        <v>0</v>
      </c>
      <c r="AU1794">
        <v>0</v>
      </c>
      <c r="AV1794">
        <v>0</v>
      </c>
      <c r="AW1794">
        <v>0</v>
      </c>
      <c r="AX1794">
        <v>0</v>
      </c>
      <c r="AY1794">
        <v>0</v>
      </c>
      <c r="AZ1794">
        <v>0</v>
      </c>
      <c r="BA1794">
        <v>0</v>
      </c>
      <c r="BB1794">
        <v>0</v>
      </c>
      <c r="BC1794">
        <v>0</v>
      </c>
      <c r="BD1794">
        <v>0</v>
      </c>
      <c r="BE1794">
        <v>0</v>
      </c>
      <c r="BF1794">
        <v>0</v>
      </c>
      <c r="BG1794">
        <v>0</v>
      </c>
      <c r="BH1794">
        <v>2</v>
      </c>
      <c r="BI1794">
        <v>3.3</v>
      </c>
      <c r="BJ1794">
        <v>2.9</v>
      </c>
      <c r="BK1794">
        <v>3.5</v>
      </c>
      <c r="BL1794" s="4">
        <v>88.27</v>
      </c>
      <c r="BM1794" s="4">
        <v>13.24</v>
      </c>
      <c r="BN1794" s="4">
        <v>101.51</v>
      </c>
      <c r="BO1794" s="4">
        <v>101.51</v>
      </c>
      <c r="BQ1794" t="s">
        <v>93</v>
      </c>
      <c r="BR1794" t="s">
        <v>84</v>
      </c>
      <c r="BS1794" s="3">
        <v>43818</v>
      </c>
      <c r="BT1794" s="5">
        <v>0.33333333333333331</v>
      </c>
      <c r="BU1794" t="s">
        <v>600</v>
      </c>
      <c r="BV1794" t="s">
        <v>86</v>
      </c>
      <c r="BY1794">
        <v>14517.86</v>
      </c>
      <c r="CA1794" t="s">
        <v>302</v>
      </c>
      <c r="CC1794" t="s">
        <v>80</v>
      </c>
      <c r="CD1794">
        <v>6001</v>
      </c>
      <c r="CE1794" t="s">
        <v>413</v>
      </c>
      <c r="CF1794" s="3">
        <v>43819</v>
      </c>
      <c r="CI1794">
        <v>1</v>
      </c>
      <c r="CJ1794">
        <v>1</v>
      </c>
      <c r="CK1794">
        <v>21</v>
      </c>
      <c r="CL1794" t="s">
        <v>89</v>
      </c>
    </row>
    <row r="1795" spans="1:90">
      <c r="A1795" t="s">
        <v>72</v>
      </c>
      <c r="B1795" t="s">
        <v>73</v>
      </c>
      <c r="C1795" t="s">
        <v>74</v>
      </c>
      <c r="E1795" t="str">
        <f>"FES1162728923"</f>
        <v>FES1162728923</v>
      </c>
      <c r="F1795" s="3">
        <v>43817</v>
      </c>
      <c r="G1795">
        <v>202006</v>
      </c>
      <c r="H1795" t="s">
        <v>75</v>
      </c>
      <c r="I1795" t="s">
        <v>76</v>
      </c>
      <c r="J1795" t="s">
        <v>77</v>
      </c>
      <c r="K1795" t="s">
        <v>78</v>
      </c>
      <c r="L1795" t="s">
        <v>198</v>
      </c>
      <c r="M1795" t="s">
        <v>199</v>
      </c>
      <c r="N1795" t="s">
        <v>639</v>
      </c>
      <c r="O1795" t="s">
        <v>82</v>
      </c>
      <c r="P1795" t="str">
        <f>"2170722022                    "</f>
        <v xml:space="preserve">2170722022                    </v>
      </c>
      <c r="Q1795">
        <v>0</v>
      </c>
      <c r="R1795">
        <v>0</v>
      </c>
      <c r="S1795">
        <v>0</v>
      </c>
      <c r="T1795">
        <v>0</v>
      </c>
      <c r="U1795">
        <v>0</v>
      </c>
      <c r="V1795">
        <v>0</v>
      </c>
      <c r="W1795">
        <v>0</v>
      </c>
      <c r="X1795">
        <v>0</v>
      </c>
      <c r="Y1795">
        <v>0</v>
      </c>
      <c r="Z1795">
        <v>0</v>
      </c>
      <c r="AA1795">
        <v>0</v>
      </c>
      <c r="AB1795">
        <v>0</v>
      </c>
      <c r="AC1795">
        <v>0</v>
      </c>
      <c r="AD1795">
        <v>0</v>
      </c>
      <c r="AE1795">
        <v>0</v>
      </c>
      <c r="AF1795">
        <v>0</v>
      </c>
      <c r="AG1795">
        <v>0</v>
      </c>
      <c r="AH1795">
        <v>0</v>
      </c>
      <c r="AI1795">
        <v>0</v>
      </c>
      <c r="AJ1795">
        <v>0</v>
      </c>
      <c r="AK1795">
        <v>0</v>
      </c>
      <c r="AL1795">
        <v>0</v>
      </c>
      <c r="AM1795">
        <v>36.46</v>
      </c>
      <c r="AN1795">
        <v>0</v>
      </c>
      <c r="AO1795">
        <v>0</v>
      </c>
      <c r="AP1795">
        <v>0</v>
      </c>
      <c r="AQ1795">
        <v>0</v>
      </c>
      <c r="AR1795">
        <v>0</v>
      </c>
      <c r="AS1795">
        <v>0</v>
      </c>
      <c r="AT1795">
        <v>0</v>
      </c>
      <c r="AU1795">
        <v>0</v>
      </c>
      <c r="AV1795">
        <v>0</v>
      </c>
      <c r="AW1795">
        <v>0</v>
      </c>
      <c r="AX1795">
        <v>0</v>
      </c>
      <c r="AY1795">
        <v>0</v>
      </c>
      <c r="AZ1795">
        <v>0</v>
      </c>
      <c r="BA1795">
        <v>0</v>
      </c>
      <c r="BB1795">
        <v>0</v>
      </c>
      <c r="BC1795">
        <v>0</v>
      </c>
      <c r="BD1795">
        <v>0</v>
      </c>
      <c r="BE1795">
        <v>0</v>
      </c>
      <c r="BF1795">
        <v>0</v>
      </c>
      <c r="BG1795">
        <v>0</v>
      </c>
      <c r="BH1795">
        <v>1</v>
      </c>
      <c r="BI1795">
        <v>6.4</v>
      </c>
      <c r="BJ1795">
        <v>8.5</v>
      </c>
      <c r="BK1795">
        <v>8.5</v>
      </c>
      <c r="BL1795" s="4">
        <v>214.31</v>
      </c>
      <c r="BM1795" s="4">
        <v>32.15</v>
      </c>
      <c r="BN1795" s="4">
        <v>246.46</v>
      </c>
      <c r="BO1795" s="4">
        <v>246.46</v>
      </c>
      <c r="BQ1795" t="s">
        <v>640</v>
      </c>
      <c r="BR1795" t="s">
        <v>84</v>
      </c>
      <c r="BS1795" s="3">
        <v>43818</v>
      </c>
      <c r="BT1795" s="5">
        <v>0.32430555555555557</v>
      </c>
      <c r="BU1795" t="s">
        <v>641</v>
      </c>
      <c r="BV1795" t="s">
        <v>86</v>
      </c>
      <c r="BY1795">
        <v>42352.85</v>
      </c>
      <c r="CA1795" t="s">
        <v>408</v>
      </c>
      <c r="CC1795" t="s">
        <v>199</v>
      </c>
      <c r="CD1795">
        <v>4052</v>
      </c>
      <c r="CE1795" t="s">
        <v>116</v>
      </c>
      <c r="CF1795" s="3">
        <v>43819</v>
      </c>
      <c r="CI1795">
        <v>1</v>
      </c>
      <c r="CJ1795">
        <v>1</v>
      </c>
      <c r="CK1795">
        <v>21</v>
      </c>
      <c r="CL1795" t="s">
        <v>89</v>
      </c>
    </row>
    <row r="1796" spans="1:90">
      <c r="A1796" t="s">
        <v>72</v>
      </c>
      <c r="B1796" t="s">
        <v>73</v>
      </c>
      <c r="C1796" t="s">
        <v>74</v>
      </c>
      <c r="E1796" t="str">
        <f>"FES1162728522"</f>
        <v>FES1162728522</v>
      </c>
      <c r="F1796" s="3">
        <v>43817</v>
      </c>
      <c r="G1796">
        <v>202006</v>
      </c>
      <c r="H1796" t="s">
        <v>75</v>
      </c>
      <c r="I1796" t="s">
        <v>76</v>
      </c>
      <c r="J1796" t="s">
        <v>77</v>
      </c>
      <c r="K1796" t="s">
        <v>78</v>
      </c>
      <c r="L1796" t="s">
        <v>332</v>
      </c>
      <c r="M1796" t="s">
        <v>333</v>
      </c>
      <c r="N1796" t="s">
        <v>1756</v>
      </c>
      <c r="O1796" t="s">
        <v>82</v>
      </c>
      <c r="P1796" t="str">
        <f>"2170718941                    "</f>
        <v xml:space="preserve">2170718941                    </v>
      </c>
      <c r="Q1796">
        <v>0</v>
      </c>
      <c r="R1796">
        <v>0</v>
      </c>
      <c r="S1796">
        <v>0</v>
      </c>
      <c r="T1796">
        <v>0</v>
      </c>
      <c r="U1796">
        <v>0</v>
      </c>
      <c r="V1796">
        <v>0</v>
      </c>
      <c r="W1796">
        <v>0</v>
      </c>
      <c r="X1796">
        <v>0</v>
      </c>
      <c r="Y1796">
        <v>0</v>
      </c>
      <c r="Z1796">
        <v>0</v>
      </c>
      <c r="AA1796">
        <v>0</v>
      </c>
      <c r="AB1796">
        <v>0</v>
      </c>
      <c r="AC1796">
        <v>0</v>
      </c>
      <c r="AD1796">
        <v>0</v>
      </c>
      <c r="AE1796">
        <v>0</v>
      </c>
      <c r="AF1796">
        <v>0</v>
      </c>
      <c r="AG1796">
        <v>0</v>
      </c>
      <c r="AH1796">
        <v>0</v>
      </c>
      <c r="AI1796">
        <v>0</v>
      </c>
      <c r="AJ1796">
        <v>0</v>
      </c>
      <c r="AK1796">
        <v>0</v>
      </c>
      <c r="AL1796">
        <v>0</v>
      </c>
      <c r="AM1796">
        <v>6.71</v>
      </c>
      <c r="AN1796">
        <v>0</v>
      </c>
      <c r="AO1796">
        <v>0</v>
      </c>
      <c r="AP1796">
        <v>0</v>
      </c>
      <c r="AQ1796">
        <v>0</v>
      </c>
      <c r="AR1796">
        <v>0</v>
      </c>
      <c r="AS1796">
        <v>0</v>
      </c>
      <c r="AT1796">
        <v>0</v>
      </c>
      <c r="AU1796">
        <v>0</v>
      </c>
      <c r="AV1796">
        <v>0</v>
      </c>
      <c r="AW1796">
        <v>0</v>
      </c>
      <c r="AX1796">
        <v>0</v>
      </c>
      <c r="AY1796">
        <v>0</v>
      </c>
      <c r="AZ1796">
        <v>0</v>
      </c>
      <c r="BA1796">
        <v>0</v>
      </c>
      <c r="BB1796">
        <v>0</v>
      </c>
      <c r="BC1796">
        <v>0</v>
      </c>
      <c r="BD1796">
        <v>0</v>
      </c>
      <c r="BE1796">
        <v>0</v>
      </c>
      <c r="BF1796">
        <v>0</v>
      </c>
      <c r="BG1796">
        <v>0</v>
      </c>
      <c r="BH1796">
        <v>1</v>
      </c>
      <c r="BI1796">
        <v>0.2</v>
      </c>
      <c r="BJ1796">
        <v>0.8</v>
      </c>
      <c r="BK1796">
        <v>1</v>
      </c>
      <c r="BL1796" s="4">
        <v>39.42</v>
      </c>
      <c r="BM1796" s="4">
        <v>5.91</v>
      </c>
      <c r="BN1796" s="4">
        <v>45.33</v>
      </c>
      <c r="BO1796" s="4">
        <v>45.33</v>
      </c>
      <c r="BQ1796" t="s">
        <v>135</v>
      </c>
      <c r="BR1796" t="s">
        <v>84</v>
      </c>
      <c r="BS1796" s="3">
        <v>43819</v>
      </c>
      <c r="BT1796" s="5">
        <v>0.33333333333333331</v>
      </c>
      <c r="BU1796" t="s">
        <v>1009</v>
      </c>
      <c r="BV1796" t="s">
        <v>89</v>
      </c>
      <c r="BW1796" t="s">
        <v>149</v>
      </c>
      <c r="BX1796" t="s">
        <v>2005</v>
      </c>
      <c r="BY1796">
        <v>3778.36</v>
      </c>
      <c r="CC1796" t="s">
        <v>333</v>
      </c>
      <c r="CD1796">
        <v>2013</v>
      </c>
      <c r="CE1796" t="s">
        <v>116</v>
      </c>
      <c r="CF1796" s="3">
        <v>43822</v>
      </c>
      <c r="CI1796">
        <v>1</v>
      </c>
      <c r="CJ1796">
        <v>2</v>
      </c>
      <c r="CK1796">
        <v>22</v>
      </c>
      <c r="CL1796" t="s">
        <v>89</v>
      </c>
    </row>
    <row r="1797" spans="1:90">
      <c r="A1797" t="s">
        <v>72</v>
      </c>
      <c r="B1797" t="s">
        <v>73</v>
      </c>
      <c r="C1797" t="s">
        <v>74</v>
      </c>
      <c r="E1797" t="str">
        <f>"FES1162728838"</f>
        <v>FES1162728838</v>
      </c>
      <c r="F1797" s="3">
        <v>43817</v>
      </c>
      <c r="G1797">
        <v>202006</v>
      </c>
      <c r="H1797" t="s">
        <v>75</v>
      </c>
      <c r="I1797" t="s">
        <v>76</v>
      </c>
      <c r="J1797" t="s">
        <v>77</v>
      </c>
      <c r="K1797" t="s">
        <v>78</v>
      </c>
      <c r="L1797" t="s">
        <v>332</v>
      </c>
      <c r="M1797" t="s">
        <v>333</v>
      </c>
      <c r="N1797" t="s">
        <v>978</v>
      </c>
      <c r="O1797" t="s">
        <v>82</v>
      </c>
      <c r="P1797" t="str">
        <f>"2170712080                    "</f>
        <v xml:space="preserve">2170712080                    </v>
      </c>
      <c r="Q1797">
        <v>0</v>
      </c>
      <c r="R1797">
        <v>0</v>
      </c>
      <c r="S1797">
        <v>0</v>
      </c>
      <c r="T1797">
        <v>0</v>
      </c>
      <c r="U1797">
        <v>0</v>
      </c>
      <c r="V1797">
        <v>0</v>
      </c>
      <c r="W1797">
        <v>0</v>
      </c>
      <c r="X1797">
        <v>0</v>
      </c>
      <c r="Y1797">
        <v>0</v>
      </c>
      <c r="Z1797">
        <v>0</v>
      </c>
      <c r="AA1797">
        <v>0</v>
      </c>
      <c r="AB1797">
        <v>0</v>
      </c>
      <c r="AC1797">
        <v>0</v>
      </c>
      <c r="AD1797">
        <v>0</v>
      </c>
      <c r="AE1797">
        <v>0</v>
      </c>
      <c r="AF1797">
        <v>0</v>
      </c>
      <c r="AG1797">
        <v>0</v>
      </c>
      <c r="AH1797">
        <v>0</v>
      </c>
      <c r="AI1797">
        <v>0</v>
      </c>
      <c r="AJ1797">
        <v>0</v>
      </c>
      <c r="AK1797">
        <v>0</v>
      </c>
      <c r="AL1797">
        <v>0</v>
      </c>
      <c r="AM1797">
        <v>8.31</v>
      </c>
      <c r="AN1797">
        <v>0</v>
      </c>
      <c r="AO1797">
        <v>0</v>
      </c>
      <c r="AP1797">
        <v>0</v>
      </c>
      <c r="AQ1797">
        <v>0</v>
      </c>
      <c r="AR1797">
        <v>0</v>
      </c>
      <c r="AS1797">
        <v>0</v>
      </c>
      <c r="AT1797">
        <v>0</v>
      </c>
      <c r="AU1797">
        <v>0</v>
      </c>
      <c r="AV1797">
        <v>0</v>
      </c>
      <c r="AW1797">
        <v>0</v>
      </c>
      <c r="AX1797">
        <v>0</v>
      </c>
      <c r="AY1797">
        <v>0</v>
      </c>
      <c r="AZ1797">
        <v>0</v>
      </c>
      <c r="BA1797">
        <v>0</v>
      </c>
      <c r="BB1797">
        <v>0</v>
      </c>
      <c r="BC1797">
        <v>0</v>
      </c>
      <c r="BD1797">
        <v>0</v>
      </c>
      <c r="BE1797">
        <v>0</v>
      </c>
      <c r="BF1797">
        <v>0</v>
      </c>
      <c r="BG1797">
        <v>0</v>
      </c>
      <c r="BH1797">
        <v>1</v>
      </c>
      <c r="BI1797">
        <v>2.7</v>
      </c>
      <c r="BJ1797">
        <v>1.3</v>
      </c>
      <c r="BK1797">
        <v>3</v>
      </c>
      <c r="BL1797" s="4">
        <v>48.86</v>
      </c>
      <c r="BM1797" s="4">
        <v>7.33</v>
      </c>
      <c r="BN1797" s="4">
        <v>56.19</v>
      </c>
      <c r="BO1797" s="4">
        <v>56.19</v>
      </c>
      <c r="BR1797" t="s">
        <v>84</v>
      </c>
      <c r="BS1797" s="3">
        <v>43818</v>
      </c>
      <c r="BT1797" s="5">
        <v>0.3840277777777778</v>
      </c>
      <c r="BU1797" t="s">
        <v>2171</v>
      </c>
      <c r="BV1797" t="s">
        <v>86</v>
      </c>
      <c r="BY1797">
        <v>6437.33</v>
      </c>
      <c r="CC1797" t="s">
        <v>333</v>
      </c>
      <c r="CD1797">
        <v>2013</v>
      </c>
      <c r="CE1797" t="s">
        <v>96</v>
      </c>
      <c r="CF1797" s="3">
        <v>43819</v>
      </c>
      <c r="CI1797">
        <v>1</v>
      </c>
      <c r="CJ1797">
        <v>1</v>
      </c>
      <c r="CK1797">
        <v>22</v>
      </c>
      <c r="CL1797" t="s">
        <v>89</v>
      </c>
    </row>
    <row r="1798" spans="1:90">
      <c r="A1798" t="s">
        <v>72</v>
      </c>
      <c r="B1798" t="s">
        <v>73</v>
      </c>
      <c r="C1798" t="s">
        <v>74</v>
      </c>
      <c r="E1798" t="str">
        <f>"FES1162728890"</f>
        <v>FES1162728890</v>
      </c>
      <c r="F1798" s="3">
        <v>43817</v>
      </c>
      <c r="G1798">
        <v>202006</v>
      </c>
      <c r="H1798" t="s">
        <v>75</v>
      </c>
      <c r="I1798" t="s">
        <v>76</v>
      </c>
      <c r="J1798" t="s">
        <v>77</v>
      </c>
      <c r="K1798" t="s">
        <v>78</v>
      </c>
      <c r="L1798" t="s">
        <v>446</v>
      </c>
      <c r="M1798" t="s">
        <v>447</v>
      </c>
      <c r="N1798" t="s">
        <v>2043</v>
      </c>
      <c r="O1798" t="s">
        <v>82</v>
      </c>
      <c r="P1798" t="str">
        <f>"2170719980                    "</f>
        <v xml:space="preserve">2170719980                    </v>
      </c>
      <c r="Q1798">
        <v>0</v>
      </c>
      <c r="R1798">
        <v>0</v>
      </c>
      <c r="S1798">
        <v>0</v>
      </c>
      <c r="T1798">
        <v>0</v>
      </c>
      <c r="U1798">
        <v>0</v>
      </c>
      <c r="V1798">
        <v>0</v>
      </c>
      <c r="W1798">
        <v>0</v>
      </c>
      <c r="X1798">
        <v>0</v>
      </c>
      <c r="Y1798">
        <v>0</v>
      </c>
      <c r="Z1798">
        <v>0</v>
      </c>
      <c r="AA1798">
        <v>0</v>
      </c>
      <c r="AB1798">
        <v>0</v>
      </c>
      <c r="AC1798">
        <v>0</v>
      </c>
      <c r="AD1798">
        <v>0</v>
      </c>
      <c r="AE1798">
        <v>0</v>
      </c>
      <c r="AF1798">
        <v>0</v>
      </c>
      <c r="AG1798">
        <v>0</v>
      </c>
      <c r="AH1798">
        <v>0</v>
      </c>
      <c r="AI1798">
        <v>0</v>
      </c>
      <c r="AJ1798">
        <v>0</v>
      </c>
      <c r="AK1798">
        <v>0</v>
      </c>
      <c r="AL1798">
        <v>0</v>
      </c>
      <c r="AM1798">
        <v>8.58</v>
      </c>
      <c r="AN1798">
        <v>0</v>
      </c>
      <c r="AO1798">
        <v>0</v>
      </c>
      <c r="AP1798">
        <v>0</v>
      </c>
      <c r="AQ1798">
        <v>0</v>
      </c>
      <c r="AR1798">
        <v>0</v>
      </c>
      <c r="AS1798">
        <v>0</v>
      </c>
      <c r="AT1798">
        <v>0</v>
      </c>
      <c r="AU1798">
        <v>0</v>
      </c>
      <c r="AV1798">
        <v>0</v>
      </c>
      <c r="AW1798">
        <v>0</v>
      </c>
      <c r="AX1798">
        <v>0</v>
      </c>
      <c r="AY1798">
        <v>0</v>
      </c>
      <c r="AZ1798">
        <v>0</v>
      </c>
      <c r="BA1798">
        <v>0</v>
      </c>
      <c r="BB1798">
        <v>0</v>
      </c>
      <c r="BC1798">
        <v>0</v>
      </c>
      <c r="BD1798">
        <v>0</v>
      </c>
      <c r="BE1798">
        <v>0</v>
      </c>
      <c r="BF1798">
        <v>0</v>
      </c>
      <c r="BG1798">
        <v>0</v>
      </c>
      <c r="BH1798">
        <v>1</v>
      </c>
      <c r="BI1798">
        <v>1.1000000000000001</v>
      </c>
      <c r="BJ1798">
        <v>0.9</v>
      </c>
      <c r="BK1798">
        <v>1.5</v>
      </c>
      <c r="BL1798" s="4">
        <v>50.45</v>
      </c>
      <c r="BM1798" s="4">
        <v>7.57</v>
      </c>
      <c r="BN1798" s="4">
        <v>58.02</v>
      </c>
      <c r="BO1798" s="4">
        <v>58.02</v>
      </c>
      <c r="BQ1798" t="s">
        <v>93</v>
      </c>
      <c r="BR1798" t="s">
        <v>84</v>
      </c>
      <c r="BS1798" s="3">
        <v>43818</v>
      </c>
      <c r="BT1798" s="5">
        <v>0.34722222222222227</v>
      </c>
      <c r="BU1798" t="s">
        <v>2172</v>
      </c>
      <c r="BV1798" t="s">
        <v>86</v>
      </c>
      <c r="BY1798">
        <v>4420.1000000000004</v>
      </c>
      <c r="CA1798" t="s">
        <v>212</v>
      </c>
      <c r="CC1798" t="s">
        <v>447</v>
      </c>
      <c r="CD1798">
        <v>4113</v>
      </c>
      <c r="CE1798" t="s">
        <v>96</v>
      </c>
      <c r="CF1798" s="3">
        <v>43819</v>
      </c>
      <c r="CI1798">
        <v>1</v>
      </c>
      <c r="CJ1798">
        <v>1</v>
      </c>
      <c r="CK1798">
        <v>21</v>
      </c>
      <c r="CL1798" t="s">
        <v>89</v>
      </c>
    </row>
    <row r="1799" spans="1:90">
      <c r="A1799" t="s">
        <v>72</v>
      </c>
      <c r="B1799" t="s">
        <v>73</v>
      </c>
      <c r="C1799" t="s">
        <v>74</v>
      </c>
      <c r="E1799" t="str">
        <f>"FES1162728857"</f>
        <v>FES1162728857</v>
      </c>
      <c r="F1799" s="3">
        <v>43817</v>
      </c>
      <c r="G1799">
        <v>202006</v>
      </c>
      <c r="H1799" t="s">
        <v>75</v>
      </c>
      <c r="I1799" t="s">
        <v>76</v>
      </c>
      <c r="J1799" t="s">
        <v>77</v>
      </c>
      <c r="K1799" t="s">
        <v>78</v>
      </c>
      <c r="L1799" t="s">
        <v>198</v>
      </c>
      <c r="M1799" t="s">
        <v>199</v>
      </c>
      <c r="N1799" t="s">
        <v>297</v>
      </c>
      <c r="O1799" t="s">
        <v>82</v>
      </c>
      <c r="P1799" t="str">
        <f>"217071997                     "</f>
        <v xml:space="preserve">217071997                     </v>
      </c>
      <c r="Q1799">
        <v>0</v>
      </c>
      <c r="R1799">
        <v>0</v>
      </c>
      <c r="S1799">
        <v>0</v>
      </c>
      <c r="T1799">
        <v>0</v>
      </c>
      <c r="U1799">
        <v>0</v>
      </c>
      <c r="V1799">
        <v>0</v>
      </c>
      <c r="W1799">
        <v>0</v>
      </c>
      <c r="X1799">
        <v>0</v>
      </c>
      <c r="Y1799">
        <v>0</v>
      </c>
      <c r="Z1799">
        <v>0</v>
      </c>
      <c r="AA1799">
        <v>0</v>
      </c>
      <c r="AB1799">
        <v>0</v>
      </c>
      <c r="AC1799">
        <v>0</v>
      </c>
      <c r="AD1799">
        <v>0</v>
      </c>
      <c r="AE1799">
        <v>0</v>
      </c>
      <c r="AF1799">
        <v>0</v>
      </c>
      <c r="AG1799">
        <v>0</v>
      </c>
      <c r="AH1799">
        <v>0</v>
      </c>
      <c r="AI1799">
        <v>0</v>
      </c>
      <c r="AJ1799">
        <v>0</v>
      </c>
      <c r="AK1799">
        <v>0</v>
      </c>
      <c r="AL1799">
        <v>0</v>
      </c>
      <c r="AM1799">
        <v>8.58</v>
      </c>
      <c r="AN1799">
        <v>0</v>
      </c>
      <c r="AO1799">
        <v>0</v>
      </c>
      <c r="AP1799">
        <v>0</v>
      </c>
      <c r="AQ1799">
        <v>0</v>
      </c>
      <c r="AR1799">
        <v>0</v>
      </c>
      <c r="AS1799">
        <v>0</v>
      </c>
      <c r="AT1799">
        <v>0</v>
      </c>
      <c r="AU1799">
        <v>0</v>
      </c>
      <c r="AV1799">
        <v>0</v>
      </c>
      <c r="AW1799">
        <v>0</v>
      </c>
      <c r="AX1799">
        <v>0</v>
      </c>
      <c r="AY1799">
        <v>0</v>
      </c>
      <c r="AZ1799">
        <v>0</v>
      </c>
      <c r="BA1799">
        <v>0</v>
      </c>
      <c r="BB1799">
        <v>0</v>
      </c>
      <c r="BC1799">
        <v>0</v>
      </c>
      <c r="BD1799">
        <v>0</v>
      </c>
      <c r="BE1799">
        <v>0</v>
      </c>
      <c r="BF1799">
        <v>0</v>
      </c>
      <c r="BG1799">
        <v>0</v>
      </c>
      <c r="BH1799">
        <v>1</v>
      </c>
      <c r="BI1799">
        <v>1.7</v>
      </c>
      <c r="BJ1799">
        <v>0.9</v>
      </c>
      <c r="BK1799">
        <v>2</v>
      </c>
      <c r="BL1799" s="4">
        <v>50.45</v>
      </c>
      <c r="BM1799" s="4">
        <v>7.57</v>
      </c>
      <c r="BN1799" s="4">
        <v>58.02</v>
      </c>
      <c r="BO1799" s="4">
        <v>58.02</v>
      </c>
      <c r="BQ1799" t="s">
        <v>172</v>
      </c>
      <c r="BR1799" t="s">
        <v>84</v>
      </c>
      <c r="BS1799" s="3">
        <v>43818</v>
      </c>
      <c r="BT1799" s="5">
        <v>0.3611111111111111</v>
      </c>
      <c r="BU1799" t="s">
        <v>542</v>
      </c>
      <c r="BV1799" t="s">
        <v>86</v>
      </c>
      <c r="BY1799">
        <v>4296.03</v>
      </c>
      <c r="CA1799" t="s">
        <v>299</v>
      </c>
      <c r="CC1799" t="s">
        <v>199</v>
      </c>
      <c r="CD1799">
        <v>4000</v>
      </c>
      <c r="CE1799" t="s">
        <v>96</v>
      </c>
      <c r="CF1799" s="3">
        <v>43819</v>
      </c>
      <c r="CI1799">
        <v>1</v>
      </c>
      <c r="CJ1799">
        <v>1</v>
      </c>
      <c r="CK1799">
        <v>21</v>
      </c>
      <c r="CL1799" t="s">
        <v>89</v>
      </c>
    </row>
    <row r="1800" spans="1:90">
      <c r="A1800" t="s">
        <v>72</v>
      </c>
      <c r="B1800" t="s">
        <v>73</v>
      </c>
      <c r="C1800" t="s">
        <v>74</v>
      </c>
      <c r="E1800" t="str">
        <f>"FES1162728934"</f>
        <v>FES1162728934</v>
      </c>
      <c r="F1800" s="3">
        <v>43817</v>
      </c>
      <c r="G1800">
        <v>202006</v>
      </c>
      <c r="H1800" t="s">
        <v>75</v>
      </c>
      <c r="I1800" t="s">
        <v>76</v>
      </c>
      <c r="J1800" t="s">
        <v>77</v>
      </c>
      <c r="K1800" t="s">
        <v>78</v>
      </c>
      <c r="L1800" t="s">
        <v>198</v>
      </c>
      <c r="M1800" t="s">
        <v>199</v>
      </c>
      <c r="N1800" t="s">
        <v>280</v>
      </c>
      <c r="O1800" t="s">
        <v>82</v>
      </c>
      <c r="P1800" t="str">
        <f>"2170722044                    "</f>
        <v xml:space="preserve">2170722044                    </v>
      </c>
      <c r="Q1800">
        <v>0</v>
      </c>
      <c r="R1800">
        <v>0</v>
      </c>
      <c r="S1800">
        <v>0</v>
      </c>
      <c r="T1800">
        <v>0</v>
      </c>
      <c r="U1800">
        <v>0</v>
      </c>
      <c r="V1800">
        <v>0</v>
      </c>
      <c r="W1800">
        <v>0</v>
      </c>
      <c r="X1800">
        <v>0</v>
      </c>
      <c r="Y1800">
        <v>0</v>
      </c>
      <c r="Z1800">
        <v>0</v>
      </c>
      <c r="AA1800">
        <v>0</v>
      </c>
      <c r="AB1800">
        <v>0</v>
      </c>
      <c r="AC1800">
        <v>0</v>
      </c>
      <c r="AD1800">
        <v>0</v>
      </c>
      <c r="AE1800">
        <v>0</v>
      </c>
      <c r="AF1800">
        <v>0</v>
      </c>
      <c r="AG1800">
        <v>0</v>
      </c>
      <c r="AH1800">
        <v>0</v>
      </c>
      <c r="AI1800">
        <v>0</v>
      </c>
      <c r="AJ1800">
        <v>0</v>
      </c>
      <c r="AK1800">
        <v>0</v>
      </c>
      <c r="AL1800">
        <v>0</v>
      </c>
      <c r="AM1800">
        <v>8.58</v>
      </c>
      <c r="AN1800">
        <v>0</v>
      </c>
      <c r="AO1800">
        <v>0</v>
      </c>
      <c r="AP1800">
        <v>0</v>
      </c>
      <c r="AQ1800">
        <v>0</v>
      </c>
      <c r="AR1800">
        <v>0</v>
      </c>
      <c r="AS1800">
        <v>0</v>
      </c>
      <c r="AT1800">
        <v>0</v>
      </c>
      <c r="AU1800">
        <v>0</v>
      </c>
      <c r="AV1800">
        <v>0</v>
      </c>
      <c r="AW1800">
        <v>0</v>
      </c>
      <c r="AX1800">
        <v>0</v>
      </c>
      <c r="AY1800">
        <v>0</v>
      </c>
      <c r="AZ1800">
        <v>0</v>
      </c>
      <c r="BA1800">
        <v>0</v>
      </c>
      <c r="BB1800">
        <v>0</v>
      </c>
      <c r="BC1800">
        <v>0</v>
      </c>
      <c r="BD1800">
        <v>0</v>
      </c>
      <c r="BE1800">
        <v>0</v>
      </c>
      <c r="BF1800">
        <v>0</v>
      </c>
      <c r="BG1800">
        <v>0</v>
      </c>
      <c r="BH1800">
        <v>1</v>
      </c>
      <c r="BI1800">
        <v>1</v>
      </c>
      <c r="BJ1800">
        <v>0.2</v>
      </c>
      <c r="BK1800">
        <v>1</v>
      </c>
      <c r="BL1800" s="4">
        <v>50.45</v>
      </c>
      <c r="BM1800" s="4">
        <v>7.57</v>
      </c>
      <c r="BN1800" s="4">
        <v>58.02</v>
      </c>
      <c r="BO1800" s="4">
        <v>58.02</v>
      </c>
      <c r="BQ1800" t="s">
        <v>147</v>
      </c>
      <c r="BR1800" t="s">
        <v>84</v>
      </c>
      <c r="BS1800" s="3">
        <v>43818</v>
      </c>
      <c r="BT1800" s="5">
        <v>0.54166666666666663</v>
      </c>
      <c r="BU1800" t="s">
        <v>1887</v>
      </c>
      <c r="BV1800" t="s">
        <v>89</v>
      </c>
      <c r="BW1800" t="s">
        <v>1162</v>
      </c>
      <c r="BX1800" t="s">
        <v>1163</v>
      </c>
      <c r="BY1800">
        <v>1200</v>
      </c>
      <c r="CC1800" t="s">
        <v>199</v>
      </c>
      <c r="CD1800">
        <v>4001</v>
      </c>
      <c r="CE1800" t="s">
        <v>88</v>
      </c>
      <c r="CF1800" s="3">
        <v>43819</v>
      </c>
      <c r="CI1800">
        <v>1</v>
      </c>
      <c r="CJ1800">
        <v>1</v>
      </c>
      <c r="CK1800">
        <v>21</v>
      </c>
      <c r="CL1800" t="s">
        <v>89</v>
      </c>
    </row>
    <row r="1801" spans="1:90">
      <c r="A1801" t="s">
        <v>72</v>
      </c>
      <c r="B1801" t="s">
        <v>73</v>
      </c>
      <c r="C1801" t="s">
        <v>74</v>
      </c>
      <c r="E1801" t="str">
        <f>"FES1162728831"</f>
        <v>FES1162728831</v>
      </c>
      <c r="F1801" s="3">
        <v>43817</v>
      </c>
      <c r="G1801">
        <v>202006</v>
      </c>
      <c r="H1801" t="s">
        <v>75</v>
      </c>
      <c r="I1801" t="s">
        <v>76</v>
      </c>
      <c r="J1801" t="s">
        <v>77</v>
      </c>
      <c r="K1801" t="s">
        <v>78</v>
      </c>
      <c r="L1801" t="s">
        <v>404</v>
      </c>
      <c r="M1801" t="s">
        <v>405</v>
      </c>
      <c r="N1801" t="s">
        <v>406</v>
      </c>
      <c r="O1801" t="s">
        <v>82</v>
      </c>
      <c r="P1801" t="str">
        <f>"2170720073                    "</f>
        <v xml:space="preserve">2170720073                    </v>
      </c>
      <c r="Q1801">
        <v>0</v>
      </c>
      <c r="R1801">
        <v>0</v>
      </c>
      <c r="S1801">
        <v>0</v>
      </c>
      <c r="T1801">
        <v>0</v>
      </c>
      <c r="U1801">
        <v>0</v>
      </c>
      <c r="V1801">
        <v>0</v>
      </c>
      <c r="W1801">
        <v>0</v>
      </c>
      <c r="X1801">
        <v>0</v>
      </c>
      <c r="Y1801">
        <v>0</v>
      </c>
      <c r="Z1801">
        <v>0</v>
      </c>
      <c r="AA1801">
        <v>0</v>
      </c>
      <c r="AB1801">
        <v>0</v>
      </c>
      <c r="AC1801">
        <v>0</v>
      </c>
      <c r="AD1801">
        <v>0</v>
      </c>
      <c r="AE1801">
        <v>0</v>
      </c>
      <c r="AF1801">
        <v>0</v>
      </c>
      <c r="AG1801">
        <v>0</v>
      </c>
      <c r="AH1801">
        <v>0</v>
      </c>
      <c r="AI1801">
        <v>0</v>
      </c>
      <c r="AJ1801">
        <v>0</v>
      </c>
      <c r="AK1801">
        <v>0</v>
      </c>
      <c r="AL1801">
        <v>0</v>
      </c>
      <c r="AM1801">
        <v>8.58</v>
      </c>
      <c r="AN1801">
        <v>0</v>
      </c>
      <c r="AO1801">
        <v>0</v>
      </c>
      <c r="AP1801">
        <v>0</v>
      </c>
      <c r="AQ1801">
        <v>0</v>
      </c>
      <c r="AR1801">
        <v>0</v>
      </c>
      <c r="AS1801">
        <v>0</v>
      </c>
      <c r="AT1801">
        <v>0</v>
      </c>
      <c r="AU1801">
        <v>0</v>
      </c>
      <c r="AV1801">
        <v>0</v>
      </c>
      <c r="AW1801">
        <v>0</v>
      </c>
      <c r="AX1801">
        <v>0</v>
      </c>
      <c r="AY1801">
        <v>0</v>
      </c>
      <c r="AZ1801">
        <v>0</v>
      </c>
      <c r="BA1801">
        <v>0</v>
      </c>
      <c r="BB1801">
        <v>0</v>
      </c>
      <c r="BC1801">
        <v>0</v>
      </c>
      <c r="BD1801">
        <v>0</v>
      </c>
      <c r="BE1801">
        <v>0</v>
      </c>
      <c r="BF1801">
        <v>0</v>
      </c>
      <c r="BG1801">
        <v>0</v>
      </c>
      <c r="BH1801">
        <v>1</v>
      </c>
      <c r="BI1801">
        <v>1</v>
      </c>
      <c r="BJ1801">
        <v>0.2</v>
      </c>
      <c r="BK1801">
        <v>1</v>
      </c>
      <c r="BL1801" s="4">
        <v>50.45</v>
      </c>
      <c r="BM1801" s="4">
        <v>7.57</v>
      </c>
      <c r="BN1801" s="4">
        <v>58.02</v>
      </c>
      <c r="BO1801" s="4">
        <v>58.02</v>
      </c>
      <c r="BQ1801" t="s">
        <v>93</v>
      </c>
      <c r="BR1801" t="s">
        <v>84</v>
      </c>
      <c r="BS1801" s="3">
        <v>43818</v>
      </c>
      <c r="BT1801" s="5">
        <v>0.33333333333333331</v>
      </c>
      <c r="BU1801" t="s">
        <v>407</v>
      </c>
      <c r="BV1801" t="s">
        <v>86</v>
      </c>
      <c r="BY1801">
        <v>1200</v>
      </c>
      <c r="CA1801" t="s">
        <v>408</v>
      </c>
      <c r="CC1801" t="s">
        <v>405</v>
      </c>
      <c r="CD1801">
        <v>4026</v>
      </c>
      <c r="CE1801" t="s">
        <v>88</v>
      </c>
      <c r="CF1801" s="3">
        <v>43819</v>
      </c>
      <c r="CI1801">
        <v>1</v>
      </c>
      <c r="CJ1801">
        <v>1</v>
      </c>
      <c r="CK1801">
        <v>21</v>
      </c>
      <c r="CL1801" t="s">
        <v>89</v>
      </c>
    </row>
    <row r="1802" spans="1:90">
      <c r="A1802" t="s">
        <v>72</v>
      </c>
      <c r="B1802" t="s">
        <v>73</v>
      </c>
      <c r="C1802" t="s">
        <v>74</v>
      </c>
      <c r="E1802" t="str">
        <f>"FES1162728833"</f>
        <v>FES1162728833</v>
      </c>
      <c r="F1802" s="3">
        <v>43817</v>
      </c>
      <c r="G1802">
        <v>202006</v>
      </c>
      <c r="H1802" t="s">
        <v>75</v>
      </c>
      <c r="I1802" t="s">
        <v>76</v>
      </c>
      <c r="J1802" t="s">
        <v>77</v>
      </c>
      <c r="K1802" t="s">
        <v>78</v>
      </c>
      <c r="L1802" t="s">
        <v>201</v>
      </c>
      <c r="M1802" t="s">
        <v>202</v>
      </c>
      <c r="N1802" t="s">
        <v>345</v>
      </c>
      <c r="O1802" t="s">
        <v>82</v>
      </c>
      <c r="P1802" t="str">
        <f>"2170720078                    "</f>
        <v xml:space="preserve">2170720078                    </v>
      </c>
      <c r="Q1802">
        <v>0</v>
      </c>
      <c r="R1802">
        <v>0</v>
      </c>
      <c r="S1802">
        <v>0</v>
      </c>
      <c r="T1802">
        <v>0</v>
      </c>
      <c r="U1802">
        <v>0</v>
      </c>
      <c r="V1802">
        <v>0</v>
      </c>
      <c r="W1802">
        <v>0</v>
      </c>
      <c r="X1802">
        <v>0</v>
      </c>
      <c r="Y1802">
        <v>0</v>
      </c>
      <c r="Z1802">
        <v>0</v>
      </c>
      <c r="AA1802">
        <v>0</v>
      </c>
      <c r="AB1802">
        <v>0</v>
      </c>
      <c r="AC1802">
        <v>0</v>
      </c>
      <c r="AD1802">
        <v>0</v>
      </c>
      <c r="AE1802">
        <v>0</v>
      </c>
      <c r="AF1802">
        <v>0</v>
      </c>
      <c r="AG1802">
        <v>0</v>
      </c>
      <c r="AH1802">
        <v>0</v>
      </c>
      <c r="AI1802">
        <v>0</v>
      </c>
      <c r="AJ1802">
        <v>0</v>
      </c>
      <c r="AK1802">
        <v>0</v>
      </c>
      <c r="AL1802">
        <v>0</v>
      </c>
      <c r="AM1802">
        <v>8.58</v>
      </c>
      <c r="AN1802">
        <v>0</v>
      </c>
      <c r="AO1802">
        <v>0</v>
      </c>
      <c r="AP1802">
        <v>0</v>
      </c>
      <c r="AQ1802">
        <v>0</v>
      </c>
      <c r="AR1802">
        <v>0</v>
      </c>
      <c r="AS1802">
        <v>0</v>
      </c>
      <c r="AT1802">
        <v>0</v>
      </c>
      <c r="AU1802">
        <v>0</v>
      </c>
      <c r="AV1802">
        <v>0</v>
      </c>
      <c r="AW1802">
        <v>0</v>
      </c>
      <c r="AX1802">
        <v>0</v>
      </c>
      <c r="AY1802">
        <v>0</v>
      </c>
      <c r="AZ1802">
        <v>0</v>
      </c>
      <c r="BA1802">
        <v>0</v>
      </c>
      <c r="BB1802">
        <v>0</v>
      </c>
      <c r="BC1802">
        <v>0</v>
      </c>
      <c r="BD1802">
        <v>0</v>
      </c>
      <c r="BE1802">
        <v>0</v>
      </c>
      <c r="BF1802">
        <v>0</v>
      </c>
      <c r="BG1802">
        <v>0</v>
      </c>
      <c r="BH1802">
        <v>1</v>
      </c>
      <c r="BI1802">
        <v>1</v>
      </c>
      <c r="BJ1802">
        <v>0.2</v>
      </c>
      <c r="BK1802">
        <v>1</v>
      </c>
      <c r="BL1802" s="4">
        <v>50.45</v>
      </c>
      <c r="BM1802" s="4">
        <v>7.57</v>
      </c>
      <c r="BN1802" s="4">
        <v>58.02</v>
      </c>
      <c r="BO1802" s="4">
        <v>58.02</v>
      </c>
      <c r="BQ1802" t="s">
        <v>135</v>
      </c>
      <c r="BR1802" t="s">
        <v>84</v>
      </c>
      <c r="BS1802" s="3">
        <v>43818</v>
      </c>
      <c r="BT1802" s="5">
        <v>0.37986111111111115</v>
      </c>
      <c r="BU1802" t="s">
        <v>346</v>
      </c>
      <c r="BV1802" t="s">
        <v>86</v>
      </c>
      <c r="BY1802">
        <v>1200</v>
      </c>
      <c r="CA1802" t="s">
        <v>288</v>
      </c>
      <c r="CC1802" t="s">
        <v>202</v>
      </c>
      <c r="CD1802">
        <v>3610</v>
      </c>
      <c r="CE1802" t="s">
        <v>88</v>
      </c>
      <c r="CF1802" s="3">
        <v>43819</v>
      </c>
      <c r="CI1802">
        <v>1</v>
      </c>
      <c r="CJ1802">
        <v>1</v>
      </c>
      <c r="CK1802">
        <v>21</v>
      </c>
      <c r="CL1802" t="s">
        <v>89</v>
      </c>
    </row>
    <row r="1803" spans="1:90">
      <c r="A1803" t="s">
        <v>72</v>
      </c>
      <c r="B1803" t="s">
        <v>73</v>
      </c>
      <c r="C1803" t="s">
        <v>74</v>
      </c>
      <c r="E1803" t="str">
        <f>"FES1162728815"</f>
        <v>FES1162728815</v>
      </c>
      <c r="F1803" s="3">
        <v>43817</v>
      </c>
      <c r="G1803">
        <v>202006</v>
      </c>
      <c r="H1803" t="s">
        <v>75</v>
      </c>
      <c r="I1803" t="s">
        <v>76</v>
      </c>
      <c r="J1803" t="s">
        <v>77</v>
      </c>
      <c r="K1803" t="s">
        <v>78</v>
      </c>
      <c r="L1803" t="s">
        <v>198</v>
      </c>
      <c r="M1803" t="s">
        <v>199</v>
      </c>
      <c r="N1803" t="s">
        <v>297</v>
      </c>
      <c r="O1803" t="s">
        <v>82</v>
      </c>
      <c r="P1803" t="str">
        <f>"2170719853                    "</f>
        <v xml:space="preserve">2170719853                    </v>
      </c>
      <c r="Q1803">
        <v>0</v>
      </c>
      <c r="R1803">
        <v>0</v>
      </c>
      <c r="S1803">
        <v>0</v>
      </c>
      <c r="T1803">
        <v>0</v>
      </c>
      <c r="U1803">
        <v>0</v>
      </c>
      <c r="V1803">
        <v>0</v>
      </c>
      <c r="W1803">
        <v>0</v>
      </c>
      <c r="X1803">
        <v>0</v>
      </c>
      <c r="Y1803">
        <v>0</v>
      </c>
      <c r="Z1803">
        <v>0</v>
      </c>
      <c r="AA1803">
        <v>0</v>
      </c>
      <c r="AB1803">
        <v>0</v>
      </c>
      <c r="AC1803">
        <v>0</v>
      </c>
      <c r="AD1803">
        <v>0</v>
      </c>
      <c r="AE1803">
        <v>0</v>
      </c>
      <c r="AF1803">
        <v>0</v>
      </c>
      <c r="AG1803">
        <v>0</v>
      </c>
      <c r="AH1803">
        <v>0</v>
      </c>
      <c r="AI1803">
        <v>0</v>
      </c>
      <c r="AJ1803">
        <v>0</v>
      </c>
      <c r="AK1803">
        <v>0</v>
      </c>
      <c r="AL1803">
        <v>0</v>
      </c>
      <c r="AM1803">
        <v>8.58</v>
      </c>
      <c r="AN1803">
        <v>0</v>
      </c>
      <c r="AO1803">
        <v>0</v>
      </c>
      <c r="AP1803">
        <v>0</v>
      </c>
      <c r="AQ1803">
        <v>0</v>
      </c>
      <c r="AR1803">
        <v>0</v>
      </c>
      <c r="AS1803">
        <v>0</v>
      </c>
      <c r="AT1803">
        <v>0</v>
      </c>
      <c r="AU1803">
        <v>0</v>
      </c>
      <c r="AV1803">
        <v>0</v>
      </c>
      <c r="AW1803">
        <v>0</v>
      </c>
      <c r="AX1803">
        <v>0</v>
      </c>
      <c r="AY1803">
        <v>0</v>
      </c>
      <c r="AZ1803">
        <v>0</v>
      </c>
      <c r="BA1803">
        <v>0</v>
      </c>
      <c r="BB1803">
        <v>0</v>
      </c>
      <c r="BC1803">
        <v>0</v>
      </c>
      <c r="BD1803">
        <v>0</v>
      </c>
      <c r="BE1803">
        <v>0</v>
      </c>
      <c r="BF1803">
        <v>0</v>
      </c>
      <c r="BG1803">
        <v>0</v>
      </c>
      <c r="BH1803">
        <v>1</v>
      </c>
      <c r="BI1803">
        <v>1</v>
      </c>
      <c r="BJ1803">
        <v>0.2</v>
      </c>
      <c r="BK1803">
        <v>1</v>
      </c>
      <c r="BL1803" s="4">
        <v>50.45</v>
      </c>
      <c r="BM1803" s="4">
        <v>7.57</v>
      </c>
      <c r="BN1803" s="4">
        <v>58.02</v>
      </c>
      <c r="BO1803" s="4">
        <v>58.02</v>
      </c>
      <c r="BQ1803" t="s">
        <v>172</v>
      </c>
      <c r="BR1803" t="s">
        <v>84</v>
      </c>
      <c r="BS1803" s="3">
        <v>43818</v>
      </c>
      <c r="BT1803" s="5">
        <v>0.3611111111111111</v>
      </c>
      <c r="BU1803" t="s">
        <v>542</v>
      </c>
      <c r="BV1803" t="s">
        <v>86</v>
      </c>
      <c r="BY1803">
        <v>1200</v>
      </c>
      <c r="CA1803" t="s">
        <v>299</v>
      </c>
      <c r="CC1803" t="s">
        <v>199</v>
      </c>
      <c r="CD1803">
        <v>4000</v>
      </c>
      <c r="CE1803" t="s">
        <v>88</v>
      </c>
      <c r="CF1803" s="3">
        <v>43819</v>
      </c>
      <c r="CI1803">
        <v>1</v>
      </c>
      <c r="CJ1803">
        <v>1</v>
      </c>
      <c r="CK1803">
        <v>21</v>
      </c>
      <c r="CL1803" t="s">
        <v>89</v>
      </c>
    </row>
    <row r="1804" spans="1:90">
      <c r="A1804" t="s">
        <v>72</v>
      </c>
      <c r="B1804" t="s">
        <v>73</v>
      </c>
      <c r="C1804" t="s">
        <v>74</v>
      </c>
      <c r="E1804" t="str">
        <f>"FES1162728850"</f>
        <v>FES1162728850</v>
      </c>
      <c r="F1804" s="3">
        <v>43817</v>
      </c>
      <c r="G1804">
        <v>202006</v>
      </c>
      <c r="H1804" t="s">
        <v>75</v>
      </c>
      <c r="I1804" t="s">
        <v>76</v>
      </c>
      <c r="J1804" t="s">
        <v>77</v>
      </c>
      <c r="K1804" t="s">
        <v>78</v>
      </c>
      <c r="L1804" t="s">
        <v>1331</v>
      </c>
      <c r="M1804" t="s">
        <v>1332</v>
      </c>
      <c r="N1804" t="s">
        <v>1333</v>
      </c>
      <c r="O1804" t="s">
        <v>82</v>
      </c>
      <c r="P1804" t="str">
        <f>"2170721610                    "</f>
        <v xml:space="preserve">2170721610                    </v>
      </c>
      <c r="Q1804">
        <v>0</v>
      </c>
      <c r="R1804">
        <v>0</v>
      </c>
      <c r="S1804">
        <v>0</v>
      </c>
      <c r="T1804">
        <v>0</v>
      </c>
      <c r="U1804">
        <v>0</v>
      </c>
      <c r="V1804">
        <v>0</v>
      </c>
      <c r="W1804">
        <v>0</v>
      </c>
      <c r="X1804">
        <v>0</v>
      </c>
      <c r="Y1804">
        <v>0</v>
      </c>
      <c r="Z1804">
        <v>0</v>
      </c>
      <c r="AA1804">
        <v>0</v>
      </c>
      <c r="AB1804">
        <v>0</v>
      </c>
      <c r="AC1804">
        <v>0</v>
      </c>
      <c r="AD1804">
        <v>0</v>
      </c>
      <c r="AE1804">
        <v>0</v>
      </c>
      <c r="AF1804">
        <v>0</v>
      </c>
      <c r="AG1804">
        <v>0</v>
      </c>
      <c r="AH1804">
        <v>0</v>
      </c>
      <c r="AI1804">
        <v>0</v>
      </c>
      <c r="AJ1804">
        <v>0</v>
      </c>
      <c r="AK1804">
        <v>0</v>
      </c>
      <c r="AL1804">
        <v>0</v>
      </c>
      <c r="AM1804">
        <v>16.63</v>
      </c>
      <c r="AN1804">
        <v>0</v>
      </c>
      <c r="AO1804">
        <v>0</v>
      </c>
      <c r="AP1804">
        <v>0</v>
      </c>
      <c r="AQ1804">
        <v>0</v>
      </c>
      <c r="AR1804">
        <v>0</v>
      </c>
      <c r="AS1804">
        <v>0</v>
      </c>
      <c r="AT1804">
        <v>0</v>
      </c>
      <c r="AU1804">
        <v>0</v>
      </c>
      <c r="AV1804">
        <v>0</v>
      </c>
      <c r="AW1804">
        <v>0</v>
      </c>
      <c r="AX1804">
        <v>0</v>
      </c>
      <c r="AY1804">
        <v>0</v>
      </c>
      <c r="AZ1804">
        <v>0</v>
      </c>
      <c r="BA1804">
        <v>0</v>
      </c>
      <c r="BB1804">
        <v>0</v>
      </c>
      <c r="BC1804">
        <v>0</v>
      </c>
      <c r="BD1804">
        <v>0</v>
      </c>
      <c r="BE1804">
        <v>0</v>
      </c>
      <c r="BF1804">
        <v>0</v>
      </c>
      <c r="BG1804">
        <v>0</v>
      </c>
      <c r="BH1804">
        <v>1</v>
      </c>
      <c r="BI1804">
        <v>1</v>
      </c>
      <c r="BJ1804">
        <v>0.2</v>
      </c>
      <c r="BK1804">
        <v>1</v>
      </c>
      <c r="BL1804" s="4">
        <v>97.75</v>
      </c>
      <c r="BM1804" s="4">
        <v>14.66</v>
      </c>
      <c r="BN1804" s="4">
        <v>112.41</v>
      </c>
      <c r="BO1804" s="4">
        <v>112.41</v>
      </c>
      <c r="BR1804" t="s">
        <v>84</v>
      </c>
      <c r="BS1804" s="3">
        <v>43819</v>
      </c>
      <c r="BT1804" s="5">
        <v>0.47569444444444442</v>
      </c>
      <c r="BU1804" t="s">
        <v>1334</v>
      </c>
      <c r="BV1804" t="s">
        <v>89</v>
      </c>
      <c r="BW1804" t="s">
        <v>1707</v>
      </c>
      <c r="BX1804" t="s">
        <v>1708</v>
      </c>
      <c r="BY1804">
        <v>1200</v>
      </c>
      <c r="CC1804" t="s">
        <v>1332</v>
      </c>
      <c r="CD1804">
        <v>4490</v>
      </c>
      <c r="CE1804" t="s">
        <v>88</v>
      </c>
      <c r="CF1804" s="3">
        <v>43823</v>
      </c>
      <c r="CI1804">
        <v>1</v>
      </c>
      <c r="CJ1804">
        <v>2</v>
      </c>
      <c r="CK1804">
        <v>23</v>
      </c>
      <c r="CL1804" t="s">
        <v>89</v>
      </c>
    </row>
    <row r="1805" spans="1:90">
      <c r="A1805" t="s">
        <v>72</v>
      </c>
      <c r="B1805" t="s">
        <v>73</v>
      </c>
      <c r="C1805" t="s">
        <v>74</v>
      </c>
      <c r="E1805" t="str">
        <f>"FES1162728847"</f>
        <v>FES1162728847</v>
      </c>
      <c r="F1805" s="3">
        <v>43817</v>
      </c>
      <c r="G1805">
        <v>202006</v>
      </c>
      <c r="H1805" t="s">
        <v>75</v>
      </c>
      <c r="I1805" t="s">
        <v>76</v>
      </c>
      <c r="J1805" t="s">
        <v>77</v>
      </c>
      <c r="K1805" t="s">
        <v>78</v>
      </c>
      <c r="L1805" t="s">
        <v>446</v>
      </c>
      <c r="M1805" t="s">
        <v>447</v>
      </c>
      <c r="N1805" t="s">
        <v>634</v>
      </c>
      <c r="O1805" t="s">
        <v>82</v>
      </c>
      <c r="P1805" t="str">
        <f>"2170721330                    "</f>
        <v xml:space="preserve">2170721330                    </v>
      </c>
      <c r="Q1805">
        <v>0</v>
      </c>
      <c r="R1805">
        <v>0</v>
      </c>
      <c r="S1805">
        <v>0</v>
      </c>
      <c r="T1805">
        <v>0</v>
      </c>
      <c r="U1805">
        <v>0</v>
      </c>
      <c r="V1805">
        <v>0</v>
      </c>
      <c r="W1805">
        <v>0</v>
      </c>
      <c r="X1805">
        <v>0</v>
      </c>
      <c r="Y1805">
        <v>0</v>
      </c>
      <c r="Z1805">
        <v>0</v>
      </c>
      <c r="AA1805">
        <v>0</v>
      </c>
      <c r="AB1805">
        <v>0</v>
      </c>
      <c r="AC1805">
        <v>0</v>
      </c>
      <c r="AD1805">
        <v>0</v>
      </c>
      <c r="AE1805">
        <v>0</v>
      </c>
      <c r="AF1805">
        <v>0</v>
      </c>
      <c r="AG1805">
        <v>0</v>
      </c>
      <c r="AH1805">
        <v>0</v>
      </c>
      <c r="AI1805">
        <v>0</v>
      </c>
      <c r="AJ1805">
        <v>0</v>
      </c>
      <c r="AK1805">
        <v>0</v>
      </c>
      <c r="AL1805">
        <v>0</v>
      </c>
      <c r="AM1805">
        <v>8.58</v>
      </c>
      <c r="AN1805">
        <v>0</v>
      </c>
      <c r="AO1805">
        <v>0</v>
      </c>
      <c r="AP1805">
        <v>0</v>
      </c>
      <c r="AQ1805">
        <v>0</v>
      </c>
      <c r="AR1805">
        <v>0</v>
      </c>
      <c r="AS1805">
        <v>0</v>
      </c>
      <c r="AT1805">
        <v>0</v>
      </c>
      <c r="AU1805">
        <v>0</v>
      </c>
      <c r="AV1805">
        <v>0</v>
      </c>
      <c r="AW1805">
        <v>0</v>
      </c>
      <c r="AX1805">
        <v>0</v>
      </c>
      <c r="AY1805">
        <v>0</v>
      </c>
      <c r="AZ1805">
        <v>0</v>
      </c>
      <c r="BA1805">
        <v>0</v>
      </c>
      <c r="BB1805">
        <v>0</v>
      </c>
      <c r="BC1805">
        <v>0</v>
      </c>
      <c r="BD1805">
        <v>0</v>
      </c>
      <c r="BE1805">
        <v>0</v>
      </c>
      <c r="BF1805">
        <v>0</v>
      </c>
      <c r="BG1805">
        <v>0</v>
      </c>
      <c r="BH1805">
        <v>1</v>
      </c>
      <c r="BI1805">
        <v>1</v>
      </c>
      <c r="BJ1805">
        <v>0.2</v>
      </c>
      <c r="BK1805">
        <v>1</v>
      </c>
      <c r="BL1805" s="4">
        <v>50.45</v>
      </c>
      <c r="BM1805" s="4">
        <v>7.57</v>
      </c>
      <c r="BN1805" s="4">
        <v>58.02</v>
      </c>
      <c r="BO1805" s="4">
        <v>58.02</v>
      </c>
      <c r="BQ1805" t="s">
        <v>147</v>
      </c>
      <c r="BR1805" t="s">
        <v>84</v>
      </c>
      <c r="BS1805" s="3">
        <v>43818</v>
      </c>
      <c r="BT1805" s="5">
        <v>0.3354166666666667</v>
      </c>
      <c r="BU1805" t="s">
        <v>816</v>
      </c>
      <c r="BV1805" t="s">
        <v>86</v>
      </c>
      <c r="BY1805">
        <v>1200</v>
      </c>
      <c r="CA1805" t="s">
        <v>212</v>
      </c>
      <c r="CC1805" t="s">
        <v>447</v>
      </c>
      <c r="CD1805">
        <v>4133</v>
      </c>
      <c r="CE1805" t="s">
        <v>88</v>
      </c>
      <c r="CF1805" s="3">
        <v>43819</v>
      </c>
      <c r="CI1805">
        <v>1</v>
      </c>
      <c r="CJ1805">
        <v>1</v>
      </c>
      <c r="CK1805">
        <v>21</v>
      </c>
      <c r="CL1805" t="s">
        <v>89</v>
      </c>
    </row>
    <row r="1806" spans="1:90">
      <c r="A1806" t="s">
        <v>72</v>
      </c>
      <c r="B1806" t="s">
        <v>73</v>
      </c>
      <c r="C1806" t="s">
        <v>74</v>
      </c>
      <c r="E1806" t="str">
        <f>"FES1162728863"</f>
        <v>FES1162728863</v>
      </c>
      <c r="F1806" s="3">
        <v>43817</v>
      </c>
      <c r="G1806">
        <v>202006</v>
      </c>
      <c r="H1806" t="s">
        <v>75</v>
      </c>
      <c r="I1806" t="s">
        <v>76</v>
      </c>
      <c r="J1806" t="s">
        <v>77</v>
      </c>
      <c r="K1806" t="s">
        <v>78</v>
      </c>
      <c r="L1806" t="s">
        <v>1183</v>
      </c>
      <c r="M1806" t="s">
        <v>1184</v>
      </c>
      <c r="N1806" t="s">
        <v>1185</v>
      </c>
      <c r="O1806" t="s">
        <v>82</v>
      </c>
      <c r="P1806" t="str">
        <f>"2170722004                    "</f>
        <v xml:space="preserve">2170722004                    </v>
      </c>
      <c r="Q1806">
        <v>0</v>
      </c>
      <c r="R1806">
        <v>0</v>
      </c>
      <c r="S1806">
        <v>0</v>
      </c>
      <c r="T1806">
        <v>0</v>
      </c>
      <c r="U1806">
        <v>0</v>
      </c>
      <c r="V1806">
        <v>0</v>
      </c>
      <c r="W1806">
        <v>0</v>
      </c>
      <c r="X1806">
        <v>0</v>
      </c>
      <c r="Y1806">
        <v>0</v>
      </c>
      <c r="Z1806">
        <v>0</v>
      </c>
      <c r="AA1806">
        <v>0</v>
      </c>
      <c r="AB1806">
        <v>0</v>
      </c>
      <c r="AC1806">
        <v>0</v>
      </c>
      <c r="AD1806">
        <v>0</v>
      </c>
      <c r="AE1806">
        <v>0</v>
      </c>
      <c r="AF1806">
        <v>0</v>
      </c>
      <c r="AG1806">
        <v>0</v>
      </c>
      <c r="AH1806">
        <v>0</v>
      </c>
      <c r="AI1806">
        <v>0</v>
      </c>
      <c r="AJ1806">
        <v>0</v>
      </c>
      <c r="AK1806">
        <v>0</v>
      </c>
      <c r="AL1806">
        <v>0</v>
      </c>
      <c r="AM1806">
        <v>16.63</v>
      </c>
      <c r="AN1806">
        <v>0</v>
      </c>
      <c r="AO1806">
        <v>0</v>
      </c>
      <c r="AP1806">
        <v>0</v>
      </c>
      <c r="AQ1806">
        <v>0</v>
      </c>
      <c r="AR1806">
        <v>0</v>
      </c>
      <c r="AS1806">
        <v>0</v>
      </c>
      <c r="AT1806">
        <v>0</v>
      </c>
      <c r="AU1806">
        <v>0</v>
      </c>
      <c r="AV1806">
        <v>0</v>
      </c>
      <c r="AW1806">
        <v>0</v>
      </c>
      <c r="AX1806">
        <v>0</v>
      </c>
      <c r="AY1806">
        <v>0</v>
      </c>
      <c r="AZ1806">
        <v>0</v>
      </c>
      <c r="BA1806">
        <v>0</v>
      </c>
      <c r="BB1806">
        <v>0</v>
      </c>
      <c r="BC1806">
        <v>0</v>
      </c>
      <c r="BD1806">
        <v>0</v>
      </c>
      <c r="BE1806">
        <v>0</v>
      </c>
      <c r="BF1806">
        <v>0</v>
      </c>
      <c r="BG1806">
        <v>0</v>
      </c>
      <c r="BH1806">
        <v>1</v>
      </c>
      <c r="BI1806">
        <v>1</v>
      </c>
      <c r="BJ1806">
        <v>0.2</v>
      </c>
      <c r="BK1806">
        <v>1</v>
      </c>
      <c r="BL1806" s="4">
        <v>97.75</v>
      </c>
      <c r="BM1806" s="4">
        <v>14.66</v>
      </c>
      <c r="BN1806" s="4">
        <v>112.41</v>
      </c>
      <c r="BO1806" s="4">
        <v>112.41</v>
      </c>
      <c r="BQ1806" t="s">
        <v>93</v>
      </c>
      <c r="BR1806" t="s">
        <v>84</v>
      </c>
      <c r="BS1806" s="3">
        <v>43818</v>
      </c>
      <c r="BT1806" s="5">
        <v>0.45833333333333331</v>
      </c>
      <c r="BU1806" t="s">
        <v>2131</v>
      </c>
      <c r="BV1806" t="s">
        <v>86</v>
      </c>
      <c r="BY1806">
        <v>1200</v>
      </c>
      <c r="CA1806" t="s">
        <v>1187</v>
      </c>
      <c r="CC1806" t="s">
        <v>1184</v>
      </c>
      <c r="CD1806">
        <v>3370</v>
      </c>
      <c r="CE1806" t="s">
        <v>88</v>
      </c>
      <c r="CF1806" s="3">
        <v>43822</v>
      </c>
      <c r="CI1806">
        <v>3</v>
      </c>
      <c r="CJ1806">
        <v>1</v>
      </c>
      <c r="CK1806">
        <v>23</v>
      </c>
      <c r="CL1806" t="s">
        <v>89</v>
      </c>
    </row>
    <row r="1807" spans="1:90">
      <c r="A1807" t="s">
        <v>72</v>
      </c>
      <c r="B1807" t="s">
        <v>73</v>
      </c>
      <c r="C1807" t="s">
        <v>74</v>
      </c>
      <c r="E1807" t="str">
        <f>"FES1162728714"</f>
        <v>FES1162728714</v>
      </c>
      <c r="F1807" s="3">
        <v>43817</v>
      </c>
      <c r="G1807">
        <v>202006</v>
      </c>
      <c r="H1807" t="s">
        <v>75</v>
      </c>
      <c r="I1807" t="s">
        <v>76</v>
      </c>
      <c r="J1807" t="s">
        <v>77</v>
      </c>
      <c r="K1807" t="s">
        <v>78</v>
      </c>
      <c r="L1807" t="s">
        <v>75</v>
      </c>
      <c r="M1807" t="s">
        <v>76</v>
      </c>
      <c r="N1807" t="s">
        <v>1234</v>
      </c>
      <c r="O1807" t="s">
        <v>82</v>
      </c>
      <c r="P1807" t="str">
        <f>"2170721917                    "</f>
        <v xml:space="preserve">2170721917                    </v>
      </c>
      <c r="Q1807">
        <v>0</v>
      </c>
      <c r="R1807">
        <v>0</v>
      </c>
      <c r="S1807">
        <v>0</v>
      </c>
      <c r="T1807">
        <v>0</v>
      </c>
      <c r="U1807">
        <v>0</v>
      </c>
      <c r="V1807">
        <v>0</v>
      </c>
      <c r="W1807">
        <v>0</v>
      </c>
      <c r="X1807">
        <v>0</v>
      </c>
      <c r="Y1807">
        <v>0</v>
      </c>
      <c r="Z1807">
        <v>0</v>
      </c>
      <c r="AA1807">
        <v>0</v>
      </c>
      <c r="AB1807">
        <v>0</v>
      </c>
      <c r="AC1807">
        <v>0</v>
      </c>
      <c r="AD1807">
        <v>0</v>
      </c>
      <c r="AE1807">
        <v>0</v>
      </c>
      <c r="AF1807">
        <v>0</v>
      </c>
      <c r="AG1807">
        <v>0</v>
      </c>
      <c r="AH1807">
        <v>0</v>
      </c>
      <c r="AI1807">
        <v>0</v>
      </c>
      <c r="AJ1807">
        <v>0</v>
      </c>
      <c r="AK1807">
        <v>0</v>
      </c>
      <c r="AL1807">
        <v>0</v>
      </c>
      <c r="AM1807">
        <v>6.71</v>
      </c>
      <c r="AN1807">
        <v>0</v>
      </c>
      <c r="AO1807">
        <v>0</v>
      </c>
      <c r="AP1807">
        <v>0</v>
      </c>
      <c r="AQ1807">
        <v>0</v>
      </c>
      <c r="AR1807">
        <v>0</v>
      </c>
      <c r="AS1807">
        <v>0</v>
      </c>
      <c r="AT1807">
        <v>0</v>
      </c>
      <c r="AU1807">
        <v>0</v>
      </c>
      <c r="AV1807">
        <v>0</v>
      </c>
      <c r="AW1807">
        <v>0</v>
      </c>
      <c r="AX1807">
        <v>0</v>
      </c>
      <c r="AY1807">
        <v>0</v>
      </c>
      <c r="AZ1807">
        <v>0</v>
      </c>
      <c r="BA1807">
        <v>0</v>
      </c>
      <c r="BB1807">
        <v>0</v>
      </c>
      <c r="BC1807">
        <v>0</v>
      </c>
      <c r="BD1807">
        <v>0</v>
      </c>
      <c r="BE1807">
        <v>0</v>
      </c>
      <c r="BF1807">
        <v>0</v>
      </c>
      <c r="BG1807">
        <v>0</v>
      </c>
      <c r="BH1807">
        <v>1</v>
      </c>
      <c r="BI1807">
        <v>1</v>
      </c>
      <c r="BJ1807">
        <v>0.2</v>
      </c>
      <c r="BK1807">
        <v>1</v>
      </c>
      <c r="BL1807" s="4">
        <v>39.42</v>
      </c>
      <c r="BM1807" s="4">
        <v>5.91</v>
      </c>
      <c r="BN1807" s="4">
        <v>45.33</v>
      </c>
      <c r="BO1807" s="4">
        <v>45.33</v>
      </c>
      <c r="BR1807" t="s">
        <v>84</v>
      </c>
      <c r="BS1807" s="3">
        <v>43832</v>
      </c>
      <c r="BT1807" s="5">
        <v>0.67083333333333339</v>
      </c>
      <c r="BU1807" t="s">
        <v>617</v>
      </c>
      <c r="BV1807" t="s">
        <v>89</v>
      </c>
      <c r="BY1807">
        <v>1200</v>
      </c>
      <c r="CA1807" t="s">
        <v>620</v>
      </c>
      <c r="CC1807" t="s">
        <v>76</v>
      </c>
      <c r="CD1807">
        <v>1682</v>
      </c>
      <c r="CE1807" t="s">
        <v>88</v>
      </c>
      <c r="CI1807">
        <v>1</v>
      </c>
      <c r="CJ1807">
        <v>11</v>
      </c>
      <c r="CK1807">
        <v>22</v>
      </c>
      <c r="CL1807" t="s">
        <v>89</v>
      </c>
    </row>
    <row r="1808" spans="1:90">
      <c r="A1808" t="s">
        <v>72</v>
      </c>
      <c r="B1808" t="s">
        <v>73</v>
      </c>
      <c r="C1808" t="s">
        <v>74</v>
      </c>
      <c r="E1808" t="str">
        <f>"FES1162728695"</f>
        <v>FES1162728695</v>
      </c>
      <c r="F1808" s="3">
        <v>43817</v>
      </c>
      <c r="G1808">
        <v>202006</v>
      </c>
      <c r="H1808" t="s">
        <v>75</v>
      </c>
      <c r="I1808" t="s">
        <v>76</v>
      </c>
      <c r="J1808" t="s">
        <v>77</v>
      </c>
      <c r="K1808" t="s">
        <v>78</v>
      </c>
      <c r="L1808" t="s">
        <v>332</v>
      </c>
      <c r="M1808" t="s">
        <v>333</v>
      </c>
      <c r="N1808" t="s">
        <v>701</v>
      </c>
      <c r="O1808" t="s">
        <v>82</v>
      </c>
      <c r="P1808" t="str">
        <f>"2170712894                    "</f>
        <v xml:space="preserve">2170712894                    </v>
      </c>
      <c r="Q1808">
        <v>0</v>
      </c>
      <c r="R1808">
        <v>0</v>
      </c>
      <c r="S1808">
        <v>0</v>
      </c>
      <c r="T1808">
        <v>0</v>
      </c>
      <c r="U1808">
        <v>0</v>
      </c>
      <c r="V1808">
        <v>0</v>
      </c>
      <c r="W1808">
        <v>0</v>
      </c>
      <c r="X1808">
        <v>0</v>
      </c>
      <c r="Y1808">
        <v>0</v>
      </c>
      <c r="Z1808">
        <v>0</v>
      </c>
      <c r="AA1808">
        <v>0</v>
      </c>
      <c r="AB1808">
        <v>0</v>
      </c>
      <c r="AC1808">
        <v>0</v>
      </c>
      <c r="AD1808">
        <v>0</v>
      </c>
      <c r="AE1808">
        <v>0</v>
      </c>
      <c r="AF1808">
        <v>0</v>
      </c>
      <c r="AG1808">
        <v>0</v>
      </c>
      <c r="AH1808">
        <v>0</v>
      </c>
      <c r="AI1808">
        <v>0</v>
      </c>
      <c r="AJ1808">
        <v>0</v>
      </c>
      <c r="AK1808">
        <v>0</v>
      </c>
      <c r="AL1808">
        <v>0</v>
      </c>
      <c r="AM1808">
        <v>6.71</v>
      </c>
      <c r="AN1808">
        <v>0</v>
      </c>
      <c r="AO1808">
        <v>0</v>
      </c>
      <c r="AP1808">
        <v>0</v>
      </c>
      <c r="AQ1808">
        <v>0</v>
      </c>
      <c r="AR1808">
        <v>0</v>
      </c>
      <c r="AS1808">
        <v>0</v>
      </c>
      <c r="AT1808">
        <v>0</v>
      </c>
      <c r="AU1808">
        <v>0</v>
      </c>
      <c r="AV1808">
        <v>0</v>
      </c>
      <c r="AW1808">
        <v>0</v>
      </c>
      <c r="AX1808">
        <v>0</v>
      </c>
      <c r="AY1808">
        <v>0</v>
      </c>
      <c r="AZ1808">
        <v>0</v>
      </c>
      <c r="BA1808">
        <v>0</v>
      </c>
      <c r="BB1808">
        <v>0</v>
      </c>
      <c r="BC1808">
        <v>0</v>
      </c>
      <c r="BD1808">
        <v>0</v>
      </c>
      <c r="BE1808">
        <v>0</v>
      </c>
      <c r="BF1808">
        <v>0</v>
      </c>
      <c r="BG1808">
        <v>0</v>
      </c>
      <c r="BH1808">
        <v>1</v>
      </c>
      <c r="BI1808">
        <v>1</v>
      </c>
      <c r="BJ1808">
        <v>0.2</v>
      </c>
      <c r="BK1808">
        <v>1</v>
      </c>
      <c r="BL1808" s="4">
        <v>39.42</v>
      </c>
      <c r="BM1808" s="4">
        <v>5.91</v>
      </c>
      <c r="BN1808" s="4">
        <v>45.33</v>
      </c>
      <c r="BO1808" s="4">
        <v>45.33</v>
      </c>
      <c r="BQ1808" t="s">
        <v>93</v>
      </c>
      <c r="BR1808" t="s">
        <v>84</v>
      </c>
      <c r="BS1808" s="3">
        <v>43818</v>
      </c>
      <c r="BT1808" s="5">
        <v>0.36874999999999997</v>
      </c>
      <c r="BU1808" t="s">
        <v>2148</v>
      </c>
      <c r="BV1808" t="s">
        <v>86</v>
      </c>
      <c r="BY1808">
        <v>1200</v>
      </c>
      <c r="CA1808" t="s">
        <v>2125</v>
      </c>
      <c r="CC1808" t="s">
        <v>333</v>
      </c>
      <c r="CD1808">
        <v>2094</v>
      </c>
      <c r="CE1808" t="s">
        <v>88</v>
      </c>
      <c r="CF1808" s="3">
        <v>43819</v>
      </c>
      <c r="CI1808">
        <v>1</v>
      </c>
      <c r="CJ1808">
        <v>1</v>
      </c>
      <c r="CK1808">
        <v>22</v>
      </c>
      <c r="CL1808" t="s">
        <v>89</v>
      </c>
    </row>
    <row r="1809" spans="1:90">
      <c r="A1809" t="s">
        <v>72</v>
      </c>
      <c r="B1809" t="s">
        <v>73</v>
      </c>
      <c r="C1809" t="s">
        <v>74</v>
      </c>
      <c r="E1809" t="str">
        <f>"FES1162728793"</f>
        <v>FES1162728793</v>
      </c>
      <c r="F1809" s="3">
        <v>43817</v>
      </c>
      <c r="G1809">
        <v>202006</v>
      </c>
      <c r="H1809" t="s">
        <v>75</v>
      </c>
      <c r="I1809" t="s">
        <v>76</v>
      </c>
      <c r="J1809" t="s">
        <v>77</v>
      </c>
      <c r="K1809" t="s">
        <v>78</v>
      </c>
      <c r="L1809" t="s">
        <v>714</v>
      </c>
      <c r="M1809" t="s">
        <v>715</v>
      </c>
      <c r="N1809" t="s">
        <v>1346</v>
      </c>
      <c r="O1809" t="s">
        <v>82</v>
      </c>
      <c r="P1809" t="str">
        <f>"2170721989                    "</f>
        <v xml:space="preserve">2170721989                    </v>
      </c>
      <c r="Q1809">
        <v>0</v>
      </c>
      <c r="R1809">
        <v>0</v>
      </c>
      <c r="S1809">
        <v>0</v>
      </c>
      <c r="T1809">
        <v>0</v>
      </c>
      <c r="U1809">
        <v>0</v>
      </c>
      <c r="V1809">
        <v>0</v>
      </c>
      <c r="W1809">
        <v>0</v>
      </c>
      <c r="X1809">
        <v>0</v>
      </c>
      <c r="Y1809">
        <v>0</v>
      </c>
      <c r="Z1809">
        <v>0</v>
      </c>
      <c r="AA1809">
        <v>0</v>
      </c>
      <c r="AB1809">
        <v>0</v>
      </c>
      <c r="AC1809">
        <v>0</v>
      </c>
      <c r="AD1809">
        <v>0</v>
      </c>
      <c r="AE1809">
        <v>0</v>
      </c>
      <c r="AF1809">
        <v>0</v>
      </c>
      <c r="AG1809">
        <v>0</v>
      </c>
      <c r="AH1809">
        <v>0</v>
      </c>
      <c r="AI1809">
        <v>0</v>
      </c>
      <c r="AJ1809">
        <v>0</v>
      </c>
      <c r="AK1809">
        <v>0</v>
      </c>
      <c r="AL1809">
        <v>0</v>
      </c>
      <c r="AM1809">
        <v>6.71</v>
      </c>
      <c r="AN1809">
        <v>0</v>
      </c>
      <c r="AO1809">
        <v>0</v>
      </c>
      <c r="AP1809">
        <v>0</v>
      </c>
      <c r="AQ1809">
        <v>0</v>
      </c>
      <c r="AR1809">
        <v>0</v>
      </c>
      <c r="AS1809">
        <v>0</v>
      </c>
      <c r="AT1809">
        <v>0</v>
      </c>
      <c r="AU1809">
        <v>0</v>
      </c>
      <c r="AV1809">
        <v>0</v>
      </c>
      <c r="AW1809">
        <v>0</v>
      </c>
      <c r="AX1809">
        <v>0</v>
      </c>
      <c r="AY1809">
        <v>0</v>
      </c>
      <c r="AZ1809">
        <v>0</v>
      </c>
      <c r="BA1809">
        <v>0</v>
      </c>
      <c r="BB1809">
        <v>0</v>
      </c>
      <c r="BC1809">
        <v>0</v>
      </c>
      <c r="BD1809">
        <v>0</v>
      </c>
      <c r="BE1809">
        <v>0</v>
      </c>
      <c r="BF1809">
        <v>0</v>
      </c>
      <c r="BG1809">
        <v>0</v>
      </c>
      <c r="BH1809">
        <v>1</v>
      </c>
      <c r="BI1809">
        <v>1</v>
      </c>
      <c r="BJ1809">
        <v>0.2</v>
      </c>
      <c r="BK1809">
        <v>1</v>
      </c>
      <c r="BL1809" s="4">
        <v>39.42</v>
      </c>
      <c r="BM1809" s="4">
        <v>5.91</v>
      </c>
      <c r="BN1809" s="4">
        <v>45.33</v>
      </c>
      <c r="BO1809" s="4">
        <v>45.33</v>
      </c>
      <c r="BQ1809" t="s">
        <v>1347</v>
      </c>
      <c r="BR1809" t="s">
        <v>84</v>
      </c>
      <c r="BS1809" s="3">
        <v>43818</v>
      </c>
      <c r="BT1809" s="5">
        <v>0.34027777777777773</v>
      </c>
      <c r="BU1809" t="s">
        <v>2173</v>
      </c>
      <c r="BV1809" t="s">
        <v>86</v>
      </c>
      <c r="BY1809">
        <v>1200</v>
      </c>
      <c r="CA1809" t="s">
        <v>2146</v>
      </c>
      <c r="CC1809" t="s">
        <v>715</v>
      </c>
      <c r="CD1809">
        <v>1559</v>
      </c>
      <c r="CE1809" t="s">
        <v>88</v>
      </c>
      <c r="CF1809" s="3">
        <v>43819</v>
      </c>
      <c r="CI1809">
        <v>1</v>
      </c>
      <c r="CJ1809">
        <v>1</v>
      </c>
      <c r="CK1809">
        <v>22</v>
      </c>
      <c r="CL1809" t="s">
        <v>89</v>
      </c>
    </row>
    <row r="1810" spans="1:90">
      <c r="A1810" t="s">
        <v>72</v>
      </c>
      <c r="B1810" t="s">
        <v>73</v>
      </c>
      <c r="C1810" t="s">
        <v>74</v>
      </c>
      <c r="E1810" t="str">
        <f>"FES1162728822"</f>
        <v>FES1162728822</v>
      </c>
      <c r="F1810" s="3">
        <v>43817</v>
      </c>
      <c r="G1810">
        <v>202006</v>
      </c>
      <c r="H1810" t="s">
        <v>75</v>
      </c>
      <c r="I1810" t="s">
        <v>76</v>
      </c>
      <c r="J1810" t="s">
        <v>77</v>
      </c>
      <c r="K1810" t="s">
        <v>78</v>
      </c>
      <c r="L1810" t="s">
        <v>446</v>
      </c>
      <c r="M1810" t="s">
        <v>447</v>
      </c>
      <c r="N1810" t="s">
        <v>448</v>
      </c>
      <c r="O1810" t="s">
        <v>82</v>
      </c>
      <c r="P1810" t="str">
        <f>"2170719987                    "</f>
        <v xml:space="preserve">2170719987                    </v>
      </c>
      <c r="Q1810">
        <v>0</v>
      </c>
      <c r="R1810">
        <v>0</v>
      </c>
      <c r="S1810">
        <v>0</v>
      </c>
      <c r="T1810">
        <v>0</v>
      </c>
      <c r="U1810">
        <v>0</v>
      </c>
      <c r="V1810">
        <v>0</v>
      </c>
      <c r="W1810">
        <v>0</v>
      </c>
      <c r="X1810">
        <v>0</v>
      </c>
      <c r="Y1810">
        <v>0</v>
      </c>
      <c r="Z1810">
        <v>0</v>
      </c>
      <c r="AA1810">
        <v>0</v>
      </c>
      <c r="AB1810">
        <v>0</v>
      </c>
      <c r="AC1810">
        <v>0</v>
      </c>
      <c r="AD1810">
        <v>0</v>
      </c>
      <c r="AE1810">
        <v>0</v>
      </c>
      <c r="AF1810">
        <v>0</v>
      </c>
      <c r="AG1810">
        <v>0</v>
      </c>
      <c r="AH1810">
        <v>0</v>
      </c>
      <c r="AI1810">
        <v>0</v>
      </c>
      <c r="AJ1810">
        <v>0</v>
      </c>
      <c r="AK1810">
        <v>0</v>
      </c>
      <c r="AL1810">
        <v>0</v>
      </c>
      <c r="AM1810">
        <v>17.16</v>
      </c>
      <c r="AN1810">
        <v>0</v>
      </c>
      <c r="AO1810">
        <v>0</v>
      </c>
      <c r="AP1810">
        <v>0</v>
      </c>
      <c r="AQ1810">
        <v>0</v>
      </c>
      <c r="AR1810">
        <v>0</v>
      </c>
      <c r="AS1810">
        <v>0</v>
      </c>
      <c r="AT1810">
        <v>0</v>
      </c>
      <c r="AU1810">
        <v>0</v>
      </c>
      <c r="AV1810">
        <v>0</v>
      </c>
      <c r="AW1810">
        <v>0</v>
      </c>
      <c r="AX1810">
        <v>0</v>
      </c>
      <c r="AY1810">
        <v>0</v>
      </c>
      <c r="AZ1810">
        <v>0</v>
      </c>
      <c r="BA1810">
        <v>0</v>
      </c>
      <c r="BB1810">
        <v>0</v>
      </c>
      <c r="BC1810">
        <v>0</v>
      </c>
      <c r="BD1810">
        <v>0</v>
      </c>
      <c r="BE1810">
        <v>0</v>
      </c>
      <c r="BF1810">
        <v>0</v>
      </c>
      <c r="BG1810">
        <v>0</v>
      </c>
      <c r="BH1810">
        <v>1</v>
      </c>
      <c r="BI1810">
        <v>3.8</v>
      </c>
      <c r="BJ1810">
        <v>1.5</v>
      </c>
      <c r="BK1810">
        <v>4</v>
      </c>
      <c r="BL1810" s="4">
        <v>100.87</v>
      </c>
      <c r="BM1810" s="4">
        <v>15.13</v>
      </c>
      <c r="BN1810" s="4">
        <v>116</v>
      </c>
      <c r="BO1810" s="4">
        <v>116</v>
      </c>
      <c r="BQ1810" t="s">
        <v>256</v>
      </c>
      <c r="BR1810" t="s">
        <v>84</v>
      </c>
      <c r="BS1810" s="3">
        <v>43818</v>
      </c>
      <c r="BT1810" s="5">
        <v>0.36041666666666666</v>
      </c>
      <c r="BU1810" t="s">
        <v>449</v>
      </c>
      <c r="BV1810" t="s">
        <v>86</v>
      </c>
      <c r="BY1810">
        <v>7271.3</v>
      </c>
      <c r="CA1810" t="s">
        <v>212</v>
      </c>
      <c r="CC1810" t="s">
        <v>447</v>
      </c>
      <c r="CD1810">
        <v>4113</v>
      </c>
      <c r="CE1810" t="s">
        <v>96</v>
      </c>
      <c r="CF1810" s="3">
        <v>43819</v>
      </c>
      <c r="CI1810">
        <v>1</v>
      </c>
      <c r="CJ1810">
        <v>1</v>
      </c>
      <c r="CK1810">
        <v>21</v>
      </c>
      <c r="CL1810" t="s">
        <v>89</v>
      </c>
    </row>
    <row r="1811" spans="1:90">
      <c r="A1811" t="s">
        <v>72</v>
      </c>
      <c r="B1811" t="s">
        <v>73</v>
      </c>
      <c r="C1811" t="s">
        <v>74</v>
      </c>
      <c r="E1811" t="str">
        <f>"FES1162728862"</f>
        <v>FES1162728862</v>
      </c>
      <c r="F1811" s="3">
        <v>43817</v>
      </c>
      <c r="G1811">
        <v>202006</v>
      </c>
      <c r="H1811" t="s">
        <v>75</v>
      </c>
      <c r="I1811" t="s">
        <v>76</v>
      </c>
      <c r="J1811" t="s">
        <v>77</v>
      </c>
      <c r="K1811" t="s">
        <v>78</v>
      </c>
      <c r="L1811" t="s">
        <v>1183</v>
      </c>
      <c r="M1811" t="s">
        <v>1184</v>
      </c>
      <c r="N1811" t="s">
        <v>2174</v>
      </c>
      <c r="O1811" t="s">
        <v>82</v>
      </c>
      <c r="P1811" t="str">
        <f>"2170722003                    "</f>
        <v xml:space="preserve">2170722003                    </v>
      </c>
      <c r="Q1811">
        <v>0</v>
      </c>
      <c r="R1811">
        <v>0</v>
      </c>
      <c r="S1811">
        <v>0</v>
      </c>
      <c r="T1811">
        <v>0</v>
      </c>
      <c r="U1811">
        <v>0</v>
      </c>
      <c r="V1811">
        <v>0</v>
      </c>
      <c r="W1811">
        <v>0</v>
      </c>
      <c r="X1811">
        <v>0</v>
      </c>
      <c r="Y1811">
        <v>0</v>
      </c>
      <c r="Z1811">
        <v>0</v>
      </c>
      <c r="AA1811">
        <v>0</v>
      </c>
      <c r="AB1811">
        <v>0</v>
      </c>
      <c r="AC1811">
        <v>0</v>
      </c>
      <c r="AD1811">
        <v>0</v>
      </c>
      <c r="AE1811">
        <v>0</v>
      </c>
      <c r="AF1811">
        <v>0</v>
      </c>
      <c r="AG1811">
        <v>0</v>
      </c>
      <c r="AH1811">
        <v>0</v>
      </c>
      <c r="AI1811">
        <v>0</v>
      </c>
      <c r="AJ1811">
        <v>0</v>
      </c>
      <c r="AK1811">
        <v>0</v>
      </c>
      <c r="AL1811">
        <v>0</v>
      </c>
      <c r="AM1811">
        <v>20.39</v>
      </c>
      <c r="AN1811">
        <v>0</v>
      </c>
      <c r="AO1811">
        <v>0</v>
      </c>
      <c r="AP1811">
        <v>0</v>
      </c>
      <c r="AQ1811">
        <v>0</v>
      </c>
      <c r="AR1811">
        <v>0</v>
      </c>
      <c r="AS1811">
        <v>0</v>
      </c>
      <c r="AT1811">
        <v>0</v>
      </c>
      <c r="AU1811">
        <v>0</v>
      </c>
      <c r="AV1811">
        <v>0</v>
      </c>
      <c r="AW1811">
        <v>0</v>
      </c>
      <c r="AX1811">
        <v>0</v>
      </c>
      <c r="AY1811">
        <v>0</v>
      </c>
      <c r="AZ1811">
        <v>0</v>
      </c>
      <c r="BA1811">
        <v>0</v>
      </c>
      <c r="BB1811">
        <v>0</v>
      </c>
      <c r="BC1811">
        <v>0</v>
      </c>
      <c r="BD1811">
        <v>0</v>
      </c>
      <c r="BE1811">
        <v>0</v>
      </c>
      <c r="BF1811">
        <v>0</v>
      </c>
      <c r="BG1811">
        <v>0</v>
      </c>
      <c r="BH1811">
        <v>1</v>
      </c>
      <c r="BI1811">
        <v>2.1</v>
      </c>
      <c r="BJ1811">
        <v>1.2</v>
      </c>
      <c r="BK1811">
        <v>2.5</v>
      </c>
      <c r="BL1811" s="4">
        <v>119.83</v>
      </c>
      <c r="BM1811" s="4">
        <v>17.97</v>
      </c>
      <c r="BN1811" s="4">
        <v>137.80000000000001</v>
      </c>
      <c r="BO1811" s="4">
        <v>137.80000000000001</v>
      </c>
      <c r="BR1811" t="s">
        <v>84</v>
      </c>
      <c r="BS1811" s="3">
        <v>43818</v>
      </c>
      <c r="BT1811" s="5">
        <v>0.45833333333333331</v>
      </c>
      <c r="BU1811" t="s">
        <v>2131</v>
      </c>
      <c r="BV1811" t="s">
        <v>86</v>
      </c>
      <c r="BY1811">
        <v>5964.25</v>
      </c>
      <c r="CA1811" t="s">
        <v>1187</v>
      </c>
      <c r="CC1811" t="s">
        <v>1184</v>
      </c>
      <c r="CD1811">
        <v>3370</v>
      </c>
      <c r="CE1811" t="s">
        <v>96</v>
      </c>
      <c r="CF1811" s="3">
        <v>43822</v>
      </c>
      <c r="CI1811">
        <v>3</v>
      </c>
      <c r="CJ1811">
        <v>1</v>
      </c>
      <c r="CK1811">
        <v>23</v>
      </c>
      <c r="CL1811" t="s">
        <v>89</v>
      </c>
    </row>
    <row r="1812" spans="1:90">
      <c r="A1812" t="s">
        <v>72</v>
      </c>
      <c r="B1812" t="s">
        <v>73</v>
      </c>
      <c r="C1812" t="s">
        <v>74</v>
      </c>
      <c r="E1812" t="str">
        <f>"FES1162728928"</f>
        <v>FES1162728928</v>
      </c>
      <c r="F1812" s="3">
        <v>43817</v>
      </c>
      <c r="G1812">
        <v>202006</v>
      </c>
      <c r="H1812" t="s">
        <v>75</v>
      </c>
      <c r="I1812" t="s">
        <v>76</v>
      </c>
      <c r="J1812" t="s">
        <v>77</v>
      </c>
      <c r="K1812" t="s">
        <v>78</v>
      </c>
      <c r="L1812" t="s">
        <v>201</v>
      </c>
      <c r="M1812" t="s">
        <v>202</v>
      </c>
      <c r="N1812" t="s">
        <v>2175</v>
      </c>
      <c r="O1812" t="s">
        <v>82</v>
      </c>
      <c r="P1812" t="str">
        <f>"2170722034                    "</f>
        <v xml:space="preserve">2170722034                    </v>
      </c>
      <c r="Q1812">
        <v>0</v>
      </c>
      <c r="R1812">
        <v>0</v>
      </c>
      <c r="S1812">
        <v>0</v>
      </c>
      <c r="T1812">
        <v>0</v>
      </c>
      <c r="U1812">
        <v>0</v>
      </c>
      <c r="V1812">
        <v>0</v>
      </c>
      <c r="W1812">
        <v>0</v>
      </c>
      <c r="X1812">
        <v>0</v>
      </c>
      <c r="Y1812">
        <v>0</v>
      </c>
      <c r="Z1812">
        <v>0</v>
      </c>
      <c r="AA1812">
        <v>0</v>
      </c>
      <c r="AB1812">
        <v>0</v>
      </c>
      <c r="AC1812">
        <v>0</v>
      </c>
      <c r="AD1812">
        <v>0</v>
      </c>
      <c r="AE1812">
        <v>0</v>
      </c>
      <c r="AF1812">
        <v>0</v>
      </c>
      <c r="AG1812">
        <v>0</v>
      </c>
      <c r="AH1812">
        <v>0</v>
      </c>
      <c r="AI1812">
        <v>0</v>
      </c>
      <c r="AJ1812">
        <v>0</v>
      </c>
      <c r="AK1812">
        <v>0</v>
      </c>
      <c r="AL1812">
        <v>0</v>
      </c>
      <c r="AM1812">
        <v>12.87</v>
      </c>
      <c r="AN1812">
        <v>0</v>
      </c>
      <c r="AO1812">
        <v>0</v>
      </c>
      <c r="AP1812">
        <v>0</v>
      </c>
      <c r="AQ1812">
        <v>0</v>
      </c>
      <c r="AR1812">
        <v>0</v>
      </c>
      <c r="AS1812">
        <v>0</v>
      </c>
      <c r="AT1812">
        <v>0</v>
      </c>
      <c r="AU1812">
        <v>0</v>
      </c>
      <c r="AV1812">
        <v>0</v>
      </c>
      <c r="AW1812">
        <v>0</v>
      </c>
      <c r="AX1812">
        <v>0</v>
      </c>
      <c r="AY1812">
        <v>0</v>
      </c>
      <c r="AZ1812">
        <v>0</v>
      </c>
      <c r="BA1812">
        <v>0</v>
      </c>
      <c r="BB1812">
        <v>0</v>
      </c>
      <c r="BC1812">
        <v>0</v>
      </c>
      <c r="BD1812">
        <v>0</v>
      </c>
      <c r="BE1812">
        <v>0</v>
      </c>
      <c r="BF1812">
        <v>0</v>
      </c>
      <c r="BG1812">
        <v>0</v>
      </c>
      <c r="BH1812">
        <v>1</v>
      </c>
      <c r="BI1812">
        <v>2.7</v>
      </c>
      <c r="BJ1812">
        <v>0.9</v>
      </c>
      <c r="BK1812">
        <v>3</v>
      </c>
      <c r="BL1812" s="4">
        <v>75.66</v>
      </c>
      <c r="BM1812" s="4">
        <v>11.35</v>
      </c>
      <c r="BN1812" s="4">
        <v>87.01</v>
      </c>
      <c r="BO1812" s="4">
        <v>87.01</v>
      </c>
      <c r="BQ1812" t="s">
        <v>93</v>
      </c>
      <c r="BR1812" t="s">
        <v>84</v>
      </c>
      <c r="BS1812" s="3">
        <v>43818</v>
      </c>
      <c r="BT1812" s="5">
        <v>0.41250000000000003</v>
      </c>
      <c r="BU1812" t="s">
        <v>2176</v>
      </c>
      <c r="BV1812" t="s">
        <v>86</v>
      </c>
      <c r="BY1812">
        <v>4510.99</v>
      </c>
      <c r="CA1812" t="s">
        <v>288</v>
      </c>
      <c r="CC1812" t="s">
        <v>202</v>
      </c>
      <c r="CD1812">
        <v>3610</v>
      </c>
      <c r="CE1812" t="s">
        <v>116</v>
      </c>
      <c r="CF1812" s="3">
        <v>43819</v>
      </c>
      <c r="CI1812">
        <v>1</v>
      </c>
      <c r="CJ1812">
        <v>1</v>
      </c>
      <c r="CK1812">
        <v>21</v>
      </c>
      <c r="CL1812" t="s">
        <v>89</v>
      </c>
    </row>
    <row r="1813" spans="1:90">
      <c r="A1813" t="s">
        <v>72</v>
      </c>
      <c r="B1813" t="s">
        <v>73</v>
      </c>
      <c r="C1813" t="s">
        <v>74</v>
      </c>
      <c r="E1813" t="str">
        <f>"FES1162728897"</f>
        <v>FES1162728897</v>
      </c>
      <c r="F1813" s="3">
        <v>43817</v>
      </c>
      <c r="G1813">
        <v>202006</v>
      </c>
      <c r="H1813" t="s">
        <v>75</v>
      </c>
      <c r="I1813" t="s">
        <v>76</v>
      </c>
      <c r="J1813" t="s">
        <v>77</v>
      </c>
      <c r="K1813" t="s">
        <v>78</v>
      </c>
      <c r="L1813" t="s">
        <v>332</v>
      </c>
      <c r="M1813" t="s">
        <v>333</v>
      </c>
      <c r="N1813" t="s">
        <v>840</v>
      </c>
      <c r="O1813" t="s">
        <v>82</v>
      </c>
      <c r="P1813" t="str">
        <f>"2170720109                    "</f>
        <v xml:space="preserve">2170720109                    </v>
      </c>
      <c r="Q1813">
        <v>0</v>
      </c>
      <c r="R1813">
        <v>0</v>
      </c>
      <c r="S1813">
        <v>0</v>
      </c>
      <c r="T1813">
        <v>0</v>
      </c>
      <c r="U1813">
        <v>0</v>
      </c>
      <c r="V1813">
        <v>0</v>
      </c>
      <c r="W1813">
        <v>0</v>
      </c>
      <c r="X1813">
        <v>0</v>
      </c>
      <c r="Y1813">
        <v>0</v>
      </c>
      <c r="Z1813">
        <v>0</v>
      </c>
      <c r="AA1813">
        <v>0</v>
      </c>
      <c r="AB1813">
        <v>0</v>
      </c>
      <c r="AC1813">
        <v>0</v>
      </c>
      <c r="AD1813">
        <v>0</v>
      </c>
      <c r="AE1813">
        <v>0</v>
      </c>
      <c r="AF1813">
        <v>0</v>
      </c>
      <c r="AG1813">
        <v>0</v>
      </c>
      <c r="AH1813">
        <v>0</v>
      </c>
      <c r="AI1813">
        <v>0</v>
      </c>
      <c r="AJ1813">
        <v>0</v>
      </c>
      <c r="AK1813">
        <v>0</v>
      </c>
      <c r="AL1813">
        <v>0</v>
      </c>
      <c r="AM1813">
        <v>6.71</v>
      </c>
      <c r="AN1813">
        <v>0</v>
      </c>
      <c r="AO1813">
        <v>0</v>
      </c>
      <c r="AP1813">
        <v>0</v>
      </c>
      <c r="AQ1813">
        <v>0</v>
      </c>
      <c r="AR1813">
        <v>0</v>
      </c>
      <c r="AS1813">
        <v>0</v>
      </c>
      <c r="AT1813">
        <v>0</v>
      </c>
      <c r="AU1813">
        <v>0</v>
      </c>
      <c r="AV1813">
        <v>0</v>
      </c>
      <c r="AW1813">
        <v>0</v>
      </c>
      <c r="AX1813">
        <v>0</v>
      </c>
      <c r="AY1813">
        <v>0</v>
      </c>
      <c r="AZ1813">
        <v>0</v>
      </c>
      <c r="BA1813">
        <v>0</v>
      </c>
      <c r="BB1813">
        <v>0</v>
      </c>
      <c r="BC1813">
        <v>0</v>
      </c>
      <c r="BD1813">
        <v>0</v>
      </c>
      <c r="BE1813">
        <v>0</v>
      </c>
      <c r="BF1813">
        <v>0</v>
      </c>
      <c r="BG1813">
        <v>0</v>
      </c>
      <c r="BH1813">
        <v>1</v>
      </c>
      <c r="BI1813">
        <v>0.8</v>
      </c>
      <c r="BJ1813">
        <v>1.1000000000000001</v>
      </c>
      <c r="BK1813">
        <v>1.5</v>
      </c>
      <c r="BL1813" s="4">
        <v>39.42</v>
      </c>
      <c r="BM1813" s="4">
        <v>5.91</v>
      </c>
      <c r="BN1813" s="4">
        <v>45.33</v>
      </c>
      <c r="BO1813" s="4">
        <v>45.33</v>
      </c>
      <c r="BR1813" t="s">
        <v>84</v>
      </c>
      <c r="BS1813" s="3">
        <v>43818</v>
      </c>
      <c r="BT1813" s="5">
        <v>0.4152777777777778</v>
      </c>
      <c r="BU1813" t="s">
        <v>2177</v>
      </c>
      <c r="BV1813" t="s">
        <v>86</v>
      </c>
      <c r="BY1813">
        <v>5416.98</v>
      </c>
      <c r="CA1813" t="s">
        <v>344</v>
      </c>
      <c r="CC1813" t="s">
        <v>333</v>
      </c>
      <c r="CD1813">
        <v>2110</v>
      </c>
      <c r="CE1813" t="s">
        <v>116</v>
      </c>
      <c r="CF1813" s="3">
        <v>43819</v>
      </c>
      <c r="CI1813">
        <v>1</v>
      </c>
      <c r="CJ1813">
        <v>1</v>
      </c>
      <c r="CK1813">
        <v>22</v>
      </c>
      <c r="CL1813" t="s">
        <v>89</v>
      </c>
    </row>
    <row r="1814" spans="1:90">
      <c r="A1814" t="s">
        <v>72</v>
      </c>
      <c r="B1814" t="s">
        <v>73</v>
      </c>
      <c r="C1814" t="s">
        <v>74</v>
      </c>
      <c r="E1814" t="str">
        <f>"FES1162728852"</f>
        <v>FES1162728852</v>
      </c>
      <c r="F1814" s="3">
        <v>43817</v>
      </c>
      <c r="G1814">
        <v>202006</v>
      </c>
      <c r="H1814" t="s">
        <v>75</v>
      </c>
      <c r="I1814" t="s">
        <v>76</v>
      </c>
      <c r="J1814" t="s">
        <v>77</v>
      </c>
      <c r="K1814" t="s">
        <v>78</v>
      </c>
      <c r="L1814" t="s">
        <v>75</v>
      </c>
      <c r="M1814" t="s">
        <v>76</v>
      </c>
      <c r="N1814" t="s">
        <v>1819</v>
      </c>
      <c r="O1814" t="s">
        <v>82</v>
      </c>
      <c r="P1814" t="str">
        <f>"2170721702                    "</f>
        <v xml:space="preserve">2170721702                    </v>
      </c>
      <c r="Q1814">
        <v>0</v>
      </c>
      <c r="R1814">
        <v>0</v>
      </c>
      <c r="S1814">
        <v>0</v>
      </c>
      <c r="T1814">
        <v>0</v>
      </c>
      <c r="U1814">
        <v>0</v>
      </c>
      <c r="V1814">
        <v>0</v>
      </c>
      <c r="W1814">
        <v>0</v>
      </c>
      <c r="X1814">
        <v>0</v>
      </c>
      <c r="Y1814">
        <v>0</v>
      </c>
      <c r="Z1814">
        <v>0</v>
      </c>
      <c r="AA1814">
        <v>0</v>
      </c>
      <c r="AB1814">
        <v>0</v>
      </c>
      <c r="AC1814">
        <v>0</v>
      </c>
      <c r="AD1814">
        <v>0</v>
      </c>
      <c r="AE1814">
        <v>0</v>
      </c>
      <c r="AF1814">
        <v>0</v>
      </c>
      <c r="AG1814">
        <v>0</v>
      </c>
      <c r="AH1814">
        <v>0</v>
      </c>
      <c r="AI1814">
        <v>0</v>
      </c>
      <c r="AJ1814">
        <v>0</v>
      </c>
      <c r="AK1814">
        <v>0</v>
      </c>
      <c r="AL1814">
        <v>0</v>
      </c>
      <c r="AM1814">
        <v>12.33</v>
      </c>
      <c r="AN1814">
        <v>0</v>
      </c>
      <c r="AO1814">
        <v>0</v>
      </c>
      <c r="AP1814">
        <v>0</v>
      </c>
      <c r="AQ1814">
        <v>0</v>
      </c>
      <c r="AR1814">
        <v>0</v>
      </c>
      <c r="AS1814">
        <v>0</v>
      </c>
      <c r="AT1814">
        <v>0</v>
      </c>
      <c r="AU1814">
        <v>0</v>
      </c>
      <c r="AV1814">
        <v>0</v>
      </c>
      <c r="AW1814">
        <v>0</v>
      </c>
      <c r="AX1814">
        <v>0</v>
      </c>
      <c r="AY1814">
        <v>0</v>
      </c>
      <c r="AZ1814">
        <v>0</v>
      </c>
      <c r="BA1814">
        <v>0</v>
      </c>
      <c r="BB1814">
        <v>0</v>
      </c>
      <c r="BC1814">
        <v>0</v>
      </c>
      <c r="BD1814">
        <v>0</v>
      </c>
      <c r="BE1814">
        <v>0</v>
      </c>
      <c r="BF1814">
        <v>0</v>
      </c>
      <c r="BG1814">
        <v>0</v>
      </c>
      <c r="BH1814">
        <v>1</v>
      </c>
      <c r="BI1814">
        <v>5.3</v>
      </c>
      <c r="BJ1814">
        <v>1.4</v>
      </c>
      <c r="BK1814">
        <v>5.5</v>
      </c>
      <c r="BL1814" s="4">
        <v>72.48</v>
      </c>
      <c r="BM1814" s="4">
        <v>10.87</v>
      </c>
      <c r="BN1814" s="4">
        <v>83.35</v>
      </c>
      <c r="BO1814" s="4">
        <v>83.35</v>
      </c>
      <c r="BR1814" t="s">
        <v>84</v>
      </c>
      <c r="BS1814" s="3">
        <v>43818</v>
      </c>
      <c r="BT1814" s="5">
        <v>0.41666666666666669</v>
      </c>
      <c r="BU1814" t="s">
        <v>2178</v>
      </c>
      <c r="BV1814" t="s">
        <v>86</v>
      </c>
      <c r="BY1814">
        <v>6989.24</v>
      </c>
      <c r="CA1814" t="s">
        <v>588</v>
      </c>
      <c r="CC1814" t="s">
        <v>76</v>
      </c>
      <c r="CD1814">
        <v>1624</v>
      </c>
      <c r="CE1814" t="s">
        <v>96</v>
      </c>
      <c r="CF1814" s="3">
        <v>43819</v>
      </c>
      <c r="CI1814">
        <v>1</v>
      </c>
      <c r="CJ1814">
        <v>1</v>
      </c>
      <c r="CK1814">
        <v>22</v>
      </c>
      <c r="CL1814" t="s">
        <v>89</v>
      </c>
    </row>
    <row r="1815" spans="1:90">
      <c r="A1815" t="s">
        <v>72</v>
      </c>
      <c r="B1815" t="s">
        <v>73</v>
      </c>
      <c r="C1815" t="s">
        <v>74</v>
      </c>
      <c r="E1815" t="str">
        <f>"FES1162728967"</f>
        <v>FES1162728967</v>
      </c>
      <c r="F1815" s="3">
        <v>43817</v>
      </c>
      <c r="G1815">
        <v>202006</v>
      </c>
      <c r="H1815" t="s">
        <v>75</v>
      </c>
      <c r="I1815" t="s">
        <v>76</v>
      </c>
      <c r="J1815" t="s">
        <v>77</v>
      </c>
      <c r="K1815" t="s">
        <v>78</v>
      </c>
      <c r="L1815" t="s">
        <v>90</v>
      </c>
      <c r="M1815" t="s">
        <v>91</v>
      </c>
      <c r="N1815" t="s">
        <v>219</v>
      </c>
      <c r="O1815" t="s">
        <v>82</v>
      </c>
      <c r="P1815" t="str">
        <f>"2170722077                    "</f>
        <v xml:space="preserve">2170722077                    </v>
      </c>
      <c r="Q1815">
        <v>0</v>
      </c>
      <c r="R1815">
        <v>0</v>
      </c>
      <c r="S1815">
        <v>0</v>
      </c>
      <c r="T1815">
        <v>0</v>
      </c>
      <c r="U1815">
        <v>0</v>
      </c>
      <c r="V1815">
        <v>0</v>
      </c>
      <c r="W1815">
        <v>0</v>
      </c>
      <c r="X1815">
        <v>0</v>
      </c>
      <c r="Y1815">
        <v>0</v>
      </c>
      <c r="Z1815">
        <v>0</v>
      </c>
      <c r="AA1815">
        <v>0</v>
      </c>
      <c r="AB1815">
        <v>0</v>
      </c>
      <c r="AC1815">
        <v>0</v>
      </c>
      <c r="AD1815">
        <v>0</v>
      </c>
      <c r="AE1815">
        <v>0</v>
      </c>
      <c r="AF1815">
        <v>0</v>
      </c>
      <c r="AG1815">
        <v>0</v>
      </c>
      <c r="AH1815">
        <v>0</v>
      </c>
      <c r="AI1815">
        <v>0</v>
      </c>
      <c r="AJ1815">
        <v>0</v>
      </c>
      <c r="AK1815">
        <v>0</v>
      </c>
      <c r="AL1815">
        <v>0</v>
      </c>
      <c r="AM1815">
        <v>72.91</v>
      </c>
      <c r="AN1815">
        <v>0</v>
      </c>
      <c r="AO1815">
        <v>0</v>
      </c>
      <c r="AP1815">
        <v>0</v>
      </c>
      <c r="AQ1815">
        <v>0</v>
      </c>
      <c r="AR1815">
        <v>0</v>
      </c>
      <c r="AS1815">
        <v>0</v>
      </c>
      <c r="AT1815">
        <v>0</v>
      </c>
      <c r="AU1815">
        <v>0</v>
      </c>
      <c r="AV1815">
        <v>0</v>
      </c>
      <c r="AW1815">
        <v>0</v>
      </c>
      <c r="AX1815">
        <v>0</v>
      </c>
      <c r="AY1815">
        <v>0</v>
      </c>
      <c r="AZ1815">
        <v>0</v>
      </c>
      <c r="BA1815">
        <v>0</v>
      </c>
      <c r="BB1815">
        <v>0</v>
      </c>
      <c r="BC1815">
        <v>0</v>
      </c>
      <c r="BD1815">
        <v>0</v>
      </c>
      <c r="BE1815">
        <v>0</v>
      </c>
      <c r="BF1815">
        <v>0</v>
      </c>
      <c r="BG1815">
        <v>0</v>
      </c>
      <c r="BH1815">
        <v>1</v>
      </c>
      <c r="BI1815">
        <v>16.7</v>
      </c>
      <c r="BJ1815">
        <v>14</v>
      </c>
      <c r="BK1815">
        <v>17</v>
      </c>
      <c r="BL1815" s="4">
        <v>428.58</v>
      </c>
      <c r="BM1815" s="4">
        <v>64.290000000000006</v>
      </c>
      <c r="BN1815" s="4">
        <v>492.87</v>
      </c>
      <c r="BO1815" s="4">
        <v>492.87</v>
      </c>
      <c r="BQ1815" t="s">
        <v>147</v>
      </c>
      <c r="BR1815" t="s">
        <v>84</v>
      </c>
      <c r="BS1815" s="3">
        <v>43818</v>
      </c>
      <c r="BT1815" s="5">
        <v>0.33888888888888885</v>
      </c>
      <c r="BU1815" t="s">
        <v>220</v>
      </c>
      <c r="BV1815" t="s">
        <v>86</v>
      </c>
      <c r="BY1815">
        <v>70068.600000000006</v>
      </c>
      <c r="CA1815" t="s">
        <v>2179</v>
      </c>
      <c r="CC1815" t="s">
        <v>91</v>
      </c>
      <c r="CD1815">
        <v>7441</v>
      </c>
      <c r="CE1815" t="s">
        <v>116</v>
      </c>
      <c r="CF1815" s="3">
        <v>43819</v>
      </c>
      <c r="CI1815">
        <v>1</v>
      </c>
      <c r="CJ1815">
        <v>1</v>
      </c>
      <c r="CK1815">
        <v>21</v>
      </c>
      <c r="CL1815" t="s">
        <v>89</v>
      </c>
    </row>
    <row r="1816" spans="1:90">
      <c r="A1816" t="s">
        <v>72</v>
      </c>
      <c r="B1816" t="s">
        <v>73</v>
      </c>
      <c r="C1816" t="s">
        <v>74</v>
      </c>
      <c r="E1816" t="str">
        <f>"FES1162728502"</f>
        <v>FES1162728502</v>
      </c>
      <c r="F1816" s="3">
        <v>43817</v>
      </c>
      <c r="G1816">
        <v>202006</v>
      </c>
      <c r="H1816" t="s">
        <v>75</v>
      </c>
      <c r="I1816" t="s">
        <v>76</v>
      </c>
      <c r="J1816" t="s">
        <v>77</v>
      </c>
      <c r="K1816" t="s">
        <v>78</v>
      </c>
      <c r="L1816" t="s">
        <v>340</v>
      </c>
      <c r="M1816" t="s">
        <v>341</v>
      </c>
      <c r="N1816" t="s">
        <v>342</v>
      </c>
      <c r="O1816" t="s">
        <v>82</v>
      </c>
      <c r="P1816" t="str">
        <f>"2170721473                    "</f>
        <v xml:space="preserve">2170721473                    </v>
      </c>
      <c r="Q1816">
        <v>0</v>
      </c>
      <c r="R1816">
        <v>0</v>
      </c>
      <c r="S1816">
        <v>0</v>
      </c>
      <c r="T1816">
        <v>0</v>
      </c>
      <c r="U1816">
        <v>0</v>
      </c>
      <c r="V1816">
        <v>0</v>
      </c>
      <c r="W1816">
        <v>0</v>
      </c>
      <c r="X1816">
        <v>0</v>
      </c>
      <c r="Y1816">
        <v>0</v>
      </c>
      <c r="Z1816">
        <v>0</v>
      </c>
      <c r="AA1816">
        <v>0</v>
      </c>
      <c r="AB1816">
        <v>0</v>
      </c>
      <c r="AC1816">
        <v>0</v>
      </c>
      <c r="AD1816">
        <v>0</v>
      </c>
      <c r="AE1816">
        <v>0</v>
      </c>
      <c r="AF1816">
        <v>0</v>
      </c>
      <c r="AG1816">
        <v>0</v>
      </c>
      <c r="AH1816">
        <v>0</v>
      </c>
      <c r="AI1816">
        <v>0</v>
      </c>
      <c r="AJ1816">
        <v>0</v>
      </c>
      <c r="AK1816">
        <v>0</v>
      </c>
      <c r="AL1816">
        <v>0</v>
      </c>
      <c r="AM1816">
        <v>16.63</v>
      </c>
      <c r="AN1816">
        <v>0</v>
      </c>
      <c r="AO1816">
        <v>0</v>
      </c>
      <c r="AP1816">
        <v>0</v>
      </c>
      <c r="AQ1816">
        <v>0</v>
      </c>
      <c r="AR1816">
        <v>0</v>
      </c>
      <c r="AS1816">
        <v>0</v>
      </c>
      <c r="AT1816">
        <v>0</v>
      </c>
      <c r="AU1816">
        <v>0</v>
      </c>
      <c r="AV1816">
        <v>0</v>
      </c>
      <c r="AW1816">
        <v>0</v>
      </c>
      <c r="AX1816">
        <v>0</v>
      </c>
      <c r="AY1816">
        <v>0</v>
      </c>
      <c r="AZ1816">
        <v>0</v>
      </c>
      <c r="BA1816">
        <v>0</v>
      </c>
      <c r="BB1816">
        <v>0</v>
      </c>
      <c r="BC1816">
        <v>0</v>
      </c>
      <c r="BD1816">
        <v>0</v>
      </c>
      <c r="BE1816">
        <v>0</v>
      </c>
      <c r="BF1816">
        <v>0</v>
      </c>
      <c r="BG1816">
        <v>0</v>
      </c>
      <c r="BH1816">
        <v>1</v>
      </c>
      <c r="BI1816">
        <v>1.9</v>
      </c>
      <c r="BJ1816">
        <v>1.1000000000000001</v>
      </c>
      <c r="BK1816">
        <v>2</v>
      </c>
      <c r="BL1816" s="4">
        <v>97.75</v>
      </c>
      <c r="BM1816" s="4">
        <v>14.66</v>
      </c>
      <c r="BN1816" s="4">
        <v>112.41</v>
      </c>
      <c r="BO1816" s="4">
        <v>112.41</v>
      </c>
      <c r="BQ1816" t="s">
        <v>93</v>
      </c>
      <c r="BR1816" t="s">
        <v>84</v>
      </c>
      <c r="BS1816" s="3">
        <v>43818</v>
      </c>
      <c r="BT1816" s="5">
        <v>0.43055555555555558</v>
      </c>
      <c r="BU1816" t="s">
        <v>2180</v>
      </c>
      <c r="BV1816" t="s">
        <v>86</v>
      </c>
      <c r="BY1816">
        <v>5472.43</v>
      </c>
      <c r="CC1816" t="s">
        <v>341</v>
      </c>
      <c r="CD1816">
        <v>1947</v>
      </c>
      <c r="CE1816" t="s">
        <v>116</v>
      </c>
      <c r="CF1816" s="3">
        <v>43819</v>
      </c>
      <c r="CI1816">
        <v>1</v>
      </c>
      <c r="CJ1816">
        <v>1</v>
      </c>
      <c r="CK1816">
        <v>23</v>
      </c>
      <c r="CL1816" t="s">
        <v>89</v>
      </c>
    </row>
    <row r="1817" spans="1:90">
      <c r="A1817" t="s">
        <v>72</v>
      </c>
      <c r="B1817" t="s">
        <v>73</v>
      </c>
      <c r="C1817" t="s">
        <v>74</v>
      </c>
      <c r="E1817" t="str">
        <f>"FES1162728665"</f>
        <v>FES1162728665</v>
      </c>
      <c r="F1817" s="3">
        <v>43817</v>
      </c>
      <c r="G1817">
        <v>202006</v>
      </c>
      <c r="H1817" t="s">
        <v>75</v>
      </c>
      <c r="I1817" t="s">
        <v>76</v>
      </c>
      <c r="J1817" t="s">
        <v>77</v>
      </c>
      <c r="K1817" t="s">
        <v>78</v>
      </c>
      <c r="L1817" t="s">
        <v>714</v>
      </c>
      <c r="M1817" t="s">
        <v>715</v>
      </c>
      <c r="N1817" t="s">
        <v>886</v>
      </c>
      <c r="O1817" t="s">
        <v>82</v>
      </c>
      <c r="P1817" t="str">
        <f>"2170719812                    "</f>
        <v xml:space="preserve">2170719812                    </v>
      </c>
      <c r="Q1817">
        <v>0</v>
      </c>
      <c r="R1817">
        <v>0</v>
      </c>
      <c r="S1817">
        <v>0</v>
      </c>
      <c r="T1817">
        <v>0</v>
      </c>
      <c r="U1817">
        <v>0</v>
      </c>
      <c r="V1817">
        <v>0</v>
      </c>
      <c r="W1817">
        <v>0</v>
      </c>
      <c r="X1817">
        <v>0</v>
      </c>
      <c r="Y1817">
        <v>0</v>
      </c>
      <c r="Z1817">
        <v>0</v>
      </c>
      <c r="AA1817">
        <v>0</v>
      </c>
      <c r="AB1817">
        <v>0</v>
      </c>
      <c r="AC1817">
        <v>0</v>
      </c>
      <c r="AD1817">
        <v>0</v>
      </c>
      <c r="AE1817">
        <v>0</v>
      </c>
      <c r="AF1817">
        <v>0</v>
      </c>
      <c r="AG1817">
        <v>0</v>
      </c>
      <c r="AH1817">
        <v>0</v>
      </c>
      <c r="AI1817">
        <v>0</v>
      </c>
      <c r="AJ1817">
        <v>0</v>
      </c>
      <c r="AK1817">
        <v>0</v>
      </c>
      <c r="AL1817">
        <v>0</v>
      </c>
      <c r="AM1817">
        <v>6.71</v>
      </c>
      <c r="AN1817">
        <v>0</v>
      </c>
      <c r="AO1817">
        <v>0</v>
      </c>
      <c r="AP1817">
        <v>0</v>
      </c>
      <c r="AQ1817">
        <v>0</v>
      </c>
      <c r="AR1817">
        <v>0</v>
      </c>
      <c r="AS1817">
        <v>0</v>
      </c>
      <c r="AT1817">
        <v>0</v>
      </c>
      <c r="AU1817">
        <v>0</v>
      </c>
      <c r="AV1817">
        <v>0</v>
      </c>
      <c r="AW1817">
        <v>0</v>
      </c>
      <c r="AX1817">
        <v>0</v>
      </c>
      <c r="AY1817">
        <v>0</v>
      </c>
      <c r="AZ1817">
        <v>0</v>
      </c>
      <c r="BA1817">
        <v>0</v>
      </c>
      <c r="BB1817">
        <v>0</v>
      </c>
      <c r="BC1817">
        <v>0</v>
      </c>
      <c r="BD1817">
        <v>0</v>
      </c>
      <c r="BE1817">
        <v>0</v>
      </c>
      <c r="BF1817">
        <v>0</v>
      </c>
      <c r="BG1817">
        <v>0</v>
      </c>
      <c r="BH1817">
        <v>1</v>
      </c>
      <c r="BI1817">
        <v>0.6</v>
      </c>
      <c r="BJ1817">
        <v>0.8</v>
      </c>
      <c r="BK1817">
        <v>1</v>
      </c>
      <c r="BL1817" s="4">
        <v>39.42</v>
      </c>
      <c r="BM1817" s="4">
        <v>5.91</v>
      </c>
      <c r="BN1817" s="4">
        <v>45.33</v>
      </c>
      <c r="BO1817" s="4">
        <v>45.33</v>
      </c>
      <c r="BR1817" t="s">
        <v>84</v>
      </c>
      <c r="BS1817" t="s">
        <v>717</v>
      </c>
      <c r="BY1817">
        <v>4105.8900000000003</v>
      </c>
      <c r="CC1817" t="s">
        <v>715</v>
      </c>
      <c r="CD1817">
        <v>1559</v>
      </c>
      <c r="CE1817" t="s">
        <v>116</v>
      </c>
      <c r="CI1817">
        <v>1</v>
      </c>
      <c r="CJ1817" t="s">
        <v>717</v>
      </c>
      <c r="CK1817">
        <v>22</v>
      </c>
      <c r="CL1817" t="s">
        <v>89</v>
      </c>
    </row>
    <row r="1818" spans="1:90">
      <c r="A1818" t="s">
        <v>72</v>
      </c>
      <c r="B1818" t="s">
        <v>73</v>
      </c>
      <c r="C1818" t="s">
        <v>74</v>
      </c>
      <c r="E1818" t="str">
        <f>"FES1162728977"</f>
        <v>FES1162728977</v>
      </c>
      <c r="F1818" s="3">
        <v>43817</v>
      </c>
      <c r="G1818">
        <v>202006</v>
      </c>
      <c r="H1818" t="s">
        <v>75</v>
      </c>
      <c r="I1818" t="s">
        <v>76</v>
      </c>
      <c r="J1818" t="s">
        <v>77</v>
      </c>
      <c r="K1818" t="s">
        <v>78</v>
      </c>
      <c r="L1818" t="s">
        <v>198</v>
      </c>
      <c r="M1818" t="s">
        <v>199</v>
      </c>
      <c r="N1818" t="s">
        <v>424</v>
      </c>
      <c r="O1818" t="s">
        <v>82</v>
      </c>
      <c r="P1818" t="str">
        <f>"2170722090                    "</f>
        <v xml:space="preserve">2170722090                    </v>
      </c>
      <c r="Q1818">
        <v>0</v>
      </c>
      <c r="R1818">
        <v>0</v>
      </c>
      <c r="S1818">
        <v>0</v>
      </c>
      <c r="T1818">
        <v>0</v>
      </c>
      <c r="U1818">
        <v>0</v>
      </c>
      <c r="V1818">
        <v>0</v>
      </c>
      <c r="W1818">
        <v>0</v>
      </c>
      <c r="X1818">
        <v>0</v>
      </c>
      <c r="Y1818">
        <v>0</v>
      </c>
      <c r="Z1818">
        <v>0</v>
      </c>
      <c r="AA1818">
        <v>0</v>
      </c>
      <c r="AB1818">
        <v>0</v>
      </c>
      <c r="AC1818">
        <v>0</v>
      </c>
      <c r="AD1818">
        <v>0</v>
      </c>
      <c r="AE1818">
        <v>0</v>
      </c>
      <c r="AF1818">
        <v>0</v>
      </c>
      <c r="AG1818">
        <v>0</v>
      </c>
      <c r="AH1818">
        <v>0</v>
      </c>
      <c r="AI1818">
        <v>0</v>
      </c>
      <c r="AJ1818">
        <v>0</v>
      </c>
      <c r="AK1818">
        <v>0</v>
      </c>
      <c r="AL1818">
        <v>0</v>
      </c>
      <c r="AM1818">
        <v>8.58</v>
      </c>
      <c r="AN1818">
        <v>0</v>
      </c>
      <c r="AO1818">
        <v>0</v>
      </c>
      <c r="AP1818">
        <v>0</v>
      </c>
      <c r="AQ1818">
        <v>0</v>
      </c>
      <c r="AR1818">
        <v>0</v>
      </c>
      <c r="AS1818">
        <v>0</v>
      </c>
      <c r="AT1818">
        <v>0</v>
      </c>
      <c r="AU1818">
        <v>0</v>
      </c>
      <c r="AV1818">
        <v>0</v>
      </c>
      <c r="AW1818">
        <v>0</v>
      </c>
      <c r="AX1818">
        <v>0</v>
      </c>
      <c r="AY1818">
        <v>0</v>
      </c>
      <c r="AZ1818">
        <v>0</v>
      </c>
      <c r="BA1818">
        <v>0</v>
      </c>
      <c r="BB1818">
        <v>0</v>
      </c>
      <c r="BC1818">
        <v>0</v>
      </c>
      <c r="BD1818">
        <v>0</v>
      </c>
      <c r="BE1818">
        <v>0</v>
      </c>
      <c r="BF1818">
        <v>0</v>
      </c>
      <c r="BG1818">
        <v>0</v>
      </c>
      <c r="BH1818">
        <v>1</v>
      </c>
      <c r="BI1818">
        <v>1</v>
      </c>
      <c r="BJ1818">
        <v>0.2</v>
      </c>
      <c r="BK1818">
        <v>1</v>
      </c>
      <c r="BL1818" s="4">
        <v>50.45</v>
      </c>
      <c r="BM1818" s="4">
        <v>7.57</v>
      </c>
      <c r="BN1818" s="4">
        <v>58.02</v>
      </c>
      <c r="BO1818" s="4">
        <v>58.02</v>
      </c>
      <c r="BQ1818" t="s">
        <v>147</v>
      </c>
      <c r="BR1818" t="s">
        <v>84</v>
      </c>
      <c r="BS1818" s="3">
        <v>43818</v>
      </c>
      <c r="BT1818" s="5">
        <v>0.40416666666666662</v>
      </c>
      <c r="BU1818" t="s">
        <v>2181</v>
      </c>
      <c r="BV1818" t="s">
        <v>86</v>
      </c>
      <c r="BY1818">
        <v>1200</v>
      </c>
      <c r="CA1818" t="s">
        <v>212</v>
      </c>
      <c r="CC1818" t="s">
        <v>199</v>
      </c>
      <c r="CD1818">
        <v>4001</v>
      </c>
      <c r="CE1818" t="s">
        <v>88</v>
      </c>
      <c r="CF1818" s="3">
        <v>43819</v>
      </c>
      <c r="CI1818">
        <v>1</v>
      </c>
      <c r="CJ1818">
        <v>1</v>
      </c>
      <c r="CK1818">
        <v>21</v>
      </c>
      <c r="CL1818" t="s">
        <v>89</v>
      </c>
    </row>
    <row r="1819" spans="1:90">
      <c r="A1819" t="s">
        <v>72</v>
      </c>
      <c r="B1819" t="s">
        <v>73</v>
      </c>
      <c r="C1819" t="s">
        <v>74</v>
      </c>
      <c r="E1819" t="str">
        <f>"FES1162728949"</f>
        <v>FES1162728949</v>
      </c>
      <c r="F1819" s="3">
        <v>43817</v>
      </c>
      <c r="G1819">
        <v>202006</v>
      </c>
      <c r="H1819" t="s">
        <v>75</v>
      </c>
      <c r="I1819" t="s">
        <v>76</v>
      </c>
      <c r="J1819" t="s">
        <v>77</v>
      </c>
      <c r="K1819" t="s">
        <v>78</v>
      </c>
      <c r="L1819" t="s">
        <v>198</v>
      </c>
      <c r="M1819" t="s">
        <v>199</v>
      </c>
      <c r="N1819" t="s">
        <v>842</v>
      </c>
      <c r="O1819" t="s">
        <v>82</v>
      </c>
      <c r="P1819" t="str">
        <f>"2170719066                    "</f>
        <v xml:space="preserve">2170719066                    </v>
      </c>
      <c r="Q1819">
        <v>0</v>
      </c>
      <c r="R1819">
        <v>0</v>
      </c>
      <c r="S1819">
        <v>0</v>
      </c>
      <c r="T1819">
        <v>0</v>
      </c>
      <c r="U1819">
        <v>0</v>
      </c>
      <c r="V1819">
        <v>0</v>
      </c>
      <c r="W1819">
        <v>0</v>
      </c>
      <c r="X1819">
        <v>0</v>
      </c>
      <c r="Y1819">
        <v>0</v>
      </c>
      <c r="Z1819">
        <v>0</v>
      </c>
      <c r="AA1819">
        <v>0</v>
      </c>
      <c r="AB1819">
        <v>0</v>
      </c>
      <c r="AC1819">
        <v>0</v>
      </c>
      <c r="AD1819">
        <v>0</v>
      </c>
      <c r="AE1819">
        <v>0</v>
      </c>
      <c r="AF1819">
        <v>0</v>
      </c>
      <c r="AG1819">
        <v>0</v>
      </c>
      <c r="AH1819">
        <v>0</v>
      </c>
      <c r="AI1819">
        <v>0</v>
      </c>
      <c r="AJ1819">
        <v>0</v>
      </c>
      <c r="AK1819">
        <v>0</v>
      </c>
      <c r="AL1819">
        <v>0</v>
      </c>
      <c r="AM1819">
        <v>8.58</v>
      </c>
      <c r="AN1819">
        <v>0</v>
      </c>
      <c r="AO1819">
        <v>0</v>
      </c>
      <c r="AP1819">
        <v>0</v>
      </c>
      <c r="AQ1819">
        <v>0</v>
      </c>
      <c r="AR1819">
        <v>0</v>
      </c>
      <c r="AS1819">
        <v>0</v>
      </c>
      <c r="AT1819">
        <v>0</v>
      </c>
      <c r="AU1819">
        <v>0</v>
      </c>
      <c r="AV1819">
        <v>0</v>
      </c>
      <c r="AW1819">
        <v>0</v>
      </c>
      <c r="AX1819">
        <v>0</v>
      </c>
      <c r="AY1819">
        <v>0</v>
      </c>
      <c r="AZ1819">
        <v>0</v>
      </c>
      <c r="BA1819">
        <v>0</v>
      </c>
      <c r="BB1819">
        <v>0</v>
      </c>
      <c r="BC1819">
        <v>0</v>
      </c>
      <c r="BD1819">
        <v>0</v>
      </c>
      <c r="BE1819">
        <v>0</v>
      </c>
      <c r="BF1819">
        <v>0</v>
      </c>
      <c r="BG1819">
        <v>0</v>
      </c>
      <c r="BH1819">
        <v>1</v>
      </c>
      <c r="BI1819">
        <v>1</v>
      </c>
      <c r="BJ1819">
        <v>0.2</v>
      </c>
      <c r="BK1819">
        <v>1</v>
      </c>
      <c r="BL1819" s="4">
        <v>50.45</v>
      </c>
      <c r="BM1819" s="4">
        <v>7.57</v>
      </c>
      <c r="BN1819" s="4">
        <v>58.02</v>
      </c>
      <c r="BO1819" s="4">
        <v>58.02</v>
      </c>
      <c r="BQ1819" t="s">
        <v>843</v>
      </c>
      <c r="BR1819" t="s">
        <v>84</v>
      </c>
      <c r="BS1819" s="3">
        <v>43818</v>
      </c>
      <c r="BT1819" s="5">
        <v>0.37291666666666662</v>
      </c>
      <c r="BU1819" t="s">
        <v>844</v>
      </c>
      <c r="BV1819" t="s">
        <v>86</v>
      </c>
      <c r="BY1819">
        <v>1200</v>
      </c>
      <c r="CA1819" t="s">
        <v>299</v>
      </c>
      <c r="CC1819" t="s">
        <v>199</v>
      </c>
      <c r="CD1819">
        <v>4051</v>
      </c>
      <c r="CE1819" t="s">
        <v>88</v>
      </c>
      <c r="CF1819" s="3">
        <v>43819</v>
      </c>
      <c r="CI1819">
        <v>1</v>
      </c>
      <c r="CJ1819">
        <v>1</v>
      </c>
      <c r="CK1819">
        <v>21</v>
      </c>
      <c r="CL1819" t="s">
        <v>89</v>
      </c>
    </row>
    <row r="1820" spans="1:90">
      <c r="A1820" t="s">
        <v>72</v>
      </c>
      <c r="B1820" t="s">
        <v>73</v>
      </c>
      <c r="C1820" t="s">
        <v>74</v>
      </c>
      <c r="E1820" t="str">
        <f>"FES1162728971"</f>
        <v>FES1162728971</v>
      </c>
      <c r="F1820" s="3">
        <v>43817</v>
      </c>
      <c r="G1820">
        <v>202006</v>
      </c>
      <c r="H1820" t="s">
        <v>75</v>
      </c>
      <c r="I1820" t="s">
        <v>76</v>
      </c>
      <c r="J1820" t="s">
        <v>77</v>
      </c>
      <c r="K1820" t="s">
        <v>78</v>
      </c>
      <c r="L1820" t="s">
        <v>198</v>
      </c>
      <c r="M1820" t="s">
        <v>199</v>
      </c>
      <c r="N1820" t="s">
        <v>1031</v>
      </c>
      <c r="O1820" t="s">
        <v>82</v>
      </c>
      <c r="P1820" t="str">
        <f>"2170722081                    "</f>
        <v xml:space="preserve">2170722081                    </v>
      </c>
      <c r="Q1820">
        <v>0</v>
      </c>
      <c r="R1820">
        <v>0</v>
      </c>
      <c r="S1820">
        <v>0</v>
      </c>
      <c r="T1820">
        <v>0</v>
      </c>
      <c r="U1820">
        <v>0</v>
      </c>
      <c r="V1820">
        <v>0</v>
      </c>
      <c r="W1820">
        <v>0</v>
      </c>
      <c r="X1820">
        <v>0</v>
      </c>
      <c r="Y1820">
        <v>0</v>
      </c>
      <c r="Z1820">
        <v>0</v>
      </c>
      <c r="AA1820">
        <v>0</v>
      </c>
      <c r="AB1820">
        <v>0</v>
      </c>
      <c r="AC1820">
        <v>0</v>
      </c>
      <c r="AD1820">
        <v>0</v>
      </c>
      <c r="AE1820">
        <v>0</v>
      </c>
      <c r="AF1820">
        <v>0</v>
      </c>
      <c r="AG1820">
        <v>0</v>
      </c>
      <c r="AH1820">
        <v>0</v>
      </c>
      <c r="AI1820">
        <v>0</v>
      </c>
      <c r="AJ1820">
        <v>0</v>
      </c>
      <c r="AK1820">
        <v>0</v>
      </c>
      <c r="AL1820">
        <v>0</v>
      </c>
      <c r="AM1820">
        <v>8.58</v>
      </c>
      <c r="AN1820">
        <v>0</v>
      </c>
      <c r="AO1820">
        <v>0</v>
      </c>
      <c r="AP1820">
        <v>0</v>
      </c>
      <c r="AQ1820">
        <v>0</v>
      </c>
      <c r="AR1820">
        <v>0</v>
      </c>
      <c r="AS1820">
        <v>0</v>
      </c>
      <c r="AT1820">
        <v>0</v>
      </c>
      <c r="AU1820">
        <v>0</v>
      </c>
      <c r="AV1820">
        <v>0</v>
      </c>
      <c r="AW1820">
        <v>0</v>
      </c>
      <c r="AX1820">
        <v>0</v>
      </c>
      <c r="AY1820">
        <v>0</v>
      </c>
      <c r="AZ1820">
        <v>0</v>
      </c>
      <c r="BA1820">
        <v>0</v>
      </c>
      <c r="BB1820">
        <v>0</v>
      </c>
      <c r="BC1820">
        <v>0</v>
      </c>
      <c r="BD1820">
        <v>0</v>
      </c>
      <c r="BE1820">
        <v>0</v>
      </c>
      <c r="BF1820">
        <v>0</v>
      </c>
      <c r="BG1820">
        <v>0</v>
      </c>
      <c r="BH1820">
        <v>1</v>
      </c>
      <c r="BI1820">
        <v>1</v>
      </c>
      <c r="BJ1820">
        <v>0.2</v>
      </c>
      <c r="BK1820">
        <v>1</v>
      </c>
      <c r="BL1820" s="4">
        <v>50.45</v>
      </c>
      <c r="BM1820" s="4">
        <v>7.57</v>
      </c>
      <c r="BN1820" s="4">
        <v>58.02</v>
      </c>
      <c r="BO1820" s="4">
        <v>58.02</v>
      </c>
      <c r="BQ1820" t="s">
        <v>93</v>
      </c>
      <c r="BR1820" t="s">
        <v>84</v>
      </c>
      <c r="BS1820" s="3">
        <v>43818</v>
      </c>
      <c r="BT1820" s="5">
        <v>0.3527777777777778</v>
      </c>
      <c r="BU1820" t="s">
        <v>1982</v>
      </c>
      <c r="BV1820" t="s">
        <v>86</v>
      </c>
      <c r="BY1820">
        <v>1200</v>
      </c>
      <c r="CA1820" t="s">
        <v>288</v>
      </c>
      <c r="CC1820" t="s">
        <v>199</v>
      </c>
      <c r="CD1820">
        <v>4001</v>
      </c>
      <c r="CE1820" t="s">
        <v>88</v>
      </c>
      <c r="CF1820" s="3">
        <v>43819</v>
      </c>
      <c r="CI1820">
        <v>1</v>
      </c>
      <c r="CJ1820">
        <v>1</v>
      </c>
      <c r="CK1820">
        <v>21</v>
      </c>
      <c r="CL1820" t="s">
        <v>89</v>
      </c>
    </row>
    <row r="1821" spans="1:90">
      <c r="A1821" t="s">
        <v>72</v>
      </c>
      <c r="B1821" t="s">
        <v>73</v>
      </c>
      <c r="C1821" t="s">
        <v>74</v>
      </c>
      <c r="E1821" t="str">
        <f>"FES1162728633"</f>
        <v>FES1162728633</v>
      </c>
      <c r="F1821" s="3">
        <v>43817</v>
      </c>
      <c r="G1821">
        <v>202006</v>
      </c>
      <c r="H1821" t="s">
        <v>75</v>
      </c>
      <c r="I1821" t="s">
        <v>76</v>
      </c>
      <c r="J1821" t="s">
        <v>77</v>
      </c>
      <c r="K1821" t="s">
        <v>78</v>
      </c>
      <c r="L1821" t="s">
        <v>1170</v>
      </c>
      <c r="M1821" t="s">
        <v>1170</v>
      </c>
      <c r="N1821" t="s">
        <v>2182</v>
      </c>
      <c r="O1821" t="s">
        <v>82</v>
      </c>
      <c r="P1821" t="str">
        <f>"21707218513                   "</f>
        <v xml:space="preserve">21707218513                   </v>
      </c>
      <c r="Q1821">
        <v>0</v>
      </c>
      <c r="R1821">
        <v>0</v>
      </c>
      <c r="S1821">
        <v>0</v>
      </c>
      <c r="T1821">
        <v>0</v>
      </c>
      <c r="U1821">
        <v>0</v>
      </c>
      <c r="V1821">
        <v>0</v>
      </c>
      <c r="W1821">
        <v>0</v>
      </c>
      <c r="X1821">
        <v>0</v>
      </c>
      <c r="Y1821">
        <v>0</v>
      </c>
      <c r="Z1821">
        <v>0</v>
      </c>
      <c r="AA1821">
        <v>0</v>
      </c>
      <c r="AB1821">
        <v>0</v>
      </c>
      <c r="AC1821">
        <v>0</v>
      </c>
      <c r="AD1821">
        <v>0</v>
      </c>
      <c r="AE1821">
        <v>0</v>
      </c>
      <c r="AF1821">
        <v>0</v>
      </c>
      <c r="AG1821">
        <v>0</v>
      </c>
      <c r="AH1821">
        <v>0</v>
      </c>
      <c r="AI1821">
        <v>0</v>
      </c>
      <c r="AJ1821">
        <v>0</v>
      </c>
      <c r="AK1821">
        <v>0</v>
      </c>
      <c r="AL1821">
        <v>0</v>
      </c>
      <c r="AM1821">
        <v>12.07</v>
      </c>
      <c r="AN1821">
        <v>0</v>
      </c>
      <c r="AO1821">
        <v>0</v>
      </c>
      <c r="AP1821">
        <v>0</v>
      </c>
      <c r="AQ1821">
        <v>0</v>
      </c>
      <c r="AR1821">
        <v>0</v>
      </c>
      <c r="AS1821">
        <v>0</v>
      </c>
      <c r="AT1821">
        <v>0</v>
      </c>
      <c r="AU1821">
        <v>0</v>
      </c>
      <c r="AV1821">
        <v>0</v>
      </c>
      <c r="AW1821">
        <v>0</v>
      </c>
      <c r="AX1821">
        <v>0</v>
      </c>
      <c r="AY1821">
        <v>0</v>
      </c>
      <c r="AZ1821">
        <v>0</v>
      </c>
      <c r="BA1821">
        <v>0</v>
      </c>
      <c r="BB1821">
        <v>0</v>
      </c>
      <c r="BC1821">
        <v>0</v>
      </c>
      <c r="BD1821">
        <v>0</v>
      </c>
      <c r="BE1821">
        <v>0</v>
      </c>
      <c r="BF1821">
        <v>0</v>
      </c>
      <c r="BG1821">
        <v>0</v>
      </c>
      <c r="BH1821">
        <v>1</v>
      </c>
      <c r="BI1821">
        <v>1</v>
      </c>
      <c r="BJ1821">
        <v>0.2</v>
      </c>
      <c r="BK1821">
        <v>1</v>
      </c>
      <c r="BL1821" s="4">
        <v>70.95</v>
      </c>
      <c r="BM1821" s="4">
        <v>10.64</v>
      </c>
      <c r="BN1821" s="4">
        <v>81.59</v>
      </c>
      <c r="BO1821" s="4">
        <v>81.59</v>
      </c>
      <c r="BQ1821" t="s">
        <v>2183</v>
      </c>
      <c r="BR1821" t="s">
        <v>84</v>
      </c>
      <c r="BS1821" s="3">
        <v>43818</v>
      </c>
      <c r="BT1821" s="5">
        <v>0.43055555555555558</v>
      </c>
      <c r="BU1821" t="s">
        <v>1928</v>
      </c>
      <c r="BV1821" t="s">
        <v>86</v>
      </c>
      <c r="BY1821">
        <v>1200</v>
      </c>
      <c r="CA1821" t="s">
        <v>2184</v>
      </c>
      <c r="CC1821" t="s">
        <v>1170</v>
      </c>
      <c r="CD1821">
        <v>1491</v>
      </c>
      <c r="CE1821" t="s">
        <v>88</v>
      </c>
      <c r="CF1821" s="3">
        <v>43819</v>
      </c>
      <c r="CI1821">
        <v>1</v>
      </c>
      <c r="CJ1821">
        <v>1</v>
      </c>
      <c r="CK1821">
        <v>24</v>
      </c>
      <c r="CL1821" t="s">
        <v>89</v>
      </c>
    </row>
    <row r="1822" spans="1:90">
      <c r="A1822" t="s">
        <v>72</v>
      </c>
      <c r="B1822" t="s">
        <v>73</v>
      </c>
      <c r="C1822" t="s">
        <v>74</v>
      </c>
      <c r="E1822" t="str">
        <f>"FES1162728895"</f>
        <v>FES1162728895</v>
      </c>
      <c r="F1822" s="3">
        <v>43817</v>
      </c>
      <c r="G1822">
        <v>202006</v>
      </c>
      <c r="H1822" t="s">
        <v>75</v>
      </c>
      <c r="I1822" t="s">
        <v>76</v>
      </c>
      <c r="J1822" t="s">
        <v>77</v>
      </c>
      <c r="K1822" t="s">
        <v>78</v>
      </c>
      <c r="L1822" t="s">
        <v>201</v>
      </c>
      <c r="M1822" t="s">
        <v>202</v>
      </c>
      <c r="N1822" t="s">
        <v>345</v>
      </c>
      <c r="O1822" t="s">
        <v>82</v>
      </c>
      <c r="P1822" t="str">
        <f>"2170720078                    "</f>
        <v xml:space="preserve">2170720078                    </v>
      </c>
      <c r="Q1822">
        <v>0</v>
      </c>
      <c r="R1822">
        <v>0</v>
      </c>
      <c r="S1822">
        <v>0</v>
      </c>
      <c r="T1822">
        <v>0</v>
      </c>
      <c r="U1822">
        <v>0</v>
      </c>
      <c r="V1822">
        <v>0</v>
      </c>
      <c r="W1822">
        <v>0</v>
      </c>
      <c r="X1822">
        <v>0</v>
      </c>
      <c r="Y1822">
        <v>0</v>
      </c>
      <c r="Z1822">
        <v>0</v>
      </c>
      <c r="AA1822">
        <v>0</v>
      </c>
      <c r="AB1822">
        <v>0</v>
      </c>
      <c r="AC1822">
        <v>0</v>
      </c>
      <c r="AD1822">
        <v>0</v>
      </c>
      <c r="AE1822">
        <v>0</v>
      </c>
      <c r="AF1822">
        <v>0</v>
      </c>
      <c r="AG1822">
        <v>0</v>
      </c>
      <c r="AH1822">
        <v>0</v>
      </c>
      <c r="AI1822">
        <v>0</v>
      </c>
      <c r="AJ1822">
        <v>0</v>
      </c>
      <c r="AK1822">
        <v>0</v>
      </c>
      <c r="AL1822">
        <v>0</v>
      </c>
      <c r="AM1822">
        <v>8.58</v>
      </c>
      <c r="AN1822">
        <v>0</v>
      </c>
      <c r="AO1822">
        <v>0</v>
      </c>
      <c r="AP1822">
        <v>0</v>
      </c>
      <c r="AQ1822">
        <v>0</v>
      </c>
      <c r="AR1822">
        <v>0</v>
      </c>
      <c r="AS1822">
        <v>0</v>
      </c>
      <c r="AT1822">
        <v>0</v>
      </c>
      <c r="AU1822">
        <v>0</v>
      </c>
      <c r="AV1822">
        <v>0</v>
      </c>
      <c r="AW1822">
        <v>0</v>
      </c>
      <c r="AX1822">
        <v>0</v>
      </c>
      <c r="AY1822">
        <v>0</v>
      </c>
      <c r="AZ1822">
        <v>0</v>
      </c>
      <c r="BA1822">
        <v>0</v>
      </c>
      <c r="BB1822">
        <v>0</v>
      </c>
      <c r="BC1822">
        <v>0</v>
      </c>
      <c r="BD1822">
        <v>0</v>
      </c>
      <c r="BE1822">
        <v>0</v>
      </c>
      <c r="BF1822">
        <v>0</v>
      </c>
      <c r="BG1822">
        <v>0</v>
      </c>
      <c r="BH1822">
        <v>1</v>
      </c>
      <c r="BI1822">
        <v>1</v>
      </c>
      <c r="BJ1822">
        <v>0.2</v>
      </c>
      <c r="BK1822">
        <v>1</v>
      </c>
      <c r="BL1822" s="4">
        <v>50.45</v>
      </c>
      <c r="BM1822" s="4">
        <v>7.57</v>
      </c>
      <c r="BN1822" s="4">
        <v>58.02</v>
      </c>
      <c r="BO1822" s="4">
        <v>58.02</v>
      </c>
      <c r="BQ1822" t="s">
        <v>135</v>
      </c>
      <c r="BR1822" t="s">
        <v>84</v>
      </c>
      <c r="BS1822" s="3">
        <v>43818</v>
      </c>
      <c r="BT1822" s="5">
        <v>0.38055555555555554</v>
      </c>
      <c r="BU1822" t="s">
        <v>346</v>
      </c>
      <c r="BV1822" t="s">
        <v>86</v>
      </c>
      <c r="BY1822">
        <v>1200</v>
      </c>
      <c r="CA1822" t="s">
        <v>288</v>
      </c>
      <c r="CC1822" t="s">
        <v>202</v>
      </c>
      <c r="CD1822">
        <v>3610</v>
      </c>
      <c r="CE1822" t="s">
        <v>88</v>
      </c>
      <c r="CF1822" s="3">
        <v>43819</v>
      </c>
      <c r="CI1822">
        <v>1</v>
      </c>
      <c r="CJ1822">
        <v>1</v>
      </c>
      <c r="CK1822">
        <v>21</v>
      </c>
      <c r="CL1822" t="s">
        <v>89</v>
      </c>
    </row>
    <row r="1823" spans="1:90">
      <c r="A1823" t="s">
        <v>72</v>
      </c>
      <c r="B1823" t="s">
        <v>73</v>
      </c>
      <c r="C1823" t="s">
        <v>74</v>
      </c>
      <c r="E1823" t="str">
        <f>"FES1162728840"</f>
        <v>FES1162728840</v>
      </c>
      <c r="F1823" s="3">
        <v>43817</v>
      </c>
      <c r="G1823">
        <v>202006</v>
      </c>
      <c r="H1823" t="s">
        <v>75</v>
      </c>
      <c r="I1823" t="s">
        <v>76</v>
      </c>
      <c r="J1823" t="s">
        <v>77</v>
      </c>
      <c r="K1823" t="s">
        <v>78</v>
      </c>
      <c r="L1823" t="s">
        <v>446</v>
      </c>
      <c r="M1823" t="s">
        <v>447</v>
      </c>
      <c r="N1823" t="s">
        <v>634</v>
      </c>
      <c r="O1823" t="s">
        <v>82</v>
      </c>
      <c r="P1823" t="str">
        <f>"2170720572                    "</f>
        <v xml:space="preserve">2170720572                    </v>
      </c>
      <c r="Q1823">
        <v>0</v>
      </c>
      <c r="R1823">
        <v>0</v>
      </c>
      <c r="S1823">
        <v>0</v>
      </c>
      <c r="T1823">
        <v>0</v>
      </c>
      <c r="U1823">
        <v>0</v>
      </c>
      <c r="V1823">
        <v>0</v>
      </c>
      <c r="W1823">
        <v>0</v>
      </c>
      <c r="X1823">
        <v>0</v>
      </c>
      <c r="Y1823">
        <v>0</v>
      </c>
      <c r="Z1823">
        <v>0</v>
      </c>
      <c r="AA1823">
        <v>0</v>
      </c>
      <c r="AB1823">
        <v>0</v>
      </c>
      <c r="AC1823">
        <v>0</v>
      </c>
      <c r="AD1823">
        <v>0</v>
      </c>
      <c r="AE1823">
        <v>0</v>
      </c>
      <c r="AF1823">
        <v>0</v>
      </c>
      <c r="AG1823">
        <v>0</v>
      </c>
      <c r="AH1823">
        <v>0</v>
      </c>
      <c r="AI1823">
        <v>0</v>
      </c>
      <c r="AJ1823">
        <v>0</v>
      </c>
      <c r="AK1823">
        <v>0</v>
      </c>
      <c r="AL1823">
        <v>0</v>
      </c>
      <c r="AM1823">
        <v>8.58</v>
      </c>
      <c r="AN1823">
        <v>0</v>
      </c>
      <c r="AO1823">
        <v>0</v>
      </c>
      <c r="AP1823">
        <v>0</v>
      </c>
      <c r="AQ1823">
        <v>0</v>
      </c>
      <c r="AR1823">
        <v>0</v>
      </c>
      <c r="AS1823">
        <v>0</v>
      </c>
      <c r="AT1823">
        <v>0</v>
      </c>
      <c r="AU1823">
        <v>0</v>
      </c>
      <c r="AV1823">
        <v>0</v>
      </c>
      <c r="AW1823">
        <v>0</v>
      </c>
      <c r="AX1823">
        <v>0</v>
      </c>
      <c r="AY1823">
        <v>0</v>
      </c>
      <c r="AZ1823">
        <v>0</v>
      </c>
      <c r="BA1823">
        <v>0</v>
      </c>
      <c r="BB1823">
        <v>0</v>
      </c>
      <c r="BC1823">
        <v>0</v>
      </c>
      <c r="BD1823">
        <v>0</v>
      </c>
      <c r="BE1823">
        <v>0</v>
      </c>
      <c r="BF1823">
        <v>0</v>
      </c>
      <c r="BG1823">
        <v>0</v>
      </c>
      <c r="BH1823">
        <v>1</v>
      </c>
      <c r="BI1823">
        <v>1</v>
      </c>
      <c r="BJ1823">
        <v>0.2</v>
      </c>
      <c r="BK1823">
        <v>1</v>
      </c>
      <c r="BL1823" s="4">
        <v>50.45</v>
      </c>
      <c r="BM1823" s="4">
        <v>7.57</v>
      </c>
      <c r="BN1823" s="4">
        <v>58.02</v>
      </c>
      <c r="BO1823" s="4">
        <v>58.02</v>
      </c>
      <c r="BQ1823" t="s">
        <v>147</v>
      </c>
      <c r="BR1823" t="s">
        <v>84</v>
      </c>
      <c r="BS1823" s="3">
        <v>43818</v>
      </c>
      <c r="BT1823" s="5">
        <v>0.33680555555555558</v>
      </c>
      <c r="BU1823" t="s">
        <v>2185</v>
      </c>
      <c r="BV1823" t="s">
        <v>86</v>
      </c>
      <c r="BY1823">
        <v>1200</v>
      </c>
      <c r="CC1823" t="s">
        <v>447</v>
      </c>
      <c r="CD1823">
        <v>4133</v>
      </c>
      <c r="CE1823" t="s">
        <v>88</v>
      </c>
      <c r="CF1823" s="3">
        <v>43819</v>
      </c>
      <c r="CI1823">
        <v>1</v>
      </c>
      <c r="CJ1823">
        <v>1</v>
      </c>
      <c r="CK1823">
        <v>21</v>
      </c>
      <c r="CL1823" t="s">
        <v>89</v>
      </c>
    </row>
    <row r="1824" spans="1:90">
      <c r="A1824" t="s">
        <v>72</v>
      </c>
      <c r="B1824" t="s">
        <v>73</v>
      </c>
      <c r="C1824" t="s">
        <v>74</v>
      </c>
      <c r="E1824" t="str">
        <f>"FES1162728954"</f>
        <v>FES1162728954</v>
      </c>
      <c r="F1824" s="3">
        <v>43817</v>
      </c>
      <c r="G1824">
        <v>202006</v>
      </c>
      <c r="H1824" t="s">
        <v>75</v>
      </c>
      <c r="I1824" t="s">
        <v>76</v>
      </c>
      <c r="J1824" t="s">
        <v>77</v>
      </c>
      <c r="K1824" t="s">
        <v>78</v>
      </c>
      <c r="L1824" t="s">
        <v>90</v>
      </c>
      <c r="M1824" t="s">
        <v>91</v>
      </c>
      <c r="N1824" t="s">
        <v>219</v>
      </c>
      <c r="O1824" t="s">
        <v>82</v>
      </c>
      <c r="P1824" t="str">
        <f>"2170722067                    "</f>
        <v xml:space="preserve">2170722067                    </v>
      </c>
      <c r="Q1824">
        <v>0</v>
      </c>
      <c r="R1824">
        <v>0</v>
      </c>
      <c r="S1824">
        <v>0</v>
      </c>
      <c r="T1824">
        <v>0</v>
      </c>
      <c r="U1824">
        <v>0</v>
      </c>
      <c r="V1824">
        <v>0</v>
      </c>
      <c r="W1824">
        <v>0</v>
      </c>
      <c r="X1824">
        <v>0</v>
      </c>
      <c r="Y1824">
        <v>0</v>
      </c>
      <c r="Z1824">
        <v>0</v>
      </c>
      <c r="AA1824">
        <v>0</v>
      </c>
      <c r="AB1824">
        <v>0</v>
      </c>
      <c r="AC1824">
        <v>0</v>
      </c>
      <c r="AD1824">
        <v>0</v>
      </c>
      <c r="AE1824">
        <v>0</v>
      </c>
      <c r="AF1824">
        <v>0</v>
      </c>
      <c r="AG1824">
        <v>0</v>
      </c>
      <c r="AH1824">
        <v>0</v>
      </c>
      <c r="AI1824">
        <v>0</v>
      </c>
      <c r="AJ1824">
        <v>0</v>
      </c>
      <c r="AK1824">
        <v>0</v>
      </c>
      <c r="AL1824">
        <v>0</v>
      </c>
      <c r="AM1824">
        <v>8.58</v>
      </c>
      <c r="AN1824">
        <v>0</v>
      </c>
      <c r="AO1824">
        <v>0</v>
      </c>
      <c r="AP1824">
        <v>0</v>
      </c>
      <c r="AQ1824">
        <v>0</v>
      </c>
      <c r="AR1824">
        <v>0</v>
      </c>
      <c r="AS1824">
        <v>0</v>
      </c>
      <c r="AT1824">
        <v>0</v>
      </c>
      <c r="AU1824">
        <v>0</v>
      </c>
      <c r="AV1824">
        <v>0</v>
      </c>
      <c r="AW1824">
        <v>0</v>
      </c>
      <c r="AX1824">
        <v>0</v>
      </c>
      <c r="AY1824">
        <v>0</v>
      </c>
      <c r="AZ1824">
        <v>0</v>
      </c>
      <c r="BA1824">
        <v>0</v>
      </c>
      <c r="BB1824">
        <v>0</v>
      </c>
      <c r="BC1824">
        <v>0</v>
      </c>
      <c r="BD1824">
        <v>0</v>
      </c>
      <c r="BE1824">
        <v>0</v>
      </c>
      <c r="BF1824">
        <v>0</v>
      </c>
      <c r="BG1824">
        <v>0</v>
      </c>
      <c r="BH1824">
        <v>1</v>
      </c>
      <c r="BI1824">
        <v>1</v>
      </c>
      <c r="BJ1824">
        <v>0.2</v>
      </c>
      <c r="BK1824">
        <v>1</v>
      </c>
      <c r="BL1824" s="4">
        <v>50.45</v>
      </c>
      <c r="BM1824" s="4">
        <v>7.57</v>
      </c>
      <c r="BN1824" s="4">
        <v>58.02</v>
      </c>
      <c r="BO1824" s="4">
        <v>58.02</v>
      </c>
      <c r="BQ1824" t="s">
        <v>147</v>
      </c>
      <c r="BR1824" t="s">
        <v>84</v>
      </c>
      <c r="BS1824" s="3">
        <v>43818</v>
      </c>
      <c r="BT1824" s="5">
        <v>0.33958333333333335</v>
      </c>
      <c r="BU1824" t="s">
        <v>220</v>
      </c>
      <c r="BV1824" t="s">
        <v>86</v>
      </c>
      <c r="BY1824">
        <v>1200</v>
      </c>
      <c r="CA1824" t="s">
        <v>112</v>
      </c>
      <c r="CC1824" t="s">
        <v>91</v>
      </c>
      <c r="CD1824">
        <v>7441</v>
      </c>
      <c r="CE1824" t="s">
        <v>88</v>
      </c>
      <c r="CF1824" s="3">
        <v>43819</v>
      </c>
      <c r="CI1824">
        <v>1</v>
      </c>
      <c r="CJ1824">
        <v>1</v>
      </c>
      <c r="CK1824">
        <v>21</v>
      </c>
      <c r="CL1824" t="s">
        <v>89</v>
      </c>
    </row>
    <row r="1825" spans="1:90">
      <c r="A1825" t="s">
        <v>72</v>
      </c>
      <c r="B1825" t="s">
        <v>73</v>
      </c>
      <c r="C1825" t="s">
        <v>74</v>
      </c>
      <c r="E1825" t="str">
        <f>"FES1162728953"</f>
        <v>FES1162728953</v>
      </c>
      <c r="F1825" s="3">
        <v>43817</v>
      </c>
      <c r="G1825">
        <v>202006</v>
      </c>
      <c r="H1825" t="s">
        <v>75</v>
      </c>
      <c r="I1825" t="s">
        <v>76</v>
      </c>
      <c r="J1825" t="s">
        <v>77</v>
      </c>
      <c r="K1825" t="s">
        <v>78</v>
      </c>
      <c r="L1825" t="s">
        <v>2080</v>
      </c>
      <c r="M1825" t="s">
        <v>2081</v>
      </c>
      <c r="N1825" t="s">
        <v>2186</v>
      </c>
      <c r="O1825" t="s">
        <v>82</v>
      </c>
      <c r="P1825" t="str">
        <f>"2170722066                    "</f>
        <v xml:space="preserve">2170722066                    </v>
      </c>
      <c r="Q1825">
        <v>0</v>
      </c>
      <c r="R1825">
        <v>0</v>
      </c>
      <c r="S1825">
        <v>0</v>
      </c>
      <c r="T1825">
        <v>0</v>
      </c>
      <c r="U1825">
        <v>0</v>
      </c>
      <c r="V1825">
        <v>0</v>
      </c>
      <c r="W1825">
        <v>0</v>
      </c>
      <c r="X1825">
        <v>0</v>
      </c>
      <c r="Y1825">
        <v>0</v>
      </c>
      <c r="Z1825">
        <v>0</v>
      </c>
      <c r="AA1825">
        <v>0</v>
      </c>
      <c r="AB1825">
        <v>0</v>
      </c>
      <c r="AC1825">
        <v>0</v>
      </c>
      <c r="AD1825">
        <v>0</v>
      </c>
      <c r="AE1825">
        <v>0</v>
      </c>
      <c r="AF1825">
        <v>0</v>
      </c>
      <c r="AG1825">
        <v>0</v>
      </c>
      <c r="AH1825">
        <v>0</v>
      </c>
      <c r="AI1825">
        <v>0</v>
      </c>
      <c r="AJ1825">
        <v>0</v>
      </c>
      <c r="AK1825">
        <v>0</v>
      </c>
      <c r="AL1825">
        <v>0</v>
      </c>
      <c r="AM1825">
        <v>16.63</v>
      </c>
      <c r="AN1825">
        <v>0</v>
      </c>
      <c r="AO1825">
        <v>0</v>
      </c>
      <c r="AP1825">
        <v>0</v>
      </c>
      <c r="AQ1825">
        <v>0</v>
      </c>
      <c r="AR1825">
        <v>0</v>
      </c>
      <c r="AS1825">
        <v>0</v>
      </c>
      <c r="AT1825">
        <v>0</v>
      </c>
      <c r="AU1825">
        <v>0</v>
      </c>
      <c r="AV1825">
        <v>0</v>
      </c>
      <c r="AW1825">
        <v>0</v>
      </c>
      <c r="AX1825">
        <v>0</v>
      </c>
      <c r="AY1825">
        <v>0</v>
      </c>
      <c r="AZ1825">
        <v>0</v>
      </c>
      <c r="BA1825">
        <v>0</v>
      </c>
      <c r="BB1825">
        <v>0</v>
      </c>
      <c r="BC1825">
        <v>0</v>
      </c>
      <c r="BD1825">
        <v>0</v>
      </c>
      <c r="BE1825">
        <v>0</v>
      </c>
      <c r="BF1825">
        <v>0</v>
      </c>
      <c r="BG1825">
        <v>0</v>
      </c>
      <c r="BH1825">
        <v>1</v>
      </c>
      <c r="BI1825">
        <v>1</v>
      </c>
      <c r="BJ1825">
        <v>0.2</v>
      </c>
      <c r="BK1825">
        <v>1</v>
      </c>
      <c r="BL1825" s="4">
        <v>97.75</v>
      </c>
      <c r="BM1825" s="4">
        <v>14.66</v>
      </c>
      <c r="BN1825" s="4">
        <v>112.41</v>
      </c>
      <c r="BO1825" s="4">
        <v>112.41</v>
      </c>
      <c r="BQ1825" t="s">
        <v>147</v>
      </c>
      <c r="BR1825" t="s">
        <v>84</v>
      </c>
      <c r="BS1825" s="3">
        <v>43818</v>
      </c>
      <c r="BT1825" s="5">
        <v>0.51388888888888895</v>
      </c>
      <c r="BU1825" t="s">
        <v>2187</v>
      </c>
      <c r="BV1825" t="s">
        <v>86</v>
      </c>
      <c r="BY1825">
        <v>1200</v>
      </c>
      <c r="CA1825" t="s">
        <v>311</v>
      </c>
      <c r="CC1825" t="s">
        <v>2081</v>
      </c>
      <c r="CD1825">
        <v>7655</v>
      </c>
      <c r="CE1825" t="s">
        <v>88</v>
      </c>
      <c r="CF1825" s="3">
        <v>43819</v>
      </c>
      <c r="CI1825">
        <v>1</v>
      </c>
      <c r="CJ1825">
        <v>1</v>
      </c>
      <c r="CK1825">
        <v>23</v>
      </c>
      <c r="CL1825" t="s">
        <v>89</v>
      </c>
    </row>
    <row r="1826" spans="1:90">
      <c r="A1826" t="s">
        <v>72</v>
      </c>
      <c r="B1826" t="s">
        <v>73</v>
      </c>
      <c r="C1826" t="s">
        <v>74</v>
      </c>
      <c r="E1826" t="str">
        <f>"FES1162728968"</f>
        <v>FES1162728968</v>
      </c>
      <c r="F1826" s="3">
        <v>43817</v>
      </c>
      <c r="G1826">
        <v>202006</v>
      </c>
      <c r="H1826" t="s">
        <v>75</v>
      </c>
      <c r="I1826" t="s">
        <v>76</v>
      </c>
      <c r="J1826" t="s">
        <v>77</v>
      </c>
      <c r="K1826" t="s">
        <v>78</v>
      </c>
      <c r="L1826" t="s">
        <v>90</v>
      </c>
      <c r="M1826" t="s">
        <v>91</v>
      </c>
      <c r="N1826" t="s">
        <v>219</v>
      </c>
      <c r="O1826" t="s">
        <v>82</v>
      </c>
      <c r="P1826" t="str">
        <f>"2170722078                    "</f>
        <v xml:space="preserve">2170722078                    </v>
      </c>
      <c r="Q1826">
        <v>0</v>
      </c>
      <c r="R1826">
        <v>0</v>
      </c>
      <c r="S1826">
        <v>0</v>
      </c>
      <c r="T1826">
        <v>0</v>
      </c>
      <c r="U1826">
        <v>0</v>
      </c>
      <c r="V1826">
        <v>0</v>
      </c>
      <c r="W1826">
        <v>0</v>
      </c>
      <c r="X1826">
        <v>0</v>
      </c>
      <c r="Y1826">
        <v>0</v>
      </c>
      <c r="Z1826">
        <v>0</v>
      </c>
      <c r="AA1826">
        <v>0</v>
      </c>
      <c r="AB1826">
        <v>0</v>
      </c>
      <c r="AC1826">
        <v>0</v>
      </c>
      <c r="AD1826">
        <v>0</v>
      </c>
      <c r="AE1826">
        <v>0</v>
      </c>
      <c r="AF1826">
        <v>0</v>
      </c>
      <c r="AG1826">
        <v>0</v>
      </c>
      <c r="AH1826">
        <v>0</v>
      </c>
      <c r="AI1826">
        <v>0</v>
      </c>
      <c r="AJ1826">
        <v>0</v>
      </c>
      <c r="AK1826">
        <v>0</v>
      </c>
      <c r="AL1826">
        <v>0</v>
      </c>
      <c r="AM1826">
        <v>8.58</v>
      </c>
      <c r="AN1826">
        <v>0</v>
      </c>
      <c r="AO1826">
        <v>0</v>
      </c>
      <c r="AP1826">
        <v>0</v>
      </c>
      <c r="AQ1826">
        <v>0</v>
      </c>
      <c r="AR1826">
        <v>0</v>
      </c>
      <c r="AS1826">
        <v>0</v>
      </c>
      <c r="AT1826">
        <v>0</v>
      </c>
      <c r="AU1826">
        <v>0</v>
      </c>
      <c r="AV1826">
        <v>0</v>
      </c>
      <c r="AW1826">
        <v>0</v>
      </c>
      <c r="AX1826">
        <v>0</v>
      </c>
      <c r="AY1826">
        <v>0</v>
      </c>
      <c r="AZ1826">
        <v>0</v>
      </c>
      <c r="BA1826">
        <v>0</v>
      </c>
      <c r="BB1826">
        <v>0</v>
      </c>
      <c r="BC1826">
        <v>0</v>
      </c>
      <c r="BD1826">
        <v>0</v>
      </c>
      <c r="BE1826">
        <v>0</v>
      </c>
      <c r="BF1826">
        <v>0</v>
      </c>
      <c r="BG1826">
        <v>0</v>
      </c>
      <c r="BH1826">
        <v>1</v>
      </c>
      <c r="BI1826">
        <v>1</v>
      </c>
      <c r="BJ1826">
        <v>0.2</v>
      </c>
      <c r="BK1826">
        <v>1</v>
      </c>
      <c r="BL1826" s="4">
        <v>50.45</v>
      </c>
      <c r="BM1826" s="4">
        <v>7.57</v>
      </c>
      <c r="BN1826" s="4">
        <v>58.02</v>
      </c>
      <c r="BO1826" s="4">
        <v>58.02</v>
      </c>
      <c r="BQ1826" t="s">
        <v>147</v>
      </c>
      <c r="BR1826" t="s">
        <v>84</v>
      </c>
      <c r="BS1826" s="3">
        <v>43818</v>
      </c>
      <c r="BT1826" s="5">
        <v>0.33958333333333335</v>
      </c>
      <c r="BU1826" t="s">
        <v>220</v>
      </c>
      <c r="BV1826" t="s">
        <v>86</v>
      </c>
      <c r="BY1826">
        <v>1200</v>
      </c>
      <c r="CA1826" t="s">
        <v>112</v>
      </c>
      <c r="CC1826" t="s">
        <v>91</v>
      </c>
      <c r="CD1826">
        <v>7441</v>
      </c>
      <c r="CE1826" t="s">
        <v>88</v>
      </c>
      <c r="CF1826" s="3">
        <v>43819</v>
      </c>
      <c r="CI1826">
        <v>1</v>
      </c>
      <c r="CJ1826">
        <v>1</v>
      </c>
      <c r="CK1826">
        <v>21</v>
      </c>
      <c r="CL1826" t="s">
        <v>89</v>
      </c>
    </row>
    <row r="1827" spans="1:90">
      <c r="A1827" t="s">
        <v>72</v>
      </c>
      <c r="B1827" t="s">
        <v>73</v>
      </c>
      <c r="C1827" t="s">
        <v>74</v>
      </c>
      <c r="E1827" t="str">
        <f>"FES1162728982"</f>
        <v>FES1162728982</v>
      </c>
      <c r="F1827" s="3">
        <v>43817</v>
      </c>
      <c r="G1827">
        <v>202006</v>
      </c>
      <c r="H1827" t="s">
        <v>75</v>
      </c>
      <c r="I1827" t="s">
        <v>76</v>
      </c>
      <c r="J1827" t="s">
        <v>77</v>
      </c>
      <c r="K1827" t="s">
        <v>78</v>
      </c>
      <c r="L1827" t="s">
        <v>90</v>
      </c>
      <c r="M1827" t="s">
        <v>91</v>
      </c>
      <c r="N1827" t="s">
        <v>548</v>
      </c>
      <c r="O1827" t="s">
        <v>82</v>
      </c>
      <c r="P1827" t="str">
        <f>"2170722094                    "</f>
        <v xml:space="preserve">2170722094                    </v>
      </c>
      <c r="Q1827">
        <v>0</v>
      </c>
      <c r="R1827">
        <v>0</v>
      </c>
      <c r="S1827">
        <v>0</v>
      </c>
      <c r="T1827">
        <v>0</v>
      </c>
      <c r="U1827">
        <v>0</v>
      </c>
      <c r="V1827">
        <v>0</v>
      </c>
      <c r="W1827">
        <v>0</v>
      </c>
      <c r="X1827">
        <v>0</v>
      </c>
      <c r="Y1827">
        <v>0</v>
      </c>
      <c r="Z1827">
        <v>0</v>
      </c>
      <c r="AA1827">
        <v>0</v>
      </c>
      <c r="AB1827">
        <v>0</v>
      </c>
      <c r="AC1827">
        <v>0</v>
      </c>
      <c r="AD1827">
        <v>0</v>
      </c>
      <c r="AE1827">
        <v>0</v>
      </c>
      <c r="AF1827">
        <v>0</v>
      </c>
      <c r="AG1827">
        <v>0</v>
      </c>
      <c r="AH1827">
        <v>0</v>
      </c>
      <c r="AI1827">
        <v>0</v>
      </c>
      <c r="AJ1827">
        <v>0</v>
      </c>
      <c r="AK1827">
        <v>0</v>
      </c>
      <c r="AL1827">
        <v>0</v>
      </c>
      <c r="AM1827">
        <v>8.58</v>
      </c>
      <c r="AN1827">
        <v>0</v>
      </c>
      <c r="AO1827">
        <v>0</v>
      </c>
      <c r="AP1827">
        <v>0</v>
      </c>
      <c r="AQ1827">
        <v>0</v>
      </c>
      <c r="AR1827">
        <v>0</v>
      </c>
      <c r="AS1827">
        <v>0</v>
      </c>
      <c r="AT1827">
        <v>0</v>
      </c>
      <c r="AU1827">
        <v>0</v>
      </c>
      <c r="AV1827">
        <v>0</v>
      </c>
      <c r="AW1827">
        <v>0</v>
      </c>
      <c r="AX1827">
        <v>0</v>
      </c>
      <c r="AY1827">
        <v>0</v>
      </c>
      <c r="AZ1827">
        <v>0</v>
      </c>
      <c r="BA1827">
        <v>0</v>
      </c>
      <c r="BB1827">
        <v>0</v>
      </c>
      <c r="BC1827">
        <v>0</v>
      </c>
      <c r="BD1827">
        <v>0</v>
      </c>
      <c r="BE1827">
        <v>0</v>
      </c>
      <c r="BF1827">
        <v>0</v>
      </c>
      <c r="BG1827">
        <v>0</v>
      </c>
      <c r="BH1827">
        <v>1</v>
      </c>
      <c r="BI1827">
        <v>1</v>
      </c>
      <c r="BJ1827">
        <v>0.2</v>
      </c>
      <c r="BK1827">
        <v>1</v>
      </c>
      <c r="BL1827" s="4">
        <v>50.45</v>
      </c>
      <c r="BM1827" s="4">
        <v>7.57</v>
      </c>
      <c r="BN1827" s="4">
        <v>58.02</v>
      </c>
      <c r="BO1827" s="4">
        <v>58.02</v>
      </c>
      <c r="BQ1827" t="s">
        <v>147</v>
      </c>
      <c r="BR1827" t="s">
        <v>84</v>
      </c>
      <c r="BS1827" s="3">
        <v>43818</v>
      </c>
      <c r="BT1827" s="5">
        <v>0.32847222222222222</v>
      </c>
      <c r="BU1827" t="s">
        <v>1461</v>
      </c>
      <c r="BV1827" t="s">
        <v>86</v>
      </c>
      <c r="BY1827">
        <v>1200</v>
      </c>
      <c r="CA1827" t="s">
        <v>550</v>
      </c>
      <c r="CC1827" t="s">
        <v>91</v>
      </c>
      <c r="CD1827">
        <v>7530</v>
      </c>
      <c r="CE1827" t="s">
        <v>88</v>
      </c>
      <c r="CF1827" s="3">
        <v>43819</v>
      </c>
      <c r="CI1827">
        <v>1</v>
      </c>
      <c r="CJ1827">
        <v>1</v>
      </c>
      <c r="CK1827">
        <v>21</v>
      </c>
      <c r="CL1827" t="s">
        <v>89</v>
      </c>
    </row>
    <row r="1828" spans="1:90">
      <c r="A1828" t="s">
        <v>72</v>
      </c>
      <c r="B1828" t="s">
        <v>73</v>
      </c>
      <c r="C1828" t="s">
        <v>74</v>
      </c>
      <c r="E1828" t="str">
        <f>"FES1162728952"</f>
        <v>FES1162728952</v>
      </c>
      <c r="F1828" s="3">
        <v>43817</v>
      </c>
      <c r="G1828">
        <v>202006</v>
      </c>
      <c r="H1828" t="s">
        <v>75</v>
      </c>
      <c r="I1828" t="s">
        <v>76</v>
      </c>
      <c r="J1828" t="s">
        <v>77</v>
      </c>
      <c r="K1828" t="s">
        <v>78</v>
      </c>
      <c r="L1828" t="s">
        <v>90</v>
      </c>
      <c r="M1828" t="s">
        <v>91</v>
      </c>
      <c r="N1828" t="s">
        <v>677</v>
      </c>
      <c r="O1828" t="s">
        <v>82</v>
      </c>
      <c r="P1828" t="str">
        <f>"2170722065                    "</f>
        <v xml:space="preserve">2170722065                    </v>
      </c>
      <c r="Q1828">
        <v>0</v>
      </c>
      <c r="R1828">
        <v>0</v>
      </c>
      <c r="S1828">
        <v>0</v>
      </c>
      <c r="T1828">
        <v>0</v>
      </c>
      <c r="U1828">
        <v>0</v>
      </c>
      <c r="V1828">
        <v>0</v>
      </c>
      <c r="W1828">
        <v>0</v>
      </c>
      <c r="X1828">
        <v>0</v>
      </c>
      <c r="Y1828">
        <v>0</v>
      </c>
      <c r="Z1828">
        <v>0</v>
      </c>
      <c r="AA1828">
        <v>0</v>
      </c>
      <c r="AB1828">
        <v>0</v>
      </c>
      <c r="AC1828">
        <v>0</v>
      </c>
      <c r="AD1828">
        <v>0</v>
      </c>
      <c r="AE1828">
        <v>0</v>
      </c>
      <c r="AF1828">
        <v>0</v>
      </c>
      <c r="AG1828">
        <v>0</v>
      </c>
      <c r="AH1828">
        <v>0</v>
      </c>
      <c r="AI1828">
        <v>0</v>
      </c>
      <c r="AJ1828">
        <v>0</v>
      </c>
      <c r="AK1828">
        <v>0</v>
      </c>
      <c r="AL1828">
        <v>0</v>
      </c>
      <c r="AM1828">
        <v>8.58</v>
      </c>
      <c r="AN1828">
        <v>0</v>
      </c>
      <c r="AO1828">
        <v>0</v>
      </c>
      <c r="AP1828">
        <v>0</v>
      </c>
      <c r="AQ1828">
        <v>0</v>
      </c>
      <c r="AR1828">
        <v>0</v>
      </c>
      <c r="AS1828">
        <v>0</v>
      </c>
      <c r="AT1828">
        <v>0</v>
      </c>
      <c r="AU1828">
        <v>0</v>
      </c>
      <c r="AV1828">
        <v>0</v>
      </c>
      <c r="AW1828">
        <v>0</v>
      </c>
      <c r="AX1828">
        <v>0</v>
      </c>
      <c r="AY1828">
        <v>0</v>
      </c>
      <c r="AZ1828">
        <v>0</v>
      </c>
      <c r="BA1828">
        <v>0</v>
      </c>
      <c r="BB1828">
        <v>0</v>
      </c>
      <c r="BC1828">
        <v>0</v>
      </c>
      <c r="BD1828">
        <v>0</v>
      </c>
      <c r="BE1828">
        <v>0</v>
      </c>
      <c r="BF1828">
        <v>0</v>
      </c>
      <c r="BG1828">
        <v>0</v>
      </c>
      <c r="BH1828">
        <v>1</v>
      </c>
      <c r="BI1828">
        <v>1</v>
      </c>
      <c r="BJ1828">
        <v>0.2</v>
      </c>
      <c r="BK1828">
        <v>1</v>
      </c>
      <c r="BL1828" s="4">
        <v>50.45</v>
      </c>
      <c r="BM1828" s="4">
        <v>7.57</v>
      </c>
      <c r="BN1828" s="4">
        <v>58.02</v>
      </c>
      <c r="BO1828" s="4">
        <v>58.02</v>
      </c>
      <c r="BR1828" t="s">
        <v>84</v>
      </c>
      <c r="BS1828" s="3">
        <v>43818</v>
      </c>
      <c r="BT1828" s="5">
        <v>0.4201388888888889</v>
      </c>
      <c r="BU1828" t="s">
        <v>678</v>
      </c>
      <c r="BV1828" t="s">
        <v>86</v>
      </c>
      <c r="BY1828">
        <v>1200</v>
      </c>
      <c r="CA1828" t="s">
        <v>539</v>
      </c>
      <c r="CC1828" t="s">
        <v>91</v>
      </c>
      <c r="CD1828">
        <v>7580</v>
      </c>
      <c r="CE1828" t="s">
        <v>88</v>
      </c>
      <c r="CF1828" s="3">
        <v>43819</v>
      </c>
      <c r="CI1828">
        <v>1</v>
      </c>
      <c r="CJ1828">
        <v>1</v>
      </c>
      <c r="CK1828">
        <v>21</v>
      </c>
      <c r="CL1828" t="s">
        <v>89</v>
      </c>
    </row>
    <row r="1829" spans="1:90">
      <c r="A1829" t="s">
        <v>72</v>
      </c>
      <c r="B1829" t="s">
        <v>73</v>
      </c>
      <c r="C1829" t="s">
        <v>74</v>
      </c>
      <c r="E1829" t="str">
        <f>"FES1162728734"</f>
        <v>FES1162728734</v>
      </c>
      <c r="F1829" s="3">
        <v>43817</v>
      </c>
      <c r="G1829">
        <v>202006</v>
      </c>
      <c r="H1829" t="s">
        <v>75</v>
      </c>
      <c r="I1829" t="s">
        <v>76</v>
      </c>
      <c r="J1829" t="s">
        <v>77</v>
      </c>
      <c r="K1829" t="s">
        <v>78</v>
      </c>
      <c r="L1829" t="s">
        <v>169</v>
      </c>
      <c r="M1829" t="s">
        <v>170</v>
      </c>
      <c r="N1829" t="s">
        <v>171</v>
      </c>
      <c r="O1829" t="s">
        <v>82</v>
      </c>
      <c r="P1829" t="str">
        <f>"2170721921                    "</f>
        <v xml:space="preserve">2170721921                    </v>
      </c>
      <c r="Q1829">
        <v>0</v>
      </c>
      <c r="R1829">
        <v>0</v>
      </c>
      <c r="S1829">
        <v>0</v>
      </c>
      <c r="T1829">
        <v>0</v>
      </c>
      <c r="U1829">
        <v>0</v>
      </c>
      <c r="V1829">
        <v>0</v>
      </c>
      <c r="W1829">
        <v>0</v>
      </c>
      <c r="X1829">
        <v>0</v>
      </c>
      <c r="Y1829">
        <v>0</v>
      </c>
      <c r="Z1829">
        <v>0</v>
      </c>
      <c r="AA1829">
        <v>0</v>
      </c>
      <c r="AB1829">
        <v>0</v>
      </c>
      <c r="AC1829">
        <v>0</v>
      </c>
      <c r="AD1829">
        <v>0</v>
      </c>
      <c r="AE1829">
        <v>0</v>
      </c>
      <c r="AF1829">
        <v>0</v>
      </c>
      <c r="AG1829">
        <v>0</v>
      </c>
      <c r="AH1829">
        <v>0</v>
      </c>
      <c r="AI1829">
        <v>0</v>
      </c>
      <c r="AJ1829">
        <v>0</v>
      </c>
      <c r="AK1829">
        <v>0</v>
      </c>
      <c r="AL1829">
        <v>0</v>
      </c>
      <c r="AM1829">
        <v>6.71</v>
      </c>
      <c r="AN1829">
        <v>0</v>
      </c>
      <c r="AO1829">
        <v>0</v>
      </c>
      <c r="AP1829">
        <v>0</v>
      </c>
      <c r="AQ1829">
        <v>0</v>
      </c>
      <c r="AR1829">
        <v>0</v>
      </c>
      <c r="AS1829">
        <v>0</v>
      </c>
      <c r="AT1829">
        <v>0</v>
      </c>
      <c r="AU1829">
        <v>0</v>
      </c>
      <c r="AV1829">
        <v>0</v>
      </c>
      <c r="AW1829">
        <v>0</v>
      </c>
      <c r="AX1829">
        <v>0</v>
      </c>
      <c r="AY1829">
        <v>0</v>
      </c>
      <c r="AZ1829">
        <v>0</v>
      </c>
      <c r="BA1829">
        <v>0</v>
      </c>
      <c r="BB1829">
        <v>0</v>
      </c>
      <c r="BC1829">
        <v>0</v>
      </c>
      <c r="BD1829">
        <v>0</v>
      </c>
      <c r="BE1829">
        <v>0</v>
      </c>
      <c r="BF1829">
        <v>0</v>
      </c>
      <c r="BG1829">
        <v>0</v>
      </c>
      <c r="BH1829">
        <v>1</v>
      </c>
      <c r="BI1829">
        <v>1</v>
      </c>
      <c r="BJ1829">
        <v>0.2</v>
      </c>
      <c r="BK1829">
        <v>1</v>
      </c>
      <c r="BL1829" s="4">
        <v>39.42</v>
      </c>
      <c r="BM1829" s="4">
        <v>5.91</v>
      </c>
      <c r="BN1829" s="4">
        <v>45.33</v>
      </c>
      <c r="BO1829" s="4">
        <v>45.33</v>
      </c>
      <c r="BQ1829" t="s">
        <v>172</v>
      </c>
      <c r="BR1829" t="s">
        <v>84</v>
      </c>
      <c r="BS1829" s="3">
        <v>43818</v>
      </c>
      <c r="BT1829" s="5">
        <v>0.30833333333333335</v>
      </c>
      <c r="BU1829" t="s">
        <v>1431</v>
      </c>
      <c r="BV1829" t="s">
        <v>86</v>
      </c>
      <c r="BY1829">
        <v>1200</v>
      </c>
      <c r="CA1829" t="s">
        <v>174</v>
      </c>
      <c r="CC1829" t="s">
        <v>170</v>
      </c>
      <c r="CD1829">
        <v>1459</v>
      </c>
      <c r="CE1829" t="s">
        <v>88</v>
      </c>
      <c r="CF1829" s="3">
        <v>43819</v>
      </c>
      <c r="CI1829">
        <v>1</v>
      </c>
      <c r="CJ1829">
        <v>1</v>
      </c>
      <c r="CK1829">
        <v>22</v>
      </c>
      <c r="CL1829" t="s">
        <v>89</v>
      </c>
    </row>
    <row r="1830" spans="1:90">
      <c r="A1830" t="s">
        <v>72</v>
      </c>
      <c r="B1830" t="s">
        <v>73</v>
      </c>
      <c r="C1830" t="s">
        <v>74</v>
      </c>
      <c r="E1830" t="str">
        <f>"FES1162728685"</f>
        <v>FES1162728685</v>
      </c>
      <c r="F1830" s="3">
        <v>43817</v>
      </c>
      <c r="G1830">
        <v>202006</v>
      </c>
      <c r="H1830" t="s">
        <v>75</v>
      </c>
      <c r="I1830" t="s">
        <v>76</v>
      </c>
      <c r="J1830" t="s">
        <v>77</v>
      </c>
      <c r="K1830" t="s">
        <v>78</v>
      </c>
      <c r="L1830" t="s">
        <v>75</v>
      </c>
      <c r="M1830" t="s">
        <v>76</v>
      </c>
      <c r="N1830" t="s">
        <v>305</v>
      </c>
      <c r="O1830" t="s">
        <v>82</v>
      </c>
      <c r="P1830" t="str">
        <f>"2170721883                    "</f>
        <v xml:space="preserve">2170721883                    </v>
      </c>
      <c r="Q1830">
        <v>0</v>
      </c>
      <c r="R1830">
        <v>0</v>
      </c>
      <c r="S1830">
        <v>0</v>
      </c>
      <c r="T1830">
        <v>0</v>
      </c>
      <c r="U1830">
        <v>0</v>
      </c>
      <c r="V1830">
        <v>0</v>
      </c>
      <c r="W1830">
        <v>0</v>
      </c>
      <c r="X1830">
        <v>0</v>
      </c>
      <c r="Y1830">
        <v>0</v>
      </c>
      <c r="Z1830">
        <v>0</v>
      </c>
      <c r="AA1830">
        <v>0</v>
      </c>
      <c r="AB1830">
        <v>0</v>
      </c>
      <c r="AC1830">
        <v>0</v>
      </c>
      <c r="AD1830">
        <v>0</v>
      </c>
      <c r="AE1830">
        <v>0</v>
      </c>
      <c r="AF1830">
        <v>0</v>
      </c>
      <c r="AG1830">
        <v>0</v>
      </c>
      <c r="AH1830">
        <v>0</v>
      </c>
      <c r="AI1830">
        <v>0</v>
      </c>
      <c r="AJ1830">
        <v>0</v>
      </c>
      <c r="AK1830">
        <v>0</v>
      </c>
      <c r="AL1830">
        <v>0</v>
      </c>
      <c r="AM1830">
        <v>6.71</v>
      </c>
      <c r="AN1830">
        <v>0</v>
      </c>
      <c r="AO1830">
        <v>0</v>
      </c>
      <c r="AP1830">
        <v>0</v>
      </c>
      <c r="AQ1830">
        <v>0</v>
      </c>
      <c r="AR1830">
        <v>0</v>
      </c>
      <c r="AS1830">
        <v>0</v>
      </c>
      <c r="AT1830">
        <v>0</v>
      </c>
      <c r="AU1830">
        <v>0</v>
      </c>
      <c r="AV1830">
        <v>0</v>
      </c>
      <c r="AW1830">
        <v>0</v>
      </c>
      <c r="AX1830">
        <v>0</v>
      </c>
      <c r="AY1830">
        <v>0</v>
      </c>
      <c r="AZ1830">
        <v>0</v>
      </c>
      <c r="BA1830">
        <v>0</v>
      </c>
      <c r="BB1830">
        <v>0</v>
      </c>
      <c r="BC1830">
        <v>0</v>
      </c>
      <c r="BD1830">
        <v>0</v>
      </c>
      <c r="BE1830">
        <v>0</v>
      </c>
      <c r="BF1830">
        <v>0</v>
      </c>
      <c r="BG1830">
        <v>0</v>
      </c>
      <c r="BH1830">
        <v>1</v>
      </c>
      <c r="BI1830">
        <v>1</v>
      </c>
      <c r="BJ1830">
        <v>0.2</v>
      </c>
      <c r="BK1830">
        <v>1</v>
      </c>
      <c r="BL1830" s="4">
        <v>39.42</v>
      </c>
      <c r="BM1830" s="4">
        <v>5.91</v>
      </c>
      <c r="BN1830" s="4">
        <v>45.33</v>
      </c>
      <c r="BO1830" s="4">
        <v>45.33</v>
      </c>
      <c r="BQ1830" t="s">
        <v>147</v>
      </c>
      <c r="BR1830" t="s">
        <v>84</v>
      </c>
      <c r="BS1830" s="3">
        <v>43818</v>
      </c>
      <c r="BT1830" s="5">
        <v>0.30624999999999997</v>
      </c>
      <c r="BU1830" t="s">
        <v>2188</v>
      </c>
      <c r="BV1830" t="s">
        <v>86</v>
      </c>
      <c r="BY1830">
        <v>1200</v>
      </c>
      <c r="CC1830" t="s">
        <v>76</v>
      </c>
      <c r="CD1830">
        <v>1645</v>
      </c>
      <c r="CE1830" t="s">
        <v>88</v>
      </c>
      <c r="CF1830" s="3">
        <v>43819</v>
      </c>
      <c r="CI1830">
        <v>1</v>
      </c>
      <c r="CJ1830">
        <v>1</v>
      </c>
      <c r="CK1830">
        <v>22</v>
      </c>
      <c r="CL1830" t="s">
        <v>89</v>
      </c>
    </row>
    <row r="1831" spans="1:90">
      <c r="A1831" t="s">
        <v>72</v>
      </c>
      <c r="B1831" t="s">
        <v>73</v>
      </c>
      <c r="C1831" t="s">
        <v>74</v>
      </c>
      <c r="E1831" t="str">
        <f>"FES1162728710"</f>
        <v>FES1162728710</v>
      </c>
      <c r="F1831" s="3">
        <v>43817</v>
      </c>
      <c r="G1831">
        <v>202006</v>
      </c>
      <c r="H1831" t="s">
        <v>75</v>
      </c>
      <c r="I1831" t="s">
        <v>76</v>
      </c>
      <c r="J1831" t="s">
        <v>77</v>
      </c>
      <c r="K1831" t="s">
        <v>78</v>
      </c>
      <c r="L1831" t="s">
        <v>1051</v>
      </c>
      <c r="M1831" t="s">
        <v>1052</v>
      </c>
      <c r="N1831" t="s">
        <v>634</v>
      </c>
      <c r="O1831" t="s">
        <v>82</v>
      </c>
      <c r="P1831" t="str">
        <f>"2170721910                    "</f>
        <v xml:space="preserve">2170721910                    </v>
      </c>
      <c r="Q1831">
        <v>0</v>
      </c>
      <c r="R1831">
        <v>0</v>
      </c>
      <c r="S1831">
        <v>0</v>
      </c>
      <c r="T1831">
        <v>0</v>
      </c>
      <c r="U1831">
        <v>0</v>
      </c>
      <c r="V1831">
        <v>0</v>
      </c>
      <c r="W1831">
        <v>0</v>
      </c>
      <c r="X1831">
        <v>0</v>
      </c>
      <c r="Y1831">
        <v>0</v>
      </c>
      <c r="Z1831">
        <v>0</v>
      </c>
      <c r="AA1831">
        <v>0</v>
      </c>
      <c r="AB1831">
        <v>0</v>
      </c>
      <c r="AC1831">
        <v>0</v>
      </c>
      <c r="AD1831">
        <v>0</v>
      </c>
      <c r="AE1831">
        <v>0</v>
      </c>
      <c r="AF1831">
        <v>0</v>
      </c>
      <c r="AG1831">
        <v>0</v>
      </c>
      <c r="AH1831">
        <v>0</v>
      </c>
      <c r="AI1831">
        <v>0</v>
      </c>
      <c r="AJ1831">
        <v>0</v>
      </c>
      <c r="AK1831">
        <v>0</v>
      </c>
      <c r="AL1831">
        <v>0</v>
      </c>
      <c r="AM1831">
        <v>12.07</v>
      </c>
      <c r="AN1831">
        <v>0</v>
      </c>
      <c r="AO1831">
        <v>0</v>
      </c>
      <c r="AP1831">
        <v>0</v>
      </c>
      <c r="AQ1831">
        <v>0</v>
      </c>
      <c r="AR1831">
        <v>0</v>
      </c>
      <c r="AS1831">
        <v>0</v>
      </c>
      <c r="AT1831">
        <v>0</v>
      </c>
      <c r="AU1831">
        <v>0</v>
      </c>
      <c r="AV1831">
        <v>0</v>
      </c>
      <c r="AW1831">
        <v>0</v>
      </c>
      <c r="AX1831">
        <v>0</v>
      </c>
      <c r="AY1831">
        <v>0</v>
      </c>
      <c r="AZ1831">
        <v>0</v>
      </c>
      <c r="BA1831">
        <v>0</v>
      </c>
      <c r="BB1831">
        <v>0</v>
      </c>
      <c r="BC1831">
        <v>0</v>
      </c>
      <c r="BD1831">
        <v>0</v>
      </c>
      <c r="BE1831">
        <v>0</v>
      </c>
      <c r="BF1831">
        <v>0</v>
      </c>
      <c r="BG1831">
        <v>0</v>
      </c>
      <c r="BH1831">
        <v>1</v>
      </c>
      <c r="BI1831">
        <v>1</v>
      </c>
      <c r="BJ1831">
        <v>0.2</v>
      </c>
      <c r="BK1831">
        <v>1</v>
      </c>
      <c r="BL1831" s="4">
        <v>70.95</v>
      </c>
      <c r="BM1831" s="4">
        <v>10.64</v>
      </c>
      <c r="BN1831" s="4">
        <v>81.59</v>
      </c>
      <c r="BO1831" s="4">
        <v>81.59</v>
      </c>
      <c r="BQ1831" t="s">
        <v>147</v>
      </c>
      <c r="BR1831" t="s">
        <v>84</v>
      </c>
      <c r="BS1831" s="3">
        <v>43818</v>
      </c>
      <c r="BT1831" s="5">
        <v>0.36736111111111108</v>
      </c>
      <c r="BU1831" t="s">
        <v>2189</v>
      </c>
      <c r="BV1831" t="s">
        <v>86</v>
      </c>
      <c r="BY1831">
        <v>1200</v>
      </c>
      <c r="CC1831" t="s">
        <v>1052</v>
      </c>
      <c r="CD1831">
        <v>1754</v>
      </c>
      <c r="CE1831" t="s">
        <v>88</v>
      </c>
      <c r="CF1831" s="3">
        <v>43819</v>
      </c>
      <c r="CI1831">
        <v>1</v>
      </c>
      <c r="CJ1831">
        <v>1</v>
      </c>
      <c r="CK1831">
        <v>24</v>
      </c>
      <c r="CL1831" t="s">
        <v>89</v>
      </c>
    </row>
    <row r="1832" spans="1:90">
      <c r="A1832" t="s">
        <v>72</v>
      </c>
      <c r="B1832" t="s">
        <v>73</v>
      </c>
      <c r="C1832" t="s">
        <v>74</v>
      </c>
      <c r="E1832" t="str">
        <f>"FES1162728854"</f>
        <v>FES1162728854</v>
      </c>
      <c r="F1832" s="3">
        <v>43817</v>
      </c>
      <c r="G1832">
        <v>202006</v>
      </c>
      <c r="H1832" t="s">
        <v>75</v>
      </c>
      <c r="I1832" t="s">
        <v>76</v>
      </c>
      <c r="J1832" t="s">
        <v>77</v>
      </c>
      <c r="K1832" t="s">
        <v>78</v>
      </c>
      <c r="L1832" t="s">
        <v>75</v>
      </c>
      <c r="M1832" t="s">
        <v>76</v>
      </c>
      <c r="N1832" t="s">
        <v>1819</v>
      </c>
      <c r="O1832" t="s">
        <v>82</v>
      </c>
      <c r="P1832" t="str">
        <f>"2170721922                    "</f>
        <v xml:space="preserve">2170721922                    </v>
      </c>
      <c r="Q1832">
        <v>0</v>
      </c>
      <c r="R1832">
        <v>0</v>
      </c>
      <c r="S1832">
        <v>0</v>
      </c>
      <c r="T1832">
        <v>0</v>
      </c>
      <c r="U1832">
        <v>0</v>
      </c>
      <c r="V1832">
        <v>0</v>
      </c>
      <c r="W1832">
        <v>0</v>
      </c>
      <c r="X1832">
        <v>0</v>
      </c>
      <c r="Y1832">
        <v>0</v>
      </c>
      <c r="Z1832">
        <v>0</v>
      </c>
      <c r="AA1832">
        <v>0</v>
      </c>
      <c r="AB1832">
        <v>0</v>
      </c>
      <c r="AC1832">
        <v>0</v>
      </c>
      <c r="AD1832">
        <v>0</v>
      </c>
      <c r="AE1832">
        <v>0</v>
      </c>
      <c r="AF1832">
        <v>0</v>
      </c>
      <c r="AG1832">
        <v>0</v>
      </c>
      <c r="AH1832">
        <v>0</v>
      </c>
      <c r="AI1832">
        <v>0</v>
      </c>
      <c r="AJ1832">
        <v>0</v>
      </c>
      <c r="AK1832">
        <v>0</v>
      </c>
      <c r="AL1832">
        <v>0</v>
      </c>
      <c r="AM1832">
        <v>13.94</v>
      </c>
      <c r="AN1832">
        <v>0</v>
      </c>
      <c r="AO1832">
        <v>0</v>
      </c>
      <c r="AP1832">
        <v>0</v>
      </c>
      <c r="AQ1832">
        <v>0</v>
      </c>
      <c r="AR1832">
        <v>0</v>
      </c>
      <c r="AS1832">
        <v>0</v>
      </c>
      <c r="AT1832">
        <v>0</v>
      </c>
      <c r="AU1832">
        <v>0</v>
      </c>
      <c r="AV1832">
        <v>0</v>
      </c>
      <c r="AW1832">
        <v>0</v>
      </c>
      <c r="AX1832">
        <v>0</v>
      </c>
      <c r="AY1832">
        <v>0</v>
      </c>
      <c r="AZ1832">
        <v>0</v>
      </c>
      <c r="BA1832">
        <v>0</v>
      </c>
      <c r="BB1832">
        <v>0</v>
      </c>
      <c r="BC1832">
        <v>0</v>
      </c>
      <c r="BD1832">
        <v>0</v>
      </c>
      <c r="BE1832">
        <v>0</v>
      </c>
      <c r="BF1832">
        <v>0</v>
      </c>
      <c r="BG1832">
        <v>0</v>
      </c>
      <c r="BH1832">
        <v>1</v>
      </c>
      <c r="BI1832">
        <v>4.3</v>
      </c>
      <c r="BJ1832">
        <v>6.5</v>
      </c>
      <c r="BK1832">
        <v>6.5</v>
      </c>
      <c r="BL1832" s="4">
        <v>81.93</v>
      </c>
      <c r="BM1832" s="4">
        <v>12.29</v>
      </c>
      <c r="BN1832" s="4">
        <v>94.22</v>
      </c>
      <c r="BO1832" s="4">
        <v>94.22</v>
      </c>
      <c r="BR1832" t="s">
        <v>84</v>
      </c>
      <c r="BS1832" s="3">
        <v>43818</v>
      </c>
      <c r="BT1832" s="5">
        <v>0.41666666666666669</v>
      </c>
      <c r="BU1832" t="s">
        <v>2190</v>
      </c>
      <c r="BV1832" t="s">
        <v>86</v>
      </c>
      <c r="BY1832">
        <v>32625.119999999999</v>
      </c>
      <c r="CA1832" t="s">
        <v>588</v>
      </c>
      <c r="CC1832" t="s">
        <v>76</v>
      </c>
      <c r="CD1832">
        <v>1624</v>
      </c>
      <c r="CE1832" t="s">
        <v>116</v>
      </c>
      <c r="CF1832" s="3">
        <v>43819</v>
      </c>
      <c r="CI1832">
        <v>1</v>
      </c>
      <c r="CJ1832">
        <v>1</v>
      </c>
      <c r="CK1832">
        <v>22</v>
      </c>
      <c r="CL1832" t="s">
        <v>89</v>
      </c>
    </row>
    <row r="1833" spans="1:90">
      <c r="A1833" t="s">
        <v>72</v>
      </c>
      <c r="B1833" t="s">
        <v>73</v>
      </c>
      <c r="C1833" t="s">
        <v>74</v>
      </c>
      <c r="E1833" t="str">
        <f>"FES1162728698"</f>
        <v>FES1162728698</v>
      </c>
      <c r="F1833" s="3">
        <v>43817</v>
      </c>
      <c r="G1833">
        <v>202006</v>
      </c>
      <c r="H1833" t="s">
        <v>75</v>
      </c>
      <c r="I1833" t="s">
        <v>76</v>
      </c>
      <c r="J1833" t="s">
        <v>77</v>
      </c>
      <c r="K1833" t="s">
        <v>78</v>
      </c>
      <c r="L1833" t="s">
        <v>332</v>
      </c>
      <c r="M1833" t="s">
        <v>333</v>
      </c>
      <c r="N1833" t="s">
        <v>2191</v>
      </c>
      <c r="O1833" t="s">
        <v>82</v>
      </c>
      <c r="P1833" t="str">
        <f>"2170721898                    "</f>
        <v xml:space="preserve">2170721898                    </v>
      </c>
      <c r="Q1833">
        <v>0</v>
      </c>
      <c r="R1833">
        <v>0</v>
      </c>
      <c r="S1833">
        <v>0</v>
      </c>
      <c r="T1833">
        <v>0</v>
      </c>
      <c r="U1833">
        <v>0</v>
      </c>
      <c r="V1833">
        <v>0</v>
      </c>
      <c r="W1833">
        <v>0</v>
      </c>
      <c r="X1833">
        <v>0</v>
      </c>
      <c r="Y1833">
        <v>0</v>
      </c>
      <c r="Z1833">
        <v>0</v>
      </c>
      <c r="AA1833">
        <v>0</v>
      </c>
      <c r="AB1833">
        <v>0</v>
      </c>
      <c r="AC1833">
        <v>0</v>
      </c>
      <c r="AD1833">
        <v>0</v>
      </c>
      <c r="AE1833">
        <v>0</v>
      </c>
      <c r="AF1833">
        <v>0</v>
      </c>
      <c r="AG1833">
        <v>0</v>
      </c>
      <c r="AH1833">
        <v>0</v>
      </c>
      <c r="AI1833">
        <v>0</v>
      </c>
      <c r="AJ1833">
        <v>0</v>
      </c>
      <c r="AK1833">
        <v>0</v>
      </c>
      <c r="AL1833">
        <v>0</v>
      </c>
      <c r="AM1833">
        <v>6.71</v>
      </c>
      <c r="AN1833">
        <v>0</v>
      </c>
      <c r="AO1833">
        <v>0</v>
      </c>
      <c r="AP1833">
        <v>0</v>
      </c>
      <c r="AQ1833">
        <v>0</v>
      </c>
      <c r="AR1833">
        <v>0</v>
      </c>
      <c r="AS1833">
        <v>0</v>
      </c>
      <c r="AT1833">
        <v>0</v>
      </c>
      <c r="AU1833">
        <v>0</v>
      </c>
      <c r="AV1833">
        <v>0</v>
      </c>
      <c r="AW1833">
        <v>0</v>
      </c>
      <c r="AX1833">
        <v>0</v>
      </c>
      <c r="AY1833">
        <v>0</v>
      </c>
      <c r="AZ1833">
        <v>0</v>
      </c>
      <c r="BA1833">
        <v>0</v>
      </c>
      <c r="BB1833">
        <v>0</v>
      </c>
      <c r="BC1833">
        <v>0</v>
      </c>
      <c r="BD1833">
        <v>0</v>
      </c>
      <c r="BE1833">
        <v>0</v>
      </c>
      <c r="BF1833">
        <v>0</v>
      </c>
      <c r="BG1833">
        <v>0</v>
      </c>
      <c r="BH1833">
        <v>1</v>
      </c>
      <c r="BI1833">
        <v>1.1000000000000001</v>
      </c>
      <c r="BJ1833">
        <v>1.2</v>
      </c>
      <c r="BK1833">
        <v>1.5</v>
      </c>
      <c r="BL1833" s="4">
        <v>39.42</v>
      </c>
      <c r="BM1833" s="4">
        <v>5.91</v>
      </c>
      <c r="BN1833" s="4">
        <v>45.33</v>
      </c>
      <c r="BO1833" s="4">
        <v>45.33</v>
      </c>
      <c r="BQ1833" t="s">
        <v>147</v>
      </c>
      <c r="BR1833" t="s">
        <v>84</v>
      </c>
      <c r="BS1833" s="3">
        <v>43818</v>
      </c>
      <c r="BT1833" s="5">
        <v>0.375</v>
      </c>
      <c r="BU1833" t="s">
        <v>142</v>
      </c>
      <c r="BV1833" t="s">
        <v>86</v>
      </c>
      <c r="BY1833">
        <v>6049.72</v>
      </c>
      <c r="CC1833" t="s">
        <v>333</v>
      </c>
      <c r="CD1833">
        <v>2013</v>
      </c>
      <c r="CE1833" t="s">
        <v>96</v>
      </c>
      <c r="CF1833" s="3">
        <v>43819</v>
      </c>
      <c r="CI1833">
        <v>1</v>
      </c>
      <c r="CJ1833">
        <v>1</v>
      </c>
      <c r="CK1833">
        <v>22</v>
      </c>
      <c r="CL1833" t="s">
        <v>89</v>
      </c>
    </row>
    <row r="1834" spans="1:90">
      <c r="A1834" t="s">
        <v>72</v>
      </c>
      <c r="B1834" t="s">
        <v>73</v>
      </c>
      <c r="C1834" t="s">
        <v>74</v>
      </c>
      <c r="E1834" t="str">
        <f>"FES1162728684"</f>
        <v>FES1162728684</v>
      </c>
      <c r="F1834" s="3">
        <v>43817</v>
      </c>
      <c r="G1834">
        <v>202006</v>
      </c>
      <c r="H1834" t="s">
        <v>75</v>
      </c>
      <c r="I1834" t="s">
        <v>76</v>
      </c>
      <c r="J1834" t="s">
        <v>77</v>
      </c>
      <c r="K1834" t="s">
        <v>78</v>
      </c>
      <c r="L1834" t="s">
        <v>75</v>
      </c>
      <c r="M1834" t="s">
        <v>76</v>
      </c>
      <c r="N1834" t="s">
        <v>305</v>
      </c>
      <c r="O1834" t="s">
        <v>82</v>
      </c>
      <c r="P1834" t="str">
        <f>"2170721880                    "</f>
        <v xml:space="preserve">2170721880                    </v>
      </c>
      <c r="Q1834">
        <v>0</v>
      </c>
      <c r="R1834">
        <v>0</v>
      </c>
      <c r="S1834">
        <v>0</v>
      </c>
      <c r="T1834">
        <v>0</v>
      </c>
      <c r="U1834">
        <v>0</v>
      </c>
      <c r="V1834">
        <v>0</v>
      </c>
      <c r="W1834">
        <v>0</v>
      </c>
      <c r="X1834">
        <v>0</v>
      </c>
      <c r="Y1834">
        <v>0</v>
      </c>
      <c r="Z1834">
        <v>0</v>
      </c>
      <c r="AA1834">
        <v>0</v>
      </c>
      <c r="AB1834">
        <v>0</v>
      </c>
      <c r="AC1834">
        <v>0</v>
      </c>
      <c r="AD1834">
        <v>0</v>
      </c>
      <c r="AE1834">
        <v>0</v>
      </c>
      <c r="AF1834">
        <v>0</v>
      </c>
      <c r="AG1834">
        <v>0</v>
      </c>
      <c r="AH1834">
        <v>0</v>
      </c>
      <c r="AI1834">
        <v>0</v>
      </c>
      <c r="AJ1834">
        <v>0</v>
      </c>
      <c r="AK1834">
        <v>0</v>
      </c>
      <c r="AL1834">
        <v>0</v>
      </c>
      <c r="AM1834">
        <v>6.71</v>
      </c>
      <c r="AN1834">
        <v>0</v>
      </c>
      <c r="AO1834">
        <v>0</v>
      </c>
      <c r="AP1834">
        <v>0</v>
      </c>
      <c r="AQ1834">
        <v>0</v>
      </c>
      <c r="AR1834">
        <v>0</v>
      </c>
      <c r="AS1834">
        <v>0</v>
      </c>
      <c r="AT1834">
        <v>0</v>
      </c>
      <c r="AU1834">
        <v>0</v>
      </c>
      <c r="AV1834">
        <v>0</v>
      </c>
      <c r="AW1834">
        <v>0</v>
      </c>
      <c r="AX1834">
        <v>0</v>
      </c>
      <c r="AY1834">
        <v>0</v>
      </c>
      <c r="AZ1834">
        <v>0</v>
      </c>
      <c r="BA1834">
        <v>0</v>
      </c>
      <c r="BB1834">
        <v>0</v>
      </c>
      <c r="BC1834">
        <v>0</v>
      </c>
      <c r="BD1834">
        <v>0</v>
      </c>
      <c r="BE1834">
        <v>0</v>
      </c>
      <c r="BF1834">
        <v>0</v>
      </c>
      <c r="BG1834">
        <v>0</v>
      </c>
      <c r="BH1834">
        <v>1</v>
      </c>
      <c r="BI1834">
        <v>1</v>
      </c>
      <c r="BJ1834">
        <v>0.2</v>
      </c>
      <c r="BK1834">
        <v>1</v>
      </c>
      <c r="BL1834" s="4">
        <v>39.42</v>
      </c>
      <c r="BM1834" s="4">
        <v>5.91</v>
      </c>
      <c r="BN1834" s="4">
        <v>45.33</v>
      </c>
      <c r="BO1834" s="4">
        <v>45.33</v>
      </c>
      <c r="BQ1834" t="s">
        <v>147</v>
      </c>
      <c r="BR1834" t="s">
        <v>84</v>
      </c>
      <c r="BS1834" s="3">
        <v>43818</v>
      </c>
      <c r="BT1834" s="5">
        <v>0.30624999999999997</v>
      </c>
      <c r="BU1834" t="s">
        <v>2188</v>
      </c>
      <c r="BV1834" t="s">
        <v>86</v>
      </c>
      <c r="BY1834">
        <v>1200</v>
      </c>
      <c r="CC1834" t="s">
        <v>76</v>
      </c>
      <c r="CD1834">
        <v>1645</v>
      </c>
      <c r="CE1834" t="s">
        <v>88</v>
      </c>
      <c r="CF1834" s="3">
        <v>43819</v>
      </c>
      <c r="CI1834">
        <v>1</v>
      </c>
      <c r="CJ1834">
        <v>1</v>
      </c>
      <c r="CK1834">
        <v>22</v>
      </c>
      <c r="CL1834" t="s">
        <v>89</v>
      </c>
    </row>
    <row r="1835" spans="1:90">
      <c r="A1835" t="s">
        <v>72</v>
      </c>
      <c r="B1835" t="s">
        <v>73</v>
      </c>
      <c r="C1835" t="s">
        <v>74</v>
      </c>
      <c r="E1835" t="str">
        <f>"FES1162728739"</f>
        <v>FES1162728739</v>
      </c>
      <c r="F1835" s="3">
        <v>43817</v>
      </c>
      <c r="G1835">
        <v>202006</v>
      </c>
      <c r="H1835" t="s">
        <v>75</v>
      </c>
      <c r="I1835" t="s">
        <v>76</v>
      </c>
      <c r="J1835" t="s">
        <v>77</v>
      </c>
      <c r="K1835" t="s">
        <v>78</v>
      </c>
      <c r="L1835" t="s">
        <v>169</v>
      </c>
      <c r="M1835" t="s">
        <v>170</v>
      </c>
      <c r="N1835" t="s">
        <v>570</v>
      </c>
      <c r="O1835" t="s">
        <v>82</v>
      </c>
      <c r="P1835" t="str">
        <f>"2170721962                    "</f>
        <v xml:space="preserve">2170721962                    </v>
      </c>
      <c r="Q1835">
        <v>0</v>
      </c>
      <c r="R1835">
        <v>0</v>
      </c>
      <c r="S1835">
        <v>0</v>
      </c>
      <c r="T1835">
        <v>0</v>
      </c>
      <c r="U1835">
        <v>0</v>
      </c>
      <c r="V1835">
        <v>0</v>
      </c>
      <c r="W1835">
        <v>0</v>
      </c>
      <c r="X1835">
        <v>0</v>
      </c>
      <c r="Y1835">
        <v>0</v>
      </c>
      <c r="Z1835">
        <v>0</v>
      </c>
      <c r="AA1835">
        <v>0</v>
      </c>
      <c r="AB1835">
        <v>0</v>
      </c>
      <c r="AC1835">
        <v>0</v>
      </c>
      <c r="AD1835">
        <v>0</v>
      </c>
      <c r="AE1835">
        <v>0</v>
      </c>
      <c r="AF1835">
        <v>0</v>
      </c>
      <c r="AG1835">
        <v>0</v>
      </c>
      <c r="AH1835">
        <v>0</v>
      </c>
      <c r="AI1835">
        <v>0</v>
      </c>
      <c r="AJ1835">
        <v>0</v>
      </c>
      <c r="AK1835">
        <v>0</v>
      </c>
      <c r="AL1835">
        <v>0</v>
      </c>
      <c r="AM1835">
        <v>6.71</v>
      </c>
      <c r="AN1835">
        <v>0</v>
      </c>
      <c r="AO1835">
        <v>0</v>
      </c>
      <c r="AP1835">
        <v>0</v>
      </c>
      <c r="AQ1835">
        <v>0</v>
      </c>
      <c r="AR1835">
        <v>0</v>
      </c>
      <c r="AS1835">
        <v>0</v>
      </c>
      <c r="AT1835">
        <v>0</v>
      </c>
      <c r="AU1835">
        <v>0</v>
      </c>
      <c r="AV1835">
        <v>0</v>
      </c>
      <c r="AW1835">
        <v>0</v>
      </c>
      <c r="AX1835">
        <v>0</v>
      </c>
      <c r="AY1835">
        <v>0</v>
      </c>
      <c r="AZ1835">
        <v>0</v>
      </c>
      <c r="BA1835">
        <v>0</v>
      </c>
      <c r="BB1835">
        <v>0</v>
      </c>
      <c r="BC1835">
        <v>0</v>
      </c>
      <c r="BD1835">
        <v>0</v>
      </c>
      <c r="BE1835">
        <v>0</v>
      </c>
      <c r="BF1835">
        <v>0</v>
      </c>
      <c r="BG1835">
        <v>0</v>
      </c>
      <c r="BH1835">
        <v>1</v>
      </c>
      <c r="BI1835">
        <v>1</v>
      </c>
      <c r="BJ1835">
        <v>0.2</v>
      </c>
      <c r="BK1835">
        <v>1</v>
      </c>
      <c r="BL1835" s="4">
        <v>39.42</v>
      </c>
      <c r="BM1835" s="4">
        <v>5.91</v>
      </c>
      <c r="BN1835" s="4">
        <v>45.33</v>
      </c>
      <c r="BO1835" s="4">
        <v>45.33</v>
      </c>
      <c r="BR1835" t="s">
        <v>84</v>
      </c>
      <c r="BS1835" s="3">
        <v>43818</v>
      </c>
      <c r="BT1835" s="5">
        <v>0.29444444444444445</v>
      </c>
      <c r="BU1835" t="s">
        <v>2147</v>
      </c>
      <c r="BV1835" t="s">
        <v>86</v>
      </c>
      <c r="BY1835">
        <v>1200</v>
      </c>
      <c r="CA1835" t="s">
        <v>174</v>
      </c>
      <c r="CC1835" t="s">
        <v>170</v>
      </c>
      <c r="CD1835">
        <v>1460</v>
      </c>
      <c r="CE1835" t="s">
        <v>88</v>
      </c>
      <c r="CF1835" s="3">
        <v>43819</v>
      </c>
      <c r="CI1835">
        <v>1</v>
      </c>
      <c r="CJ1835">
        <v>1</v>
      </c>
      <c r="CK1835">
        <v>22</v>
      </c>
      <c r="CL1835" t="s">
        <v>89</v>
      </c>
    </row>
    <row r="1836" spans="1:90">
      <c r="A1836" t="s">
        <v>72</v>
      </c>
      <c r="B1836" t="s">
        <v>73</v>
      </c>
      <c r="C1836" t="s">
        <v>74</v>
      </c>
      <c r="E1836" t="str">
        <f>"FES1162728899"</f>
        <v>FES1162728899</v>
      </c>
      <c r="F1836" s="3">
        <v>43817</v>
      </c>
      <c r="G1836">
        <v>202006</v>
      </c>
      <c r="H1836" t="s">
        <v>75</v>
      </c>
      <c r="I1836" t="s">
        <v>76</v>
      </c>
      <c r="J1836" t="s">
        <v>77</v>
      </c>
      <c r="K1836" t="s">
        <v>78</v>
      </c>
      <c r="L1836" t="s">
        <v>90</v>
      </c>
      <c r="M1836" t="s">
        <v>91</v>
      </c>
      <c r="N1836" t="s">
        <v>1605</v>
      </c>
      <c r="O1836" t="s">
        <v>82</v>
      </c>
      <c r="P1836" t="str">
        <f>"2170720123                    "</f>
        <v xml:space="preserve">2170720123                    </v>
      </c>
      <c r="Q1836">
        <v>0</v>
      </c>
      <c r="R1836">
        <v>0</v>
      </c>
      <c r="S1836">
        <v>0</v>
      </c>
      <c r="T1836">
        <v>0</v>
      </c>
      <c r="U1836">
        <v>0</v>
      </c>
      <c r="V1836">
        <v>0</v>
      </c>
      <c r="W1836">
        <v>0</v>
      </c>
      <c r="X1836">
        <v>0</v>
      </c>
      <c r="Y1836">
        <v>0</v>
      </c>
      <c r="Z1836">
        <v>0</v>
      </c>
      <c r="AA1836">
        <v>0</v>
      </c>
      <c r="AB1836">
        <v>0</v>
      </c>
      <c r="AC1836">
        <v>0</v>
      </c>
      <c r="AD1836">
        <v>0</v>
      </c>
      <c r="AE1836">
        <v>0</v>
      </c>
      <c r="AF1836">
        <v>0</v>
      </c>
      <c r="AG1836">
        <v>0</v>
      </c>
      <c r="AH1836">
        <v>0</v>
      </c>
      <c r="AI1836">
        <v>0</v>
      </c>
      <c r="AJ1836">
        <v>0</v>
      </c>
      <c r="AK1836">
        <v>0</v>
      </c>
      <c r="AL1836">
        <v>0</v>
      </c>
      <c r="AM1836">
        <v>8.58</v>
      </c>
      <c r="AN1836">
        <v>0</v>
      </c>
      <c r="AO1836">
        <v>0</v>
      </c>
      <c r="AP1836">
        <v>0</v>
      </c>
      <c r="AQ1836">
        <v>0</v>
      </c>
      <c r="AR1836">
        <v>0</v>
      </c>
      <c r="AS1836">
        <v>0</v>
      </c>
      <c r="AT1836">
        <v>0</v>
      </c>
      <c r="AU1836">
        <v>0</v>
      </c>
      <c r="AV1836">
        <v>0</v>
      </c>
      <c r="AW1836">
        <v>0</v>
      </c>
      <c r="AX1836">
        <v>0</v>
      </c>
      <c r="AY1836">
        <v>0</v>
      </c>
      <c r="AZ1836">
        <v>0</v>
      </c>
      <c r="BA1836">
        <v>0</v>
      </c>
      <c r="BB1836">
        <v>0</v>
      </c>
      <c r="BC1836">
        <v>0</v>
      </c>
      <c r="BD1836">
        <v>0</v>
      </c>
      <c r="BE1836">
        <v>0</v>
      </c>
      <c r="BF1836">
        <v>0</v>
      </c>
      <c r="BG1836">
        <v>0</v>
      </c>
      <c r="BH1836">
        <v>1</v>
      </c>
      <c r="BI1836">
        <v>1</v>
      </c>
      <c r="BJ1836">
        <v>0.2</v>
      </c>
      <c r="BK1836">
        <v>1</v>
      </c>
      <c r="BL1836" s="4">
        <v>50.45</v>
      </c>
      <c r="BM1836" s="4">
        <v>7.57</v>
      </c>
      <c r="BN1836" s="4">
        <v>58.02</v>
      </c>
      <c r="BO1836" s="4">
        <v>58.02</v>
      </c>
      <c r="BR1836" t="s">
        <v>84</v>
      </c>
      <c r="BS1836" s="3">
        <v>43818</v>
      </c>
      <c r="BT1836" s="5">
        <v>0.3888888888888889</v>
      </c>
      <c r="BU1836" t="s">
        <v>2192</v>
      </c>
      <c r="BV1836" t="s">
        <v>86</v>
      </c>
      <c r="BY1836">
        <v>1200</v>
      </c>
      <c r="CA1836" t="s">
        <v>145</v>
      </c>
      <c r="CC1836" t="s">
        <v>91</v>
      </c>
      <c r="CD1836">
        <v>8001</v>
      </c>
      <c r="CE1836" t="s">
        <v>88</v>
      </c>
      <c r="CF1836" s="3">
        <v>43819</v>
      </c>
      <c r="CI1836">
        <v>1</v>
      </c>
      <c r="CJ1836">
        <v>1</v>
      </c>
      <c r="CK1836">
        <v>21</v>
      </c>
      <c r="CL1836" t="s">
        <v>89</v>
      </c>
    </row>
    <row r="1837" spans="1:90">
      <c r="A1837" t="s">
        <v>72</v>
      </c>
      <c r="B1837" t="s">
        <v>73</v>
      </c>
      <c r="C1837" t="s">
        <v>74</v>
      </c>
      <c r="E1837" t="str">
        <f>"FES1162728992"</f>
        <v>FES1162728992</v>
      </c>
      <c r="F1837" s="3">
        <v>43817</v>
      </c>
      <c r="G1837">
        <v>202006</v>
      </c>
      <c r="H1837" t="s">
        <v>75</v>
      </c>
      <c r="I1837" t="s">
        <v>76</v>
      </c>
      <c r="J1837" t="s">
        <v>77</v>
      </c>
      <c r="K1837" t="s">
        <v>78</v>
      </c>
      <c r="L1837" t="s">
        <v>186</v>
      </c>
      <c r="M1837" t="s">
        <v>187</v>
      </c>
      <c r="N1837" t="s">
        <v>266</v>
      </c>
      <c r="O1837" t="s">
        <v>82</v>
      </c>
      <c r="P1837" t="str">
        <f>"2170722104                    "</f>
        <v xml:space="preserve">2170722104                    </v>
      </c>
      <c r="Q1837">
        <v>0</v>
      </c>
      <c r="R1837">
        <v>0</v>
      </c>
      <c r="S1837">
        <v>0</v>
      </c>
      <c r="T1837">
        <v>0</v>
      </c>
      <c r="U1837">
        <v>0</v>
      </c>
      <c r="V1837">
        <v>0</v>
      </c>
      <c r="W1837">
        <v>0</v>
      </c>
      <c r="X1837">
        <v>0</v>
      </c>
      <c r="Y1837">
        <v>0</v>
      </c>
      <c r="Z1837">
        <v>0</v>
      </c>
      <c r="AA1837">
        <v>0</v>
      </c>
      <c r="AB1837">
        <v>0</v>
      </c>
      <c r="AC1837">
        <v>0</v>
      </c>
      <c r="AD1837">
        <v>0</v>
      </c>
      <c r="AE1837">
        <v>0</v>
      </c>
      <c r="AF1837">
        <v>0</v>
      </c>
      <c r="AG1837">
        <v>0</v>
      </c>
      <c r="AH1837">
        <v>0</v>
      </c>
      <c r="AI1837">
        <v>0</v>
      </c>
      <c r="AJ1837">
        <v>0</v>
      </c>
      <c r="AK1837">
        <v>0</v>
      </c>
      <c r="AL1837">
        <v>0</v>
      </c>
      <c r="AM1837">
        <v>16.63</v>
      </c>
      <c r="AN1837">
        <v>0</v>
      </c>
      <c r="AO1837">
        <v>0</v>
      </c>
      <c r="AP1837">
        <v>0</v>
      </c>
      <c r="AQ1837">
        <v>0</v>
      </c>
      <c r="AR1837">
        <v>0</v>
      </c>
      <c r="AS1837">
        <v>0</v>
      </c>
      <c r="AT1837">
        <v>0</v>
      </c>
      <c r="AU1837">
        <v>0</v>
      </c>
      <c r="AV1837">
        <v>0</v>
      </c>
      <c r="AW1837">
        <v>0</v>
      </c>
      <c r="AX1837">
        <v>0</v>
      </c>
      <c r="AY1837">
        <v>0</v>
      </c>
      <c r="AZ1837">
        <v>0</v>
      </c>
      <c r="BA1837">
        <v>0</v>
      </c>
      <c r="BB1837">
        <v>0</v>
      </c>
      <c r="BC1837">
        <v>0</v>
      </c>
      <c r="BD1837">
        <v>0</v>
      </c>
      <c r="BE1837">
        <v>0</v>
      </c>
      <c r="BF1837">
        <v>0</v>
      </c>
      <c r="BG1837">
        <v>0</v>
      </c>
      <c r="BH1837">
        <v>1</v>
      </c>
      <c r="BI1837">
        <v>1</v>
      </c>
      <c r="BJ1837">
        <v>0.2</v>
      </c>
      <c r="BK1837">
        <v>1</v>
      </c>
      <c r="BL1837" s="4">
        <v>97.75</v>
      </c>
      <c r="BM1837" s="4">
        <v>14.66</v>
      </c>
      <c r="BN1837" s="4">
        <v>112.41</v>
      </c>
      <c r="BO1837" s="4">
        <v>112.41</v>
      </c>
      <c r="BQ1837" t="s">
        <v>135</v>
      </c>
      <c r="BR1837" t="s">
        <v>84</v>
      </c>
      <c r="BS1837" s="3">
        <v>43819</v>
      </c>
      <c r="BT1837" s="5">
        <v>0.39513888888888887</v>
      </c>
      <c r="BU1837" t="s">
        <v>2193</v>
      </c>
      <c r="BV1837" t="s">
        <v>86</v>
      </c>
      <c r="BY1837">
        <v>1200</v>
      </c>
      <c r="CA1837" t="s">
        <v>190</v>
      </c>
      <c r="CC1837" t="s">
        <v>187</v>
      </c>
      <c r="CD1837">
        <v>6850</v>
      </c>
      <c r="CE1837" t="s">
        <v>88</v>
      </c>
      <c r="CF1837" s="3">
        <v>43822</v>
      </c>
      <c r="CI1837">
        <v>3</v>
      </c>
      <c r="CJ1837">
        <v>2</v>
      </c>
      <c r="CK1837">
        <v>23</v>
      </c>
      <c r="CL1837" t="s">
        <v>89</v>
      </c>
    </row>
    <row r="1838" spans="1:90">
      <c r="A1838" t="s">
        <v>72</v>
      </c>
      <c r="B1838" t="s">
        <v>73</v>
      </c>
      <c r="C1838" t="s">
        <v>74</v>
      </c>
      <c r="E1838" t="str">
        <f>"FES1162728802"</f>
        <v>FES1162728802</v>
      </c>
      <c r="F1838" s="3">
        <v>43817</v>
      </c>
      <c r="G1838">
        <v>202006</v>
      </c>
      <c r="H1838" t="s">
        <v>75</v>
      </c>
      <c r="I1838" t="s">
        <v>76</v>
      </c>
      <c r="J1838" t="s">
        <v>77</v>
      </c>
      <c r="K1838" t="s">
        <v>78</v>
      </c>
      <c r="L1838" t="s">
        <v>151</v>
      </c>
      <c r="M1838" t="s">
        <v>102</v>
      </c>
      <c r="N1838" t="s">
        <v>2128</v>
      </c>
      <c r="O1838" t="s">
        <v>82</v>
      </c>
      <c r="P1838" t="str">
        <f>"2170719239                    "</f>
        <v xml:space="preserve">2170719239                    </v>
      </c>
      <c r="Q1838">
        <v>0</v>
      </c>
      <c r="R1838">
        <v>0</v>
      </c>
      <c r="S1838">
        <v>0</v>
      </c>
      <c r="T1838">
        <v>0</v>
      </c>
      <c r="U1838">
        <v>0</v>
      </c>
      <c r="V1838">
        <v>0</v>
      </c>
      <c r="W1838">
        <v>0</v>
      </c>
      <c r="X1838">
        <v>0</v>
      </c>
      <c r="Y1838">
        <v>0</v>
      </c>
      <c r="Z1838">
        <v>0</v>
      </c>
      <c r="AA1838">
        <v>0</v>
      </c>
      <c r="AB1838">
        <v>0</v>
      </c>
      <c r="AC1838">
        <v>0</v>
      </c>
      <c r="AD1838">
        <v>0</v>
      </c>
      <c r="AE1838">
        <v>0</v>
      </c>
      <c r="AF1838">
        <v>0</v>
      </c>
      <c r="AG1838">
        <v>0</v>
      </c>
      <c r="AH1838">
        <v>0</v>
      </c>
      <c r="AI1838">
        <v>0</v>
      </c>
      <c r="AJ1838">
        <v>0</v>
      </c>
      <c r="AK1838">
        <v>0</v>
      </c>
      <c r="AL1838">
        <v>0</v>
      </c>
      <c r="AM1838">
        <v>8.58</v>
      </c>
      <c r="AN1838">
        <v>0</v>
      </c>
      <c r="AO1838">
        <v>0</v>
      </c>
      <c r="AP1838">
        <v>0</v>
      </c>
      <c r="AQ1838">
        <v>0</v>
      </c>
      <c r="AR1838">
        <v>0</v>
      </c>
      <c r="AS1838">
        <v>0</v>
      </c>
      <c r="AT1838">
        <v>0</v>
      </c>
      <c r="AU1838">
        <v>0</v>
      </c>
      <c r="AV1838">
        <v>0</v>
      </c>
      <c r="AW1838">
        <v>0</v>
      </c>
      <c r="AX1838">
        <v>0</v>
      </c>
      <c r="AY1838">
        <v>0</v>
      </c>
      <c r="AZ1838">
        <v>0</v>
      </c>
      <c r="BA1838">
        <v>0</v>
      </c>
      <c r="BB1838">
        <v>0</v>
      </c>
      <c r="BC1838">
        <v>0</v>
      </c>
      <c r="BD1838">
        <v>0</v>
      </c>
      <c r="BE1838">
        <v>0</v>
      </c>
      <c r="BF1838">
        <v>0</v>
      </c>
      <c r="BG1838">
        <v>0</v>
      </c>
      <c r="BH1838">
        <v>1</v>
      </c>
      <c r="BI1838">
        <v>1</v>
      </c>
      <c r="BJ1838">
        <v>0.2</v>
      </c>
      <c r="BK1838">
        <v>1</v>
      </c>
      <c r="BL1838" s="4">
        <v>50.45</v>
      </c>
      <c r="BM1838" s="4">
        <v>7.57</v>
      </c>
      <c r="BN1838" s="4">
        <v>58.02</v>
      </c>
      <c r="BO1838" s="4">
        <v>58.02</v>
      </c>
      <c r="BQ1838" t="s">
        <v>147</v>
      </c>
      <c r="BR1838" t="s">
        <v>84</v>
      </c>
      <c r="BS1838" s="3">
        <v>43818</v>
      </c>
      <c r="BT1838" s="5">
        <v>0.33680555555555558</v>
      </c>
      <c r="BU1838" t="s">
        <v>2194</v>
      </c>
      <c r="BV1838" t="s">
        <v>86</v>
      </c>
      <c r="BY1838">
        <v>1200</v>
      </c>
      <c r="CA1838" t="s">
        <v>328</v>
      </c>
      <c r="CC1838" t="s">
        <v>102</v>
      </c>
      <c r="CD1838">
        <v>184</v>
      </c>
      <c r="CE1838" t="s">
        <v>88</v>
      </c>
      <c r="CF1838" s="3">
        <v>43819</v>
      </c>
      <c r="CI1838">
        <v>1</v>
      </c>
      <c r="CJ1838">
        <v>1</v>
      </c>
      <c r="CK1838">
        <v>21</v>
      </c>
      <c r="CL1838" t="s">
        <v>89</v>
      </c>
    </row>
    <row r="1839" spans="1:90">
      <c r="A1839" t="s">
        <v>72</v>
      </c>
      <c r="B1839" t="s">
        <v>73</v>
      </c>
      <c r="C1839" t="s">
        <v>74</v>
      </c>
      <c r="E1839" t="str">
        <f>"FES1162728961"</f>
        <v>FES1162728961</v>
      </c>
      <c r="F1839" s="3">
        <v>43817</v>
      </c>
      <c r="G1839">
        <v>202006</v>
      </c>
      <c r="H1839" t="s">
        <v>75</v>
      </c>
      <c r="I1839" t="s">
        <v>76</v>
      </c>
      <c r="J1839" t="s">
        <v>77</v>
      </c>
      <c r="K1839" t="s">
        <v>78</v>
      </c>
      <c r="L1839" t="s">
        <v>79</v>
      </c>
      <c r="M1839" t="s">
        <v>80</v>
      </c>
      <c r="N1839" t="s">
        <v>388</v>
      </c>
      <c r="O1839" t="s">
        <v>82</v>
      </c>
      <c r="P1839" t="str">
        <f>"2170721669                    "</f>
        <v xml:space="preserve">2170721669                    </v>
      </c>
      <c r="Q1839">
        <v>0</v>
      </c>
      <c r="R1839">
        <v>0</v>
      </c>
      <c r="S1839">
        <v>0</v>
      </c>
      <c r="T1839">
        <v>0</v>
      </c>
      <c r="U1839">
        <v>0</v>
      </c>
      <c r="V1839">
        <v>0</v>
      </c>
      <c r="W1839">
        <v>0</v>
      </c>
      <c r="X1839">
        <v>0</v>
      </c>
      <c r="Y1839">
        <v>0</v>
      </c>
      <c r="Z1839">
        <v>0</v>
      </c>
      <c r="AA1839">
        <v>0</v>
      </c>
      <c r="AB1839">
        <v>0</v>
      </c>
      <c r="AC1839">
        <v>0</v>
      </c>
      <c r="AD1839">
        <v>0</v>
      </c>
      <c r="AE1839">
        <v>0</v>
      </c>
      <c r="AF1839">
        <v>0</v>
      </c>
      <c r="AG1839">
        <v>0</v>
      </c>
      <c r="AH1839">
        <v>0</v>
      </c>
      <c r="AI1839">
        <v>0</v>
      </c>
      <c r="AJ1839">
        <v>0</v>
      </c>
      <c r="AK1839">
        <v>0</v>
      </c>
      <c r="AL1839">
        <v>0</v>
      </c>
      <c r="AM1839">
        <v>10.73</v>
      </c>
      <c r="AN1839">
        <v>0</v>
      </c>
      <c r="AO1839">
        <v>0</v>
      </c>
      <c r="AP1839">
        <v>0</v>
      </c>
      <c r="AQ1839">
        <v>0</v>
      </c>
      <c r="AR1839">
        <v>0</v>
      </c>
      <c r="AS1839">
        <v>0</v>
      </c>
      <c r="AT1839">
        <v>0</v>
      </c>
      <c r="AU1839">
        <v>0</v>
      </c>
      <c r="AV1839">
        <v>0</v>
      </c>
      <c r="AW1839">
        <v>0</v>
      </c>
      <c r="AX1839">
        <v>0</v>
      </c>
      <c r="AY1839">
        <v>0</v>
      </c>
      <c r="AZ1839">
        <v>0</v>
      </c>
      <c r="BA1839">
        <v>0</v>
      </c>
      <c r="BB1839">
        <v>0</v>
      </c>
      <c r="BC1839">
        <v>0</v>
      </c>
      <c r="BD1839">
        <v>0</v>
      </c>
      <c r="BE1839">
        <v>0</v>
      </c>
      <c r="BF1839">
        <v>0</v>
      </c>
      <c r="BG1839">
        <v>0</v>
      </c>
      <c r="BH1839">
        <v>1</v>
      </c>
      <c r="BI1839">
        <v>2.5</v>
      </c>
      <c r="BJ1839">
        <v>1.7</v>
      </c>
      <c r="BK1839">
        <v>2.5</v>
      </c>
      <c r="BL1839" s="4">
        <v>63.06</v>
      </c>
      <c r="BM1839" s="4">
        <v>9.4600000000000009</v>
      </c>
      <c r="BN1839" s="4">
        <v>72.52</v>
      </c>
      <c r="BO1839" s="4">
        <v>72.52</v>
      </c>
      <c r="BQ1839" t="s">
        <v>147</v>
      </c>
      <c r="BR1839" t="s">
        <v>84</v>
      </c>
      <c r="BS1839" s="3">
        <v>43818</v>
      </c>
      <c r="BT1839" s="5">
        <v>0.37916666666666665</v>
      </c>
      <c r="BU1839" t="s">
        <v>368</v>
      </c>
      <c r="BV1839" t="s">
        <v>86</v>
      </c>
      <c r="BY1839">
        <v>8421.86</v>
      </c>
      <c r="CA1839" t="s">
        <v>131</v>
      </c>
      <c r="CC1839" t="s">
        <v>80</v>
      </c>
      <c r="CD1839">
        <v>6001</v>
      </c>
      <c r="CE1839" t="s">
        <v>116</v>
      </c>
      <c r="CF1839" s="3">
        <v>43819</v>
      </c>
      <c r="CI1839">
        <v>1</v>
      </c>
      <c r="CJ1839">
        <v>1</v>
      </c>
      <c r="CK1839">
        <v>21</v>
      </c>
      <c r="CL1839" t="s">
        <v>89</v>
      </c>
    </row>
    <row r="1840" spans="1:90">
      <c r="A1840" t="s">
        <v>72</v>
      </c>
      <c r="B1840" t="s">
        <v>73</v>
      </c>
      <c r="C1840" t="s">
        <v>74</v>
      </c>
      <c r="E1840" t="str">
        <f>"FES1162728784"</f>
        <v>FES1162728784</v>
      </c>
      <c r="F1840" s="3">
        <v>43817</v>
      </c>
      <c r="G1840">
        <v>202006</v>
      </c>
      <c r="H1840" t="s">
        <v>75</v>
      </c>
      <c r="I1840" t="s">
        <v>76</v>
      </c>
      <c r="J1840" t="s">
        <v>77</v>
      </c>
      <c r="K1840" t="s">
        <v>78</v>
      </c>
      <c r="L1840" t="s">
        <v>164</v>
      </c>
      <c r="M1840" t="s">
        <v>165</v>
      </c>
      <c r="N1840" t="s">
        <v>263</v>
      </c>
      <c r="O1840" t="s">
        <v>82</v>
      </c>
      <c r="P1840" t="str">
        <f>"2170721796                    "</f>
        <v xml:space="preserve">2170721796                    </v>
      </c>
      <c r="Q1840">
        <v>0</v>
      </c>
      <c r="R1840">
        <v>0</v>
      </c>
      <c r="S1840">
        <v>0</v>
      </c>
      <c r="T1840">
        <v>0</v>
      </c>
      <c r="U1840">
        <v>0</v>
      </c>
      <c r="V1840">
        <v>0</v>
      </c>
      <c r="W1840">
        <v>0</v>
      </c>
      <c r="X1840">
        <v>0</v>
      </c>
      <c r="Y1840">
        <v>0</v>
      </c>
      <c r="Z1840">
        <v>0</v>
      </c>
      <c r="AA1840">
        <v>0</v>
      </c>
      <c r="AB1840">
        <v>0</v>
      </c>
      <c r="AC1840">
        <v>0</v>
      </c>
      <c r="AD1840">
        <v>0</v>
      </c>
      <c r="AE1840">
        <v>0</v>
      </c>
      <c r="AF1840">
        <v>0</v>
      </c>
      <c r="AG1840">
        <v>0</v>
      </c>
      <c r="AH1840">
        <v>0</v>
      </c>
      <c r="AI1840">
        <v>0</v>
      </c>
      <c r="AJ1840">
        <v>0</v>
      </c>
      <c r="AK1840">
        <v>0</v>
      </c>
      <c r="AL1840">
        <v>0</v>
      </c>
      <c r="AM1840">
        <v>12.87</v>
      </c>
      <c r="AN1840">
        <v>0</v>
      </c>
      <c r="AO1840">
        <v>0</v>
      </c>
      <c r="AP1840">
        <v>0</v>
      </c>
      <c r="AQ1840">
        <v>0</v>
      </c>
      <c r="AR1840">
        <v>0</v>
      </c>
      <c r="AS1840">
        <v>0</v>
      </c>
      <c r="AT1840">
        <v>0</v>
      </c>
      <c r="AU1840">
        <v>0</v>
      </c>
      <c r="AV1840">
        <v>0</v>
      </c>
      <c r="AW1840">
        <v>0</v>
      </c>
      <c r="AX1840">
        <v>0</v>
      </c>
      <c r="AY1840">
        <v>0</v>
      </c>
      <c r="AZ1840">
        <v>0</v>
      </c>
      <c r="BA1840">
        <v>0</v>
      </c>
      <c r="BB1840">
        <v>0</v>
      </c>
      <c r="BC1840">
        <v>0</v>
      </c>
      <c r="BD1840">
        <v>0</v>
      </c>
      <c r="BE1840">
        <v>0</v>
      </c>
      <c r="BF1840">
        <v>0</v>
      </c>
      <c r="BG1840">
        <v>0</v>
      </c>
      <c r="BH1840">
        <v>1</v>
      </c>
      <c r="BI1840">
        <v>3</v>
      </c>
      <c r="BJ1840">
        <v>1.2</v>
      </c>
      <c r="BK1840">
        <v>3</v>
      </c>
      <c r="BL1840" s="4">
        <v>75.66</v>
      </c>
      <c r="BM1840" s="4">
        <v>11.35</v>
      </c>
      <c r="BN1840" s="4">
        <v>87.01</v>
      </c>
      <c r="BO1840" s="4">
        <v>87.01</v>
      </c>
      <c r="BQ1840" t="s">
        <v>147</v>
      </c>
      <c r="BR1840" t="s">
        <v>84</v>
      </c>
      <c r="BS1840" s="3">
        <v>43818</v>
      </c>
      <c r="BT1840" s="5">
        <v>0.41250000000000003</v>
      </c>
      <c r="BU1840" t="s">
        <v>2195</v>
      </c>
      <c r="BV1840" t="s">
        <v>86</v>
      </c>
      <c r="BY1840">
        <v>6027.69</v>
      </c>
      <c r="CC1840" t="s">
        <v>165</v>
      </c>
      <c r="CD1840">
        <v>5201</v>
      </c>
      <c r="CE1840" t="s">
        <v>96</v>
      </c>
      <c r="CF1840" s="3">
        <v>43822</v>
      </c>
      <c r="CI1840">
        <v>1</v>
      </c>
      <c r="CJ1840">
        <v>1</v>
      </c>
      <c r="CK1840">
        <v>21</v>
      </c>
      <c r="CL1840" t="s">
        <v>89</v>
      </c>
    </row>
    <row r="1841" spans="1:90">
      <c r="A1841" t="s">
        <v>72</v>
      </c>
      <c r="B1841" t="s">
        <v>73</v>
      </c>
      <c r="C1841" t="s">
        <v>74</v>
      </c>
      <c r="E1841" t="str">
        <f>"FES1162729004"</f>
        <v>FES1162729004</v>
      </c>
      <c r="F1841" s="3">
        <v>43817</v>
      </c>
      <c r="G1841">
        <v>202006</v>
      </c>
      <c r="H1841" t="s">
        <v>75</v>
      </c>
      <c r="I1841" t="s">
        <v>76</v>
      </c>
      <c r="J1841" t="s">
        <v>77</v>
      </c>
      <c r="K1841" t="s">
        <v>78</v>
      </c>
      <c r="L1841" t="s">
        <v>79</v>
      </c>
      <c r="M1841" t="s">
        <v>80</v>
      </c>
      <c r="N1841" t="s">
        <v>129</v>
      </c>
      <c r="O1841" t="s">
        <v>82</v>
      </c>
      <c r="P1841" t="str">
        <f>"2170721781                    "</f>
        <v xml:space="preserve">2170721781                    </v>
      </c>
      <c r="Q1841">
        <v>0</v>
      </c>
      <c r="R1841">
        <v>0</v>
      </c>
      <c r="S1841">
        <v>0</v>
      </c>
      <c r="T1841">
        <v>0</v>
      </c>
      <c r="U1841">
        <v>0</v>
      </c>
      <c r="V1841">
        <v>0</v>
      </c>
      <c r="W1841">
        <v>0</v>
      </c>
      <c r="X1841">
        <v>0</v>
      </c>
      <c r="Y1841">
        <v>0</v>
      </c>
      <c r="Z1841">
        <v>0</v>
      </c>
      <c r="AA1841">
        <v>0</v>
      </c>
      <c r="AB1841">
        <v>0</v>
      </c>
      <c r="AC1841">
        <v>0</v>
      </c>
      <c r="AD1841">
        <v>0</v>
      </c>
      <c r="AE1841">
        <v>0</v>
      </c>
      <c r="AF1841">
        <v>0</v>
      </c>
      <c r="AG1841">
        <v>0</v>
      </c>
      <c r="AH1841">
        <v>0</v>
      </c>
      <c r="AI1841">
        <v>0</v>
      </c>
      <c r="AJ1841">
        <v>0</v>
      </c>
      <c r="AK1841">
        <v>0</v>
      </c>
      <c r="AL1841">
        <v>0</v>
      </c>
      <c r="AM1841">
        <v>21.45</v>
      </c>
      <c r="AN1841">
        <v>0</v>
      </c>
      <c r="AO1841">
        <v>0</v>
      </c>
      <c r="AP1841">
        <v>0</v>
      </c>
      <c r="AQ1841">
        <v>0</v>
      </c>
      <c r="AR1841">
        <v>0</v>
      </c>
      <c r="AS1841">
        <v>0</v>
      </c>
      <c r="AT1841">
        <v>0</v>
      </c>
      <c r="AU1841">
        <v>0</v>
      </c>
      <c r="AV1841">
        <v>0</v>
      </c>
      <c r="AW1841">
        <v>0</v>
      </c>
      <c r="AX1841">
        <v>0</v>
      </c>
      <c r="AY1841">
        <v>0</v>
      </c>
      <c r="AZ1841">
        <v>0</v>
      </c>
      <c r="BA1841">
        <v>0</v>
      </c>
      <c r="BB1841">
        <v>0</v>
      </c>
      <c r="BC1841">
        <v>0</v>
      </c>
      <c r="BD1841">
        <v>0</v>
      </c>
      <c r="BE1841">
        <v>0</v>
      </c>
      <c r="BF1841">
        <v>0</v>
      </c>
      <c r="BG1841">
        <v>0</v>
      </c>
      <c r="BH1841">
        <v>1</v>
      </c>
      <c r="BI1841">
        <v>4.9000000000000004</v>
      </c>
      <c r="BJ1841">
        <v>2.9</v>
      </c>
      <c r="BK1841">
        <v>5</v>
      </c>
      <c r="BL1841" s="4">
        <v>126.08</v>
      </c>
      <c r="BM1841" s="4">
        <v>18.91</v>
      </c>
      <c r="BN1841" s="4">
        <v>144.99</v>
      </c>
      <c r="BO1841" s="4">
        <v>144.99</v>
      </c>
      <c r="BQ1841" t="s">
        <v>147</v>
      </c>
      <c r="BR1841" t="s">
        <v>84</v>
      </c>
      <c r="BS1841" s="3">
        <v>43818</v>
      </c>
      <c r="BT1841" s="5">
        <v>0.38680555555555557</v>
      </c>
      <c r="BU1841" t="s">
        <v>130</v>
      </c>
      <c r="BV1841" t="s">
        <v>86</v>
      </c>
      <c r="BY1841">
        <v>14361.31</v>
      </c>
      <c r="CA1841" t="s">
        <v>131</v>
      </c>
      <c r="CC1841" t="s">
        <v>80</v>
      </c>
      <c r="CD1841">
        <v>6001</v>
      </c>
      <c r="CE1841" t="s">
        <v>116</v>
      </c>
      <c r="CF1841" s="3">
        <v>43819</v>
      </c>
      <c r="CI1841">
        <v>1</v>
      </c>
      <c r="CJ1841">
        <v>1</v>
      </c>
      <c r="CK1841">
        <v>21</v>
      </c>
      <c r="CL1841" t="s">
        <v>89</v>
      </c>
    </row>
    <row r="1842" spans="1:90">
      <c r="A1842" t="s">
        <v>72</v>
      </c>
      <c r="B1842" t="s">
        <v>73</v>
      </c>
      <c r="C1842" t="s">
        <v>74</v>
      </c>
      <c r="E1842" t="str">
        <f>"FES1162728756"</f>
        <v>FES1162728756</v>
      </c>
      <c r="F1842" s="3">
        <v>43817</v>
      </c>
      <c r="G1842">
        <v>202006</v>
      </c>
      <c r="H1842" t="s">
        <v>75</v>
      </c>
      <c r="I1842" t="s">
        <v>76</v>
      </c>
      <c r="J1842" t="s">
        <v>77</v>
      </c>
      <c r="K1842" t="s">
        <v>78</v>
      </c>
      <c r="L1842" t="s">
        <v>151</v>
      </c>
      <c r="M1842" t="s">
        <v>102</v>
      </c>
      <c r="N1842" t="s">
        <v>2196</v>
      </c>
      <c r="O1842" t="s">
        <v>82</v>
      </c>
      <c r="P1842" t="str">
        <f>"2170721950                    "</f>
        <v xml:space="preserve">2170721950                    </v>
      </c>
      <c r="Q1842">
        <v>0</v>
      </c>
      <c r="R1842">
        <v>0</v>
      </c>
      <c r="S1842">
        <v>0</v>
      </c>
      <c r="T1842">
        <v>0</v>
      </c>
      <c r="U1842">
        <v>0</v>
      </c>
      <c r="V1842">
        <v>0</v>
      </c>
      <c r="W1842">
        <v>0</v>
      </c>
      <c r="X1842">
        <v>0</v>
      </c>
      <c r="Y1842">
        <v>0</v>
      </c>
      <c r="Z1842">
        <v>0</v>
      </c>
      <c r="AA1842">
        <v>0</v>
      </c>
      <c r="AB1842">
        <v>0</v>
      </c>
      <c r="AC1842">
        <v>0</v>
      </c>
      <c r="AD1842">
        <v>0</v>
      </c>
      <c r="AE1842">
        <v>0</v>
      </c>
      <c r="AF1842">
        <v>0</v>
      </c>
      <c r="AG1842">
        <v>0</v>
      </c>
      <c r="AH1842">
        <v>0</v>
      </c>
      <c r="AI1842">
        <v>0</v>
      </c>
      <c r="AJ1842">
        <v>0</v>
      </c>
      <c r="AK1842">
        <v>0</v>
      </c>
      <c r="AL1842">
        <v>0</v>
      </c>
      <c r="AM1842">
        <v>8.58</v>
      </c>
      <c r="AN1842">
        <v>0</v>
      </c>
      <c r="AO1842">
        <v>0</v>
      </c>
      <c r="AP1842">
        <v>0</v>
      </c>
      <c r="AQ1842">
        <v>0</v>
      </c>
      <c r="AR1842">
        <v>0</v>
      </c>
      <c r="AS1842">
        <v>0</v>
      </c>
      <c r="AT1842">
        <v>0</v>
      </c>
      <c r="AU1842">
        <v>0</v>
      </c>
      <c r="AV1842">
        <v>0</v>
      </c>
      <c r="AW1842">
        <v>0</v>
      </c>
      <c r="AX1842">
        <v>0</v>
      </c>
      <c r="AY1842">
        <v>0</v>
      </c>
      <c r="AZ1842">
        <v>0</v>
      </c>
      <c r="BA1842">
        <v>0</v>
      </c>
      <c r="BB1842">
        <v>0</v>
      </c>
      <c r="BC1842">
        <v>0</v>
      </c>
      <c r="BD1842">
        <v>0</v>
      </c>
      <c r="BE1842">
        <v>0</v>
      </c>
      <c r="BF1842">
        <v>0</v>
      </c>
      <c r="BG1842">
        <v>0</v>
      </c>
      <c r="BH1842">
        <v>1</v>
      </c>
      <c r="BI1842">
        <v>1.1000000000000001</v>
      </c>
      <c r="BJ1842">
        <v>1.5</v>
      </c>
      <c r="BK1842">
        <v>1.5</v>
      </c>
      <c r="BL1842" s="4">
        <v>50.45</v>
      </c>
      <c r="BM1842" s="4">
        <v>7.57</v>
      </c>
      <c r="BN1842" s="4">
        <v>58.02</v>
      </c>
      <c r="BO1842" s="4">
        <v>58.02</v>
      </c>
      <c r="BQ1842" t="s">
        <v>93</v>
      </c>
      <c r="BR1842" t="s">
        <v>84</v>
      </c>
      <c r="BS1842" s="3">
        <v>43818</v>
      </c>
      <c r="BT1842" s="5">
        <v>0.40277777777777773</v>
      </c>
      <c r="BU1842" t="s">
        <v>2197</v>
      </c>
      <c r="BV1842" t="s">
        <v>86</v>
      </c>
      <c r="BY1842">
        <v>7426.9</v>
      </c>
      <c r="CC1842" t="s">
        <v>102</v>
      </c>
      <c r="CD1842">
        <v>200</v>
      </c>
      <c r="CE1842" t="s">
        <v>96</v>
      </c>
      <c r="CF1842" s="3">
        <v>43819</v>
      </c>
      <c r="CI1842">
        <v>1</v>
      </c>
      <c r="CJ1842">
        <v>1</v>
      </c>
      <c r="CK1842">
        <v>21</v>
      </c>
      <c r="CL1842" t="s">
        <v>89</v>
      </c>
    </row>
    <row r="1843" spans="1:90">
      <c r="A1843" t="s">
        <v>72</v>
      </c>
      <c r="B1843" t="s">
        <v>73</v>
      </c>
      <c r="C1843" t="s">
        <v>74</v>
      </c>
      <c r="E1843" t="str">
        <f>"FES1162728996"</f>
        <v>FES1162728996</v>
      </c>
      <c r="F1843" s="3">
        <v>43817</v>
      </c>
      <c r="G1843">
        <v>202006</v>
      </c>
      <c r="H1843" t="s">
        <v>75</v>
      </c>
      <c r="I1843" t="s">
        <v>76</v>
      </c>
      <c r="J1843" t="s">
        <v>77</v>
      </c>
      <c r="K1843" t="s">
        <v>78</v>
      </c>
      <c r="L1843" t="s">
        <v>79</v>
      </c>
      <c r="M1843" t="s">
        <v>80</v>
      </c>
      <c r="N1843" t="s">
        <v>768</v>
      </c>
      <c r="O1843" t="s">
        <v>82</v>
      </c>
      <c r="P1843" t="str">
        <f>"2170722109                    "</f>
        <v xml:space="preserve">2170722109                    </v>
      </c>
      <c r="Q1843">
        <v>0</v>
      </c>
      <c r="R1843">
        <v>0</v>
      </c>
      <c r="S1843">
        <v>0</v>
      </c>
      <c r="T1843">
        <v>0</v>
      </c>
      <c r="U1843">
        <v>0</v>
      </c>
      <c r="V1843">
        <v>0</v>
      </c>
      <c r="W1843">
        <v>0</v>
      </c>
      <c r="X1843">
        <v>0</v>
      </c>
      <c r="Y1843">
        <v>0</v>
      </c>
      <c r="Z1843">
        <v>0</v>
      </c>
      <c r="AA1843">
        <v>0</v>
      </c>
      <c r="AB1843">
        <v>0</v>
      </c>
      <c r="AC1843">
        <v>0</v>
      </c>
      <c r="AD1843">
        <v>0</v>
      </c>
      <c r="AE1843">
        <v>0</v>
      </c>
      <c r="AF1843">
        <v>0</v>
      </c>
      <c r="AG1843">
        <v>0</v>
      </c>
      <c r="AH1843">
        <v>0</v>
      </c>
      <c r="AI1843">
        <v>0</v>
      </c>
      <c r="AJ1843">
        <v>0</v>
      </c>
      <c r="AK1843">
        <v>0</v>
      </c>
      <c r="AL1843">
        <v>0</v>
      </c>
      <c r="AM1843">
        <v>27.88</v>
      </c>
      <c r="AN1843">
        <v>0</v>
      </c>
      <c r="AO1843">
        <v>0</v>
      </c>
      <c r="AP1843">
        <v>0</v>
      </c>
      <c r="AQ1843">
        <v>0</v>
      </c>
      <c r="AR1843">
        <v>0</v>
      </c>
      <c r="AS1843">
        <v>0</v>
      </c>
      <c r="AT1843">
        <v>0</v>
      </c>
      <c r="AU1843">
        <v>0</v>
      </c>
      <c r="AV1843">
        <v>0</v>
      </c>
      <c r="AW1843">
        <v>0</v>
      </c>
      <c r="AX1843">
        <v>0</v>
      </c>
      <c r="AY1843">
        <v>0</v>
      </c>
      <c r="AZ1843">
        <v>0</v>
      </c>
      <c r="BA1843">
        <v>0</v>
      </c>
      <c r="BB1843">
        <v>0</v>
      </c>
      <c r="BC1843">
        <v>0</v>
      </c>
      <c r="BD1843">
        <v>0</v>
      </c>
      <c r="BE1843">
        <v>0</v>
      </c>
      <c r="BF1843">
        <v>0</v>
      </c>
      <c r="BG1843">
        <v>0</v>
      </c>
      <c r="BH1843">
        <v>1</v>
      </c>
      <c r="BI1843">
        <v>6.1</v>
      </c>
      <c r="BJ1843">
        <v>6</v>
      </c>
      <c r="BK1843">
        <v>6.5</v>
      </c>
      <c r="BL1843" s="4">
        <v>163.89</v>
      </c>
      <c r="BM1843" s="4">
        <v>24.58</v>
      </c>
      <c r="BN1843" s="4">
        <v>188.47</v>
      </c>
      <c r="BO1843" s="4">
        <v>188.47</v>
      </c>
      <c r="BQ1843" t="s">
        <v>93</v>
      </c>
      <c r="BR1843" t="s">
        <v>84</v>
      </c>
      <c r="BS1843" s="3">
        <v>43818</v>
      </c>
      <c r="BT1843" s="5">
        <v>0.40138888888888885</v>
      </c>
      <c r="BU1843" t="s">
        <v>2198</v>
      </c>
      <c r="BV1843" t="s">
        <v>86</v>
      </c>
      <c r="BY1843">
        <v>29844.92</v>
      </c>
      <c r="CA1843" t="s">
        <v>419</v>
      </c>
      <c r="CC1843" t="s">
        <v>80</v>
      </c>
      <c r="CD1843">
        <v>6001</v>
      </c>
      <c r="CE1843" t="s">
        <v>116</v>
      </c>
      <c r="CF1843" s="3">
        <v>43819</v>
      </c>
      <c r="CI1843">
        <v>1</v>
      </c>
      <c r="CJ1843">
        <v>1</v>
      </c>
      <c r="CK1843">
        <v>21</v>
      </c>
      <c r="CL1843" t="s">
        <v>89</v>
      </c>
    </row>
    <row r="1844" spans="1:90">
      <c r="A1844" t="s">
        <v>72</v>
      </c>
      <c r="B1844" t="s">
        <v>73</v>
      </c>
      <c r="C1844" t="s">
        <v>74</v>
      </c>
      <c r="E1844" t="str">
        <f>"FES1162729020"</f>
        <v>FES1162729020</v>
      </c>
      <c r="F1844" s="3">
        <v>43817</v>
      </c>
      <c r="G1844">
        <v>202006</v>
      </c>
      <c r="H1844" t="s">
        <v>75</v>
      </c>
      <c r="I1844" t="s">
        <v>76</v>
      </c>
      <c r="J1844" t="s">
        <v>77</v>
      </c>
      <c r="K1844" t="s">
        <v>78</v>
      </c>
      <c r="L1844" t="s">
        <v>1880</v>
      </c>
      <c r="M1844" t="s">
        <v>1881</v>
      </c>
      <c r="N1844" t="s">
        <v>2199</v>
      </c>
      <c r="O1844" t="s">
        <v>82</v>
      </c>
      <c r="P1844" t="str">
        <f>"217072217                     "</f>
        <v xml:space="preserve">217072217                     </v>
      </c>
      <c r="Q1844">
        <v>0</v>
      </c>
      <c r="R1844">
        <v>0</v>
      </c>
      <c r="S1844">
        <v>0</v>
      </c>
      <c r="T1844">
        <v>0</v>
      </c>
      <c r="U1844">
        <v>0</v>
      </c>
      <c r="V1844">
        <v>0</v>
      </c>
      <c r="W1844">
        <v>0</v>
      </c>
      <c r="X1844">
        <v>0</v>
      </c>
      <c r="Y1844">
        <v>0</v>
      </c>
      <c r="Z1844">
        <v>0</v>
      </c>
      <c r="AA1844">
        <v>0</v>
      </c>
      <c r="AB1844">
        <v>0</v>
      </c>
      <c r="AC1844">
        <v>0</v>
      </c>
      <c r="AD1844">
        <v>0</v>
      </c>
      <c r="AE1844">
        <v>0</v>
      </c>
      <c r="AF1844">
        <v>0</v>
      </c>
      <c r="AG1844">
        <v>0</v>
      </c>
      <c r="AH1844">
        <v>0</v>
      </c>
      <c r="AI1844">
        <v>0</v>
      </c>
      <c r="AJ1844">
        <v>0</v>
      </c>
      <c r="AK1844">
        <v>0</v>
      </c>
      <c r="AL1844">
        <v>0</v>
      </c>
      <c r="AM1844">
        <v>17.16</v>
      </c>
      <c r="AN1844">
        <v>0</v>
      </c>
      <c r="AO1844">
        <v>0</v>
      </c>
      <c r="AP1844">
        <v>0</v>
      </c>
      <c r="AQ1844">
        <v>0</v>
      </c>
      <c r="AR1844">
        <v>0</v>
      </c>
      <c r="AS1844">
        <v>0</v>
      </c>
      <c r="AT1844">
        <v>0</v>
      </c>
      <c r="AU1844">
        <v>0</v>
      </c>
      <c r="AV1844">
        <v>0</v>
      </c>
      <c r="AW1844">
        <v>0</v>
      </c>
      <c r="AX1844">
        <v>0</v>
      </c>
      <c r="AY1844">
        <v>0</v>
      </c>
      <c r="AZ1844">
        <v>0</v>
      </c>
      <c r="BA1844">
        <v>0</v>
      </c>
      <c r="BB1844">
        <v>0</v>
      </c>
      <c r="BC1844">
        <v>0</v>
      </c>
      <c r="BD1844">
        <v>0</v>
      </c>
      <c r="BE1844">
        <v>0</v>
      </c>
      <c r="BF1844">
        <v>0</v>
      </c>
      <c r="BG1844">
        <v>0</v>
      </c>
      <c r="BH1844">
        <v>1</v>
      </c>
      <c r="BI1844">
        <v>1.6</v>
      </c>
      <c r="BJ1844">
        <v>3.7</v>
      </c>
      <c r="BK1844">
        <v>4</v>
      </c>
      <c r="BL1844" s="4">
        <v>100.87</v>
      </c>
      <c r="BM1844" s="4">
        <v>15.13</v>
      </c>
      <c r="BN1844" s="4">
        <v>116</v>
      </c>
      <c r="BO1844" s="4">
        <v>116</v>
      </c>
      <c r="BQ1844" t="s">
        <v>135</v>
      </c>
      <c r="BR1844" t="s">
        <v>84</v>
      </c>
      <c r="BS1844" s="3">
        <v>43818</v>
      </c>
      <c r="BT1844" s="5">
        <v>0.44861111111111113</v>
      </c>
      <c r="BU1844" t="s">
        <v>2200</v>
      </c>
      <c r="BV1844" t="s">
        <v>86</v>
      </c>
      <c r="BY1844">
        <v>18464.27</v>
      </c>
      <c r="CA1844" t="s">
        <v>2201</v>
      </c>
      <c r="CC1844" t="s">
        <v>1881</v>
      </c>
      <c r="CD1844">
        <v>3310</v>
      </c>
      <c r="CE1844" t="s">
        <v>116</v>
      </c>
      <c r="CF1844" s="3">
        <v>43819</v>
      </c>
      <c r="CI1844">
        <v>1</v>
      </c>
      <c r="CJ1844">
        <v>1</v>
      </c>
      <c r="CK1844">
        <v>21</v>
      </c>
      <c r="CL1844" t="s">
        <v>89</v>
      </c>
    </row>
    <row r="1845" spans="1:90">
      <c r="A1845" t="s">
        <v>72</v>
      </c>
      <c r="B1845" t="s">
        <v>73</v>
      </c>
      <c r="C1845" t="s">
        <v>74</v>
      </c>
      <c r="E1845" t="str">
        <f>"FES1162728780"</f>
        <v>FES1162728780</v>
      </c>
      <c r="F1845" s="3">
        <v>43817</v>
      </c>
      <c r="G1845">
        <v>202006</v>
      </c>
      <c r="H1845" t="s">
        <v>75</v>
      </c>
      <c r="I1845" t="s">
        <v>76</v>
      </c>
      <c r="J1845" t="s">
        <v>77</v>
      </c>
      <c r="K1845" t="s">
        <v>78</v>
      </c>
      <c r="L1845" t="s">
        <v>79</v>
      </c>
      <c r="M1845" t="s">
        <v>80</v>
      </c>
      <c r="N1845" t="s">
        <v>129</v>
      </c>
      <c r="O1845" t="s">
        <v>82</v>
      </c>
      <c r="P1845" t="str">
        <f>"2170721793                    "</f>
        <v xml:space="preserve">2170721793                    </v>
      </c>
      <c r="Q1845">
        <v>0</v>
      </c>
      <c r="R1845">
        <v>0</v>
      </c>
      <c r="S1845">
        <v>0</v>
      </c>
      <c r="T1845">
        <v>0</v>
      </c>
      <c r="U1845">
        <v>0</v>
      </c>
      <c r="V1845">
        <v>0</v>
      </c>
      <c r="W1845">
        <v>0</v>
      </c>
      <c r="X1845">
        <v>0</v>
      </c>
      <c r="Y1845">
        <v>0</v>
      </c>
      <c r="Z1845">
        <v>0</v>
      </c>
      <c r="AA1845">
        <v>0</v>
      </c>
      <c r="AB1845">
        <v>0</v>
      </c>
      <c r="AC1845">
        <v>0</v>
      </c>
      <c r="AD1845">
        <v>0</v>
      </c>
      <c r="AE1845">
        <v>0</v>
      </c>
      <c r="AF1845">
        <v>0</v>
      </c>
      <c r="AG1845">
        <v>0</v>
      </c>
      <c r="AH1845">
        <v>0</v>
      </c>
      <c r="AI1845">
        <v>0</v>
      </c>
      <c r="AJ1845">
        <v>0</v>
      </c>
      <c r="AK1845">
        <v>0</v>
      </c>
      <c r="AL1845">
        <v>0</v>
      </c>
      <c r="AM1845">
        <v>75.06</v>
      </c>
      <c r="AN1845">
        <v>0</v>
      </c>
      <c r="AO1845">
        <v>0</v>
      </c>
      <c r="AP1845">
        <v>0</v>
      </c>
      <c r="AQ1845">
        <v>0</v>
      </c>
      <c r="AR1845">
        <v>0</v>
      </c>
      <c r="AS1845">
        <v>0</v>
      </c>
      <c r="AT1845">
        <v>0</v>
      </c>
      <c r="AU1845">
        <v>0</v>
      </c>
      <c r="AV1845">
        <v>0</v>
      </c>
      <c r="AW1845">
        <v>0</v>
      </c>
      <c r="AX1845">
        <v>0</v>
      </c>
      <c r="AY1845">
        <v>0</v>
      </c>
      <c r="AZ1845">
        <v>0</v>
      </c>
      <c r="BA1845">
        <v>0</v>
      </c>
      <c r="BB1845">
        <v>0</v>
      </c>
      <c r="BC1845">
        <v>0</v>
      </c>
      <c r="BD1845">
        <v>0</v>
      </c>
      <c r="BE1845">
        <v>0</v>
      </c>
      <c r="BF1845">
        <v>0</v>
      </c>
      <c r="BG1845">
        <v>0</v>
      </c>
      <c r="BH1845">
        <v>1</v>
      </c>
      <c r="BI1845">
        <v>17.3</v>
      </c>
      <c r="BJ1845">
        <v>16.8</v>
      </c>
      <c r="BK1845">
        <v>17.5</v>
      </c>
      <c r="BL1845" s="4">
        <v>441.19</v>
      </c>
      <c r="BM1845" s="4">
        <v>66.180000000000007</v>
      </c>
      <c r="BN1845" s="4">
        <v>507.37</v>
      </c>
      <c r="BO1845" s="4">
        <v>507.37</v>
      </c>
      <c r="BQ1845" t="s">
        <v>147</v>
      </c>
      <c r="BR1845" t="s">
        <v>84</v>
      </c>
      <c r="BS1845" s="3">
        <v>43818</v>
      </c>
      <c r="BT1845" s="5">
        <v>0.38680555555555557</v>
      </c>
      <c r="BU1845" t="s">
        <v>2202</v>
      </c>
      <c r="BV1845" t="s">
        <v>86</v>
      </c>
      <c r="BY1845">
        <v>84052.08</v>
      </c>
      <c r="CA1845" t="s">
        <v>131</v>
      </c>
      <c r="CC1845" t="s">
        <v>80</v>
      </c>
      <c r="CD1845">
        <v>6001</v>
      </c>
      <c r="CE1845" t="s">
        <v>96</v>
      </c>
      <c r="CF1845" s="3">
        <v>43819</v>
      </c>
      <c r="CI1845">
        <v>1</v>
      </c>
      <c r="CJ1845">
        <v>1</v>
      </c>
      <c r="CK1845">
        <v>21</v>
      </c>
      <c r="CL1845" t="s">
        <v>89</v>
      </c>
    </row>
    <row r="1846" spans="1:90">
      <c r="A1846" t="s">
        <v>72</v>
      </c>
      <c r="B1846" t="s">
        <v>73</v>
      </c>
      <c r="C1846" t="s">
        <v>74</v>
      </c>
      <c r="E1846" t="str">
        <f>"FES1162728999"</f>
        <v>FES1162728999</v>
      </c>
      <c r="F1846" s="3">
        <v>43817</v>
      </c>
      <c r="G1846">
        <v>202006</v>
      </c>
      <c r="H1846" t="s">
        <v>75</v>
      </c>
      <c r="I1846" t="s">
        <v>76</v>
      </c>
      <c r="J1846" t="s">
        <v>77</v>
      </c>
      <c r="K1846" t="s">
        <v>78</v>
      </c>
      <c r="L1846" t="s">
        <v>90</v>
      </c>
      <c r="M1846" t="s">
        <v>91</v>
      </c>
      <c r="N1846" t="s">
        <v>900</v>
      </c>
      <c r="O1846" t="s">
        <v>82</v>
      </c>
      <c r="P1846" t="str">
        <f>"2170722112                    "</f>
        <v xml:space="preserve">2170722112                    </v>
      </c>
      <c r="Q1846">
        <v>0</v>
      </c>
      <c r="R1846">
        <v>0</v>
      </c>
      <c r="S1846">
        <v>0</v>
      </c>
      <c r="T1846">
        <v>0</v>
      </c>
      <c r="U1846">
        <v>0</v>
      </c>
      <c r="V1846">
        <v>0</v>
      </c>
      <c r="W1846">
        <v>0</v>
      </c>
      <c r="X1846">
        <v>0</v>
      </c>
      <c r="Y1846">
        <v>0</v>
      </c>
      <c r="Z1846">
        <v>0</v>
      </c>
      <c r="AA1846">
        <v>0</v>
      </c>
      <c r="AB1846">
        <v>0</v>
      </c>
      <c r="AC1846">
        <v>0</v>
      </c>
      <c r="AD1846">
        <v>0</v>
      </c>
      <c r="AE1846">
        <v>0</v>
      </c>
      <c r="AF1846">
        <v>0</v>
      </c>
      <c r="AG1846">
        <v>0</v>
      </c>
      <c r="AH1846">
        <v>0</v>
      </c>
      <c r="AI1846">
        <v>0</v>
      </c>
      <c r="AJ1846">
        <v>0</v>
      </c>
      <c r="AK1846">
        <v>0</v>
      </c>
      <c r="AL1846">
        <v>0</v>
      </c>
      <c r="AM1846">
        <v>8.58</v>
      </c>
      <c r="AN1846">
        <v>0</v>
      </c>
      <c r="AO1846">
        <v>0</v>
      </c>
      <c r="AP1846">
        <v>0</v>
      </c>
      <c r="AQ1846">
        <v>0</v>
      </c>
      <c r="AR1846">
        <v>0</v>
      </c>
      <c r="AS1846">
        <v>0</v>
      </c>
      <c r="AT1846">
        <v>0</v>
      </c>
      <c r="AU1846">
        <v>0</v>
      </c>
      <c r="AV1846">
        <v>0</v>
      </c>
      <c r="AW1846">
        <v>0</v>
      </c>
      <c r="AX1846">
        <v>0</v>
      </c>
      <c r="AY1846">
        <v>0</v>
      </c>
      <c r="AZ1846">
        <v>0</v>
      </c>
      <c r="BA1846">
        <v>0</v>
      </c>
      <c r="BB1846">
        <v>0</v>
      </c>
      <c r="BC1846">
        <v>0</v>
      </c>
      <c r="BD1846">
        <v>0</v>
      </c>
      <c r="BE1846">
        <v>0</v>
      </c>
      <c r="BF1846">
        <v>0</v>
      </c>
      <c r="BG1846">
        <v>0</v>
      </c>
      <c r="BH1846">
        <v>1</v>
      </c>
      <c r="BI1846">
        <v>1</v>
      </c>
      <c r="BJ1846">
        <v>0.5</v>
      </c>
      <c r="BK1846">
        <v>1</v>
      </c>
      <c r="BL1846" s="4">
        <v>50.45</v>
      </c>
      <c r="BM1846" s="4">
        <v>7.57</v>
      </c>
      <c r="BN1846" s="4">
        <v>58.02</v>
      </c>
      <c r="BO1846" s="4">
        <v>58.02</v>
      </c>
      <c r="BQ1846" t="s">
        <v>93</v>
      </c>
      <c r="BR1846" t="s">
        <v>84</v>
      </c>
      <c r="BS1846" s="3">
        <v>43818</v>
      </c>
      <c r="BT1846" s="5">
        <v>0.41736111111111113</v>
      </c>
      <c r="BU1846" t="s">
        <v>2203</v>
      </c>
      <c r="BV1846" t="s">
        <v>86</v>
      </c>
      <c r="BY1846">
        <v>2400</v>
      </c>
      <c r="CA1846" t="s">
        <v>2204</v>
      </c>
      <c r="CC1846" t="s">
        <v>91</v>
      </c>
      <c r="CD1846">
        <v>7500</v>
      </c>
      <c r="CE1846" t="s">
        <v>116</v>
      </c>
      <c r="CF1846" s="3">
        <v>43819</v>
      </c>
      <c r="CI1846">
        <v>1</v>
      </c>
      <c r="CJ1846">
        <v>1</v>
      </c>
      <c r="CK1846">
        <v>21</v>
      </c>
      <c r="CL1846" t="s">
        <v>89</v>
      </c>
    </row>
    <row r="1847" spans="1:90">
      <c r="A1847" t="s">
        <v>72</v>
      </c>
      <c r="B1847" t="s">
        <v>73</v>
      </c>
      <c r="C1847" t="s">
        <v>74</v>
      </c>
      <c r="E1847" t="str">
        <f>"FES1162729011"</f>
        <v>FES1162729011</v>
      </c>
      <c r="F1847" s="3">
        <v>43817</v>
      </c>
      <c r="G1847">
        <v>202006</v>
      </c>
      <c r="H1847" t="s">
        <v>75</v>
      </c>
      <c r="I1847" t="s">
        <v>76</v>
      </c>
      <c r="J1847" t="s">
        <v>77</v>
      </c>
      <c r="K1847" t="s">
        <v>78</v>
      </c>
      <c r="L1847" t="s">
        <v>396</v>
      </c>
      <c r="M1847" t="s">
        <v>397</v>
      </c>
      <c r="N1847" t="s">
        <v>913</v>
      </c>
      <c r="O1847" t="s">
        <v>82</v>
      </c>
      <c r="P1847" t="str">
        <f>"2170721227                    "</f>
        <v xml:space="preserve">2170721227                    </v>
      </c>
      <c r="Q1847">
        <v>0</v>
      </c>
      <c r="R1847">
        <v>0</v>
      </c>
      <c r="S1847">
        <v>0</v>
      </c>
      <c r="T1847">
        <v>0</v>
      </c>
      <c r="U1847">
        <v>0</v>
      </c>
      <c r="V1847">
        <v>0</v>
      </c>
      <c r="W1847">
        <v>0</v>
      </c>
      <c r="X1847">
        <v>0</v>
      </c>
      <c r="Y1847">
        <v>0</v>
      </c>
      <c r="Z1847">
        <v>0</v>
      </c>
      <c r="AA1847">
        <v>0</v>
      </c>
      <c r="AB1847">
        <v>0</v>
      </c>
      <c r="AC1847">
        <v>0</v>
      </c>
      <c r="AD1847">
        <v>0</v>
      </c>
      <c r="AE1847">
        <v>0</v>
      </c>
      <c r="AF1847">
        <v>0</v>
      </c>
      <c r="AG1847">
        <v>0</v>
      </c>
      <c r="AH1847">
        <v>0</v>
      </c>
      <c r="AI1847">
        <v>0</v>
      </c>
      <c r="AJ1847">
        <v>0</v>
      </c>
      <c r="AK1847">
        <v>0</v>
      </c>
      <c r="AL1847">
        <v>0</v>
      </c>
      <c r="AM1847">
        <v>46.67</v>
      </c>
      <c r="AN1847">
        <v>0</v>
      </c>
      <c r="AO1847">
        <v>0</v>
      </c>
      <c r="AP1847">
        <v>0</v>
      </c>
      <c r="AQ1847">
        <v>0</v>
      </c>
      <c r="AR1847">
        <v>0</v>
      </c>
      <c r="AS1847">
        <v>0</v>
      </c>
      <c r="AT1847">
        <v>0</v>
      </c>
      <c r="AU1847">
        <v>0</v>
      </c>
      <c r="AV1847">
        <v>0</v>
      </c>
      <c r="AW1847">
        <v>0</v>
      </c>
      <c r="AX1847">
        <v>0</v>
      </c>
      <c r="AY1847">
        <v>0</v>
      </c>
      <c r="AZ1847">
        <v>0</v>
      </c>
      <c r="BA1847">
        <v>0</v>
      </c>
      <c r="BB1847">
        <v>0</v>
      </c>
      <c r="BC1847">
        <v>0</v>
      </c>
      <c r="BD1847">
        <v>0</v>
      </c>
      <c r="BE1847">
        <v>0</v>
      </c>
      <c r="BF1847">
        <v>0</v>
      </c>
      <c r="BG1847">
        <v>0</v>
      </c>
      <c r="BH1847">
        <v>1</v>
      </c>
      <c r="BI1847">
        <v>5.9</v>
      </c>
      <c r="BJ1847">
        <v>1.8</v>
      </c>
      <c r="BK1847">
        <v>6</v>
      </c>
      <c r="BL1847" s="4">
        <v>274.35000000000002</v>
      </c>
      <c r="BM1847" s="4">
        <v>41.15</v>
      </c>
      <c r="BN1847" s="4">
        <v>315.5</v>
      </c>
      <c r="BO1847" s="4">
        <v>315.5</v>
      </c>
      <c r="BQ1847" t="s">
        <v>147</v>
      </c>
      <c r="BR1847" t="s">
        <v>84</v>
      </c>
      <c r="BS1847" t="s">
        <v>717</v>
      </c>
      <c r="BY1847">
        <v>9137.36</v>
      </c>
      <c r="CC1847" t="s">
        <v>397</v>
      </c>
      <c r="CD1847">
        <v>7130</v>
      </c>
      <c r="CE1847" t="s">
        <v>116</v>
      </c>
      <c r="CI1847">
        <v>1</v>
      </c>
      <c r="CJ1847" t="s">
        <v>717</v>
      </c>
      <c r="CK1847">
        <v>23</v>
      </c>
      <c r="CL1847" t="s">
        <v>89</v>
      </c>
    </row>
    <row r="1848" spans="1:90">
      <c r="A1848" t="s">
        <v>72</v>
      </c>
      <c r="B1848" t="s">
        <v>73</v>
      </c>
      <c r="C1848" t="s">
        <v>74</v>
      </c>
      <c r="E1848" t="str">
        <f>"FES1162729001"</f>
        <v>FES1162729001</v>
      </c>
      <c r="F1848" s="3">
        <v>43817</v>
      </c>
      <c r="G1848">
        <v>202006</v>
      </c>
      <c r="H1848" t="s">
        <v>75</v>
      </c>
      <c r="I1848" t="s">
        <v>76</v>
      </c>
      <c r="J1848" t="s">
        <v>77</v>
      </c>
      <c r="K1848" t="s">
        <v>78</v>
      </c>
      <c r="L1848" t="s">
        <v>849</v>
      </c>
      <c r="M1848" t="s">
        <v>850</v>
      </c>
      <c r="N1848" t="s">
        <v>1974</v>
      </c>
      <c r="O1848" t="s">
        <v>82</v>
      </c>
      <c r="P1848" t="str">
        <f>"2170721486                    "</f>
        <v xml:space="preserve">2170721486                    </v>
      </c>
      <c r="Q1848">
        <v>0</v>
      </c>
      <c r="R1848">
        <v>0</v>
      </c>
      <c r="S1848">
        <v>0</v>
      </c>
      <c r="T1848">
        <v>0</v>
      </c>
      <c r="U1848">
        <v>0</v>
      </c>
      <c r="V1848">
        <v>0</v>
      </c>
      <c r="W1848">
        <v>0</v>
      </c>
      <c r="X1848">
        <v>0</v>
      </c>
      <c r="Y1848">
        <v>0</v>
      </c>
      <c r="Z1848">
        <v>0</v>
      </c>
      <c r="AA1848">
        <v>0</v>
      </c>
      <c r="AB1848">
        <v>0</v>
      </c>
      <c r="AC1848">
        <v>0</v>
      </c>
      <c r="AD1848">
        <v>0</v>
      </c>
      <c r="AE1848">
        <v>0</v>
      </c>
      <c r="AF1848">
        <v>0</v>
      </c>
      <c r="AG1848">
        <v>0</v>
      </c>
      <c r="AH1848">
        <v>0</v>
      </c>
      <c r="AI1848">
        <v>0</v>
      </c>
      <c r="AJ1848">
        <v>0</v>
      </c>
      <c r="AK1848">
        <v>0</v>
      </c>
      <c r="AL1848">
        <v>0</v>
      </c>
      <c r="AM1848">
        <v>30.03</v>
      </c>
      <c r="AN1848">
        <v>0</v>
      </c>
      <c r="AO1848">
        <v>0</v>
      </c>
      <c r="AP1848">
        <v>0</v>
      </c>
      <c r="AQ1848">
        <v>0</v>
      </c>
      <c r="AR1848">
        <v>0</v>
      </c>
      <c r="AS1848">
        <v>0</v>
      </c>
      <c r="AT1848">
        <v>0</v>
      </c>
      <c r="AU1848">
        <v>0</v>
      </c>
      <c r="AV1848">
        <v>0</v>
      </c>
      <c r="AW1848">
        <v>0</v>
      </c>
      <c r="AX1848">
        <v>0</v>
      </c>
      <c r="AY1848">
        <v>0</v>
      </c>
      <c r="AZ1848">
        <v>0</v>
      </c>
      <c r="BA1848">
        <v>0</v>
      </c>
      <c r="BB1848">
        <v>0</v>
      </c>
      <c r="BC1848">
        <v>0</v>
      </c>
      <c r="BD1848">
        <v>0</v>
      </c>
      <c r="BE1848">
        <v>0</v>
      </c>
      <c r="BF1848">
        <v>0</v>
      </c>
      <c r="BG1848">
        <v>0</v>
      </c>
      <c r="BH1848">
        <v>1</v>
      </c>
      <c r="BI1848">
        <v>7</v>
      </c>
      <c r="BJ1848">
        <v>2.4</v>
      </c>
      <c r="BK1848">
        <v>7</v>
      </c>
      <c r="BL1848" s="4">
        <v>176.5</v>
      </c>
      <c r="BM1848" s="4">
        <v>26.48</v>
      </c>
      <c r="BN1848" s="4">
        <v>202.98</v>
      </c>
      <c r="BO1848" s="4">
        <v>202.98</v>
      </c>
      <c r="BQ1848" t="s">
        <v>277</v>
      </c>
      <c r="BR1848" t="s">
        <v>84</v>
      </c>
      <c r="BS1848" s="3">
        <v>43818</v>
      </c>
      <c r="BT1848" s="5">
        <v>0.4694444444444445</v>
      </c>
      <c r="BU1848" t="s">
        <v>1975</v>
      </c>
      <c r="BV1848" t="s">
        <v>86</v>
      </c>
      <c r="BY1848">
        <v>12026.08</v>
      </c>
      <c r="CA1848" t="s">
        <v>1026</v>
      </c>
      <c r="CC1848" t="s">
        <v>850</v>
      </c>
      <c r="CD1848">
        <v>3290</v>
      </c>
      <c r="CE1848" t="s">
        <v>116</v>
      </c>
      <c r="CF1848" s="3">
        <v>43819</v>
      </c>
      <c r="CI1848">
        <v>1</v>
      </c>
      <c r="CJ1848">
        <v>1</v>
      </c>
      <c r="CK1848">
        <v>21</v>
      </c>
      <c r="CL1848" t="s">
        <v>89</v>
      </c>
    </row>
    <row r="1849" spans="1:90">
      <c r="A1849" t="s">
        <v>72</v>
      </c>
      <c r="B1849" t="s">
        <v>73</v>
      </c>
      <c r="C1849" t="s">
        <v>74</v>
      </c>
      <c r="E1849" t="str">
        <f>"FES1162728790"</f>
        <v>FES1162728790</v>
      </c>
      <c r="F1849" s="3">
        <v>43817</v>
      </c>
      <c r="G1849">
        <v>202006</v>
      </c>
      <c r="H1849" t="s">
        <v>75</v>
      </c>
      <c r="I1849" t="s">
        <v>76</v>
      </c>
      <c r="J1849" t="s">
        <v>77</v>
      </c>
      <c r="K1849" t="s">
        <v>78</v>
      </c>
      <c r="L1849" t="s">
        <v>213</v>
      </c>
      <c r="M1849" t="s">
        <v>214</v>
      </c>
      <c r="N1849" t="s">
        <v>303</v>
      </c>
      <c r="O1849" t="s">
        <v>82</v>
      </c>
      <c r="P1849" t="str">
        <f>"2170719594                    "</f>
        <v xml:space="preserve">2170719594                    </v>
      </c>
      <c r="Q1849">
        <v>0</v>
      </c>
      <c r="R1849">
        <v>0</v>
      </c>
      <c r="S1849">
        <v>0</v>
      </c>
      <c r="T1849">
        <v>0</v>
      </c>
      <c r="U1849">
        <v>0</v>
      </c>
      <c r="V1849">
        <v>0</v>
      </c>
      <c r="W1849">
        <v>0</v>
      </c>
      <c r="X1849">
        <v>0</v>
      </c>
      <c r="Y1849">
        <v>0</v>
      </c>
      <c r="Z1849">
        <v>0</v>
      </c>
      <c r="AA1849">
        <v>0</v>
      </c>
      <c r="AB1849">
        <v>0</v>
      </c>
      <c r="AC1849">
        <v>0</v>
      </c>
      <c r="AD1849">
        <v>0</v>
      </c>
      <c r="AE1849">
        <v>0</v>
      </c>
      <c r="AF1849">
        <v>0</v>
      </c>
      <c r="AG1849">
        <v>0</v>
      </c>
      <c r="AH1849">
        <v>0</v>
      </c>
      <c r="AI1849">
        <v>0</v>
      </c>
      <c r="AJ1849">
        <v>0</v>
      </c>
      <c r="AK1849">
        <v>0</v>
      </c>
      <c r="AL1849">
        <v>0</v>
      </c>
      <c r="AM1849">
        <v>21.45</v>
      </c>
      <c r="AN1849">
        <v>0</v>
      </c>
      <c r="AO1849">
        <v>0</v>
      </c>
      <c r="AP1849">
        <v>0</v>
      </c>
      <c r="AQ1849">
        <v>0</v>
      </c>
      <c r="AR1849">
        <v>0</v>
      </c>
      <c r="AS1849">
        <v>0</v>
      </c>
      <c r="AT1849">
        <v>0</v>
      </c>
      <c r="AU1849">
        <v>0</v>
      </c>
      <c r="AV1849">
        <v>0</v>
      </c>
      <c r="AW1849">
        <v>0</v>
      </c>
      <c r="AX1849">
        <v>0</v>
      </c>
      <c r="AY1849">
        <v>0</v>
      </c>
      <c r="AZ1849">
        <v>0</v>
      </c>
      <c r="BA1849">
        <v>0</v>
      </c>
      <c r="BB1849">
        <v>0</v>
      </c>
      <c r="BC1849">
        <v>0</v>
      </c>
      <c r="BD1849">
        <v>0</v>
      </c>
      <c r="BE1849">
        <v>0</v>
      </c>
      <c r="BF1849">
        <v>0</v>
      </c>
      <c r="BG1849">
        <v>0</v>
      </c>
      <c r="BH1849">
        <v>1</v>
      </c>
      <c r="BI1849">
        <v>5</v>
      </c>
      <c r="BJ1849">
        <v>3.9</v>
      </c>
      <c r="BK1849">
        <v>5</v>
      </c>
      <c r="BL1849" s="4">
        <v>126.08</v>
      </c>
      <c r="BM1849" s="4">
        <v>18.91</v>
      </c>
      <c r="BN1849" s="4">
        <v>144.99</v>
      </c>
      <c r="BO1849" s="4">
        <v>144.99</v>
      </c>
      <c r="BQ1849" t="s">
        <v>147</v>
      </c>
      <c r="BR1849" t="s">
        <v>84</v>
      </c>
      <c r="BS1849" s="3">
        <v>43818</v>
      </c>
      <c r="BT1849" s="5">
        <v>0.3298611111111111</v>
      </c>
      <c r="BU1849" t="s">
        <v>2153</v>
      </c>
      <c r="BV1849" t="s">
        <v>86</v>
      </c>
      <c r="BY1849">
        <v>19628.830000000002</v>
      </c>
      <c r="CA1849" t="s">
        <v>99</v>
      </c>
      <c r="CC1849" t="s">
        <v>214</v>
      </c>
      <c r="CD1849">
        <v>6230</v>
      </c>
      <c r="CE1849" t="s">
        <v>116</v>
      </c>
      <c r="CF1849" s="3">
        <v>43819</v>
      </c>
      <c r="CI1849">
        <v>1</v>
      </c>
      <c r="CJ1849">
        <v>1</v>
      </c>
      <c r="CK1849">
        <v>21</v>
      </c>
      <c r="CL1849" t="s">
        <v>89</v>
      </c>
    </row>
    <row r="1850" spans="1:90">
      <c r="A1850" t="s">
        <v>72</v>
      </c>
      <c r="B1850" t="s">
        <v>73</v>
      </c>
      <c r="C1850" t="s">
        <v>74</v>
      </c>
      <c r="E1850" t="str">
        <f>"FES1162728984"</f>
        <v>FES1162728984</v>
      </c>
      <c r="F1850" s="3">
        <v>43817</v>
      </c>
      <c r="G1850">
        <v>202006</v>
      </c>
      <c r="H1850" t="s">
        <v>75</v>
      </c>
      <c r="I1850" t="s">
        <v>76</v>
      </c>
      <c r="J1850" t="s">
        <v>77</v>
      </c>
      <c r="K1850" t="s">
        <v>78</v>
      </c>
      <c r="L1850" t="s">
        <v>361</v>
      </c>
      <c r="M1850" t="s">
        <v>362</v>
      </c>
      <c r="N1850" t="s">
        <v>363</v>
      </c>
      <c r="O1850" t="s">
        <v>82</v>
      </c>
      <c r="P1850" t="str">
        <f>"2170722095                    "</f>
        <v xml:space="preserve">2170722095                    </v>
      </c>
      <c r="Q1850">
        <v>0</v>
      </c>
      <c r="R1850">
        <v>0</v>
      </c>
      <c r="S1850">
        <v>0</v>
      </c>
      <c r="T1850">
        <v>0</v>
      </c>
      <c r="U1850">
        <v>0</v>
      </c>
      <c r="V1850">
        <v>0</v>
      </c>
      <c r="W1850">
        <v>0</v>
      </c>
      <c r="X1850">
        <v>0</v>
      </c>
      <c r="Y1850">
        <v>0</v>
      </c>
      <c r="Z1850">
        <v>0</v>
      </c>
      <c r="AA1850">
        <v>0</v>
      </c>
      <c r="AB1850">
        <v>0</v>
      </c>
      <c r="AC1850">
        <v>0</v>
      </c>
      <c r="AD1850">
        <v>0</v>
      </c>
      <c r="AE1850">
        <v>0</v>
      </c>
      <c r="AF1850">
        <v>0</v>
      </c>
      <c r="AG1850">
        <v>0</v>
      </c>
      <c r="AH1850">
        <v>0</v>
      </c>
      <c r="AI1850">
        <v>0</v>
      </c>
      <c r="AJ1850">
        <v>0</v>
      </c>
      <c r="AK1850">
        <v>0</v>
      </c>
      <c r="AL1850">
        <v>0</v>
      </c>
      <c r="AM1850">
        <v>55.76</v>
      </c>
      <c r="AN1850">
        <v>0</v>
      </c>
      <c r="AO1850">
        <v>0</v>
      </c>
      <c r="AP1850">
        <v>0</v>
      </c>
      <c r="AQ1850">
        <v>0</v>
      </c>
      <c r="AR1850">
        <v>0</v>
      </c>
      <c r="AS1850">
        <v>0</v>
      </c>
      <c r="AT1850">
        <v>0</v>
      </c>
      <c r="AU1850">
        <v>0</v>
      </c>
      <c r="AV1850">
        <v>0</v>
      </c>
      <c r="AW1850">
        <v>0</v>
      </c>
      <c r="AX1850">
        <v>0</v>
      </c>
      <c r="AY1850">
        <v>0</v>
      </c>
      <c r="AZ1850">
        <v>0</v>
      </c>
      <c r="BA1850">
        <v>0</v>
      </c>
      <c r="BB1850">
        <v>0</v>
      </c>
      <c r="BC1850">
        <v>0</v>
      </c>
      <c r="BD1850">
        <v>0</v>
      </c>
      <c r="BE1850">
        <v>0</v>
      </c>
      <c r="BF1850">
        <v>0</v>
      </c>
      <c r="BG1850">
        <v>0</v>
      </c>
      <c r="BH1850">
        <v>1</v>
      </c>
      <c r="BI1850">
        <v>13</v>
      </c>
      <c r="BJ1850">
        <v>9.1</v>
      </c>
      <c r="BK1850">
        <v>13</v>
      </c>
      <c r="BL1850" s="4">
        <v>327.75</v>
      </c>
      <c r="BM1850" s="4">
        <v>49.16</v>
      </c>
      <c r="BN1850" s="4">
        <v>376.91</v>
      </c>
      <c r="BO1850" s="4">
        <v>376.91</v>
      </c>
      <c r="BQ1850" t="s">
        <v>93</v>
      </c>
      <c r="BR1850" t="s">
        <v>84</v>
      </c>
      <c r="BS1850" s="3">
        <v>43818</v>
      </c>
      <c r="BT1850" s="5">
        <v>0.40972222222222227</v>
      </c>
      <c r="BU1850" t="s">
        <v>364</v>
      </c>
      <c r="BV1850" t="s">
        <v>86</v>
      </c>
      <c r="BY1850">
        <v>45632</v>
      </c>
      <c r="CA1850" t="s">
        <v>185</v>
      </c>
      <c r="CC1850" t="s">
        <v>362</v>
      </c>
      <c r="CD1850">
        <v>6220</v>
      </c>
      <c r="CE1850" t="s">
        <v>96</v>
      </c>
      <c r="CF1850" s="3">
        <v>43819</v>
      </c>
      <c r="CI1850">
        <v>1</v>
      </c>
      <c r="CJ1850">
        <v>1</v>
      </c>
      <c r="CK1850">
        <v>21</v>
      </c>
      <c r="CL1850" t="s">
        <v>89</v>
      </c>
    </row>
    <row r="1851" spans="1:90">
      <c r="A1851" t="s">
        <v>72</v>
      </c>
      <c r="B1851" t="s">
        <v>73</v>
      </c>
      <c r="C1851" t="s">
        <v>74</v>
      </c>
      <c r="E1851" t="str">
        <f>"FES1162728751"</f>
        <v>FES1162728751</v>
      </c>
      <c r="F1851" s="3">
        <v>43817</v>
      </c>
      <c r="G1851">
        <v>202006</v>
      </c>
      <c r="H1851" t="s">
        <v>75</v>
      </c>
      <c r="I1851" t="s">
        <v>76</v>
      </c>
      <c r="J1851" t="s">
        <v>77</v>
      </c>
      <c r="K1851" t="s">
        <v>78</v>
      </c>
      <c r="L1851" t="s">
        <v>169</v>
      </c>
      <c r="M1851" t="s">
        <v>170</v>
      </c>
      <c r="N1851" t="s">
        <v>1754</v>
      </c>
      <c r="O1851" t="s">
        <v>82</v>
      </c>
      <c r="P1851" t="str">
        <f>"2170721944                    "</f>
        <v xml:space="preserve">2170721944                    </v>
      </c>
      <c r="Q1851">
        <v>0</v>
      </c>
      <c r="R1851">
        <v>0</v>
      </c>
      <c r="S1851">
        <v>0</v>
      </c>
      <c r="T1851">
        <v>0</v>
      </c>
      <c r="U1851">
        <v>0</v>
      </c>
      <c r="V1851">
        <v>0</v>
      </c>
      <c r="W1851">
        <v>0</v>
      </c>
      <c r="X1851">
        <v>0</v>
      </c>
      <c r="Y1851">
        <v>0</v>
      </c>
      <c r="Z1851">
        <v>0</v>
      </c>
      <c r="AA1851">
        <v>0</v>
      </c>
      <c r="AB1851">
        <v>0</v>
      </c>
      <c r="AC1851">
        <v>0</v>
      </c>
      <c r="AD1851">
        <v>0</v>
      </c>
      <c r="AE1851">
        <v>0</v>
      </c>
      <c r="AF1851">
        <v>0</v>
      </c>
      <c r="AG1851">
        <v>0</v>
      </c>
      <c r="AH1851">
        <v>0</v>
      </c>
      <c r="AI1851">
        <v>0</v>
      </c>
      <c r="AJ1851">
        <v>0</v>
      </c>
      <c r="AK1851">
        <v>0</v>
      </c>
      <c r="AL1851">
        <v>0</v>
      </c>
      <c r="AM1851">
        <v>7.51</v>
      </c>
      <c r="AN1851">
        <v>0</v>
      </c>
      <c r="AO1851">
        <v>0</v>
      </c>
      <c r="AP1851">
        <v>0</v>
      </c>
      <c r="AQ1851">
        <v>0</v>
      </c>
      <c r="AR1851">
        <v>0</v>
      </c>
      <c r="AS1851">
        <v>0</v>
      </c>
      <c r="AT1851">
        <v>0</v>
      </c>
      <c r="AU1851">
        <v>0</v>
      </c>
      <c r="AV1851">
        <v>0</v>
      </c>
      <c r="AW1851">
        <v>0</v>
      </c>
      <c r="AX1851">
        <v>0</v>
      </c>
      <c r="AY1851">
        <v>0</v>
      </c>
      <c r="AZ1851">
        <v>0</v>
      </c>
      <c r="BA1851">
        <v>0</v>
      </c>
      <c r="BB1851">
        <v>0</v>
      </c>
      <c r="BC1851">
        <v>0</v>
      </c>
      <c r="BD1851">
        <v>0</v>
      </c>
      <c r="BE1851">
        <v>0</v>
      </c>
      <c r="BF1851">
        <v>0</v>
      </c>
      <c r="BG1851">
        <v>0</v>
      </c>
      <c r="BH1851">
        <v>1</v>
      </c>
      <c r="BI1851">
        <v>2.4</v>
      </c>
      <c r="BJ1851">
        <v>1.3</v>
      </c>
      <c r="BK1851">
        <v>2.5</v>
      </c>
      <c r="BL1851" s="4">
        <v>44.14</v>
      </c>
      <c r="BM1851" s="4">
        <v>6.62</v>
      </c>
      <c r="BN1851" s="4">
        <v>50.76</v>
      </c>
      <c r="BO1851" s="4">
        <v>50.76</v>
      </c>
      <c r="BQ1851" t="s">
        <v>147</v>
      </c>
      <c r="BR1851" t="s">
        <v>84</v>
      </c>
      <c r="BS1851" s="3">
        <v>43818</v>
      </c>
      <c r="BT1851" s="5">
        <v>0.28611111111111115</v>
      </c>
      <c r="BU1851" t="s">
        <v>1154</v>
      </c>
      <c r="BV1851" t="s">
        <v>86</v>
      </c>
      <c r="BY1851">
        <v>6373.99</v>
      </c>
      <c r="CA1851" t="s">
        <v>174</v>
      </c>
      <c r="CC1851" t="s">
        <v>170</v>
      </c>
      <c r="CD1851">
        <v>1459</v>
      </c>
      <c r="CE1851" t="s">
        <v>96</v>
      </c>
      <c r="CF1851" s="3">
        <v>43819</v>
      </c>
      <c r="CI1851">
        <v>1</v>
      </c>
      <c r="CJ1851">
        <v>1</v>
      </c>
      <c r="CK1851">
        <v>22</v>
      </c>
      <c r="CL1851" t="s">
        <v>89</v>
      </c>
    </row>
    <row r="1852" spans="1:90">
      <c r="A1852" t="s">
        <v>72</v>
      </c>
      <c r="B1852" t="s">
        <v>73</v>
      </c>
      <c r="C1852" t="s">
        <v>74</v>
      </c>
      <c r="E1852" t="str">
        <f>"FES1162728957"</f>
        <v>FES1162728957</v>
      </c>
      <c r="F1852" s="3">
        <v>43817</v>
      </c>
      <c r="G1852">
        <v>202006</v>
      </c>
      <c r="H1852" t="s">
        <v>75</v>
      </c>
      <c r="I1852" t="s">
        <v>76</v>
      </c>
      <c r="J1852" t="s">
        <v>77</v>
      </c>
      <c r="K1852" t="s">
        <v>78</v>
      </c>
      <c r="L1852" t="s">
        <v>79</v>
      </c>
      <c r="M1852" t="s">
        <v>80</v>
      </c>
      <c r="N1852" t="s">
        <v>81</v>
      </c>
      <c r="O1852" t="s">
        <v>82</v>
      </c>
      <c r="P1852" t="str">
        <f>"2170721564                    "</f>
        <v xml:space="preserve">2170721564                    </v>
      </c>
      <c r="Q1852">
        <v>0</v>
      </c>
      <c r="R1852">
        <v>0</v>
      </c>
      <c r="S1852">
        <v>0</v>
      </c>
      <c r="T1852">
        <v>0</v>
      </c>
      <c r="U1852">
        <v>0</v>
      </c>
      <c r="V1852">
        <v>0</v>
      </c>
      <c r="W1852">
        <v>0</v>
      </c>
      <c r="X1852">
        <v>0</v>
      </c>
      <c r="Y1852">
        <v>0</v>
      </c>
      <c r="Z1852">
        <v>0</v>
      </c>
      <c r="AA1852">
        <v>0</v>
      </c>
      <c r="AB1852">
        <v>0</v>
      </c>
      <c r="AC1852">
        <v>0</v>
      </c>
      <c r="AD1852">
        <v>0</v>
      </c>
      <c r="AE1852">
        <v>0</v>
      </c>
      <c r="AF1852">
        <v>0</v>
      </c>
      <c r="AG1852">
        <v>0</v>
      </c>
      <c r="AH1852">
        <v>0</v>
      </c>
      <c r="AI1852">
        <v>0</v>
      </c>
      <c r="AJ1852">
        <v>0</v>
      </c>
      <c r="AK1852">
        <v>0</v>
      </c>
      <c r="AL1852">
        <v>0</v>
      </c>
      <c r="AM1852">
        <v>38.6</v>
      </c>
      <c r="AN1852">
        <v>0</v>
      </c>
      <c r="AO1852">
        <v>0</v>
      </c>
      <c r="AP1852">
        <v>0</v>
      </c>
      <c r="AQ1852">
        <v>0</v>
      </c>
      <c r="AR1852">
        <v>0</v>
      </c>
      <c r="AS1852">
        <v>0</v>
      </c>
      <c r="AT1852">
        <v>0</v>
      </c>
      <c r="AU1852">
        <v>0</v>
      </c>
      <c r="AV1852">
        <v>0</v>
      </c>
      <c r="AW1852">
        <v>0</v>
      </c>
      <c r="AX1852">
        <v>0</v>
      </c>
      <c r="AY1852">
        <v>0</v>
      </c>
      <c r="AZ1852">
        <v>0</v>
      </c>
      <c r="BA1852">
        <v>0</v>
      </c>
      <c r="BB1852">
        <v>0</v>
      </c>
      <c r="BC1852">
        <v>0</v>
      </c>
      <c r="BD1852">
        <v>0</v>
      </c>
      <c r="BE1852">
        <v>0</v>
      </c>
      <c r="BF1852">
        <v>0</v>
      </c>
      <c r="BG1852">
        <v>0</v>
      </c>
      <c r="BH1852">
        <v>1</v>
      </c>
      <c r="BI1852">
        <v>3.6</v>
      </c>
      <c r="BJ1852">
        <v>8.9</v>
      </c>
      <c r="BK1852">
        <v>9</v>
      </c>
      <c r="BL1852" s="4">
        <v>226.91</v>
      </c>
      <c r="BM1852" s="4">
        <v>34.04</v>
      </c>
      <c r="BN1852" s="4">
        <v>260.95</v>
      </c>
      <c r="BO1852" s="4">
        <v>260.95</v>
      </c>
      <c r="BQ1852" t="s">
        <v>83</v>
      </c>
      <c r="BR1852" t="s">
        <v>84</v>
      </c>
      <c r="BS1852" s="3">
        <v>43818</v>
      </c>
      <c r="BT1852" s="5">
        <v>0.41944444444444445</v>
      </c>
      <c r="BU1852" t="s">
        <v>679</v>
      </c>
      <c r="BV1852" t="s">
        <v>86</v>
      </c>
      <c r="BY1852">
        <v>44635.5</v>
      </c>
      <c r="CA1852" t="s">
        <v>1562</v>
      </c>
      <c r="CC1852" t="s">
        <v>80</v>
      </c>
      <c r="CD1852">
        <v>6045</v>
      </c>
      <c r="CE1852" t="s">
        <v>116</v>
      </c>
      <c r="CF1852" s="3">
        <v>43819</v>
      </c>
      <c r="CI1852">
        <v>1</v>
      </c>
      <c r="CJ1852">
        <v>1</v>
      </c>
      <c r="CK1852">
        <v>21</v>
      </c>
      <c r="CL1852" t="s">
        <v>89</v>
      </c>
    </row>
    <row r="1853" spans="1:90">
      <c r="A1853" t="s">
        <v>72</v>
      </c>
      <c r="B1853" t="s">
        <v>73</v>
      </c>
      <c r="C1853" t="s">
        <v>74</v>
      </c>
      <c r="E1853" t="str">
        <f>"FES1162728755"</f>
        <v>FES1162728755</v>
      </c>
      <c r="F1853" s="3">
        <v>43817</v>
      </c>
      <c r="G1853">
        <v>202006</v>
      </c>
      <c r="H1853" t="s">
        <v>75</v>
      </c>
      <c r="I1853" t="s">
        <v>76</v>
      </c>
      <c r="J1853" t="s">
        <v>77</v>
      </c>
      <c r="K1853" t="s">
        <v>78</v>
      </c>
      <c r="L1853" t="s">
        <v>79</v>
      </c>
      <c r="M1853" t="s">
        <v>80</v>
      </c>
      <c r="N1853" t="s">
        <v>1101</v>
      </c>
      <c r="O1853" t="s">
        <v>82</v>
      </c>
      <c r="P1853" t="str">
        <f>"2170721949                    "</f>
        <v xml:space="preserve">2170721949                    </v>
      </c>
      <c r="Q1853">
        <v>0</v>
      </c>
      <c r="R1853">
        <v>0</v>
      </c>
      <c r="S1853">
        <v>0</v>
      </c>
      <c r="T1853">
        <v>0</v>
      </c>
      <c r="U1853">
        <v>0</v>
      </c>
      <c r="V1853">
        <v>0</v>
      </c>
      <c r="W1853">
        <v>0</v>
      </c>
      <c r="X1853">
        <v>0</v>
      </c>
      <c r="Y1853">
        <v>0</v>
      </c>
      <c r="Z1853">
        <v>0</v>
      </c>
      <c r="AA1853">
        <v>0</v>
      </c>
      <c r="AB1853">
        <v>0</v>
      </c>
      <c r="AC1853">
        <v>0</v>
      </c>
      <c r="AD1853">
        <v>0</v>
      </c>
      <c r="AE1853">
        <v>0</v>
      </c>
      <c r="AF1853">
        <v>0</v>
      </c>
      <c r="AG1853">
        <v>0</v>
      </c>
      <c r="AH1853">
        <v>0</v>
      </c>
      <c r="AI1853">
        <v>0</v>
      </c>
      <c r="AJ1853">
        <v>0</v>
      </c>
      <c r="AK1853">
        <v>0</v>
      </c>
      <c r="AL1853">
        <v>0</v>
      </c>
      <c r="AM1853">
        <v>12.87</v>
      </c>
      <c r="AN1853">
        <v>0</v>
      </c>
      <c r="AO1853">
        <v>0</v>
      </c>
      <c r="AP1853">
        <v>0</v>
      </c>
      <c r="AQ1853">
        <v>0</v>
      </c>
      <c r="AR1853">
        <v>0</v>
      </c>
      <c r="AS1853">
        <v>0</v>
      </c>
      <c r="AT1853">
        <v>0</v>
      </c>
      <c r="AU1853">
        <v>0</v>
      </c>
      <c r="AV1853">
        <v>0</v>
      </c>
      <c r="AW1853">
        <v>0</v>
      </c>
      <c r="AX1853">
        <v>0</v>
      </c>
      <c r="AY1853">
        <v>0</v>
      </c>
      <c r="AZ1853">
        <v>0</v>
      </c>
      <c r="BA1853">
        <v>0</v>
      </c>
      <c r="BB1853">
        <v>0</v>
      </c>
      <c r="BC1853">
        <v>0</v>
      </c>
      <c r="BD1853">
        <v>0</v>
      </c>
      <c r="BE1853">
        <v>0</v>
      </c>
      <c r="BF1853">
        <v>0</v>
      </c>
      <c r="BG1853">
        <v>0</v>
      </c>
      <c r="BH1853">
        <v>1</v>
      </c>
      <c r="BI1853">
        <v>1</v>
      </c>
      <c r="BJ1853">
        <v>2.6</v>
      </c>
      <c r="BK1853">
        <v>3</v>
      </c>
      <c r="BL1853" s="4">
        <v>75.66</v>
      </c>
      <c r="BM1853" s="4">
        <v>11.35</v>
      </c>
      <c r="BN1853" s="4">
        <v>87.01</v>
      </c>
      <c r="BO1853" s="4">
        <v>87.01</v>
      </c>
      <c r="BQ1853" t="s">
        <v>147</v>
      </c>
      <c r="BR1853" t="s">
        <v>84</v>
      </c>
      <c r="BS1853" s="3">
        <v>43818</v>
      </c>
      <c r="BT1853" s="5">
        <v>0.39930555555555558</v>
      </c>
      <c r="BU1853" t="s">
        <v>2158</v>
      </c>
      <c r="BV1853" t="s">
        <v>86</v>
      </c>
      <c r="BY1853">
        <v>12900.47</v>
      </c>
      <c r="CA1853" t="s">
        <v>419</v>
      </c>
      <c r="CC1853" t="s">
        <v>80</v>
      </c>
      <c r="CD1853">
        <v>6001</v>
      </c>
      <c r="CE1853" t="s">
        <v>116</v>
      </c>
      <c r="CF1853" s="3">
        <v>43819</v>
      </c>
      <c r="CI1853">
        <v>1</v>
      </c>
      <c r="CJ1853">
        <v>1</v>
      </c>
      <c r="CK1853">
        <v>21</v>
      </c>
      <c r="CL1853" t="s">
        <v>89</v>
      </c>
    </row>
    <row r="1854" spans="1:90">
      <c r="A1854" t="s">
        <v>72</v>
      </c>
      <c r="B1854" t="s">
        <v>73</v>
      </c>
      <c r="C1854" t="s">
        <v>74</v>
      </c>
      <c r="E1854" t="str">
        <f>"FES1162728941"</f>
        <v>FES1162728941</v>
      </c>
      <c r="F1854" s="3">
        <v>43817</v>
      </c>
      <c r="G1854">
        <v>202006</v>
      </c>
      <c r="H1854" t="s">
        <v>75</v>
      </c>
      <c r="I1854" t="s">
        <v>76</v>
      </c>
      <c r="J1854" t="s">
        <v>77</v>
      </c>
      <c r="K1854" t="s">
        <v>78</v>
      </c>
      <c r="L1854" t="s">
        <v>1051</v>
      </c>
      <c r="M1854" t="s">
        <v>1052</v>
      </c>
      <c r="N1854" t="s">
        <v>2205</v>
      </c>
      <c r="O1854" t="s">
        <v>82</v>
      </c>
      <c r="P1854" t="str">
        <f>"2170722053                    "</f>
        <v xml:space="preserve">2170722053                    </v>
      </c>
      <c r="Q1854">
        <v>0</v>
      </c>
      <c r="R1854">
        <v>0</v>
      </c>
      <c r="S1854">
        <v>0</v>
      </c>
      <c r="T1854">
        <v>0</v>
      </c>
      <c r="U1854">
        <v>0</v>
      </c>
      <c r="V1854">
        <v>0</v>
      </c>
      <c r="W1854">
        <v>0</v>
      </c>
      <c r="X1854">
        <v>0</v>
      </c>
      <c r="Y1854">
        <v>0</v>
      </c>
      <c r="Z1854">
        <v>0</v>
      </c>
      <c r="AA1854">
        <v>0</v>
      </c>
      <c r="AB1854">
        <v>0</v>
      </c>
      <c r="AC1854">
        <v>0</v>
      </c>
      <c r="AD1854">
        <v>0</v>
      </c>
      <c r="AE1854">
        <v>0</v>
      </c>
      <c r="AF1854">
        <v>0</v>
      </c>
      <c r="AG1854">
        <v>0</v>
      </c>
      <c r="AH1854">
        <v>0</v>
      </c>
      <c r="AI1854">
        <v>0</v>
      </c>
      <c r="AJ1854">
        <v>0</v>
      </c>
      <c r="AK1854">
        <v>0</v>
      </c>
      <c r="AL1854">
        <v>0</v>
      </c>
      <c r="AM1854">
        <v>12.07</v>
      </c>
      <c r="AN1854">
        <v>0</v>
      </c>
      <c r="AO1854">
        <v>0</v>
      </c>
      <c r="AP1854">
        <v>0</v>
      </c>
      <c r="AQ1854">
        <v>0</v>
      </c>
      <c r="AR1854">
        <v>0</v>
      </c>
      <c r="AS1854">
        <v>0</v>
      </c>
      <c r="AT1854">
        <v>0</v>
      </c>
      <c r="AU1854">
        <v>0</v>
      </c>
      <c r="AV1854">
        <v>0</v>
      </c>
      <c r="AW1854">
        <v>0</v>
      </c>
      <c r="AX1854">
        <v>0</v>
      </c>
      <c r="AY1854">
        <v>0</v>
      </c>
      <c r="AZ1854">
        <v>0</v>
      </c>
      <c r="BA1854">
        <v>0</v>
      </c>
      <c r="BB1854">
        <v>0</v>
      </c>
      <c r="BC1854">
        <v>0</v>
      </c>
      <c r="BD1854">
        <v>0</v>
      </c>
      <c r="BE1854">
        <v>0</v>
      </c>
      <c r="BF1854">
        <v>0</v>
      </c>
      <c r="BG1854">
        <v>0</v>
      </c>
      <c r="BH1854">
        <v>1</v>
      </c>
      <c r="BI1854">
        <v>1</v>
      </c>
      <c r="BJ1854">
        <v>0.2</v>
      </c>
      <c r="BK1854">
        <v>1</v>
      </c>
      <c r="BL1854" s="4">
        <v>70.95</v>
      </c>
      <c r="BM1854" s="4">
        <v>10.64</v>
      </c>
      <c r="BN1854" s="4">
        <v>81.59</v>
      </c>
      <c r="BO1854" s="4">
        <v>81.59</v>
      </c>
      <c r="BR1854" t="s">
        <v>84</v>
      </c>
      <c r="BS1854" s="3">
        <v>43818</v>
      </c>
      <c r="BT1854" s="5">
        <v>0.36527777777777781</v>
      </c>
      <c r="BU1854" t="s">
        <v>2206</v>
      </c>
      <c r="BV1854" t="s">
        <v>86</v>
      </c>
      <c r="BY1854">
        <v>1200</v>
      </c>
      <c r="CA1854" t="s">
        <v>1397</v>
      </c>
      <c r="CC1854" t="s">
        <v>1052</v>
      </c>
      <c r="CD1854">
        <v>1739</v>
      </c>
      <c r="CE1854" t="s">
        <v>88</v>
      </c>
      <c r="CF1854" s="3">
        <v>43819</v>
      </c>
      <c r="CI1854">
        <v>1</v>
      </c>
      <c r="CJ1854">
        <v>1</v>
      </c>
      <c r="CK1854">
        <v>24</v>
      </c>
      <c r="CL1854" t="s">
        <v>89</v>
      </c>
    </row>
    <row r="1855" spans="1:90">
      <c r="A1855" t="s">
        <v>72</v>
      </c>
      <c r="B1855" t="s">
        <v>73</v>
      </c>
      <c r="C1855" t="s">
        <v>74</v>
      </c>
      <c r="E1855" t="str">
        <f>"FES1162728910"</f>
        <v>FES1162728910</v>
      </c>
      <c r="F1855" s="3">
        <v>43817</v>
      </c>
      <c r="G1855">
        <v>202006</v>
      </c>
      <c r="H1855" t="s">
        <v>75</v>
      </c>
      <c r="I1855" t="s">
        <v>76</v>
      </c>
      <c r="J1855" t="s">
        <v>77</v>
      </c>
      <c r="K1855" t="s">
        <v>78</v>
      </c>
      <c r="L1855" t="s">
        <v>164</v>
      </c>
      <c r="M1855" t="s">
        <v>165</v>
      </c>
      <c r="N1855" t="s">
        <v>263</v>
      </c>
      <c r="O1855" t="s">
        <v>82</v>
      </c>
      <c r="P1855" t="str">
        <f>"2170721876                    "</f>
        <v xml:space="preserve">2170721876                    </v>
      </c>
      <c r="Q1855">
        <v>0</v>
      </c>
      <c r="R1855">
        <v>0</v>
      </c>
      <c r="S1855">
        <v>0</v>
      </c>
      <c r="T1855">
        <v>0</v>
      </c>
      <c r="U1855">
        <v>0</v>
      </c>
      <c r="V1855">
        <v>0</v>
      </c>
      <c r="W1855">
        <v>0</v>
      </c>
      <c r="X1855">
        <v>0</v>
      </c>
      <c r="Y1855">
        <v>0</v>
      </c>
      <c r="Z1855">
        <v>0</v>
      </c>
      <c r="AA1855">
        <v>0</v>
      </c>
      <c r="AB1855">
        <v>0</v>
      </c>
      <c r="AC1855">
        <v>0</v>
      </c>
      <c r="AD1855">
        <v>0</v>
      </c>
      <c r="AE1855">
        <v>0</v>
      </c>
      <c r="AF1855">
        <v>0</v>
      </c>
      <c r="AG1855">
        <v>0</v>
      </c>
      <c r="AH1855">
        <v>0</v>
      </c>
      <c r="AI1855">
        <v>0</v>
      </c>
      <c r="AJ1855">
        <v>0</v>
      </c>
      <c r="AK1855">
        <v>0</v>
      </c>
      <c r="AL1855">
        <v>0</v>
      </c>
      <c r="AM1855">
        <v>8.58</v>
      </c>
      <c r="AN1855">
        <v>0</v>
      </c>
      <c r="AO1855">
        <v>0</v>
      </c>
      <c r="AP1855">
        <v>0</v>
      </c>
      <c r="AQ1855">
        <v>0</v>
      </c>
      <c r="AR1855">
        <v>0</v>
      </c>
      <c r="AS1855">
        <v>0</v>
      </c>
      <c r="AT1855">
        <v>0</v>
      </c>
      <c r="AU1855">
        <v>0</v>
      </c>
      <c r="AV1855">
        <v>0</v>
      </c>
      <c r="AW1855">
        <v>0</v>
      </c>
      <c r="AX1855">
        <v>0</v>
      </c>
      <c r="AY1855">
        <v>0</v>
      </c>
      <c r="AZ1855">
        <v>0</v>
      </c>
      <c r="BA1855">
        <v>0</v>
      </c>
      <c r="BB1855">
        <v>0</v>
      </c>
      <c r="BC1855">
        <v>0</v>
      </c>
      <c r="BD1855">
        <v>0</v>
      </c>
      <c r="BE1855">
        <v>0</v>
      </c>
      <c r="BF1855">
        <v>0</v>
      </c>
      <c r="BG1855">
        <v>0</v>
      </c>
      <c r="BH1855">
        <v>1</v>
      </c>
      <c r="BI1855">
        <v>1</v>
      </c>
      <c r="BJ1855">
        <v>0.2</v>
      </c>
      <c r="BK1855">
        <v>1</v>
      </c>
      <c r="BL1855" s="4">
        <v>50.45</v>
      </c>
      <c r="BM1855" s="4">
        <v>7.57</v>
      </c>
      <c r="BN1855" s="4">
        <v>58.02</v>
      </c>
      <c r="BO1855" s="4">
        <v>58.02</v>
      </c>
      <c r="BQ1855" t="s">
        <v>147</v>
      </c>
      <c r="BR1855" t="s">
        <v>84</v>
      </c>
      <c r="BS1855" s="3">
        <v>43818</v>
      </c>
      <c r="BT1855" s="5">
        <v>0.41250000000000003</v>
      </c>
      <c r="BU1855" t="s">
        <v>1827</v>
      </c>
      <c r="BV1855" t="s">
        <v>86</v>
      </c>
      <c r="BY1855">
        <v>1200</v>
      </c>
      <c r="CA1855" t="s">
        <v>371</v>
      </c>
      <c r="CC1855" t="s">
        <v>165</v>
      </c>
      <c r="CD1855">
        <v>5201</v>
      </c>
      <c r="CE1855" t="s">
        <v>88</v>
      </c>
      <c r="CF1855" s="3">
        <v>43822</v>
      </c>
      <c r="CI1855">
        <v>1</v>
      </c>
      <c r="CJ1855">
        <v>1</v>
      </c>
      <c r="CK1855">
        <v>21</v>
      </c>
      <c r="CL1855" t="s">
        <v>89</v>
      </c>
    </row>
    <row r="1856" spans="1:90">
      <c r="A1856" t="s">
        <v>72</v>
      </c>
      <c r="B1856" t="s">
        <v>73</v>
      </c>
      <c r="C1856" t="s">
        <v>74</v>
      </c>
      <c r="E1856" t="str">
        <f>"FES1162728974"</f>
        <v>FES1162728974</v>
      </c>
      <c r="F1856" s="3">
        <v>43817</v>
      </c>
      <c r="G1856">
        <v>202006</v>
      </c>
      <c r="H1856" t="s">
        <v>75</v>
      </c>
      <c r="I1856" t="s">
        <v>76</v>
      </c>
      <c r="J1856" t="s">
        <v>77</v>
      </c>
      <c r="K1856" t="s">
        <v>78</v>
      </c>
      <c r="L1856" t="s">
        <v>79</v>
      </c>
      <c r="M1856" t="s">
        <v>80</v>
      </c>
      <c r="N1856" t="s">
        <v>129</v>
      </c>
      <c r="O1856" t="s">
        <v>82</v>
      </c>
      <c r="P1856" t="str">
        <f>"2170722085                    "</f>
        <v xml:space="preserve">2170722085                    </v>
      </c>
      <c r="Q1856">
        <v>0</v>
      </c>
      <c r="R1856">
        <v>0</v>
      </c>
      <c r="S1856">
        <v>0</v>
      </c>
      <c r="T1856">
        <v>0</v>
      </c>
      <c r="U1856">
        <v>0</v>
      </c>
      <c r="V1856">
        <v>0</v>
      </c>
      <c r="W1856">
        <v>0</v>
      </c>
      <c r="X1856">
        <v>0</v>
      </c>
      <c r="Y1856">
        <v>0</v>
      </c>
      <c r="Z1856">
        <v>0</v>
      </c>
      <c r="AA1856">
        <v>0</v>
      </c>
      <c r="AB1856">
        <v>0</v>
      </c>
      <c r="AC1856">
        <v>0</v>
      </c>
      <c r="AD1856">
        <v>0</v>
      </c>
      <c r="AE1856">
        <v>0</v>
      </c>
      <c r="AF1856">
        <v>0</v>
      </c>
      <c r="AG1856">
        <v>0</v>
      </c>
      <c r="AH1856">
        <v>0</v>
      </c>
      <c r="AI1856">
        <v>0</v>
      </c>
      <c r="AJ1856">
        <v>0</v>
      </c>
      <c r="AK1856">
        <v>0</v>
      </c>
      <c r="AL1856">
        <v>0</v>
      </c>
      <c r="AM1856">
        <v>8.58</v>
      </c>
      <c r="AN1856">
        <v>0</v>
      </c>
      <c r="AO1856">
        <v>0</v>
      </c>
      <c r="AP1856">
        <v>0</v>
      </c>
      <c r="AQ1856">
        <v>0</v>
      </c>
      <c r="AR1856">
        <v>0</v>
      </c>
      <c r="AS1856">
        <v>0</v>
      </c>
      <c r="AT1856">
        <v>0</v>
      </c>
      <c r="AU1856">
        <v>0</v>
      </c>
      <c r="AV1856">
        <v>0</v>
      </c>
      <c r="AW1856">
        <v>0</v>
      </c>
      <c r="AX1856">
        <v>0</v>
      </c>
      <c r="AY1856">
        <v>0</v>
      </c>
      <c r="AZ1856">
        <v>0</v>
      </c>
      <c r="BA1856">
        <v>0</v>
      </c>
      <c r="BB1856">
        <v>0</v>
      </c>
      <c r="BC1856">
        <v>0</v>
      </c>
      <c r="BD1856">
        <v>0</v>
      </c>
      <c r="BE1856">
        <v>0</v>
      </c>
      <c r="BF1856">
        <v>0</v>
      </c>
      <c r="BG1856">
        <v>0</v>
      </c>
      <c r="BH1856">
        <v>1</v>
      </c>
      <c r="BI1856">
        <v>1</v>
      </c>
      <c r="BJ1856">
        <v>0.2</v>
      </c>
      <c r="BK1856">
        <v>1</v>
      </c>
      <c r="BL1856" s="4">
        <v>50.45</v>
      </c>
      <c r="BM1856" s="4">
        <v>7.57</v>
      </c>
      <c r="BN1856" s="4">
        <v>58.02</v>
      </c>
      <c r="BO1856" s="4">
        <v>58.02</v>
      </c>
      <c r="BQ1856" t="s">
        <v>147</v>
      </c>
      <c r="BR1856" t="s">
        <v>84</v>
      </c>
      <c r="BS1856" s="3">
        <v>43818</v>
      </c>
      <c r="BT1856" s="5">
        <v>0.38680555555555557</v>
      </c>
      <c r="BU1856" t="s">
        <v>130</v>
      </c>
      <c r="BV1856" t="s">
        <v>86</v>
      </c>
      <c r="BY1856">
        <v>1200</v>
      </c>
      <c r="CA1856" t="s">
        <v>131</v>
      </c>
      <c r="CC1856" t="s">
        <v>80</v>
      </c>
      <c r="CD1856">
        <v>6001</v>
      </c>
      <c r="CE1856" t="s">
        <v>88</v>
      </c>
      <c r="CF1856" s="3">
        <v>43819</v>
      </c>
      <c r="CI1856">
        <v>1</v>
      </c>
      <c r="CJ1856">
        <v>1</v>
      </c>
      <c r="CK1856">
        <v>21</v>
      </c>
      <c r="CL1856" t="s">
        <v>89</v>
      </c>
    </row>
    <row r="1857" spans="1:90">
      <c r="A1857" t="s">
        <v>72</v>
      </c>
      <c r="B1857" t="s">
        <v>73</v>
      </c>
      <c r="C1857" t="s">
        <v>74</v>
      </c>
      <c r="E1857" t="str">
        <f>"FES1162728885"</f>
        <v>FES1162728885</v>
      </c>
      <c r="F1857" s="3">
        <v>43817</v>
      </c>
      <c r="G1857">
        <v>202006</v>
      </c>
      <c r="H1857" t="s">
        <v>75</v>
      </c>
      <c r="I1857" t="s">
        <v>76</v>
      </c>
      <c r="J1857" t="s">
        <v>77</v>
      </c>
      <c r="K1857" t="s">
        <v>78</v>
      </c>
      <c r="L1857" t="s">
        <v>79</v>
      </c>
      <c r="M1857" t="s">
        <v>80</v>
      </c>
      <c r="N1857" t="s">
        <v>300</v>
      </c>
      <c r="O1857" t="s">
        <v>82</v>
      </c>
      <c r="P1857" t="str">
        <f>"2170719815                    "</f>
        <v xml:space="preserve">2170719815                    </v>
      </c>
      <c r="Q1857">
        <v>0</v>
      </c>
      <c r="R1857">
        <v>0</v>
      </c>
      <c r="S1857">
        <v>0</v>
      </c>
      <c r="T1857">
        <v>0</v>
      </c>
      <c r="U1857">
        <v>0</v>
      </c>
      <c r="V1857">
        <v>0</v>
      </c>
      <c r="W1857">
        <v>0</v>
      </c>
      <c r="X1857">
        <v>0</v>
      </c>
      <c r="Y1857">
        <v>0</v>
      </c>
      <c r="Z1857">
        <v>0</v>
      </c>
      <c r="AA1857">
        <v>0</v>
      </c>
      <c r="AB1857">
        <v>0</v>
      </c>
      <c r="AC1857">
        <v>0</v>
      </c>
      <c r="AD1857">
        <v>0</v>
      </c>
      <c r="AE1857">
        <v>0</v>
      </c>
      <c r="AF1857">
        <v>0</v>
      </c>
      <c r="AG1857">
        <v>0</v>
      </c>
      <c r="AH1857">
        <v>0</v>
      </c>
      <c r="AI1857">
        <v>0</v>
      </c>
      <c r="AJ1857">
        <v>0</v>
      </c>
      <c r="AK1857">
        <v>0</v>
      </c>
      <c r="AL1857">
        <v>0</v>
      </c>
      <c r="AM1857">
        <v>8.58</v>
      </c>
      <c r="AN1857">
        <v>0</v>
      </c>
      <c r="AO1857">
        <v>0</v>
      </c>
      <c r="AP1857">
        <v>0</v>
      </c>
      <c r="AQ1857">
        <v>0</v>
      </c>
      <c r="AR1857">
        <v>0</v>
      </c>
      <c r="AS1857">
        <v>0</v>
      </c>
      <c r="AT1857">
        <v>0</v>
      </c>
      <c r="AU1857">
        <v>0</v>
      </c>
      <c r="AV1857">
        <v>0</v>
      </c>
      <c r="AW1857">
        <v>0</v>
      </c>
      <c r="AX1857">
        <v>0</v>
      </c>
      <c r="AY1857">
        <v>0</v>
      </c>
      <c r="AZ1857">
        <v>0</v>
      </c>
      <c r="BA1857">
        <v>0</v>
      </c>
      <c r="BB1857">
        <v>0</v>
      </c>
      <c r="BC1857">
        <v>0</v>
      </c>
      <c r="BD1857">
        <v>0</v>
      </c>
      <c r="BE1857">
        <v>0</v>
      </c>
      <c r="BF1857">
        <v>0</v>
      </c>
      <c r="BG1857">
        <v>0</v>
      </c>
      <c r="BH1857">
        <v>1</v>
      </c>
      <c r="BI1857">
        <v>1</v>
      </c>
      <c r="BJ1857">
        <v>0.2</v>
      </c>
      <c r="BK1857">
        <v>1</v>
      </c>
      <c r="BL1857" s="4">
        <v>50.45</v>
      </c>
      <c r="BM1857" s="4">
        <v>7.57</v>
      </c>
      <c r="BN1857" s="4">
        <v>58.02</v>
      </c>
      <c r="BO1857" s="4">
        <v>58.02</v>
      </c>
      <c r="BQ1857" t="s">
        <v>147</v>
      </c>
      <c r="BR1857" t="s">
        <v>84</v>
      </c>
      <c r="BS1857" t="s">
        <v>717</v>
      </c>
      <c r="BY1857">
        <v>1200</v>
      </c>
      <c r="CC1857" t="s">
        <v>80</v>
      </c>
      <c r="CD1857">
        <v>6001</v>
      </c>
      <c r="CE1857" t="s">
        <v>88</v>
      </c>
      <c r="CI1857">
        <v>1</v>
      </c>
      <c r="CJ1857" t="s">
        <v>717</v>
      </c>
      <c r="CK1857">
        <v>21</v>
      </c>
      <c r="CL1857" t="s">
        <v>89</v>
      </c>
    </row>
    <row r="1858" spans="1:90">
      <c r="A1858" t="s">
        <v>72</v>
      </c>
      <c r="B1858" t="s">
        <v>73</v>
      </c>
      <c r="C1858" t="s">
        <v>74</v>
      </c>
      <c r="E1858" t="str">
        <f>"FES1162728945"</f>
        <v>FES1162728945</v>
      </c>
      <c r="F1858" s="3">
        <v>43817</v>
      </c>
      <c r="G1858">
        <v>202006</v>
      </c>
      <c r="H1858" t="s">
        <v>75</v>
      </c>
      <c r="I1858" t="s">
        <v>76</v>
      </c>
      <c r="J1858" t="s">
        <v>77</v>
      </c>
      <c r="K1858" t="s">
        <v>78</v>
      </c>
      <c r="L1858" t="s">
        <v>164</v>
      </c>
      <c r="M1858" t="s">
        <v>165</v>
      </c>
      <c r="N1858" t="s">
        <v>1747</v>
      </c>
      <c r="O1858" t="s">
        <v>82</v>
      </c>
      <c r="P1858" t="str">
        <f>"2170722057                    "</f>
        <v xml:space="preserve">2170722057                    </v>
      </c>
      <c r="Q1858">
        <v>0</v>
      </c>
      <c r="R1858">
        <v>0</v>
      </c>
      <c r="S1858">
        <v>0</v>
      </c>
      <c r="T1858">
        <v>0</v>
      </c>
      <c r="U1858">
        <v>0</v>
      </c>
      <c r="V1858">
        <v>0</v>
      </c>
      <c r="W1858">
        <v>0</v>
      </c>
      <c r="X1858">
        <v>0</v>
      </c>
      <c r="Y1858">
        <v>0</v>
      </c>
      <c r="Z1858">
        <v>0</v>
      </c>
      <c r="AA1858">
        <v>0</v>
      </c>
      <c r="AB1858">
        <v>0</v>
      </c>
      <c r="AC1858">
        <v>0</v>
      </c>
      <c r="AD1858">
        <v>0</v>
      </c>
      <c r="AE1858">
        <v>0</v>
      </c>
      <c r="AF1858">
        <v>0</v>
      </c>
      <c r="AG1858">
        <v>0</v>
      </c>
      <c r="AH1858">
        <v>0</v>
      </c>
      <c r="AI1858">
        <v>0</v>
      </c>
      <c r="AJ1858">
        <v>0</v>
      </c>
      <c r="AK1858">
        <v>0</v>
      </c>
      <c r="AL1858">
        <v>0</v>
      </c>
      <c r="AM1858">
        <v>8.58</v>
      </c>
      <c r="AN1858">
        <v>0</v>
      </c>
      <c r="AO1858">
        <v>0</v>
      </c>
      <c r="AP1858">
        <v>0</v>
      </c>
      <c r="AQ1858">
        <v>0</v>
      </c>
      <c r="AR1858">
        <v>0</v>
      </c>
      <c r="AS1858">
        <v>0</v>
      </c>
      <c r="AT1858">
        <v>0</v>
      </c>
      <c r="AU1858">
        <v>0</v>
      </c>
      <c r="AV1858">
        <v>0</v>
      </c>
      <c r="AW1858">
        <v>0</v>
      </c>
      <c r="AX1858">
        <v>0</v>
      </c>
      <c r="AY1858">
        <v>0</v>
      </c>
      <c r="AZ1858">
        <v>0</v>
      </c>
      <c r="BA1858">
        <v>0</v>
      </c>
      <c r="BB1858">
        <v>0</v>
      </c>
      <c r="BC1858">
        <v>0</v>
      </c>
      <c r="BD1858">
        <v>0</v>
      </c>
      <c r="BE1858">
        <v>0</v>
      </c>
      <c r="BF1858">
        <v>0</v>
      </c>
      <c r="BG1858">
        <v>0</v>
      </c>
      <c r="BH1858">
        <v>1</v>
      </c>
      <c r="BI1858">
        <v>1</v>
      </c>
      <c r="BJ1858">
        <v>0.2</v>
      </c>
      <c r="BK1858">
        <v>1</v>
      </c>
      <c r="BL1858" s="4">
        <v>50.45</v>
      </c>
      <c r="BM1858" s="4">
        <v>7.57</v>
      </c>
      <c r="BN1858" s="4">
        <v>58.02</v>
      </c>
      <c r="BO1858" s="4">
        <v>58.02</v>
      </c>
      <c r="BQ1858" t="s">
        <v>93</v>
      </c>
      <c r="BR1858" t="s">
        <v>84</v>
      </c>
      <c r="BS1858" s="3">
        <v>43818</v>
      </c>
      <c r="BT1858" s="5">
        <v>0.38263888888888892</v>
      </c>
      <c r="BU1858" t="s">
        <v>2207</v>
      </c>
      <c r="BV1858" t="s">
        <v>86</v>
      </c>
      <c r="BY1858">
        <v>1200</v>
      </c>
      <c r="CA1858" t="s">
        <v>168</v>
      </c>
      <c r="CC1858" t="s">
        <v>165</v>
      </c>
      <c r="CD1858">
        <v>5201</v>
      </c>
      <c r="CE1858" t="s">
        <v>88</v>
      </c>
      <c r="CF1858" s="3">
        <v>43822</v>
      </c>
      <c r="CI1858">
        <v>1</v>
      </c>
      <c r="CJ1858">
        <v>1</v>
      </c>
      <c r="CK1858">
        <v>21</v>
      </c>
      <c r="CL1858" t="s">
        <v>89</v>
      </c>
    </row>
    <row r="1859" spans="1:90">
      <c r="A1859" t="s">
        <v>72</v>
      </c>
      <c r="B1859" t="s">
        <v>73</v>
      </c>
      <c r="C1859" t="s">
        <v>74</v>
      </c>
      <c r="E1859" t="str">
        <f>"FES1162728842"</f>
        <v>FES1162728842</v>
      </c>
      <c r="F1859" s="3">
        <v>43817</v>
      </c>
      <c r="G1859">
        <v>202006</v>
      </c>
      <c r="H1859" t="s">
        <v>75</v>
      </c>
      <c r="I1859" t="s">
        <v>76</v>
      </c>
      <c r="J1859" t="s">
        <v>77</v>
      </c>
      <c r="K1859" t="s">
        <v>78</v>
      </c>
      <c r="L1859" t="s">
        <v>361</v>
      </c>
      <c r="M1859" t="s">
        <v>362</v>
      </c>
      <c r="N1859" t="s">
        <v>363</v>
      </c>
      <c r="O1859" t="s">
        <v>82</v>
      </c>
      <c r="P1859" t="str">
        <f>"2170720910                    "</f>
        <v xml:space="preserve">2170720910                    </v>
      </c>
      <c r="Q1859">
        <v>0</v>
      </c>
      <c r="R1859">
        <v>0</v>
      </c>
      <c r="S1859">
        <v>0</v>
      </c>
      <c r="T1859">
        <v>0</v>
      </c>
      <c r="U1859">
        <v>0</v>
      </c>
      <c r="V1859">
        <v>0</v>
      </c>
      <c r="W1859">
        <v>0</v>
      </c>
      <c r="X1859">
        <v>0</v>
      </c>
      <c r="Y1859">
        <v>0</v>
      </c>
      <c r="Z1859">
        <v>0</v>
      </c>
      <c r="AA1859">
        <v>0</v>
      </c>
      <c r="AB1859">
        <v>0</v>
      </c>
      <c r="AC1859">
        <v>0</v>
      </c>
      <c r="AD1859">
        <v>0</v>
      </c>
      <c r="AE1859">
        <v>0</v>
      </c>
      <c r="AF1859">
        <v>0</v>
      </c>
      <c r="AG1859">
        <v>0</v>
      </c>
      <c r="AH1859">
        <v>0</v>
      </c>
      <c r="AI1859">
        <v>0</v>
      </c>
      <c r="AJ1859">
        <v>0</v>
      </c>
      <c r="AK1859">
        <v>0</v>
      </c>
      <c r="AL1859">
        <v>0</v>
      </c>
      <c r="AM1859">
        <v>8.58</v>
      </c>
      <c r="AN1859">
        <v>0</v>
      </c>
      <c r="AO1859">
        <v>0</v>
      </c>
      <c r="AP1859">
        <v>0</v>
      </c>
      <c r="AQ1859">
        <v>0</v>
      </c>
      <c r="AR1859">
        <v>0</v>
      </c>
      <c r="AS1859">
        <v>0</v>
      </c>
      <c r="AT1859">
        <v>0</v>
      </c>
      <c r="AU1859">
        <v>0</v>
      </c>
      <c r="AV1859">
        <v>0</v>
      </c>
      <c r="AW1859">
        <v>0</v>
      </c>
      <c r="AX1859">
        <v>0</v>
      </c>
      <c r="AY1859">
        <v>0</v>
      </c>
      <c r="AZ1859">
        <v>0</v>
      </c>
      <c r="BA1859">
        <v>0</v>
      </c>
      <c r="BB1859">
        <v>0</v>
      </c>
      <c r="BC1859">
        <v>0</v>
      </c>
      <c r="BD1859">
        <v>0</v>
      </c>
      <c r="BE1859">
        <v>0</v>
      </c>
      <c r="BF1859">
        <v>0</v>
      </c>
      <c r="BG1859">
        <v>0</v>
      </c>
      <c r="BH1859">
        <v>1</v>
      </c>
      <c r="BI1859">
        <v>1</v>
      </c>
      <c r="BJ1859">
        <v>0.2</v>
      </c>
      <c r="BK1859">
        <v>1</v>
      </c>
      <c r="BL1859" s="4">
        <v>50.45</v>
      </c>
      <c r="BM1859" s="4">
        <v>7.57</v>
      </c>
      <c r="BN1859" s="4">
        <v>58.02</v>
      </c>
      <c r="BO1859" s="4">
        <v>58.02</v>
      </c>
      <c r="BQ1859" t="s">
        <v>93</v>
      </c>
      <c r="BR1859" t="s">
        <v>84</v>
      </c>
      <c r="BS1859" s="3">
        <v>43818</v>
      </c>
      <c r="BT1859" s="5">
        <v>0.40972222222222227</v>
      </c>
      <c r="BU1859" t="s">
        <v>364</v>
      </c>
      <c r="BV1859" t="s">
        <v>86</v>
      </c>
      <c r="BY1859">
        <v>1200</v>
      </c>
      <c r="CA1859" t="s">
        <v>185</v>
      </c>
      <c r="CC1859" t="s">
        <v>362</v>
      </c>
      <c r="CD1859">
        <v>6220</v>
      </c>
      <c r="CE1859" t="s">
        <v>88</v>
      </c>
      <c r="CF1859" s="3">
        <v>43819</v>
      </c>
      <c r="CI1859">
        <v>1</v>
      </c>
      <c r="CJ1859">
        <v>1</v>
      </c>
      <c r="CK1859">
        <v>21</v>
      </c>
      <c r="CL1859" t="s">
        <v>89</v>
      </c>
    </row>
    <row r="1860" spans="1:90">
      <c r="A1860" t="s">
        <v>72</v>
      </c>
      <c r="B1860" t="s">
        <v>73</v>
      </c>
      <c r="C1860" t="s">
        <v>74</v>
      </c>
      <c r="E1860" t="str">
        <f>"FES1162728962"</f>
        <v>FES1162728962</v>
      </c>
      <c r="F1860" s="3">
        <v>43817</v>
      </c>
      <c r="G1860">
        <v>202006</v>
      </c>
      <c r="H1860" t="s">
        <v>75</v>
      </c>
      <c r="I1860" t="s">
        <v>76</v>
      </c>
      <c r="J1860" t="s">
        <v>77</v>
      </c>
      <c r="K1860" t="s">
        <v>78</v>
      </c>
      <c r="L1860" t="s">
        <v>164</v>
      </c>
      <c r="M1860" t="s">
        <v>165</v>
      </c>
      <c r="N1860" t="s">
        <v>369</v>
      </c>
      <c r="O1860" t="s">
        <v>82</v>
      </c>
      <c r="P1860" t="str">
        <f>"2170721297                    "</f>
        <v xml:space="preserve">2170721297                    </v>
      </c>
      <c r="Q1860">
        <v>0</v>
      </c>
      <c r="R1860">
        <v>0</v>
      </c>
      <c r="S1860">
        <v>0</v>
      </c>
      <c r="T1860">
        <v>0</v>
      </c>
      <c r="U1860">
        <v>0</v>
      </c>
      <c r="V1860">
        <v>0</v>
      </c>
      <c r="W1860">
        <v>0</v>
      </c>
      <c r="X1860">
        <v>0</v>
      </c>
      <c r="Y1860">
        <v>0</v>
      </c>
      <c r="Z1860">
        <v>0</v>
      </c>
      <c r="AA1860">
        <v>0</v>
      </c>
      <c r="AB1860">
        <v>0</v>
      </c>
      <c r="AC1860">
        <v>0</v>
      </c>
      <c r="AD1860">
        <v>0</v>
      </c>
      <c r="AE1860">
        <v>0</v>
      </c>
      <c r="AF1860">
        <v>0</v>
      </c>
      <c r="AG1860">
        <v>0</v>
      </c>
      <c r="AH1860">
        <v>0</v>
      </c>
      <c r="AI1860">
        <v>0</v>
      </c>
      <c r="AJ1860">
        <v>0</v>
      </c>
      <c r="AK1860">
        <v>0</v>
      </c>
      <c r="AL1860">
        <v>0</v>
      </c>
      <c r="AM1860">
        <v>8.58</v>
      </c>
      <c r="AN1860">
        <v>0</v>
      </c>
      <c r="AO1860">
        <v>0</v>
      </c>
      <c r="AP1860">
        <v>0</v>
      </c>
      <c r="AQ1860">
        <v>0</v>
      </c>
      <c r="AR1860">
        <v>0</v>
      </c>
      <c r="AS1860">
        <v>0</v>
      </c>
      <c r="AT1860">
        <v>0</v>
      </c>
      <c r="AU1860">
        <v>0</v>
      </c>
      <c r="AV1860">
        <v>0</v>
      </c>
      <c r="AW1860">
        <v>0</v>
      </c>
      <c r="AX1860">
        <v>0</v>
      </c>
      <c r="AY1860">
        <v>0</v>
      </c>
      <c r="AZ1860">
        <v>0</v>
      </c>
      <c r="BA1860">
        <v>0</v>
      </c>
      <c r="BB1860">
        <v>0</v>
      </c>
      <c r="BC1860">
        <v>0</v>
      </c>
      <c r="BD1860">
        <v>0</v>
      </c>
      <c r="BE1860">
        <v>0</v>
      </c>
      <c r="BF1860">
        <v>0</v>
      </c>
      <c r="BG1860">
        <v>0</v>
      </c>
      <c r="BH1860">
        <v>1</v>
      </c>
      <c r="BI1860">
        <v>1</v>
      </c>
      <c r="BJ1860">
        <v>0.2</v>
      </c>
      <c r="BK1860">
        <v>1</v>
      </c>
      <c r="BL1860" s="4">
        <v>50.45</v>
      </c>
      <c r="BM1860" s="4">
        <v>7.57</v>
      </c>
      <c r="BN1860" s="4">
        <v>58.02</v>
      </c>
      <c r="BO1860" s="4">
        <v>58.02</v>
      </c>
      <c r="BQ1860" t="s">
        <v>93</v>
      </c>
      <c r="BR1860" t="s">
        <v>84</v>
      </c>
      <c r="BS1860" s="3">
        <v>43818</v>
      </c>
      <c r="BT1860" s="5">
        <v>0.40763888888888888</v>
      </c>
      <c r="BU1860" t="s">
        <v>1013</v>
      </c>
      <c r="BV1860" t="s">
        <v>86</v>
      </c>
      <c r="BY1860">
        <v>1200</v>
      </c>
      <c r="CA1860" t="s">
        <v>371</v>
      </c>
      <c r="CC1860" t="s">
        <v>165</v>
      </c>
      <c r="CD1860">
        <v>5201</v>
      </c>
      <c r="CE1860" t="s">
        <v>88</v>
      </c>
      <c r="CF1860" s="3">
        <v>43822</v>
      </c>
      <c r="CI1860">
        <v>1</v>
      </c>
      <c r="CJ1860">
        <v>1</v>
      </c>
      <c r="CK1860">
        <v>21</v>
      </c>
      <c r="CL1860" t="s">
        <v>89</v>
      </c>
    </row>
    <row r="1861" spans="1:90">
      <c r="A1861" t="s">
        <v>72</v>
      </c>
      <c r="B1861" t="s">
        <v>73</v>
      </c>
      <c r="C1861" t="s">
        <v>74</v>
      </c>
      <c r="E1861" t="str">
        <f>"FES1162728936"</f>
        <v>FES1162728936</v>
      </c>
      <c r="F1861" s="3">
        <v>43817</v>
      </c>
      <c r="G1861">
        <v>202006</v>
      </c>
      <c r="H1861" t="s">
        <v>75</v>
      </c>
      <c r="I1861" t="s">
        <v>76</v>
      </c>
      <c r="J1861" t="s">
        <v>77</v>
      </c>
      <c r="K1861" t="s">
        <v>78</v>
      </c>
      <c r="L1861" t="s">
        <v>79</v>
      </c>
      <c r="M1861" t="s">
        <v>80</v>
      </c>
      <c r="N1861" t="s">
        <v>1650</v>
      </c>
      <c r="O1861" t="s">
        <v>82</v>
      </c>
      <c r="P1861" t="str">
        <f>"2170722046                    "</f>
        <v xml:space="preserve">2170722046                    </v>
      </c>
      <c r="Q1861">
        <v>0</v>
      </c>
      <c r="R1861">
        <v>0</v>
      </c>
      <c r="S1861">
        <v>0</v>
      </c>
      <c r="T1861">
        <v>0</v>
      </c>
      <c r="U1861">
        <v>0</v>
      </c>
      <c r="V1861">
        <v>0</v>
      </c>
      <c r="W1861">
        <v>0</v>
      </c>
      <c r="X1861">
        <v>0</v>
      </c>
      <c r="Y1861">
        <v>0</v>
      </c>
      <c r="Z1861">
        <v>0</v>
      </c>
      <c r="AA1861">
        <v>0</v>
      </c>
      <c r="AB1861">
        <v>0</v>
      </c>
      <c r="AC1861">
        <v>0</v>
      </c>
      <c r="AD1861">
        <v>0</v>
      </c>
      <c r="AE1861">
        <v>0</v>
      </c>
      <c r="AF1861">
        <v>0</v>
      </c>
      <c r="AG1861">
        <v>0</v>
      </c>
      <c r="AH1861">
        <v>0</v>
      </c>
      <c r="AI1861">
        <v>0</v>
      </c>
      <c r="AJ1861">
        <v>0</v>
      </c>
      <c r="AK1861">
        <v>0</v>
      </c>
      <c r="AL1861">
        <v>0</v>
      </c>
      <c r="AM1861">
        <v>8.58</v>
      </c>
      <c r="AN1861">
        <v>0</v>
      </c>
      <c r="AO1861">
        <v>0</v>
      </c>
      <c r="AP1861">
        <v>0</v>
      </c>
      <c r="AQ1861">
        <v>0</v>
      </c>
      <c r="AR1861">
        <v>0</v>
      </c>
      <c r="AS1861">
        <v>0</v>
      </c>
      <c r="AT1861">
        <v>0</v>
      </c>
      <c r="AU1861">
        <v>0</v>
      </c>
      <c r="AV1861">
        <v>0</v>
      </c>
      <c r="AW1861">
        <v>0</v>
      </c>
      <c r="AX1861">
        <v>0</v>
      </c>
      <c r="AY1861">
        <v>0</v>
      </c>
      <c r="AZ1861">
        <v>0</v>
      </c>
      <c r="BA1861">
        <v>0</v>
      </c>
      <c r="BB1861">
        <v>0</v>
      </c>
      <c r="BC1861">
        <v>0</v>
      </c>
      <c r="BD1861">
        <v>0</v>
      </c>
      <c r="BE1861">
        <v>0</v>
      </c>
      <c r="BF1861">
        <v>0</v>
      </c>
      <c r="BG1861">
        <v>0</v>
      </c>
      <c r="BH1861">
        <v>1</v>
      </c>
      <c r="BI1861">
        <v>1</v>
      </c>
      <c r="BJ1861">
        <v>0.2</v>
      </c>
      <c r="BK1861">
        <v>1</v>
      </c>
      <c r="BL1861" s="4">
        <v>50.45</v>
      </c>
      <c r="BM1861" s="4">
        <v>7.57</v>
      </c>
      <c r="BN1861" s="4">
        <v>58.02</v>
      </c>
      <c r="BO1861" s="4">
        <v>58.02</v>
      </c>
      <c r="BQ1861" t="s">
        <v>135</v>
      </c>
      <c r="BR1861" t="s">
        <v>84</v>
      </c>
      <c r="BS1861" t="s">
        <v>717</v>
      </c>
      <c r="BW1861" t="s">
        <v>1335</v>
      </c>
      <c r="BX1861" t="s">
        <v>619</v>
      </c>
      <c r="BY1861">
        <v>1200</v>
      </c>
      <c r="CC1861" t="s">
        <v>80</v>
      </c>
      <c r="CD1861">
        <v>6012</v>
      </c>
      <c r="CE1861" t="s">
        <v>88</v>
      </c>
      <c r="CI1861">
        <v>1</v>
      </c>
      <c r="CJ1861" t="s">
        <v>717</v>
      </c>
      <c r="CK1861">
        <v>21</v>
      </c>
      <c r="CL1861" t="s">
        <v>89</v>
      </c>
    </row>
    <row r="1862" spans="1:90">
      <c r="A1862" t="s">
        <v>72</v>
      </c>
      <c r="B1862" t="s">
        <v>73</v>
      </c>
      <c r="C1862" t="s">
        <v>74</v>
      </c>
      <c r="E1862" t="str">
        <f>"FES1162728805"</f>
        <v>FES1162728805</v>
      </c>
      <c r="F1862" s="3">
        <v>43817</v>
      </c>
      <c r="G1862">
        <v>202006</v>
      </c>
      <c r="H1862" t="s">
        <v>75</v>
      </c>
      <c r="I1862" t="s">
        <v>76</v>
      </c>
      <c r="J1862" t="s">
        <v>77</v>
      </c>
      <c r="K1862" t="s">
        <v>78</v>
      </c>
      <c r="L1862" t="s">
        <v>213</v>
      </c>
      <c r="M1862" t="s">
        <v>214</v>
      </c>
      <c r="N1862" t="s">
        <v>303</v>
      </c>
      <c r="O1862" t="s">
        <v>82</v>
      </c>
      <c r="P1862" t="str">
        <f>"217071954                     "</f>
        <v xml:space="preserve">217071954                     </v>
      </c>
      <c r="Q1862">
        <v>0</v>
      </c>
      <c r="R1862">
        <v>0</v>
      </c>
      <c r="S1862">
        <v>0</v>
      </c>
      <c r="T1862">
        <v>0</v>
      </c>
      <c r="U1862">
        <v>0</v>
      </c>
      <c r="V1862">
        <v>0</v>
      </c>
      <c r="W1862">
        <v>0</v>
      </c>
      <c r="X1862">
        <v>0</v>
      </c>
      <c r="Y1862">
        <v>0</v>
      </c>
      <c r="Z1862">
        <v>0</v>
      </c>
      <c r="AA1862">
        <v>0</v>
      </c>
      <c r="AB1862">
        <v>0</v>
      </c>
      <c r="AC1862">
        <v>0</v>
      </c>
      <c r="AD1862">
        <v>0</v>
      </c>
      <c r="AE1862">
        <v>0</v>
      </c>
      <c r="AF1862">
        <v>0</v>
      </c>
      <c r="AG1862">
        <v>0</v>
      </c>
      <c r="AH1862">
        <v>0</v>
      </c>
      <c r="AI1862">
        <v>0</v>
      </c>
      <c r="AJ1862">
        <v>0</v>
      </c>
      <c r="AK1862">
        <v>0</v>
      </c>
      <c r="AL1862">
        <v>0</v>
      </c>
      <c r="AM1862">
        <v>8.58</v>
      </c>
      <c r="AN1862">
        <v>0</v>
      </c>
      <c r="AO1862">
        <v>0</v>
      </c>
      <c r="AP1862">
        <v>0</v>
      </c>
      <c r="AQ1862">
        <v>0</v>
      </c>
      <c r="AR1862">
        <v>0</v>
      </c>
      <c r="AS1862">
        <v>0</v>
      </c>
      <c r="AT1862">
        <v>0</v>
      </c>
      <c r="AU1862">
        <v>0</v>
      </c>
      <c r="AV1862">
        <v>0</v>
      </c>
      <c r="AW1862">
        <v>0</v>
      </c>
      <c r="AX1862">
        <v>0</v>
      </c>
      <c r="AY1862">
        <v>0</v>
      </c>
      <c r="AZ1862">
        <v>0</v>
      </c>
      <c r="BA1862">
        <v>0</v>
      </c>
      <c r="BB1862">
        <v>0</v>
      </c>
      <c r="BC1862">
        <v>0</v>
      </c>
      <c r="BD1862">
        <v>0</v>
      </c>
      <c r="BE1862">
        <v>0</v>
      </c>
      <c r="BF1862">
        <v>0</v>
      </c>
      <c r="BG1862">
        <v>0</v>
      </c>
      <c r="BH1862">
        <v>1</v>
      </c>
      <c r="BI1862">
        <v>1</v>
      </c>
      <c r="BJ1862">
        <v>0.2</v>
      </c>
      <c r="BK1862">
        <v>1</v>
      </c>
      <c r="BL1862" s="4">
        <v>50.45</v>
      </c>
      <c r="BM1862" s="4">
        <v>7.57</v>
      </c>
      <c r="BN1862" s="4">
        <v>58.02</v>
      </c>
      <c r="BO1862" s="4">
        <v>58.02</v>
      </c>
      <c r="BQ1862" t="s">
        <v>147</v>
      </c>
      <c r="BR1862" t="s">
        <v>84</v>
      </c>
      <c r="BS1862" s="3">
        <v>43818</v>
      </c>
      <c r="BT1862" s="5">
        <v>0.3298611111111111</v>
      </c>
      <c r="BU1862" t="s">
        <v>2153</v>
      </c>
      <c r="BV1862" t="s">
        <v>86</v>
      </c>
      <c r="BY1862">
        <v>1200</v>
      </c>
      <c r="CA1862" t="s">
        <v>99</v>
      </c>
      <c r="CC1862" t="s">
        <v>214</v>
      </c>
      <c r="CD1862">
        <v>6230</v>
      </c>
      <c r="CE1862" t="s">
        <v>88</v>
      </c>
      <c r="CF1862" s="3">
        <v>43819</v>
      </c>
      <c r="CI1862">
        <v>1</v>
      </c>
      <c r="CJ1862">
        <v>1</v>
      </c>
      <c r="CK1862">
        <v>21</v>
      </c>
      <c r="CL1862" t="s">
        <v>89</v>
      </c>
    </row>
    <row r="1863" spans="1:90">
      <c r="A1863" t="s">
        <v>72</v>
      </c>
      <c r="B1863" t="s">
        <v>73</v>
      </c>
      <c r="C1863" t="s">
        <v>74</v>
      </c>
      <c r="E1863" t="str">
        <f>"FES1162728882"</f>
        <v>FES1162728882</v>
      </c>
      <c r="F1863" s="3">
        <v>43817</v>
      </c>
      <c r="G1863">
        <v>202006</v>
      </c>
      <c r="H1863" t="s">
        <v>75</v>
      </c>
      <c r="I1863" t="s">
        <v>76</v>
      </c>
      <c r="J1863" t="s">
        <v>77</v>
      </c>
      <c r="K1863" t="s">
        <v>78</v>
      </c>
      <c r="L1863" t="s">
        <v>164</v>
      </c>
      <c r="M1863" t="s">
        <v>165</v>
      </c>
      <c r="N1863" t="s">
        <v>658</v>
      </c>
      <c r="O1863" t="s">
        <v>82</v>
      </c>
      <c r="P1863" t="str">
        <f>"2170719730                    "</f>
        <v xml:space="preserve">2170719730                    </v>
      </c>
      <c r="Q1863">
        <v>0</v>
      </c>
      <c r="R1863">
        <v>0</v>
      </c>
      <c r="S1863">
        <v>0</v>
      </c>
      <c r="T1863">
        <v>0</v>
      </c>
      <c r="U1863">
        <v>0</v>
      </c>
      <c r="V1863">
        <v>0</v>
      </c>
      <c r="W1863">
        <v>0</v>
      </c>
      <c r="X1863">
        <v>0</v>
      </c>
      <c r="Y1863">
        <v>0</v>
      </c>
      <c r="Z1863">
        <v>0</v>
      </c>
      <c r="AA1863">
        <v>0</v>
      </c>
      <c r="AB1863">
        <v>0</v>
      </c>
      <c r="AC1863">
        <v>0</v>
      </c>
      <c r="AD1863">
        <v>0</v>
      </c>
      <c r="AE1863">
        <v>0</v>
      </c>
      <c r="AF1863">
        <v>0</v>
      </c>
      <c r="AG1863">
        <v>0</v>
      </c>
      <c r="AH1863">
        <v>0</v>
      </c>
      <c r="AI1863">
        <v>0</v>
      </c>
      <c r="AJ1863">
        <v>0</v>
      </c>
      <c r="AK1863">
        <v>0</v>
      </c>
      <c r="AL1863">
        <v>0</v>
      </c>
      <c r="AM1863">
        <v>8.58</v>
      </c>
      <c r="AN1863">
        <v>0</v>
      </c>
      <c r="AO1863">
        <v>0</v>
      </c>
      <c r="AP1863">
        <v>0</v>
      </c>
      <c r="AQ1863">
        <v>0</v>
      </c>
      <c r="AR1863">
        <v>0</v>
      </c>
      <c r="AS1863">
        <v>0</v>
      </c>
      <c r="AT1863">
        <v>0</v>
      </c>
      <c r="AU1863">
        <v>0</v>
      </c>
      <c r="AV1863">
        <v>0</v>
      </c>
      <c r="AW1863">
        <v>0</v>
      </c>
      <c r="AX1863">
        <v>0</v>
      </c>
      <c r="AY1863">
        <v>0</v>
      </c>
      <c r="AZ1863">
        <v>0</v>
      </c>
      <c r="BA1863">
        <v>0</v>
      </c>
      <c r="BB1863">
        <v>0</v>
      </c>
      <c r="BC1863">
        <v>0</v>
      </c>
      <c r="BD1863">
        <v>0</v>
      </c>
      <c r="BE1863">
        <v>0</v>
      </c>
      <c r="BF1863">
        <v>0</v>
      </c>
      <c r="BG1863">
        <v>0</v>
      </c>
      <c r="BH1863">
        <v>1</v>
      </c>
      <c r="BI1863">
        <v>1</v>
      </c>
      <c r="BJ1863">
        <v>0.2</v>
      </c>
      <c r="BK1863">
        <v>1</v>
      </c>
      <c r="BL1863" s="4">
        <v>50.45</v>
      </c>
      <c r="BM1863" s="4">
        <v>7.57</v>
      </c>
      <c r="BN1863" s="4">
        <v>58.02</v>
      </c>
      <c r="BO1863" s="4">
        <v>58.02</v>
      </c>
      <c r="BR1863" t="s">
        <v>84</v>
      </c>
      <c r="BS1863" s="3">
        <v>43818</v>
      </c>
      <c r="BT1863" s="5">
        <v>0.39583333333333331</v>
      </c>
      <c r="BU1863" t="s">
        <v>1988</v>
      </c>
      <c r="BV1863" t="s">
        <v>86</v>
      </c>
      <c r="BY1863">
        <v>1200</v>
      </c>
      <c r="CA1863" t="s">
        <v>1989</v>
      </c>
      <c r="CC1863" t="s">
        <v>165</v>
      </c>
      <c r="CD1863">
        <v>5200</v>
      </c>
      <c r="CE1863" t="s">
        <v>88</v>
      </c>
      <c r="CF1863" s="3">
        <v>43822</v>
      </c>
      <c r="CI1863">
        <v>1</v>
      </c>
      <c r="CJ1863">
        <v>1</v>
      </c>
      <c r="CK1863">
        <v>21</v>
      </c>
      <c r="CL1863" t="s">
        <v>89</v>
      </c>
    </row>
    <row r="1864" spans="1:90">
      <c r="A1864" t="s">
        <v>72</v>
      </c>
      <c r="B1864" t="s">
        <v>73</v>
      </c>
      <c r="C1864" t="s">
        <v>74</v>
      </c>
      <c r="E1864" t="str">
        <f>"FES1162729015"</f>
        <v>FES1162729015</v>
      </c>
      <c r="F1864" s="3">
        <v>43817</v>
      </c>
      <c r="G1864">
        <v>202006</v>
      </c>
      <c r="H1864" t="s">
        <v>75</v>
      </c>
      <c r="I1864" t="s">
        <v>76</v>
      </c>
      <c r="J1864" t="s">
        <v>77</v>
      </c>
      <c r="K1864" t="s">
        <v>78</v>
      </c>
      <c r="L1864" t="s">
        <v>849</v>
      </c>
      <c r="M1864" t="s">
        <v>850</v>
      </c>
      <c r="N1864" t="s">
        <v>851</v>
      </c>
      <c r="O1864" t="s">
        <v>82</v>
      </c>
      <c r="P1864" t="str">
        <f>"2170722119                    "</f>
        <v xml:space="preserve">2170722119                    </v>
      </c>
      <c r="Q1864">
        <v>0</v>
      </c>
      <c r="R1864">
        <v>0</v>
      </c>
      <c r="S1864">
        <v>0</v>
      </c>
      <c r="T1864">
        <v>0</v>
      </c>
      <c r="U1864">
        <v>0</v>
      </c>
      <c r="V1864">
        <v>0</v>
      </c>
      <c r="W1864">
        <v>0</v>
      </c>
      <c r="X1864">
        <v>0</v>
      </c>
      <c r="Y1864">
        <v>0</v>
      </c>
      <c r="Z1864">
        <v>0</v>
      </c>
      <c r="AA1864">
        <v>0</v>
      </c>
      <c r="AB1864">
        <v>0</v>
      </c>
      <c r="AC1864">
        <v>0</v>
      </c>
      <c r="AD1864">
        <v>0</v>
      </c>
      <c r="AE1864">
        <v>0</v>
      </c>
      <c r="AF1864">
        <v>0</v>
      </c>
      <c r="AG1864">
        <v>0</v>
      </c>
      <c r="AH1864">
        <v>0</v>
      </c>
      <c r="AI1864">
        <v>0</v>
      </c>
      <c r="AJ1864">
        <v>0</v>
      </c>
      <c r="AK1864">
        <v>0</v>
      </c>
      <c r="AL1864">
        <v>0</v>
      </c>
      <c r="AM1864">
        <v>8.58</v>
      </c>
      <c r="AN1864">
        <v>0</v>
      </c>
      <c r="AO1864">
        <v>0</v>
      </c>
      <c r="AP1864">
        <v>0</v>
      </c>
      <c r="AQ1864">
        <v>0</v>
      </c>
      <c r="AR1864">
        <v>0</v>
      </c>
      <c r="AS1864">
        <v>0</v>
      </c>
      <c r="AT1864">
        <v>0</v>
      </c>
      <c r="AU1864">
        <v>0</v>
      </c>
      <c r="AV1864">
        <v>0</v>
      </c>
      <c r="AW1864">
        <v>0</v>
      </c>
      <c r="AX1864">
        <v>0</v>
      </c>
      <c r="AY1864">
        <v>0</v>
      </c>
      <c r="AZ1864">
        <v>0</v>
      </c>
      <c r="BA1864">
        <v>0</v>
      </c>
      <c r="BB1864">
        <v>0</v>
      </c>
      <c r="BC1864">
        <v>0</v>
      </c>
      <c r="BD1864">
        <v>0</v>
      </c>
      <c r="BE1864">
        <v>0</v>
      </c>
      <c r="BF1864">
        <v>0</v>
      </c>
      <c r="BG1864">
        <v>0</v>
      </c>
      <c r="BH1864">
        <v>1</v>
      </c>
      <c r="BI1864">
        <v>1</v>
      </c>
      <c r="BJ1864">
        <v>0.2</v>
      </c>
      <c r="BK1864">
        <v>1</v>
      </c>
      <c r="BL1864" s="4">
        <v>50.45</v>
      </c>
      <c r="BM1864" s="4">
        <v>7.57</v>
      </c>
      <c r="BN1864" s="4">
        <v>58.02</v>
      </c>
      <c r="BO1864" s="4">
        <v>58.02</v>
      </c>
      <c r="BQ1864" t="s">
        <v>147</v>
      </c>
      <c r="BR1864" t="s">
        <v>84</v>
      </c>
      <c r="BS1864" s="3">
        <v>43818</v>
      </c>
      <c r="BT1864" s="5">
        <v>0.45069444444444445</v>
      </c>
      <c r="BU1864" t="s">
        <v>528</v>
      </c>
      <c r="BV1864" t="s">
        <v>86</v>
      </c>
      <c r="BY1864">
        <v>1200</v>
      </c>
      <c r="CA1864" t="s">
        <v>1026</v>
      </c>
      <c r="CC1864" t="s">
        <v>850</v>
      </c>
      <c r="CD1864">
        <v>3290</v>
      </c>
      <c r="CE1864" t="s">
        <v>88</v>
      </c>
      <c r="CF1864" s="3">
        <v>43819</v>
      </c>
      <c r="CI1864">
        <v>1</v>
      </c>
      <c r="CJ1864">
        <v>1</v>
      </c>
      <c r="CK1864">
        <v>21</v>
      </c>
      <c r="CL1864" t="s">
        <v>89</v>
      </c>
    </row>
    <row r="1865" spans="1:90">
      <c r="A1865" t="s">
        <v>72</v>
      </c>
      <c r="B1865" t="s">
        <v>73</v>
      </c>
      <c r="C1865" t="s">
        <v>74</v>
      </c>
      <c r="E1865" t="str">
        <f>"FES1162728950"</f>
        <v>FES1162728950</v>
      </c>
      <c r="F1865" s="3">
        <v>43817</v>
      </c>
      <c r="G1865">
        <v>202006</v>
      </c>
      <c r="H1865" t="s">
        <v>75</v>
      </c>
      <c r="I1865" t="s">
        <v>76</v>
      </c>
      <c r="J1865" t="s">
        <v>77</v>
      </c>
      <c r="K1865" t="s">
        <v>78</v>
      </c>
      <c r="L1865" t="s">
        <v>198</v>
      </c>
      <c r="M1865" t="s">
        <v>199</v>
      </c>
      <c r="N1865" t="s">
        <v>842</v>
      </c>
      <c r="O1865" t="s">
        <v>82</v>
      </c>
      <c r="P1865" t="str">
        <f>"217072078                     "</f>
        <v xml:space="preserve">217072078                     </v>
      </c>
      <c r="Q1865">
        <v>0</v>
      </c>
      <c r="R1865">
        <v>0</v>
      </c>
      <c r="S1865">
        <v>0</v>
      </c>
      <c r="T1865">
        <v>0</v>
      </c>
      <c r="U1865">
        <v>0</v>
      </c>
      <c r="V1865">
        <v>0</v>
      </c>
      <c r="W1865">
        <v>0</v>
      </c>
      <c r="X1865">
        <v>0</v>
      </c>
      <c r="Y1865">
        <v>0</v>
      </c>
      <c r="Z1865">
        <v>0</v>
      </c>
      <c r="AA1865">
        <v>0</v>
      </c>
      <c r="AB1865">
        <v>0</v>
      </c>
      <c r="AC1865">
        <v>0</v>
      </c>
      <c r="AD1865">
        <v>0</v>
      </c>
      <c r="AE1865">
        <v>0</v>
      </c>
      <c r="AF1865">
        <v>0</v>
      </c>
      <c r="AG1865">
        <v>0</v>
      </c>
      <c r="AH1865">
        <v>0</v>
      </c>
      <c r="AI1865">
        <v>0</v>
      </c>
      <c r="AJ1865">
        <v>0</v>
      </c>
      <c r="AK1865">
        <v>0</v>
      </c>
      <c r="AL1865">
        <v>0</v>
      </c>
      <c r="AM1865">
        <v>8.58</v>
      </c>
      <c r="AN1865">
        <v>0</v>
      </c>
      <c r="AO1865">
        <v>0</v>
      </c>
      <c r="AP1865">
        <v>0</v>
      </c>
      <c r="AQ1865">
        <v>0</v>
      </c>
      <c r="AR1865">
        <v>0</v>
      </c>
      <c r="AS1865">
        <v>0</v>
      </c>
      <c r="AT1865">
        <v>0</v>
      </c>
      <c r="AU1865">
        <v>0</v>
      </c>
      <c r="AV1865">
        <v>0</v>
      </c>
      <c r="AW1865">
        <v>0</v>
      </c>
      <c r="AX1865">
        <v>0</v>
      </c>
      <c r="AY1865">
        <v>0</v>
      </c>
      <c r="AZ1865">
        <v>0</v>
      </c>
      <c r="BA1865">
        <v>0</v>
      </c>
      <c r="BB1865">
        <v>0</v>
      </c>
      <c r="BC1865">
        <v>0</v>
      </c>
      <c r="BD1865">
        <v>0</v>
      </c>
      <c r="BE1865">
        <v>0</v>
      </c>
      <c r="BF1865">
        <v>0</v>
      </c>
      <c r="BG1865">
        <v>0</v>
      </c>
      <c r="BH1865">
        <v>1</v>
      </c>
      <c r="BI1865">
        <v>1</v>
      </c>
      <c r="BJ1865">
        <v>0.2</v>
      </c>
      <c r="BK1865">
        <v>1</v>
      </c>
      <c r="BL1865" s="4">
        <v>50.45</v>
      </c>
      <c r="BM1865" s="4">
        <v>7.57</v>
      </c>
      <c r="BN1865" s="4">
        <v>58.02</v>
      </c>
      <c r="BO1865" s="4">
        <v>58.02</v>
      </c>
      <c r="BQ1865" t="s">
        <v>843</v>
      </c>
      <c r="BR1865" t="s">
        <v>84</v>
      </c>
      <c r="BS1865" s="3">
        <v>43818</v>
      </c>
      <c r="BT1865" s="5">
        <v>0.37291666666666662</v>
      </c>
      <c r="BU1865" t="s">
        <v>844</v>
      </c>
      <c r="BV1865" t="s">
        <v>86</v>
      </c>
      <c r="BY1865">
        <v>1200</v>
      </c>
      <c r="CA1865" t="s">
        <v>299</v>
      </c>
      <c r="CC1865" t="s">
        <v>199</v>
      </c>
      <c r="CD1865">
        <v>4051</v>
      </c>
      <c r="CE1865" t="s">
        <v>88</v>
      </c>
      <c r="CF1865" s="3">
        <v>43819</v>
      </c>
      <c r="CI1865">
        <v>1</v>
      </c>
      <c r="CJ1865">
        <v>1</v>
      </c>
      <c r="CK1865">
        <v>21</v>
      </c>
      <c r="CL1865" t="s">
        <v>89</v>
      </c>
    </row>
    <row r="1866" spans="1:90">
      <c r="A1866" t="s">
        <v>72</v>
      </c>
      <c r="B1866" t="s">
        <v>73</v>
      </c>
      <c r="C1866" t="s">
        <v>74</v>
      </c>
      <c r="E1866" t="str">
        <f>"FES1162728888"</f>
        <v>FES1162728888</v>
      </c>
      <c r="F1866" s="3">
        <v>43817</v>
      </c>
      <c r="G1866">
        <v>202006</v>
      </c>
      <c r="H1866" t="s">
        <v>75</v>
      </c>
      <c r="I1866" t="s">
        <v>76</v>
      </c>
      <c r="J1866" t="s">
        <v>77</v>
      </c>
      <c r="K1866" t="s">
        <v>78</v>
      </c>
      <c r="L1866" t="s">
        <v>79</v>
      </c>
      <c r="M1866" t="s">
        <v>80</v>
      </c>
      <c r="N1866" t="s">
        <v>81</v>
      </c>
      <c r="O1866" t="s">
        <v>82</v>
      </c>
      <c r="P1866" t="str">
        <f>"2170719864                    "</f>
        <v xml:space="preserve">2170719864                    </v>
      </c>
      <c r="Q1866">
        <v>0</v>
      </c>
      <c r="R1866">
        <v>0</v>
      </c>
      <c r="S1866">
        <v>0</v>
      </c>
      <c r="T1866">
        <v>0</v>
      </c>
      <c r="U1866">
        <v>0</v>
      </c>
      <c r="V1866">
        <v>0</v>
      </c>
      <c r="W1866">
        <v>0</v>
      </c>
      <c r="X1866">
        <v>0</v>
      </c>
      <c r="Y1866">
        <v>0</v>
      </c>
      <c r="Z1866">
        <v>0</v>
      </c>
      <c r="AA1866">
        <v>0</v>
      </c>
      <c r="AB1866">
        <v>0</v>
      </c>
      <c r="AC1866">
        <v>0</v>
      </c>
      <c r="AD1866">
        <v>0</v>
      </c>
      <c r="AE1866">
        <v>0</v>
      </c>
      <c r="AF1866">
        <v>0</v>
      </c>
      <c r="AG1866">
        <v>0</v>
      </c>
      <c r="AH1866">
        <v>0</v>
      </c>
      <c r="AI1866">
        <v>0</v>
      </c>
      <c r="AJ1866">
        <v>0</v>
      </c>
      <c r="AK1866">
        <v>0</v>
      </c>
      <c r="AL1866">
        <v>0</v>
      </c>
      <c r="AM1866">
        <v>8.58</v>
      </c>
      <c r="AN1866">
        <v>0</v>
      </c>
      <c r="AO1866">
        <v>0</v>
      </c>
      <c r="AP1866">
        <v>0</v>
      </c>
      <c r="AQ1866">
        <v>0</v>
      </c>
      <c r="AR1866">
        <v>0</v>
      </c>
      <c r="AS1866">
        <v>0</v>
      </c>
      <c r="AT1866">
        <v>0</v>
      </c>
      <c r="AU1866">
        <v>0</v>
      </c>
      <c r="AV1866">
        <v>0</v>
      </c>
      <c r="AW1866">
        <v>0</v>
      </c>
      <c r="AX1866">
        <v>0</v>
      </c>
      <c r="AY1866">
        <v>0</v>
      </c>
      <c r="AZ1866">
        <v>0</v>
      </c>
      <c r="BA1866">
        <v>0</v>
      </c>
      <c r="BB1866">
        <v>0</v>
      </c>
      <c r="BC1866">
        <v>0</v>
      </c>
      <c r="BD1866">
        <v>0</v>
      </c>
      <c r="BE1866">
        <v>0</v>
      </c>
      <c r="BF1866">
        <v>0</v>
      </c>
      <c r="BG1866">
        <v>0</v>
      </c>
      <c r="BH1866">
        <v>1</v>
      </c>
      <c r="BI1866">
        <v>1</v>
      </c>
      <c r="BJ1866">
        <v>0.2</v>
      </c>
      <c r="BK1866">
        <v>1</v>
      </c>
      <c r="BL1866" s="4">
        <v>50.45</v>
      </c>
      <c r="BM1866" s="4">
        <v>7.57</v>
      </c>
      <c r="BN1866" s="4">
        <v>58.02</v>
      </c>
      <c r="BO1866" s="4">
        <v>58.02</v>
      </c>
      <c r="BQ1866" t="s">
        <v>83</v>
      </c>
      <c r="BR1866" t="s">
        <v>84</v>
      </c>
      <c r="BS1866" s="3">
        <v>43818</v>
      </c>
      <c r="BT1866" s="5">
        <v>0.41944444444444445</v>
      </c>
      <c r="BU1866" t="s">
        <v>679</v>
      </c>
      <c r="BV1866" t="s">
        <v>86</v>
      </c>
      <c r="BY1866">
        <v>1200</v>
      </c>
      <c r="CA1866" t="s">
        <v>1562</v>
      </c>
      <c r="CC1866" t="s">
        <v>80</v>
      </c>
      <c r="CD1866">
        <v>6045</v>
      </c>
      <c r="CE1866" t="s">
        <v>88</v>
      </c>
      <c r="CF1866" s="3">
        <v>43819</v>
      </c>
      <c r="CI1866">
        <v>1</v>
      </c>
      <c r="CJ1866">
        <v>1</v>
      </c>
      <c r="CK1866">
        <v>21</v>
      </c>
      <c r="CL1866" t="s">
        <v>89</v>
      </c>
    </row>
    <row r="1867" spans="1:90">
      <c r="A1867" t="s">
        <v>72</v>
      </c>
      <c r="B1867" t="s">
        <v>73</v>
      </c>
      <c r="C1867" t="s">
        <v>74</v>
      </c>
      <c r="E1867" t="str">
        <f>"FES1162728674"</f>
        <v>FES1162728674</v>
      </c>
      <c r="F1867" s="3">
        <v>43817</v>
      </c>
      <c r="G1867">
        <v>202006</v>
      </c>
      <c r="H1867" t="s">
        <v>75</v>
      </c>
      <c r="I1867" t="s">
        <v>76</v>
      </c>
      <c r="J1867" t="s">
        <v>77</v>
      </c>
      <c r="K1867" t="s">
        <v>78</v>
      </c>
      <c r="L1867" t="s">
        <v>164</v>
      </c>
      <c r="M1867" t="s">
        <v>165</v>
      </c>
      <c r="N1867" t="s">
        <v>238</v>
      </c>
      <c r="O1867" t="s">
        <v>82</v>
      </c>
      <c r="P1867" t="str">
        <f>"2170721869                    "</f>
        <v xml:space="preserve">2170721869                    </v>
      </c>
      <c r="Q1867">
        <v>0</v>
      </c>
      <c r="R1867">
        <v>0</v>
      </c>
      <c r="S1867">
        <v>0</v>
      </c>
      <c r="T1867">
        <v>0</v>
      </c>
      <c r="U1867">
        <v>0</v>
      </c>
      <c r="V1867">
        <v>0</v>
      </c>
      <c r="W1867">
        <v>0</v>
      </c>
      <c r="X1867">
        <v>0</v>
      </c>
      <c r="Y1867">
        <v>0</v>
      </c>
      <c r="Z1867">
        <v>0</v>
      </c>
      <c r="AA1867">
        <v>0</v>
      </c>
      <c r="AB1867">
        <v>0</v>
      </c>
      <c r="AC1867">
        <v>0</v>
      </c>
      <c r="AD1867">
        <v>0</v>
      </c>
      <c r="AE1867">
        <v>0</v>
      </c>
      <c r="AF1867">
        <v>0</v>
      </c>
      <c r="AG1867">
        <v>0</v>
      </c>
      <c r="AH1867">
        <v>0</v>
      </c>
      <c r="AI1867">
        <v>0</v>
      </c>
      <c r="AJ1867">
        <v>0</v>
      </c>
      <c r="AK1867">
        <v>0</v>
      </c>
      <c r="AL1867">
        <v>0</v>
      </c>
      <c r="AM1867">
        <v>8.58</v>
      </c>
      <c r="AN1867">
        <v>0</v>
      </c>
      <c r="AO1867">
        <v>0</v>
      </c>
      <c r="AP1867">
        <v>0</v>
      </c>
      <c r="AQ1867">
        <v>0</v>
      </c>
      <c r="AR1867">
        <v>0</v>
      </c>
      <c r="AS1867">
        <v>0</v>
      </c>
      <c r="AT1867">
        <v>0</v>
      </c>
      <c r="AU1867">
        <v>0</v>
      </c>
      <c r="AV1867">
        <v>0</v>
      </c>
      <c r="AW1867">
        <v>0</v>
      </c>
      <c r="AX1867">
        <v>0</v>
      </c>
      <c r="AY1867">
        <v>0</v>
      </c>
      <c r="AZ1867">
        <v>0</v>
      </c>
      <c r="BA1867">
        <v>0</v>
      </c>
      <c r="BB1867">
        <v>0</v>
      </c>
      <c r="BC1867">
        <v>0</v>
      </c>
      <c r="BD1867">
        <v>0</v>
      </c>
      <c r="BE1867">
        <v>0</v>
      </c>
      <c r="BF1867">
        <v>0</v>
      </c>
      <c r="BG1867">
        <v>0</v>
      </c>
      <c r="BH1867">
        <v>1</v>
      </c>
      <c r="BI1867">
        <v>1</v>
      </c>
      <c r="BJ1867">
        <v>0.2</v>
      </c>
      <c r="BK1867">
        <v>1</v>
      </c>
      <c r="BL1867" s="4">
        <v>50.45</v>
      </c>
      <c r="BM1867" s="4">
        <v>7.57</v>
      </c>
      <c r="BN1867" s="4">
        <v>58.02</v>
      </c>
      <c r="BO1867" s="4">
        <v>58.02</v>
      </c>
      <c r="BQ1867" t="s">
        <v>147</v>
      </c>
      <c r="BR1867" t="s">
        <v>84</v>
      </c>
      <c r="BS1867" s="3">
        <v>43818</v>
      </c>
      <c r="BT1867" s="5">
        <v>0.39583333333333331</v>
      </c>
      <c r="BU1867" t="s">
        <v>239</v>
      </c>
      <c r="BV1867" t="s">
        <v>86</v>
      </c>
      <c r="BY1867">
        <v>1200</v>
      </c>
      <c r="CA1867" t="s">
        <v>168</v>
      </c>
      <c r="CC1867" t="s">
        <v>165</v>
      </c>
      <c r="CD1867">
        <v>5201</v>
      </c>
      <c r="CE1867" t="s">
        <v>88</v>
      </c>
      <c r="CF1867" s="3">
        <v>43822</v>
      </c>
      <c r="CI1867">
        <v>1</v>
      </c>
      <c r="CJ1867">
        <v>1</v>
      </c>
      <c r="CK1867">
        <v>21</v>
      </c>
      <c r="CL1867" t="s">
        <v>89</v>
      </c>
    </row>
    <row r="1868" spans="1:90">
      <c r="A1868" t="s">
        <v>72</v>
      </c>
      <c r="B1868" t="s">
        <v>73</v>
      </c>
      <c r="C1868" t="s">
        <v>74</v>
      </c>
      <c r="E1868" t="str">
        <f>"FES1162728818"</f>
        <v>FES1162728818</v>
      </c>
      <c r="F1868" s="3">
        <v>43817</v>
      </c>
      <c r="G1868">
        <v>202006</v>
      </c>
      <c r="H1868" t="s">
        <v>75</v>
      </c>
      <c r="I1868" t="s">
        <v>76</v>
      </c>
      <c r="J1868" t="s">
        <v>77</v>
      </c>
      <c r="K1868" t="s">
        <v>78</v>
      </c>
      <c r="L1868" t="s">
        <v>79</v>
      </c>
      <c r="M1868" t="s">
        <v>80</v>
      </c>
      <c r="N1868" t="s">
        <v>934</v>
      </c>
      <c r="O1868" t="s">
        <v>82</v>
      </c>
      <c r="P1868" t="str">
        <f>"2170719917                    "</f>
        <v xml:space="preserve">2170719917                    </v>
      </c>
      <c r="Q1868">
        <v>0</v>
      </c>
      <c r="R1868">
        <v>0</v>
      </c>
      <c r="S1868">
        <v>0</v>
      </c>
      <c r="T1868">
        <v>0</v>
      </c>
      <c r="U1868">
        <v>0</v>
      </c>
      <c r="V1868">
        <v>0</v>
      </c>
      <c r="W1868">
        <v>0</v>
      </c>
      <c r="X1868">
        <v>0</v>
      </c>
      <c r="Y1868">
        <v>0</v>
      </c>
      <c r="Z1868">
        <v>0</v>
      </c>
      <c r="AA1868">
        <v>0</v>
      </c>
      <c r="AB1868">
        <v>0</v>
      </c>
      <c r="AC1868">
        <v>0</v>
      </c>
      <c r="AD1868">
        <v>0</v>
      </c>
      <c r="AE1868">
        <v>0</v>
      </c>
      <c r="AF1868">
        <v>0</v>
      </c>
      <c r="AG1868">
        <v>0</v>
      </c>
      <c r="AH1868">
        <v>0</v>
      </c>
      <c r="AI1868">
        <v>0</v>
      </c>
      <c r="AJ1868">
        <v>0</v>
      </c>
      <c r="AK1868">
        <v>0</v>
      </c>
      <c r="AL1868">
        <v>0</v>
      </c>
      <c r="AM1868">
        <v>8.58</v>
      </c>
      <c r="AN1868">
        <v>0</v>
      </c>
      <c r="AO1868">
        <v>0</v>
      </c>
      <c r="AP1868">
        <v>0</v>
      </c>
      <c r="AQ1868">
        <v>0</v>
      </c>
      <c r="AR1868">
        <v>0</v>
      </c>
      <c r="AS1868">
        <v>0</v>
      </c>
      <c r="AT1868">
        <v>0</v>
      </c>
      <c r="AU1868">
        <v>0</v>
      </c>
      <c r="AV1868">
        <v>0</v>
      </c>
      <c r="AW1868">
        <v>0</v>
      </c>
      <c r="AX1868">
        <v>0</v>
      </c>
      <c r="AY1868">
        <v>0</v>
      </c>
      <c r="AZ1868">
        <v>0</v>
      </c>
      <c r="BA1868">
        <v>0</v>
      </c>
      <c r="BB1868">
        <v>0</v>
      </c>
      <c r="BC1868">
        <v>0</v>
      </c>
      <c r="BD1868">
        <v>0</v>
      </c>
      <c r="BE1868">
        <v>0</v>
      </c>
      <c r="BF1868">
        <v>0</v>
      </c>
      <c r="BG1868">
        <v>0</v>
      </c>
      <c r="BH1868">
        <v>1</v>
      </c>
      <c r="BI1868">
        <v>1</v>
      </c>
      <c r="BJ1868">
        <v>0.2</v>
      </c>
      <c r="BK1868">
        <v>1</v>
      </c>
      <c r="BL1868" s="4">
        <v>50.45</v>
      </c>
      <c r="BM1868" s="4">
        <v>7.57</v>
      </c>
      <c r="BN1868" s="4">
        <v>58.02</v>
      </c>
      <c r="BO1868" s="4">
        <v>58.02</v>
      </c>
      <c r="BQ1868" t="s">
        <v>93</v>
      </c>
      <c r="BR1868" t="s">
        <v>84</v>
      </c>
      <c r="BS1868" s="3">
        <v>43818</v>
      </c>
      <c r="BT1868" s="5">
        <v>0.34583333333333338</v>
      </c>
      <c r="BU1868" t="s">
        <v>2208</v>
      </c>
      <c r="BV1868" t="s">
        <v>86</v>
      </c>
      <c r="BY1868">
        <v>1200</v>
      </c>
      <c r="CA1868" t="s">
        <v>131</v>
      </c>
      <c r="CC1868" t="s">
        <v>80</v>
      </c>
      <c r="CD1868">
        <v>6001</v>
      </c>
      <c r="CE1868" t="s">
        <v>88</v>
      </c>
      <c r="CF1868" s="3">
        <v>43819</v>
      </c>
      <c r="CI1868">
        <v>1</v>
      </c>
      <c r="CJ1868">
        <v>1</v>
      </c>
      <c r="CK1868">
        <v>21</v>
      </c>
      <c r="CL1868" t="s">
        <v>89</v>
      </c>
    </row>
    <row r="1869" spans="1:90">
      <c r="A1869" t="s">
        <v>72</v>
      </c>
      <c r="B1869" t="s">
        <v>73</v>
      </c>
      <c r="C1869" t="s">
        <v>74</v>
      </c>
      <c r="E1869" t="str">
        <f>"FES1162728778"</f>
        <v>FES1162728778</v>
      </c>
      <c r="F1869" s="3">
        <v>43817</v>
      </c>
      <c r="G1869">
        <v>202006</v>
      </c>
      <c r="H1869" t="s">
        <v>75</v>
      </c>
      <c r="I1869" t="s">
        <v>76</v>
      </c>
      <c r="J1869" t="s">
        <v>77</v>
      </c>
      <c r="K1869" t="s">
        <v>78</v>
      </c>
      <c r="L1869" t="s">
        <v>169</v>
      </c>
      <c r="M1869" t="s">
        <v>170</v>
      </c>
      <c r="N1869" t="s">
        <v>890</v>
      </c>
      <c r="O1869" t="s">
        <v>82</v>
      </c>
      <c r="P1869" t="str">
        <f>"2170721791                    "</f>
        <v xml:space="preserve">2170721791                    </v>
      </c>
      <c r="Q1869">
        <v>0</v>
      </c>
      <c r="R1869">
        <v>0</v>
      </c>
      <c r="S1869">
        <v>0</v>
      </c>
      <c r="T1869">
        <v>0</v>
      </c>
      <c r="U1869">
        <v>0</v>
      </c>
      <c r="V1869">
        <v>0</v>
      </c>
      <c r="W1869">
        <v>0</v>
      </c>
      <c r="X1869">
        <v>0</v>
      </c>
      <c r="Y1869">
        <v>0</v>
      </c>
      <c r="Z1869">
        <v>0</v>
      </c>
      <c r="AA1869">
        <v>0</v>
      </c>
      <c r="AB1869">
        <v>0</v>
      </c>
      <c r="AC1869">
        <v>0</v>
      </c>
      <c r="AD1869">
        <v>0</v>
      </c>
      <c r="AE1869">
        <v>0</v>
      </c>
      <c r="AF1869">
        <v>0</v>
      </c>
      <c r="AG1869">
        <v>0</v>
      </c>
      <c r="AH1869">
        <v>0</v>
      </c>
      <c r="AI1869">
        <v>0</v>
      </c>
      <c r="AJ1869">
        <v>0</v>
      </c>
      <c r="AK1869">
        <v>0</v>
      </c>
      <c r="AL1869">
        <v>0</v>
      </c>
      <c r="AM1869">
        <v>6.71</v>
      </c>
      <c r="AN1869">
        <v>0</v>
      </c>
      <c r="AO1869">
        <v>0</v>
      </c>
      <c r="AP1869">
        <v>0</v>
      </c>
      <c r="AQ1869">
        <v>0</v>
      </c>
      <c r="AR1869">
        <v>0</v>
      </c>
      <c r="AS1869">
        <v>0</v>
      </c>
      <c r="AT1869">
        <v>0</v>
      </c>
      <c r="AU1869">
        <v>0</v>
      </c>
      <c r="AV1869">
        <v>0</v>
      </c>
      <c r="AW1869">
        <v>0</v>
      </c>
      <c r="AX1869">
        <v>0</v>
      </c>
      <c r="AY1869">
        <v>0</v>
      </c>
      <c r="AZ1869">
        <v>0</v>
      </c>
      <c r="BA1869">
        <v>0</v>
      </c>
      <c r="BB1869">
        <v>0</v>
      </c>
      <c r="BC1869">
        <v>0</v>
      </c>
      <c r="BD1869">
        <v>0</v>
      </c>
      <c r="BE1869">
        <v>0</v>
      </c>
      <c r="BF1869">
        <v>0</v>
      </c>
      <c r="BG1869">
        <v>0</v>
      </c>
      <c r="BH1869">
        <v>1</v>
      </c>
      <c r="BI1869">
        <v>1</v>
      </c>
      <c r="BJ1869">
        <v>0.2</v>
      </c>
      <c r="BK1869">
        <v>1</v>
      </c>
      <c r="BL1869" s="4">
        <v>39.42</v>
      </c>
      <c r="BM1869" s="4">
        <v>5.91</v>
      </c>
      <c r="BN1869" s="4">
        <v>45.33</v>
      </c>
      <c r="BO1869" s="4">
        <v>45.33</v>
      </c>
      <c r="BQ1869" t="s">
        <v>891</v>
      </c>
      <c r="BR1869" t="s">
        <v>84</v>
      </c>
      <c r="BS1869" s="3">
        <v>43818</v>
      </c>
      <c r="BT1869" s="5">
        <v>0.34722222222222227</v>
      </c>
      <c r="BU1869" t="s">
        <v>1009</v>
      </c>
      <c r="BV1869" t="s">
        <v>86</v>
      </c>
      <c r="BY1869">
        <v>1200</v>
      </c>
      <c r="CC1869" t="s">
        <v>170</v>
      </c>
      <c r="CD1869">
        <v>1459</v>
      </c>
      <c r="CE1869" t="s">
        <v>88</v>
      </c>
      <c r="CF1869" s="3">
        <v>43819</v>
      </c>
      <c r="CI1869">
        <v>1</v>
      </c>
      <c r="CJ1869">
        <v>1</v>
      </c>
      <c r="CK1869">
        <v>22</v>
      </c>
      <c r="CL1869" t="s">
        <v>89</v>
      </c>
    </row>
    <row r="1870" spans="1:90">
      <c r="A1870" t="s">
        <v>72</v>
      </c>
      <c r="B1870" t="s">
        <v>73</v>
      </c>
      <c r="C1870" t="s">
        <v>74</v>
      </c>
      <c r="E1870" t="str">
        <f>"FES1162728891"</f>
        <v>FES1162728891</v>
      </c>
      <c r="F1870" s="3">
        <v>43817</v>
      </c>
      <c r="G1870">
        <v>202006</v>
      </c>
      <c r="H1870" t="s">
        <v>75</v>
      </c>
      <c r="I1870" t="s">
        <v>76</v>
      </c>
      <c r="J1870" t="s">
        <v>77</v>
      </c>
      <c r="K1870" t="s">
        <v>78</v>
      </c>
      <c r="L1870" t="s">
        <v>79</v>
      </c>
      <c r="M1870" t="s">
        <v>80</v>
      </c>
      <c r="N1870" t="s">
        <v>347</v>
      </c>
      <c r="O1870" t="s">
        <v>82</v>
      </c>
      <c r="P1870" t="str">
        <f>"217072005                     "</f>
        <v xml:space="preserve">217072005                     </v>
      </c>
      <c r="Q1870">
        <v>0</v>
      </c>
      <c r="R1870">
        <v>0</v>
      </c>
      <c r="S1870">
        <v>0</v>
      </c>
      <c r="T1870">
        <v>0</v>
      </c>
      <c r="U1870">
        <v>0</v>
      </c>
      <c r="V1870">
        <v>0</v>
      </c>
      <c r="W1870">
        <v>0</v>
      </c>
      <c r="X1870">
        <v>0</v>
      </c>
      <c r="Y1870">
        <v>0</v>
      </c>
      <c r="Z1870">
        <v>0</v>
      </c>
      <c r="AA1870">
        <v>0</v>
      </c>
      <c r="AB1870">
        <v>0</v>
      </c>
      <c r="AC1870">
        <v>0</v>
      </c>
      <c r="AD1870">
        <v>0</v>
      </c>
      <c r="AE1870">
        <v>0</v>
      </c>
      <c r="AF1870">
        <v>0</v>
      </c>
      <c r="AG1870">
        <v>0</v>
      </c>
      <c r="AH1870">
        <v>0</v>
      </c>
      <c r="AI1870">
        <v>0</v>
      </c>
      <c r="AJ1870">
        <v>0</v>
      </c>
      <c r="AK1870">
        <v>0</v>
      </c>
      <c r="AL1870">
        <v>0</v>
      </c>
      <c r="AM1870">
        <v>8.58</v>
      </c>
      <c r="AN1870">
        <v>0</v>
      </c>
      <c r="AO1870">
        <v>0</v>
      </c>
      <c r="AP1870">
        <v>0</v>
      </c>
      <c r="AQ1870">
        <v>0</v>
      </c>
      <c r="AR1870">
        <v>0</v>
      </c>
      <c r="AS1870">
        <v>0</v>
      </c>
      <c r="AT1870">
        <v>0</v>
      </c>
      <c r="AU1870">
        <v>0</v>
      </c>
      <c r="AV1870">
        <v>0</v>
      </c>
      <c r="AW1870">
        <v>0</v>
      </c>
      <c r="AX1870">
        <v>0</v>
      </c>
      <c r="AY1870">
        <v>0</v>
      </c>
      <c r="AZ1870">
        <v>0</v>
      </c>
      <c r="BA1870">
        <v>0</v>
      </c>
      <c r="BB1870">
        <v>0</v>
      </c>
      <c r="BC1870">
        <v>0</v>
      </c>
      <c r="BD1870">
        <v>0</v>
      </c>
      <c r="BE1870">
        <v>0</v>
      </c>
      <c r="BF1870">
        <v>0</v>
      </c>
      <c r="BG1870">
        <v>0</v>
      </c>
      <c r="BH1870">
        <v>1</v>
      </c>
      <c r="BI1870">
        <v>1</v>
      </c>
      <c r="BJ1870">
        <v>0.2</v>
      </c>
      <c r="BK1870">
        <v>1</v>
      </c>
      <c r="BL1870" s="4">
        <v>50.45</v>
      </c>
      <c r="BM1870" s="4">
        <v>7.57</v>
      </c>
      <c r="BN1870" s="4">
        <v>58.02</v>
      </c>
      <c r="BO1870" s="4">
        <v>58.02</v>
      </c>
      <c r="BQ1870" t="s">
        <v>93</v>
      </c>
      <c r="BR1870" t="s">
        <v>84</v>
      </c>
      <c r="BS1870" s="3">
        <v>43818</v>
      </c>
      <c r="BT1870" s="5">
        <v>0.4201388888888889</v>
      </c>
      <c r="BU1870" t="s">
        <v>991</v>
      </c>
      <c r="BV1870" t="s">
        <v>86</v>
      </c>
      <c r="BY1870">
        <v>1200</v>
      </c>
      <c r="CA1870" t="s">
        <v>185</v>
      </c>
      <c r="CC1870" t="s">
        <v>80</v>
      </c>
      <c r="CD1870">
        <v>6000</v>
      </c>
      <c r="CE1870" t="s">
        <v>88</v>
      </c>
      <c r="CF1870" s="3">
        <v>43819</v>
      </c>
      <c r="CI1870">
        <v>1</v>
      </c>
      <c r="CJ1870">
        <v>1</v>
      </c>
      <c r="CK1870">
        <v>21</v>
      </c>
      <c r="CL1870" t="s">
        <v>89</v>
      </c>
    </row>
    <row r="1871" spans="1:90">
      <c r="A1871" t="s">
        <v>72</v>
      </c>
      <c r="B1871" t="s">
        <v>73</v>
      </c>
      <c r="C1871" t="s">
        <v>74</v>
      </c>
      <c r="E1871" t="str">
        <f>"FES1162728758"</f>
        <v>FES1162728758</v>
      </c>
      <c r="F1871" s="3">
        <v>43817</v>
      </c>
      <c r="G1871">
        <v>202006</v>
      </c>
      <c r="H1871" t="s">
        <v>75</v>
      </c>
      <c r="I1871" t="s">
        <v>76</v>
      </c>
      <c r="J1871" t="s">
        <v>77</v>
      </c>
      <c r="K1871" t="s">
        <v>78</v>
      </c>
      <c r="L1871" t="s">
        <v>169</v>
      </c>
      <c r="M1871" t="s">
        <v>170</v>
      </c>
      <c r="N1871" t="s">
        <v>890</v>
      </c>
      <c r="O1871" t="s">
        <v>82</v>
      </c>
      <c r="P1871" t="str">
        <f>"2170721952                    "</f>
        <v xml:space="preserve">2170721952                    </v>
      </c>
      <c r="Q1871">
        <v>0</v>
      </c>
      <c r="R1871">
        <v>0</v>
      </c>
      <c r="S1871">
        <v>0</v>
      </c>
      <c r="T1871">
        <v>0</v>
      </c>
      <c r="U1871">
        <v>0</v>
      </c>
      <c r="V1871">
        <v>0</v>
      </c>
      <c r="W1871">
        <v>0</v>
      </c>
      <c r="X1871">
        <v>0</v>
      </c>
      <c r="Y1871">
        <v>0</v>
      </c>
      <c r="Z1871">
        <v>0</v>
      </c>
      <c r="AA1871">
        <v>0</v>
      </c>
      <c r="AB1871">
        <v>0</v>
      </c>
      <c r="AC1871">
        <v>0</v>
      </c>
      <c r="AD1871">
        <v>0</v>
      </c>
      <c r="AE1871">
        <v>0</v>
      </c>
      <c r="AF1871">
        <v>0</v>
      </c>
      <c r="AG1871">
        <v>0</v>
      </c>
      <c r="AH1871">
        <v>0</v>
      </c>
      <c r="AI1871">
        <v>0</v>
      </c>
      <c r="AJ1871">
        <v>0</v>
      </c>
      <c r="AK1871">
        <v>0</v>
      </c>
      <c r="AL1871">
        <v>0</v>
      </c>
      <c r="AM1871">
        <v>6.71</v>
      </c>
      <c r="AN1871">
        <v>0</v>
      </c>
      <c r="AO1871">
        <v>0</v>
      </c>
      <c r="AP1871">
        <v>0</v>
      </c>
      <c r="AQ1871">
        <v>0</v>
      </c>
      <c r="AR1871">
        <v>0</v>
      </c>
      <c r="AS1871">
        <v>0</v>
      </c>
      <c r="AT1871">
        <v>0</v>
      </c>
      <c r="AU1871">
        <v>0</v>
      </c>
      <c r="AV1871">
        <v>0</v>
      </c>
      <c r="AW1871">
        <v>0</v>
      </c>
      <c r="AX1871">
        <v>0</v>
      </c>
      <c r="AY1871">
        <v>0</v>
      </c>
      <c r="AZ1871">
        <v>0</v>
      </c>
      <c r="BA1871">
        <v>0</v>
      </c>
      <c r="BB1871">
        <v>0</v>
      </c>
      <c r="BC1871">
        <v>0</v>
      </c>
      <c r="BD1871">
        <v>0</v>
      </c>
      <c r="BE1871">
        <v>0</v>
      </c>
      <c r="BF1871">
        <v>0</v>
      </c>
      <c r="BG1871">
        <v>0</v>
      </c>
      <c r="BH1871">
        <v>1</v>
      </c>
      <c r="BI1871">
        <v>1</v>
      </c>
      <c r="BJ1871">
        <v>0.2</v>
      </c>
      <c r="BK1871">
        <v>1</v>
      </c>
      <c r="BL1871" s="4">
        <v>39.42</v>
      </c>
      <c r="BM1871" s="4">
        <v>5.91</v>
      </c>
      <c r="BN1871" s="4">
        <v>45.33</v>
      </c>
      <c r="BO1871" s="4">
        <v>45.33</v>
      </c>
      <c r="BQ1871" t="s">
        <v>891</v>
      </c>
      <c r="BR1871" t="s">
        <v>84</v>
      </c>
      <c r="BS1871" s="3">
        <v>43818</v>
      </c>
      <c r="BT1871" s="5">
        <v>0.34722222222222227</v>
      </c>
      <c r="BU1871" t="s">
        <v>1009</v>
      </c>
      <c r="BV1871" t="s">
        <v>86</v>
      </c>
      <c r="BY1871">
        <v>1200</v>
      </c>
      <c r="CC1871" t="s">
        <v>170</v>
      </c>
      <c r="CD1871">
        <v>1459</v>
      </c>
      <c r="CE1871" t="s">
        <v>88</v>
      </c>
      <c r="CF1871" s="3">
        <v>43819</v>
      </c>
      <c r="CI1871">
        <v>1</v>
      </c>
      <c r="CJ1871">
        <v>1</v>
      </c>
      <c r="CK1871">
        <v>22</v>
      </c>
      <c r="CL1871" t="s">
        <v>89</v>
      </c>
    </row>
    <row r="1872" spans="1:90">
      <c r="A1872" t="s">
        <v>72</v>
      </c>
      <c r="B1872" t="s">
        <v>73</v>
      </c>
      <c r="C1872" t="s">
        <v>74</v>
      </c>
      <c r="E1872" t="str">
        <f>"FES1162728834"</f>
        <v>FES1162728834</v>
      </c>
      <c r="F1872" s="3">
        <v>43817</v>
      </c>
      <c r="G1872">
        <v>202006</v>
      </c>
      <c r="H1872" t="s">
        <v>75</v>
      </c>
      <c r="I1872" t="s">
        <v>76</v>
      </c>
      <c r="J1872" t="s">
        <v>77</v>
      </c>
      <c r="K1872" t="s">
        <v>78</v>
      </c>
      <c r="L1872" t="s">
        <v>164</v>
      </c>
      <c r="M1872" t="s">
        <v>165</v>
      </c>
      <c r="N1872" t="s">
        <v>1027</v>
      </c>
      <c r="O1872" t="s">
        <v>82</v>
      </c>
      <c r="P1872" t="str">
        <f>"21707200092                   "</f>
        <v xml:space="preserve">21707200092                   </v>
      </c>
      <c r="Q1872">
        <v>0</v>
      </c>
      <c r="R1872">
        <v>0</v>
      </c>
      <c r="S1872">
        <v>0</v>
      </c>
      <c r="T1872">
        <v>0</v>
      </c>
      <c r="U1872">
        <v>0</v>
      </c>
      <c r="V1872">
        <v>0</v>
      </c>
      <c r="W1872">
        <v>0</v>
      </c>
      <c r="X1872">
        <v>0</v>
      </c>
      <c r="Y1872">
        <v>0</v>
      </c>
      <c r="Z1872">
        <v>0</v>
      </c>
      <c r="AA1872">
        <v>0</v>
      </c>
      <c r="AB1872">
        <v>0</v>
      </c>
      <c r="AC1872">
        <v>0</v>
      </c>
      <c r="AD1872">
        <v>0</v>
      </c>
      <c r="AE1872">
        <v>0</v>
      </c>
      <c r="AF1872">
        <v>0</v>
      </c>
      <c r="AG1872">
        <v>0</v>
      </c>
      <c r="AH1872">
        <v>0</v>
      </c>
      <c r="AI1872">
        <v>0</v>
      </c>
      <c r="AJ1872">
        <v>0</v>
      </c>
      <c r="AK1872">
        <v>0</v>
      </c>
      <c r="AL1872">
        <v>0</v>
      </c>
      <c r="AM1872">
        <v>8.58</v>
      </c>
      <c r="AN1872">
        <v>0</v>
      </c>
      <c r="AO1872">
        <v>0</v>
      </c>
      <c r="AP1872">
        <v>0</v>
      </c>
      <c r="AQ1872">
        <v>0</v>
      </c>
      <c r="AR1872">
        <v>0</v>
      </c>
      <c r="AS1872">
        <v>0</v>
      </c>
      <c r="AT1872">
        <v>0</v>
      </c>
      <c r="AU1872">
        <v>0</v>
      </c>
      <c r="AV1872">
        <v>0</v>
      </c>
      <c r="AW1872">
        <v>0</v>
      </c>
      <c r="AX1872">
        <v>0</v>
      </c>
      <c r="AY1872">
        <v>0</v>
      </c>
      <c r="AZ1872">
        <v>0</v>
      </c>
      <c r="BA1872">
        <v>0</v>
      </c>
      <c r="BB1872">
        <v>0</v>
      </c>
      <c r="BC1872">
        <v>0</v>
      </c>
      <c r="BD1872">
        <v>0</v>
      </c>
      <c r="BE1872">
        <v>0</v>
      </c>
      <c r="BF1872">
        <v>0</v>
      </c>
      <c r="BG1872">
        <v>0</v>
      </c>
      <c r="BH1872">
        <v>1</v>
      </c>
      <c r="BI1872">
        <v>1</v>
      </c>
      <c r="BJ1872">
        <v>0.2</v>
      </c>
      <c r="BK1872">
        <v>1</v>
      </c>
      <c r="BL1872" s="4">
        <v>50.45</v>
      </c>
      <c r="BM1872" s="4">
        <v>7.57</v>
      </c>
      <c r="BN1872" s="4">
        <v>58.02</v>
      </c>
      <c r="BO1872" s="4">
        <v>58.02</v>
      </c>
      <c r="BR1872" t="s">
        <v>84</v>
      </c>
      <c r="BS1872" s="3">
        <v>43818</v>
      </c>
      <c r="BT1872" s="5">
        <v>0.41319444444444442</v>
      </c>
      <c r="BU1872" t="s">
        <v>2209</v>
      </c>
      <c r="BV1872" t="s">
        <v>86</v>
      </c>
      <c r="BY1872">
        <v>1200</v>
      </c>
      <c r="CA1872" t="s">
        <v>168</v>
      </c>
      <c r="CC1872" t="s">
        <v>165</v>
      </c>
      <c r="CD1872">
        <v>5201</v>
      </c>
      <c r="CE1872" t="s">
        <v>88</v>
      </c>
      <c r="CF1872" s="3">
        <v>43822</v>
      </c>
      <c r="CI1872">
        <v>1</v>
      </c>
      <c r="CJ1872">
        <v>1</v>
      </c>
      <c r="CK1872">
        <v>21</v>
      </c>
      <c r="CL1872" t="s">
        <v>89</v>
      </c>
    </row>
    <row r="1873" spans="1:90">
      <c r="A1873" t="s">
        <v>72</v>
      </c>
      <c r="B1873" t="s">
        <v>73</v>
      </c>
      <c r="C1873" t="s">
        <v>74</v>
      </c>
      <c r="E1873" t="str">
        <f>"FES1162728759"</f>
        <v>FES1162728759</v>
      </c>
      <c r="F1873" s="3">
        <v>43817</v>
      </c>
      <c r="G1873">
        <v>202006</v>
      </c>
      <c r="H1873" t="s">
        <v>75</v>
      </c>
      <c r="I1873" t="s">
        <v>76</v>
      </c>
      <c r="J1873" t="s">
        <v>77</v>
      </c>
      <c r="K1873" t="s">
        <v>78</v>
      </c>
      <c r="L1873" t="s">
        <v>632</v>
      </c>
      <c r="M1873" t="s">
        <v>633</v>
      </c>
      <c r="N1873" t="s">
        <v>634</v>
      </c>
      <c r="O1873" t="s">
        <v>82</v>
      </c>
      <c r="P1873" t="str">
        <f>"217071925                     "</f>
        <v xml:space="preserve">217071925                     </v>
      </c>
      <c r="Q1873">
        <v>0</v>
      </c>
      <c r="R1873">
        <v>0</v>
      </c>
      <c r="S1873">
        <v>0</v>
      </c>
      <c r="T1873">
        <v>0</v>
      </c>
      <c r="U1873">
        <v>0</v>
      </c>
      <c r="V1873">
        <v>0</v>
      </c>
      <c r="W1873">
        <v>0</v>
      </c>
      <c r="X1873">
        <v>0</v>
      </c>
      <c r="Y1873">
        <v>0</v>
      </c>
      <c r="Z1873">
        <v>0</v>
      </c>
      <c r="AA1873">
        <v>0</v>
      </c>
      <c r="AB1873">
        <v>0</v>
      </c>
      <c r="AC1873">
        <v>0</v>
      </c>
      <c r="AD1873">
        <v>0</v>
      </c>
      <c r="AE1873">
        <v>0</v>
      </c>
      <c r="AF1873">
        <v>0</v>
      </c>
      <c r="AG1873">
        <v>0</v>
      </c>
      <c r="AH1873">
        <v>0</v>
      </c>
      <c r="AI1873">
        <v>0</v>
      </c>
      <c r="AJ1873">
        <v>0</v>
      </c>
      <c r="AK1873">
        <v>0</v>
      </c>
      <c r="AL1873">
        <v>0</v>
      </c>
      <c r="AM1873">
        <v>6.71</v>
      </c>
      <c r="AN1873">
        <v>0</v>
      </c>
      <c r="AO1873">
        <v>0</v>
      </c>
      <c r="AP1873">
        <v>0</v>
      </c>
      <c r="AQ1873">
        <v>0</v>
      </c>
      <c r="AR1873">
        <v>0</v>
      </c>
      <c r="AS1873">
        <v>0</v>
      </c>
      <c r="AT1873">
        <v>0</v>
      </c>
      <c r="AU1873">
        <v>0</v>
      </c>
      <c r="AV1873">
        <v>0</v>
      </c>
      <c r="AW1873">
        <v>0</v>
      </c>
      <c r="AX1873">
        <v>0</v>
      </c>
      <c r="AY1873">
        <v>0</v>
      </c>
      <c r="AZ1873">
        <v>0</v>
      </c>
      <c r="BA1873">
        <v>0</v>
      </c>
      <c r="BB1873">
        <v>0</v>
      </c>
      <c r="BC1873">
        <v>0</v>
      </c>
      <c r="BD1873">
        <v>0</v>
      </c>
      <c r="BE1873">
        <v>0</v>
      </c>
      <c r="BF1873">
        <v>0</v>
      </c>
      <c r="BG1873">
        <v>0</v>
      </c>
      <c r="BH1873">
        <v>1</v>
      </c>
      <c r="BI1873">
        <v>1</v>
      </c>
      <c r="BJ1873">
        <v>0.2</v>
      </c>
      <c r="BK1873">
        <v>1</v>
      </c>
      <c r="BL1873" s="4">
        <v>39.42</v>
      </c>
      <c r="BM1873" s="4">
        <v>5.91</v>
      </c>
      <c r="BN1873" s="4">
        <v>45.33</v>
      </c>
      <c r="BO1873" s="4">
        <v>45.33</v>
      </c>
      <c r="BQ1873" t="s">
        <v>147</v>
      </c>
      <c r="BR1873" t="s">
        <v>84</v>
      </c>
      <c r="BS1873" s="3">
        <v>43818</v>
      </c>
      <c r="BT1873" s="5">
        <v>0.37708333333333338</v>
      </c>
      <c r="BU1873" t="s">
        <v>2210</v>
      </c>
      <c r="BV1873" t="s">
        <v>86</v>
      </c>
      <c r="BY1873">
        <v>1200</v>
      </c>
      <c r="CC1873" t="s">
        <v>633</v>
      </c>
      <c r="CD1873">
        <v>1451</v>
      </c>
      <c r="CE1873" t="s">
        <v>88</v>
      </c>
      <c r="CF1873" s="3">
        <v>43819</v>
      </c>
      <c r="CI1873">
        <v>1</v>
      </c>
      <c r="CJ1873">
        <v>1</v>
      </c>
      <c r="CK1873">
        <v>22</v>
      </c>
      <c r="CL1873" t="s">
        <v>89</v>
      </c>
    </row>
    <row r="1874" spans="1:90">
      <c r="A1874" t="s">
        <v>72</v>
      </c>
      <c r="B1874" t="s">
        <v>73</v>
      </c>
      <c r="C1874" t="s">
        <v>74</v>
      </c>
      <c r="E1874" t="str">
        <f>"FES1162728757"</f>
        <v>FES1162728757</v>
      </c>
      <c r="F1874" s="3">
        <v>43817</v>
      </c>
      <c r="G1874">
        <v>202006</v>
      </c>
      <c r="H1874" t="s">
        <v>75</v>
      </c>
      <c r="I1874" t="s">
        <v>76</v>
      </c>
      <c r="J1874" t="s">
        <v>77</v>
      </c>
      <c r="K1874" t="s">
        <v>78</v>
      </c>
      <c r="L1874" t="s">
        <v>117</v>
      </c>
      <c r="M1874" t="s">
        <v>118</v>
      </c>
      <c r="N1874" t="s">
        <v>119</v>
      </c>
      <c r="O1874" t="s">
        <v>82</v>
      </c>
      <c r="P1874" t="str">
        <f>"2170721951                    "</f>
        <v xml:space="preserve">2170721951                    </v>
      </c>
      <c r="Q1874">
        <v>0</v>
      </c>
      <c r="R1874">
        <v>0</v>
      </c>
      <c r="S1874">
        <v>0</v>
      </c>
      <c r="T1874">
        <v>0</v>
      </c>
      <c r="U1874">
        <v>0</v>
      </c>
      <c r="V1874">
        <v>0</v>
      </c>
      <c r="W1874">
        <v>0</v>
      </c>
      <c r="X1874">
        <v>0</v>
      </c>
      <c r="Y1874">
        <v>0</v>
      </c>
      <c r="Z1874">
        <v>0</v>
      </c>
      <c r="AA1874">
        <v>0</v>
      </c>
      <c r="AB1874">
        <v>0</v>
      </c>
      <c r="AC1874">
        <v>0</v>
      </c>
      <c r="AD1874">
        <v>0</v>
      </c>
      <c r="AE1874">
        <v>0</v>
      </c>
      <c r="AF1874">
        <v>0</v>
      </c>
      <c r="AG1874">
        <v>0</v>
      </c>
      <c r="AH1874">
        <v>0</v>
      </c>
      <c r="AI1874">
        <v>0</v>
      </c>
      <c r="AJ1874">
        <v>0</v>
      </c>
      <c r="AK1874">
        <v>0</v>
      </c>
      <c r="AL1874">
        <v>0</v>
      </c>
      <c r="AM1874">
        <v>6.71</v>
      </c>
      <c r="AN1874">
        <v>0</v>
      </c>
      <c r="AO1874">
        <v>0</v>
      </c>
      <c r="AP1874">
        <v>0</v>
      </c>
      <c r="AQ1874">
        <v>0</v>
      </c>
      <c r="AR1874">
        <v>0</v>
      </c>
      <c r="AS1874">
        <v>0</v>
      </c>
      <c r="AT1874">
        <v>0</v>
      </c>
      <c r="AU1874">
        <v>0</v>
      </c>
      <c r="AV1874">
        <v>0</v>
      </c>
      <c r="AW1874">
        <v>0</v>
      </c>
      <c r="AX1874">
        <v>0</v>
      </c>
      <c r="AY1874">
        <v>0</v>
      </c>
      <c r="AZ1874">
        <v>0</v>
      </c>
      <c r="BA1874">
        <v>0</v>
      </c>
      <c r="BB1874">
        <v>0</v>
      </c>
      <c r="BC1874">
        <v>0</v>
      </c>
      <c r="BD1874">
        <v>0</v>
      </c>
      <c r="BE1874">
        <v>0</v>
      </c>
      <c r="BF1874">
        <v>0</v>
      </c>
      <c r="BG1874">
        <v>0</v>
      </c>
      <c r="BH1874">
        <v>1</v>
      </c>
      <c r="BI1874">
        <v>1</v>
      </c>
      <c r="BJ1874">
        <v>0.2</v>
      </c>
      <c r="BK1874">
        <v>1</v>
      </c>
      <c r="BL1874" s="4">
        <v>39.42</v>
      </c>
      <c r="BM1874" s="4">
        <v>5.91</v>
      </c>
      <c r="BN1874" s="4">
        <v>45.33</v>
      </c>
      <c r="BO1874" s="4">
        <v>45.33</v>
      </c>
      <c r="BQ1874" t="s">
        <v>147</v>
      </c>
      <c r="BR1874" t="s">
        <v>84</v>
      </c>
      <c r="BS1874" s="3">
        <v>43818</v>
      </c>
      <c r="BT1874" s="5">
        <v>0.33333333333333331</v>
      </c>
      <c r="BU1874" t="s">
        <v>2211</v>
      </c>
      <c r="BV1874" t="s">
        <v>86</v>
      </c>
      <c r="BY1874">
        <v>1200</v>
      </c>
      <c r="CA1874" t="s">
        <v>121</v>
      </c>
      <c r="CC1874" t="s">
        <v>118</v>
      </c>
      <c r="CD1874">
        <v>1540</v>
      </c>
      <c r="CE1874" t="s">
        <v>88</v>
      </c>
      <c r="CF1874" s="3">
        <v>43819</v>
      </c>
      <c r="CI1874">
        <v>1</v>
      </c>
      <c r="CJ1874">
        <v>1</v>
      </c>
      <c r="CK1874">
        <v>22</v>
      </c>
      <c r="CL1874" t="s">
        <v>89</v>
      </c>
    </row>
    <row r="1875" spans="1:90">
      <c r="A1875" t="s">
        <v>72</v>
      </c>
      <c r="B1875" t="s">
        <v>73</v>
      </c>
      <c r="C1875" t="s">
        <v>74</v>
      </c>
      <c r="E1875" t="str">
        <f>"FES1162728912"</f>
        <v>FES1162728912</v>
      </c>
      <c r="F1875" s="3">
        <v>43817</v>
      </c>
      <c r="G1875">
        <v>202006</v>
      </c>
      <c r="H1875" t="s">
        <v>75</v>
      </c>
      <c r="I1875" t="s">
        <v>76</v>
      </c>
      <c r="J1875" t="s">
        <v>77</v>
      </c>
      <c r="K1875" t="s">
        <v>78</v>
      </c>
      <c r="L1875" t="s">
        <v>332</v>
      </c>
      <c r="M1875" t="s">
        <v>333</v>
      </c>
      <c r="N1875" t="s">
        <v>790</v>
      </c>
      <c r="O1875" t="s">
        <v>82</v>
      </c>
      <c r="P1875" t="str">
        <f>"2170722013                    "</f>
        <v xml:space="preserve">2170722013                    </v>
      </c>
      <c r="Q1875">
        <v>0</v>
      </c>
      <c r="R1875">
        <v>0</v>
      </c>
      <c r="S1875">
        <v>0</v>
      </c>
      <c r="T1875">
        <v>0</v>
      </c>
      <c r="U1875">
        <v>0</v>
      </c>
      <c r="V1875">
        <v>0</v>
      </c>
      <c r="W1875">
        <v>0</v>
      </c>
      <c r="X1875">
        <v>0</v>
      </c>
      <c r="Y1875">
        <v>0</v>
      </c>
      <c r="Z1875">
        <v>0</v>
      </c>
      <c r="AA1875">
        <v>0</v>
      </c>
      <c r="AB1875">
        <v>0</v>
      </c>
      <c r="AC1875">
        <v>0</v>
      </c>
      <c r="AD1875">
        <v>0</v>
      </c>
      <c r="AE1875">
        <v>0</v>
      </c>
      <c r="AF1875">
        <v>0</v>
      </c>
      <c r="AG1875">
        <v>0</v>
      </c>
      <c r="AH1875">
        <v>0</v>
      </c>
      <c r="AI1875">
        <v>0</v>
      </c>
      <c r="AJ1875">
        <v>0</v>
      </c>
      <c r="AK1875">
        <v>0</v>
      </c>
      <c r="AL1875">
        <v>0</v>
      </c>
      <c r="AM1875">
        <v>6.71</v>
      </c>
      <c r="AN1875">
        <v>0</v>
      </c>
      <c r="AO1875">
        <v>0</v>
      </c>
      <c r="AP1875">
        <v>0</v>
      </c>
      <c r="AQ1875">
        <v>0</v>
      </c>
      <c r="AR1875">
        <v>0</v>
      </c>
      <c r="AS1875">
        <v>0</v>
      </c>
      <c r="AT1875">
        <v>0</v>
      </c>
      <c r="AU1875">
        <v>0</v>
      </c>
      <c r="AV1875">
        <v>0</v>
      </c>
      <c r="AW1875">
        <v>0</v>
      </c>
      <c r="AX1875">
        <v>0</v>
      </c>
      <c r="AY1875">
        <v>0</v>
      </c>
      <c r="AZ1875">
        <v>0</v>
      </c>
      <c r="BA1875">
        <v>0</v>
      </c>
      <c r="BB1875">
        <v>0</v>
      </c>
      <c r="BC1875">
        <v>0</v>
      </c>
      <c r="BD1875">
        <v>0</v>
      </c>
      <c r="BE1875">
        <v>0</v>
      </c>
      <c r="BF1875">
        <v>0</v>
      </c>
      <c r="BG1875">
        <v>0</v>
      </c>
      <c r="BH1875">
        <v>1</v>
      </c>
      <c r="BI1875">
        <v>1</v>
      </c>
      <c r="BJ1875">
        <v>0.2</v>
      </c>
      <c r="BK1875">
        <v>1</v>
      </c>
      <c r="BL1875" s="4">
        <v>39.42</v>
      </c>
      <c r="BM1875" s="4">
        <v>5.91</v>
      </c>
      <c r="BN1875" s="4">
        <v>45.33</v>
      </c>
      <c r="BO1875" s="4">
        <v>45.33</v>
      </c>
      <c r="BQ1875" t="s">
        <v>147</v>
      </c>
      <c r="BR1875" t="s">
        <v>84</v>
      </c>
      <c r="BS1875" s="3">
        <v>43818</v>
      </c>
      <c r="BT1875" s="5">
        <v>0.375</v>
      </c>
      <c r="BU1875" t="s">
        <v>142</v>
      </c>
      <c r="BV1875" t="s">
        <v>86</v>
      </c>
      <c r="BY1875">
        <v>1200</v>
      </c>
      <c r="CC1875" t="s">
        <v>333</v>
      </c>
      <c r="CD1875">
        <v>2091</v>
      </c>
      <c r="CE1875" t="s">
        <v>88</v>
      </c>
      <c r="CF1875" s="3">
        <v>43819</v>
      </c>
      <c r="CI1875">
        <v>1</v>
      </c>
      <c r="CJ1875">
        <v>1</v>
      </c>
      <c r="CK1875">
        <v>22</v>
      </c>
      <c r="CL1875" t="s">
        <v>89</v>
      </c>
    </row>
    <row r="1876" spans="1:90">
      <c r="A1876" t="s">
        <v>72</v>
      </c>
      <c r="B1876" t="s">
        <v>73</v>
      </c>
      <c r="C1876" t="s">
        <v>74</v>
      </c>
      <c r="E1876" t="str">
        <f>"FES1162728839"</f>
        <v>FES1162728839</v>
      </c>
      <c r="F1876" s="3">
        <v>43817</v>
      </c>
      <c r="G1876">
        <v>202006</v>
      </c>
      <c r="H1876" t="s">
        <v>75</v>
      </c>
      <c r="I1876" t="s">
        <v>76</v>
      </c>
      <c r="J1876" t="s">
        <v>77</v>
      </c>
      <c r="K1876" t="s">
        <v>78</v>
      </c>
      <c r="L1876" t="s">
        <v>221</v>
      </c>
      <c r="M1876" t="s">
        <v>222</v>
      </c>
      <c r="N1876" t="s">
        <v>236</v>
      </c>
      <c r="O1876" t="s">
        <v>82</v>
      </c>
      <c r="P1876" t="str">
        <f>"21707120334                   "</f>
        <v xml:space="preserve">21707120334                   </v>
      </c>
      <c r="Q1876">
        <v>0</v>
      </c>
      <c r="R1876">
        <v>0</v>
      </c>
      <c r="S1876">
        <v>0</v>
      </c>
      <c r="T1876">
        <v>0</v>
      </c>
      <c r="U1876">
        <v>0</v>
      </c>
      <c r="V1876">
        <v>0</v>
      </c>
      <c r="W1876">
        <v>0</v>
      </c>
      <c r="X1876">
        <v>0</v>
      </c>
      <c r="Y1876">
        <v>0</v>
      </c>
      <c r="Z1876">
        <v>0</v>
      </c>
      <c r="AA1876">
        <v>0</v>
      </c>
      <c r="AB1876">
        <v>0</v>
      </c>
      <c r="AC1876">
        <v>0</v>
      </c>
      <c r="AD1876">
        <v>0</v>
      </c>
      <c r="AE1876">
        <v>0</v>
      </c>
      <c r="AF1876">
        <v>0</v>
      </c>
      <c r="AG1876">
        <v>0</v>
      </c>
      <c r="AH1876">
        <v>0</v>
      </c>
      <c r="AI1876">
        <v>0</v>
      </c>
      <c r="AJ1876">
        <v>0</v>
      </c>
      <c r="AK1876">
        <v>0</v>
      </c>
      <c r="AL1876">
        <v>0</v>
      </c>
      <c r="AM1876">
        <v>8.58</v>
      </c>
      <c r="AN1876">
        <v>0</v>
      </c>
      <c r="AO1876">
        <v>0</v>
      </c>
      <c r="AP1876">
        <v>0</v>
      </c>
      <c r="AQ1876">
        <v>0</v>
      </c>
      <c r="AR1876">
        <v>0</v>
      </c>
      <c r="AS1876">
        <v>0</v>
      </c>
      <c r="AT1876">
        <v>0</v>
      </c>
      <c r="AU1876">
        <v>0</v>
      </c>
      <c r="AV1876">
        <v>0</v>
      </c>
      <c r="AW1876">
        <v>0</v>
      </c>
      <c r="AX1876">
        <v>0</v>
      </c>
      <c r="AY1876">
        <v>0</v>
      </c>
      <c r="AZ1876">
        <v>0</v>
      </c>
      <c r="BA1876">
        <v>0</v>
      </c>
      <c r="BB1876">
        <v>0</v>
      </c>
      <c r="BC1876">
        <v>0</v>
      </c>
      <c r="BD1876">
        <v>0</v>
      </c>
      <c r="BE1876">
        <v>0</v>
      </c>
      <c r="BF1876">
        <v>0</v>
      </c>
      <c r="BG1876">
        <v>0</v>
      </c>
      <c r="BH1876">
        <v>1</v>
      </c>
      <c r="BI1876">
        <v>0.7</v>
      </c>
      <c r="BJ1876">
        <v>1.3</v>
      </c>
      <c r="BK1876">
        <v>1.5</v>
      </c>
      <c r="BL1876" s="4">
        <v>50.45</v>
      </c>
      <c r="BM1876" s="4">
        <v>7.57</v>
      </c>
      <c r="BN1876" s="4">
        <v>58.02</v>
      </c>
      <c r="BO1876" s="4">
        <v>58.02</v>
      </c>
      <c r="BQ1876" t="s">
        <v>93</v>
      </c>
      <c r="BR1876" t="s">
        <v>84</v>
      </c>
      <c r="BS1876" s="3">
        <v>43822</v>
      </c>
      <c r="BT1876" s="5">
        <v>0.43472222222222223</v>
      </c>
      <c r="BU1876" t="s">
        <v>2212</v>
      </c>
      <c r="BV1876" t="s">
        <v>89</v>
      </c>
      <c r="BW1876" t="s">
        <v>506</v>
      </c>
      <c r="BX1876" t="s">
        <v>1879</v>
      </c>
      <c r="BY1876">
        <v>6287.32</v>
      </c>
      <c r="CA1876" t="s">
        <v>620</v>
      </c>
      <c r="CC1876" t="s">
        <v>222</v>
      </c>
      <c r="CD1876">
        <v>3212</v>
      </c>
      <c r="CE1876" t="s">
        <v>96</v>
      </c>
      <c r="CF1876" s="3">
        <v>43823</v>
      </c>
      <c r="CI1876">
        <v>1</v>
      </c>
      <c r="CJ1876">
        <v>3</v>
      </c>
      <c r="CK1876">
        <v>21</v>
      </c>
      <c r="CL1876" t="s">
        <v>89</v>
      </c>
    </row>
    <row r="1877" spans="1:90">
      <c r="A1877" t="s">
        <v>72</v>
      </c>
      <c r="B1877" t="s">
        <v>73</v>
      </c>
      <c r="C1877" t="s">
        <v>74</v>
      </c>
      <c r="E1877" t="str">
        <f>"FES1162728990"</f>
        <v>FES1162728990</v>
      </c>
      <c r="F1877" s="3">
        <v>43817</v>
      </c>
      <c r="G1877">
        <v>202006</v>
      </c>
      <c r="H1877" t="s">
        <v>75</v>
      </c>
      <c r="I1877" t="s">
        <v>76</v>
      </c>
      <c r="J1877" t="s">
        <v>77</v>
      </c>
      <c r="K1877" t="s">
        <v>78</v>
      </c>
      <c r="L1877" t="s">
        <v>90</v>
      </c>
      <c r="M1877" t="s">
        <v>91</v>
      </c>
      <c r="N1877" t="s">
        <v>1063</v>
      </c>
      <c r="O1877" t="s">
        <v>82</v>
      </c>
      <c r="P1877" t="str">
        <f>"2170722103                    "</f>
        <v xml:space="preserve">2170722103                    </v>
      </c>
      <c r="Q1877">
        <v>0</v>
      </c>
      <c r="R1877">
        <v>0</v>
      </c>
      <c r="S1877">
        <v>0</v>
      </c>
      <c r="T1877">
        <v>0</v>
      </c>
      <c r="U1877">
        <v>0</v>
      </c>
      <c r="V1877">
        <v>0</v>
      </c>
      <c r="W1877">
        <v>0</v>
      </c>
      <c r="X1877">
        <v>0</v>
      </c>
      <c r="Y1877">
        <v>0</v>
      </c>
      <c r="Z1877">
        <v>0</v>
      </c>
      <c r="AA1877">
        <v>0</v>
      </c>
      <c r="AB1877">
        <v>0</v>
      </c>
      <c r="AC1877">
        <v>0</v>
      </c>
      <c r="AD1877">
        <v>0</v>
      </c>
      <c r="AE1877">
        <v>0</v>
      </c>
      <c r="AF1877">
        <v>0</v>
      </c>
      <c r="AG1877">
        <v>0</v>
      </c>
      <c r="AH1877">
        <v>0</v>
      </c>
      <c r="AI1877">
        <v>0</v>
      </c>
      <c r="AJ1877">
        <v>0</v>
      </c>
      <c r="AK1877">
        <v>0</v>
      </c>
      <c r="AL1877">
        <v>0</v>
      </c>
      <c r="AM1877">
        <v>19.3</v>
      </c>
      <c r="AN1877">
        <v>0</v>
      </c>
      <c r="AO1877">
        <v>0</v>
      </c>
      <c r="AP1877">
        <v>0</v>
      </c>
      <c r="AQ1877">
        <v>0</v>
      </c>
      <c r="AR1877">
        <v>0</v>
      </c>
      <c r="AS1877">
        <v>0</v>
      </c>
      <c r="AT1877">
        <v>0</v>
      </c>
      <c r="AU1877">
        <v>0</v>
      </c>
      <c r="AV1877">
        <v>0</v>
      </c>
      <c r="AW1877">
        <v>0</v>
      </c>
      <c r="AX1877">
        <v>0</v>
      </c>
      <c r="AY1877">
        <v>0</v>
      </c>
      <c r="AZ1877">
        <v>0</v>
      </c>
      <c r="BA1877">
        <v>0</v>
      </c>
      <c r="BB1877">
        <v>0</v>
      </c>
      <c r="BC1877">
        <v>0</v>
      </c>
      <c r="BD1877">
        <v>0</v>
      </c>
      <c r="BE1877">
        <v>0</v>
      </c>
      <c r="BF1877">
        <v>0</v>
      </c>
      <c r="BG1877">
        <v>0</v>
      </c>
      <c r="BH1877">
        <v>1</v>
      </c>
      <c r="BI1877">
        <v>2</v>
      </c>
      <c r="BJ1877">
        <v>4.5</v>
      </c>
      <c r="BK1877">
        <v>4.5</v>
      </c>
      <c r="BL1877" s="4">
        <v>113.47</v>
      </c>
      <c r="BM1877" s="4">
        <v>17.02</v>
      </c>
      <c r="BN1877" s="4">
        <v>130.49</v>
      </c>
      <c r="BO1877" s="4">
        <v>130.49</v>
      </c>
      <c r="BR1877" t="s">
        <v>84</v>
      </c>
      <c r="BS1877" s="3">
        <v>43818</v>
      </c>
      <c r="BT1877" s="5">
        <v>0.38680555555555557</v>
      </c>
      <c r="BU1877" t="s">
        <v>2213</v>
      </c>
      <c r="BV1877" t="s">
        <v>86</v>
      </c>
      <c r="BY1877">
        <v>22680</v>
      </c>
      <c r="CA1877" t="s">
        <v>1720</v>
      </c>
      <c r="CC1877" t="s">
        <v>91</v>
      </c>
      <c r="CD1877">
        <v>7460</v>
      </c>
      <c r="CE1877" t="s">
        <v>116</v>
      </c>
      <c r="CF1877" s="3">
        <v>43818</v>
      </c>
      <c r="CI1877">
        <v>1</v>
      </c>
      <c r="CJ1877">
        <v>1</v>
      </c>
      <c r="CK1877">
        <v>21</v>
      </c>
      <c r="CL1877" t="s">
        <v>89</v>
      </c>
    </row>
    <row r="1878" spans="1:90">
      <c r="A1878" t="s">
        <v>72</v>
      </c>
      <c r="B1878" t="s">
        <v>73</v>
      </c>
      <c r="C1878" t="s">
        <v>74</v>
      </c>
      <c r="E1878" t="str">
        <f>"FES1162728994"</f>
        <v>FES1162728994</v>
      </c>
      <c r="F1878" s="3">
        <v>43817</v>
      </c>
      <c r="G1878">
        <v>202006</v>
      </c>
      <c r="H1878" t="s">
        <v>75</v>
      </c>
      <c r="I1878" t="s">
        <v>76</v>
      </c>
      <c r="J1878" t="s">
        <v>77</v>
      </c>
      <c r="K1878" t="s">
        <v>78</v>
      </c>
      <c r="L1878" t="s">
        <v>90</v>
      </c>
      <c r="M1878" t="s">
        <v>91</v>
      </c>
      <c r="N1878" t="s">
        <v>1196</v>
      </c>
      <c r="O1878" t="s">
        <v>82</v>
      </c>
      <c r="P1878" t="str">
        <f>"217071687                     "</f>
        <v xml:space="preserve">217071687                     </v>
      </c>
      <c r="Q1878">
        <v>0</v>
      </c>
      <c r="R1878">
        <v>0</v>
      </c>
      <c r="S1878">
        <v>0</v>
      </c>
      <c r="T1878">
        <v>0</v>
      </c>
      <c r="U1878">
        <v>0</v>
      </c>
      <c r="V1878">
        <v>0</v>
      </c>
      <c r="W1878">
        <v>0</v>
      </c>
      <c r="X1878">
        <v>0</v>
      </c>
      <c r="Y1878">
        <v>0</v>
      </c>
      <c r="Z1878">
        <v>0</v>
      </c>
      <c r="AA1878">
        <v>0</v>
      </c>
      <c r="AB1878">
        <v>0</v>
      </c>
      <c r="AC1878">
        <v>0</v>
      </c>
      <c r="AD1878">
        <v>0</v>
      </c>
      <c r="AE1878">
        <v>0</v>
      </c>
      <c r="AF1878">
        <v>0</v>
      </c>
      <c r="AG1878">
        <v>0</v>
      </c>
      <c r="AH1878">
        <v>0</v>
      </c>
      <c r="AI1878">
        <v>0</v>
      </c>
      <c r="AJ1878">
        <v>0</v>
      </c>
      <c r="AK1878">
        <v>0</v>
      </c>
      <c r="AL1878">
        <v>0</v>
      </c>
      <c r="AM1878">
        <v>47.18</v>
      </c>
      <c r="AN1878">
        <v>0</v>
      </c>
      <c r="AO1878">
        <v>0</v>
      </c>
      <c r="AP1878">
        <v>0</v>
      </c>
      <c r="AQ1878">
        <v>0</v>
      </c>
      <c r="AR1878">
        <v>0</v>
      </c>
      <c r="AS1878">
        <v>0</v>
      </c>
      <c r="AT1878">
        <v>0</v>
      </c>
      <c r="AU1878">
        <v>0</v>
      </c>
      <c r="AV1878">
        <v>0</v>
      </c>
      <c r="AW1878">
        <v>0</v>
      </c>
      <c r="AX1878">
        <v>0</v>
      </c>
      <c r="AY1878">
        <v>0</v>
      </c>
      <c r="AZ1878">
        <v>0</v>
      </c>
      <c r="BA1878">
        <v>0</v>
      </c>
      <c r="BB1878">
        <v>0</v>
      </c>
      <c r="BC1878">
        <v>0</v>
      </c>
      <c r="BD1878">
        <v>0</v>
      </c>
      <c r="BE1878">
        <v>0</v>
      </c>
      <c r="BF1878">
        <v>0</v>
      </c>
      <c r="BG1878">
        <v>0</v>
      </c>
      <c r="BH1878">
        <v>1</v>
      </c>
      <c r="BI1878">
        <v>6.3</v>
      </c>
      <c r="BJ1878">
        <v>10.8</v>
      </c>
      <c r="BK1878">
        <v>11</v>
      </c>
      <c r="BL1878" s="4">
        <v>277.33</v>
      </c>
      <c r="BM1878" s="4">
        <v>41.6</v>
      </c>
      <c r="BN1878" s="4">
        <v>318.93</v>
      </c>
      <c r="BO1878" s="4">
        <v>318.93</v>
      </c>
      <c r="BQ1878" t="s">
        <v>277</v>
      </c>
      <c r="BR1878" t="s">
        <v>84</v>
      </c>
      <c r="BS1878" s="3">
        <v>43818</v>
      </c>
      <c r="BT1878" s="5">
        <v>0.38472222222222219</v>
      </c>
      <c r="BU1878" t="s">
        <v>2214</v>
      </c>
      <c r="BV1878" t="s">
        <v>86</v>
      </c>
      <c r="BY1878">
        <v>53953.55</v>
      </c>
      <c r="CA1878" t="s">
        <v>145</v>
      </c>
      <c r="CC1878" t="s">
        <v>91</v>
      </c>
      <c r="CD1878">
        <v>7441</v>
      </c>
      <c r="CE1878" t="s">
        <v>116</v>
      </c>
      <c r="CF1878" s="3">
        <v>43819</v>
      </c>
      <c r="CI1878">
        <v>1</v>
      </c>
      <c r="CJ1878">
        <v>1</v>
      </c>
      <c r="CK1878">
        <v>21</v>
      </c>
      <c r="CL1878" t="s">
        <v>89</v>
      </c>
    </row>
    <row r="1879" spans="1:90">
      <c r="A1879" t="s">
        <v>72</v>
      </c>
      <c r="B1879" t="s">
        <v>73</v>
      </c>
      <c r="C1879" t="s">
        <v>74</v>
      </c>
      <c r="E1879" t="str">
        <f>"FES1162728997"</f>
        <v>FES1162728997</v>
      </c>
      <c r="F1879" s="3">
        <v>43817</v>
      </c>
      <c r="G1879">
        <v>202006</v>
      </c>
      <c r="H1879" t="s">
        <v>75</v>
      </c>
      <c r="I1879" t="s">
        <v>76</v>
      </c>
      <c r="J1879" t="s">
        <v>77</v>
      </c>
      <c r="K1879" t="s">
        <v>78</v>
      </c>
      <c r="L1879" t="s">
        <v>90</v>
      </c>
      <c r="M1879" t="s">
        <v>91</v>
      </c>
      <c r="N1879" t="s">
        <v>535</v>
      </c>
      <c r="O1879" t="s">
        <v>82</v>
      </c>
      <c r="P1879" t="str">
        <f>"2170722108                    "</f>
        <v xml:space="preserve">2170722108                    </v>
      </c>
      <c r="Q1879">
        <v>0</v>
      </c>
      <c r="R1879">
        <v>0</v>
      </c>
      <c r="S1879">
        <v>0</v>
      </c>
      <c r="T1879">
        <v>0</v>
      </c>
      <c r="U1879">
        <v>0</v>
      </c>
      <c r="V1879">
        <v>0</v>
      </c>
      <c r="W1879">
        <v>0</v>
      </c>
      <c r="X1879">
        <v>0</v>
      </c>
      <c r="Y1879">
        <v>0</v>
      </c>
      <c r="Z1879">
        <v>0</v>
      </c>
      <c r="AA1879">
        <v>0</v>
      </c>
      <c r="AB1879">
        <v>0</v>
      </c>
      <c r="AC1879">
        <v>0</v>
      </c>
      <c r="AD1879">
        <v>0</v>
      </c>
      <c r="AE1879">
        <v>0</v>
      </c>
      <c r="AF1879">
        <v>0</v>
      </c>
      <c r="AG1879">
        <v>0</v>
      </c>
      <c r="AH1879">
        <v>0</v>
      </c>
      <c r="AI1879">
        <v>0</v>
      </c>
      <c r="AJ1879">
        <v>0</v>
      </c>
      <c r="AK1879">
        <v>0</v>
      </c>
      <c r="AL1879">
        <v>0</v>
      </c>
      <c r="AM1879">
        <v>8.58</v>
      </c>
      <c r="AN1879">
        <v>0</v>
      </c>
      <c r="AO1879">
        <v>0</v>
      </c>
      <c r="AP1879">
        <v>0</v>
      </c>
      <c r="AQ1879">
        <v>0</v>
      </c>
      <c r="AR1879">
        <v>0</v>
      </c>
      <c r="AS1879">
        <v>0</v>
      </c>
      <c r="AT1879">
        <v>0</v>
      </c>
      <c r="AU1879">
        <v>0</v>
      </c>
      <c r="AV1879">
        <v>0</v>
      </c>
      <c r="AW1879">
        <v>0</v>
      </c>
      <c r="AX1879">
        <v>0</v>
      </c>
      <c r="AY1879">
        <v>0</v>
      </c>
      <c r="AZ1879">
        <v>0</v>
      </c>
      <c r="BA1879">
        <v>0</v>
      </c>
      <c r="BB1879">
        <v>0</v>
      </c>
      <c r="BC1879">
        <v>0</v>
      </c>
      <c r="BD1879">
        <v>0</v>
      </c>
      <c r="BE1879">
        <v>0</v>
      </c>
      <c r="BF1879">
        <v>0</v>
      </c>
      <c r="BG1879">
        <v>0</v>
      </c>
      <c r="BH1879">
        <v>1</v>
      </c>
      <c r="BI1879">
        <v>1.1000000000000001</v>
      </c>
      <c r="BJ1879">
        <v>1.3</v>
      </c>
      <c r="BK1879">
        <v>1.5</v>
      </c>
      <c r="BL1879" s="4">
        <v>50.45</v>
      </c>
      <c r="BM1879" s="4">
        <v>7.57</v>
      </c>
      <c r="BN1879" s="4">
        <v>58.02</v>
      </c>
      <c r="BO1879" s="4">
        <v>58.02</v>
      </c>
      <c r="BQ1879" t="s">
        <v>147</v>
      </c>
      <c r="BR1879" t="s">
        <v>84</v>
      </c>
      <c r="BS1879" s="3">
        <v>43818</v>
      </c>
      <c r="BT1879" s="5">
        <v>0.38680555555555557</v>
      </c>
      <c r="BU1879" t="s">
        <v>1947</v>
      </c>
      <c r="BV1879" t="s">
        <v>86</v>
      </c>
      <c r="BY1879">
        <v>6331.73</v>
      </c>
      <c r="CA1879" t="s">
        <v>209</v>
      </c>
      <c r="CC1879" t="s">
        <v>91</v>
      </c>
      <c r="CD1879">
        <v>7441</v>
      </c>
      <c r="CE1879" t="s">
        <v>96</v>
      </c>
      <c r="CF1879" s="3">
        <v>43819</v>
      </c>
      <c r="CI1879">
        <v>1</v>
      </c>
      <c r="CJ1879">
        <v>1</v>
      </c>
      <c r="CK1879">
        <v>21</v>
      </c>
      <c r="CL1879" t="s">
        <v>89</v>
      </c>
    </row>
    <row r="1880" spans="1:90">
      <c r="A1880" t="s">
        <v>72</v>
      </c>
      <c r="B1880" t="s">
        <v>73</v>
      </c>
      <c r="C1880" t="s">
        <v>74</v>
      </c>
      <c r="E1880" t="str">
        <f>"FES1162728922"</f>
        <v>FES1162728922</v>
      </c>
      <c r="F1880" s="3">
        <v>43817</v>
      </c>
      <c r="G1880">
        <v>202006</v>
      </c>
      <c r="H1880" t="s">
        <v>75</v>
      </c>
      <c r="I1880" t="s">
        <v>76</v>
      </c>
      <c r="J1880" t="s">
        <v>77</v>
      </c>
      <c r="K1880" t="s">
        <v>78</v>
      </c>
      <c r="L1880" t="s">
        <v>332</v>
      </c>
      <c r="M1880" t="s">
        <v>333</v>
      </c>
      <c r="N1880" t="s">
        <v>701</v>
      </c>
      <c r="O1880" t="s">
        <v>82</v>
      </c>
      <c r="P1880" t="str">
        <f>"2170722024                    "</f>
        <v xml:space="preserve">2170722024                    </v>
      </c>
      <c r="Q1880">
        <v>0</v>
      </c>
      <c r="R1880">
        <v>0</v>
      </c>
      <c r="S1880">
        <v>0</v>
      </c>
      <c r="T1880">
        <v>0</v>
      </c>
      <c r="U1880">
        <v>0</v>
      </c>
      <c r="V1880">
        <v>0</v>
      </c>
      <c r="W1880">
        <v>0</v>
      </c>
      <c r="X1880">
        <v>0</v>
      </c>
      <c r="Y1880">
        <v>0</v>
      </c>
      <c r="Z1880">
        <v>0</v>
      </c>
      <c r="AA1880">
        <v>0</v>
      </c>
      <c r="AB1880">
        <v>0</v>
      </c>
      <c r="AC1880">
        <v>0</v>
      </c>
      <c r="AD1880">
        <v>0</v>
      </c>
      <c r="AE1880">
        <v>0</v>
      </c>
      <c r="AF1880">
        <v>0</v>
      </c>
      <c r="AG1880">
        <v>0</v>
      </c>
      <c r="AH1880">
        <v>0</v>
      </c>
      <c r="AI1880">
        <v>0</v>
      </c>
      <c r="AJ1880">
        <v>0</v>
      </c>
      <c r="AK1880">
        <v>0</v>
      </c>
      <c r="AL1880">
        <v>0</v>
      </c>
      <c r="AM1880">
        <v>8.31</v>
      </c>
      <c r="AN1880">
        <v>0</v>
      </c>
      <c r="AO1880">
        <v>0</v>
      </c>
      <c r="AP1880">
        <v>0</v>
      </c>
      <c r="AQ1880">
        <v>0</v>
      </c>
      <c r="AR1880">
        <v>0</v>
      </c>
      <c r="AS1880">
        <v>0</v>
      </c>
      <c r="AT1880">
        <v>0</v>
      </c>
      <c r="AU1880">
        <v>0</v>
      </c>
      <c r="AV1880">
        <v>0</v>
      </c>
      <c r="AW1880">
        <v>0</v>
      </c>
      <c r="AX1880">
        <v>0</v>
      </c>
      <c r="AY1880">
        <v>0</v>
      </c>
      <c r="AZ1880">
        <v>0</v>
      </c>
      <c r="BA1880">
        <v>0</v>
      </c>
      <c r="BB1880">
        <v>0</v>
      </c>
      <c r="BC1880">
        <v>0</v>
      </c>
      <c r="BD1880">
        <v>0</v>
      </c>
      <c r="BE1880">
        <v>0</v>
      </c>
      <c r="BF1880">
        <v>0</v>
      </c>
      <c r="BG1880">
        <v>0</v>
      </c>
      <c r="BH1880">
        <v>1</v>
      </c>
      <c r="BI1880">
        <v>1.6</v>
      </c>
      <c r="BJ1880">
        <v>2.9</v>
      </c>
      <c r="BK1880">
        <v>3</v>
      </c>
      <c r="BL1880" s="4">
        <v>48.86</v>
      </c>
      <c r="BM1880" s="4">
        <v>7.33</v>
      </c>
      <c r="BN1880" s="4">
        <v>56.19</v>
      </c>
      <c r="BO1880" s="4">
        <v>56.19</v>
      </c>
      <c r="BQ1880" t="s">
        <v>93</v>
      </c>
      <c r="BR1880" t="s">
        <v>84</v>
      </c>
      <c r="BS1880" s="3">
        <v>43818</v>
      </c>
      <c r="BT1880" s="5">
        <v>0.36874999999999997</v>
      </c>
      <c r="BU1880" t="s">
        <v>2148</v>
      </c>
      <c r="BV1880" t="s">
        <v>86</v>
      </c>
      <c r="BY1880">
        <v>14621.18</v>
      </c>
      <c r="CA1880" t="s">
        <v>2125</v>
      </c>
      <c r="CC1880" t="s">
        <v>333</v>
      </c>
      <c r="CD1880">
        <v>2094</v>
      </c>
      <c r="CE1880" t="s">
        <v>96</v>
      </c>
      <c r="CF1880" s="3">
        <v>43819</v>
      </c>
      <c r="CI1880">
        <v>1</v>
      </c>
      <c r="CJ1880">
        <v>1</v>
      </c>
      <c r="CK1880">
        <v>22</v>
      </c>
      <c r="CL1880" t="s">
        <v>89</v>
      </c>
    </row>
    <row r="1881" spans="1:90">
      <c r="A1881" t="s">
        <v>72</v>
      </c>
      <c r="B1881" t="s">
        <v>73</v>
      </c>
      <c r="C1881" t="s">
        <v>74</v>
      </c>
      <c r="E1881" t="str">
        <f>"FES1162728738"</f>
        <v>FES1162728738</v>
      </c>
      <c r="F1881" s="3">
        <v>43817</v>
      </c>
      <c r="G1881">
        <v>202006</v>
      </c>
      <c r="H1881" t="s">
        <v>75</v>
      </c>
      <c r="I1881" t="s">
        <v>76</v>
      </c>
      <c r="J1881" t="s">
        <v>77</v>
      </c>
      <c r="K1881" t="s">
        <v>78</v>
      </c>
      <c r="L1881" t="s">
        <v>138</v>
      </c>
      <c r="M1881" t="s">
        <v>139</v>
      </c>
      <c r="N1881" t="s">
        <v>2215</v>
      </c>
      <c r="O1881" t="s">
        <v>82</v>
      </c>
      <c r="P1881" t="str">
        <f>"2170721925                    "</f>
        <v xml:space="preserve">2170721925                    </v>
      </c>
      <c r="Q1881">
        <v>0</v>
      </c>
      <c r="R1881">
        <v>0</v>
      </c>
      <c r="S1881">
        <v>0</v>
      </c>
      <c r="T1881">
        <v>0</v>
      </c>
      <c r="U1881">
        <v>0</v>
      </c>
      <c r="V1881">
        <v>0</v>
      </c>
      <c r="W1881">
        <v>0</v>
      </c>
      <c r="X1881">
        <v>0</v>
      </c>
      <c r="Y1881">
        <v>0</v>
      </c>
      <c r="Z1881">
        <v>0</v>
      </c>
      <c r="AA1881">
        <v>0</v>
      </c>
      <c r="AB1881">
        <v>0</v>
      </c>
      <c r="AC1881">
        <v>0</v>
      </c>
      <c r="AD1881">
        <v>0</v>
      </c>
      <c r="AE1881">
        <v>0</v>
      </c>
      <c r="AF1881">
        <v>0</v>
      </c>
      <c r="AG1881">
        <v>0</v>
      </c>
      <c r="AH1881">
        <v>0</v>
      </c>
      <c r="AI1881">
        <v>0</v>
      </c>
      <c r="AJ1881">
        <v>0</v>
      </c>
      <c r="AK1881">
        <v>0</v>
      </c>
      <c r="AL1881">
        <v>0</v>
      </c>
      <c r="AM1881">
        <v>9.92</v>
      </c>
      <c r="AN1881">
        <v>0</v>
      </c>
      <c r="AO1881">
        <v>0</v>
      </c>
      <c r="AP1881">
        <v>0</v>
      </c>
      <c r="AQ1881">
        <v>0</v>
      </c>
      <c r="AR1881">
        <v>0</v>
      </c>
      <c r="AS1881">
        <v>0</v>
      </c>
      <c r="AT1881">
        <v>0</v>
      </c>
      <c r="AU1881">
        <v>0</v>
      </c>
      <c r="AV1881">
        <v>0</v>
      </c>
      <c r="AW1881">
        <v>0</v>
      </c>
      <c r="AX1881">
        <v>0</v>
      </c>
      <c r="AY1881">
        <v>0</v>
      </c>
      <c r="AZ1881">
        <v>0</v>
      </c>
      <c r="BA1881">
        <v>0</v>
      </c>
      <c r="BB1881">
        <v>0</v>
      </c>
      <c r="BC1881">
        <v>0</v>
      </c>
      <c r="BD1881">
        <v>0</v>
      </c>
      <c r="BE1881">
        <v>0</v>
      </c>
      <c r="BF1881">
        <v>0</v>
      </c>
      <c r="BG1881">
        <v>0</v>
      </c>
      <c r="BH1881">
        <v>1</v>
      </c>
      <c r="BI1881">
        <v>3.8</v>
      </c>
      <c r="BJ1881">
        <v>3.3</v>
      </c>
      <c r="BK1881">
        <v>4</v>
      </c>
      <c r="BL1881" s="4">
        <v>58.31</v>
      </c>
      <c r="BM1881" s="4">
        <v>8.75</v>
      </c>
      <c r="BN1881" s="4">
        <v>67.06</v>
      </c>
      <c r="BO1881" s="4">
        <v>67.06</v>
      </c>
      <c r="BQ1881" t="s">
        <v>93</v>
      </c>
      <c r="BR1881" t="s">
        <v>84</v>
      </c>
      <c r="BS1881" s="3">
        <v>43818</v>
      </c>
      <c r="BT1881" s="5">
        <v>0.45833333333333331</v>
      </c>
      <c r="BU1881" t="s">
        <v>2216</v>
      </c>
      <c r="BV1881" t="s">
        <v>89</v>
      </c>
      <c r="BW1881" t="s">
        <v>228</v>
      </c>
      <c r="BX1881" t="s">
        <v>1066</v>
      </c>
      <c r="BY1881">
        <v>16346.08</v>
      </c>
      <c r="CC1881" t="s">
        <v>139</v>
      </c>
      <c r="CD1881">
        <v>1422</v>
      </c>
      <c r="CE1881" t="s">
        <v>96</v>
      </c>
      <c r="CF1881" s="3">
        <v>43819</v>
      </c>
      <c r="CI1881">
        <v>1</v>
      </c>
      <c r="CJ1881">
        <v>1</v>
      </c>
      <c r="CK1881">
        <v>22</v>
      </c>
      <c r="CL1881" t="s">
        <v>89</v>
      </c>
    </row>
    <row r="1882" spans="1:90">
      <c r="A1882" t="s">
        <v>72</v>
      </c>
      <c r="B1882" t="s">
        <v>73</v>
      </c>
      <c r="C1882" t="s">
        <v>74</v>
      </c>
      <c r="E1882" t="str">
        <f>"FES1162728956"</f>
        <v>FES1162728956</v>
      </c>
      <c r="F1882" s="3">
        <v>43817</v>
      </c>
      <c r="G1882">
        <v>202006</v>
      </c>
      <c r="H1882" t="s">
        <v>75</v>
      </c>
      <c r="I1882" t="s">
        <v>76</v>
      </c>
      <c r="J1882" t="s">
        <v>77</v>
      </c>
      <c r="K1882" t="s">
        <v>78</v>
      </c>
      <c r="L1882" t="s">
        <v>90</v>
      </c>
      <c r="M1882" t="s">
        <v>91</v>
      </c>
      <c r="N1882" t="s">
        <v>219</v>
      </c>
      <c r="O1882" t="s">
        <v>82</v>
      </c>
      <c r="P1882" t="str">
        <f>"2170722070                    "</f>
        <v xml:space="preserve">2170722070                    </v>
      </c>
      <c r="Q1882">
        <v>0</v>
      </c>
      <c r="R1882">
        <v>0</v>
      </c>
      <c r="S1882">
        <v>0</v>
      </c>
      <c r="T1882">
        <v>0</v>
      </c>
      <c r="U1882">
        <v>0</v>
      </c>
      <c r="V1882">
        <v>0</v>
      </c>
      <c r="W1882">
        <v>0</v>
      </c>
      <c r="X1882">
        <v>0</v>
      </c>
      <c r="Y1882">
        <v>0</v>
      </c>
      <c r="Z1882">
        <v>0</v>
      </c>
      <c r="AA1882">
        <v>0</v>
      </c>
      <c r="AB1882">
        <v>0</v>
      </c>
      <c r="AC1882">
        <v>0</v>
      </c>
      <c r="AD1882">
        <v>0</v>
      </c>
      <c r="AE1882">
        <v>0</v>
      </c>
      <c r="AF1882">
        <v>0</v>
      </c>
      <c r="AG1882">
        <v>0</v>
      </c>
      <c r="AH1882">
        <v>0</v>
      </c>
      <c r="AI1882">
        <v>0</v>
      </c>
      <c r="AJ1882">
        <v>0</v>
      </c>
      <c r="AK1882">
        <v>0</v>
      </c>
      <c r="AL1882">
        <v>0</v>
      </c>
      <c r="AM1882">
        <v>15.02</v>
      </c>
      <c r="AN1882">
        <v>0</v>
      </c>
      <c r="AO1882">
        <v>0</v>
      </c>
      <c r="AP1882">
        <v>0</v>
      </c>
      <c r="AQ1882">
        <v>0</v>
      </c>
      <c r="AR1882">
        <v>0</v>
      </c>
      <c r="AS1882">
        <v>0</v>
      </c>
      <c r="AT1882">
        <v>0</v>
      </c>
      <c r="AU1882">
        <v>0</v>
      </c>
      <c r="AV1882">
        <v>0</v>
      </c>
      <c r="AW1882">
        <v>0</v>
      </c>
      <c r="AX1882">
        <v>0</v>
      </c>
      <c r="AY1882">
        <v>0</v>
      </c>
      <c r="AZ1882">
        <v>0</v>
      </c>
      <c r="BA1882">
        <v>0</v>
      </c>
      <c r="BB1882">
        <v>0</v>
      </c>
      <c r="BC1882">
        <v>0</v>
      </c>
      <c r="BD1882">
        <v>0</v>
      </c>
      <c r="BE1882">
        <v>0</v>
      </c>
      <c r="BF1882">
        <v>0</v>
      </c>
      <c r="BG1882">
        <v>0</v>
      </c>
      <c r="BH1882">
        <v>1</v>
      </c>
      <c r="BI1882">
        <v>1.3</v>
      </c>
      <c r="BJ1882">
        <v>3.1</v>
      </c>
      <c r="BK1882">
        <v>3.5</v>
      </c>
      <c r="BL1882" s="4">
        <v>88.27</v>
      </c>
      <c r="BM1882" s="4">
        <v>13.24</v>
      </c>
      <c r="BN1882" s="4">
        <v>101.51</v>
      </c>
      <c r="BO1882" s="4">
        <v>101.51</v>
      </c>
      <c r="BQ1882" t="s">
        <v>147</v>
      </c>
      <c r="BR1882" t="s">
        <v>84</v>
      </c>
      <c r="BS1882" s="3">
        <v>43818</v>
      </c>
      <c r="BT1882" s="5">
        <v>0.33888888888888885</v>
      </c>
      <c r="BU1882" t="s">
        <v>220</v>
      </c>
      <c r="BV1882" t="s">
        <v>86</v>
      </c>
      <c r="BY1882">
        <v>15418.66</v>
      </c>
      <c r="CC1882" t="s">
        <v>91</v>
      </c>
      <c r="CD1882">
        <v>7441</v>
      </c>
      <c r="CE1882" t="s">
        <v>96</v>
      </c>
      <c r="CF1882" s="3">
        <v>43819</v>
      </c>
      <c r="CI1882">
        <v>1</v>
      </c>
      <c r="CJ1882">
        <v>1</v>
      </c>
      <c r="CK1882">
        <v>21</v>
      </c>
      <c r="CL1882" t="s">
        <v>89</v>
      </c>
    </row>
    <row r="1883" spans="1:90">
      <c r="A1883" t="s">
        <v>72</v>
      </c>
      <c r="B1883" t="s">
        <v>73</v>
      </c>
      <c r="C1883" t="s">
        <v>74</v>
      </c>
      <c r="E1883" t="str">
        <f>"FES1162728795"</f>
        <v>FES1162728795</v>
      </c>
      <c r="F1883" s="3">
        <v>43817</v>
      </c>
      <c r="G1883">
        <v>202006</v>
      </c>
      <c r="H1883" t="s">
        <v>75</v>
      </c>
      <c r="I1883" t="s">
        <v>76</v>
      </c>
      <c r="J1883" t="s">
        <v>77</v>
      </c>
      <c r="K1883" t="s">
        <v>78</v>
      </c>
      <c r="L1883" t="s">
        <v>198</v>
      </c>
      <c r="M1883" t="s">
        <v>199</v>
      </c>
      <c r="N1883" t="s">
        <v>1726</v>
      </c>
      <c r="O1883" t="s">
        <v>82</v>
      </c>
      <c r="P1883" t="str">
        <f>"217071944                     "</f>
        <v xml:space="preserve">217071944                     </v>
      </c>
      <c r="Q1883">
        <v>0</v>
      </c>
      <c r="R1883">
        <v>0</v>
      </c>
      <c r="S1883">
        <v>0</v>
      </c>
      <c r="T1883">
        <v>0</v>
      </c>
      <c r="U1883">
        <v>0</v>
      </c>
      <c r="V1883">
        <v>0</v>
      </c>
      <c r="W1883">
        <v>0</v>
      </c>
      <c r="X1883">
        <v>0</v>
      </c>
      <c r="Y1883">
        <v>0</v>
      </c>
      <c r="Z1883">
        <v>0</v>
      </c>
      <c r="AA1883">
        <v>0</v>
      </c>
      <c r="AB1883">
        <v>0</v>
      </c>
      <c r="AC1883">
        <v>0</v>
      </c>
      <c r="AD1883">
        <v>0</v>
      </c>
      <c r="AE1883">
        <v>0</v>
      </c>
      <c r="AF1883">
        <v>0</v>
      </c>
      <c r="AG1883">
        <v>0</v>
      </c>
      <c r="AH1883">
        <v>0</v>
      </c>
      <c r="AI1883">
        <v>0</v>
      </c>
      <c r="AJ1883">
        <v>0</v>
      </c>
      <c r="AK1883">
        <v>0</v>
      </c>
      <c r="AL1883">
        <v>0</v>
      </c>
      <c r="AM1883">
        <v>30.03</v>
      </c>
      <c r="AN1883">
        <v>0</v>
      </c>
      <c r="AO1883">
        <v>0</v>
      </c>
      <c r="AP1883">
        <v>0</v>
      </c>
      <c r="AQ1883">
        <v>0</v>
      </c>
      <c r="AR1883">
        <v>0</v>
      </c>
      <c r="AS1883">
        <v>0</v>
      </c>
      <c r="AT1883">
        <v>0</v>
      </c>
      <c r="AU1883">
        <v>0</v>
      </c>
      <c r="AV1883">
        <v>0</v>
      </c>
      <c r="AW1883">
        <v>0</v>
      </c>
      <c r="AX1883">
        <v>0</v>
      </c>
      <c r="AY1883">
        <v>0</v>
      </c>
      <c r="AZ1883">
        <v>0</v>
      </c>
      <c r="BA1883">
        <v>0</v>
      </c>
      <c r="BB1883">
        <v>0</v>
      </c>
      <c r="BC1883">
        <v>0</v>
      </c>
      <c r="BD1883">
        <v>0</v>
      </c>
      <c r="BE1883">
        <v>0</v>
      </c>
      <c r="BF1883">
        <v>0</v>
      </c>
      <c r="BG1883">
        <v>0</v>
      </c>
      <c r="BH1883">
        <v>1</v>
      </c>
      <c r="BI1883">
        <v>7</v>
      </c>
      <c r="BJ1883">
        <v>2.9</v>
      </c>
      <c r="BK1883">
        <v>7</v>
      </c>
      <c r="BL1883" s="4">
        <v>176.5</v>
      </c>
      <c r="BM1883" s="4">
        <v>26.48</v>
      </c>
      <c r="BN1883" s="4">
        <v>202.98</v>
      </c>
      <c r="BO1883" s="4">
        <v>202.98</v>
      </c>
      <c r="BQ1883" t="s">
        <v>147</v>
      </c>
      <c r="BR1883" t="s">
        <v>84</v>
      </c>
      <c r="BS1883" s="3">
        <v>43818</v>
      </c>
      <c r="BT1883" s="5">
        <v>0.3347222222222222</v>
      </c>
      <c r="BU1883" t="s">
        <v>2217</v>
      </c>
      <c r="BV1883" t="s">
        <v>86</v>
      </c>
      <c r="BY1883">
        <v>14660.1</v>
      </c>
      <c r="CA1883" t="s">
        <v>281</v>
      </c>
      <c r="CC1883" t="s">
        <v>199</v>
      </c>
      <c r="CD1883">
        <v>4001</v>
      </c>
      <c r="CE1883" t="s">
        <v>96</v>
      </c>
      <c r="CF1883" s="3">
        <v>43819</v>
      </c>
      <c r="CI1883">
        <v>1</v>
      </c>
      <c r="CJ1883">
        <v>1</v>
      </c>
      <c r="CK1883">
        <v>21</v>
      </c>
      <c r="CL1883" t="s">
        <v>89</v>
      </c>
    </row>
    <row r="1884" spans="1:90">
      <c r="A1884" t="s">
        <v>72</v>
      </c>
      <c r="B1884" t="s">
        <v>73</v>
      </c>
      <c r="C1884" t="s">
        <v>74</v>
      </c>
      <c r="E1884" t="str">
        <f>"FES1162728965"</f>
        <v>FES1162728965</v>
      </c>
      <c r="F1884" s="3">
        <v>43817</v>
      </c>
      <c r="G1884">
        <v>202006</v>
      </c>
      <c r="H1884" t="s">
        <v>75</v>
      </c>
      <c r="I1884" t="s">
        <v>76</v>
      </c>
      <c r="J1884" t="s">
        <v>77</v>
      </c>
      <c r="K1884" t="s">
        <v>78</v>
      </c>
      <c r="L1884" t="s">
        <v>90</v>
      </c>
      <c r="M1884" t="s">
        <v>91</v>
      </c>
      <c r="N1884" t="s">
        <v>1191</v>
      </c>
      <c r="O1884" t="s">
        <v>82</v>
      </c>
      <c r="P1884" t="str">
        <f>"2170722073                    "</f>
        <v xml:space="preserve">2170722073                    </v>
      </c>
      <c r="Q1884">
        <v>0</v>
      </c>
      <c r="R1884">
        <v>0</v>
      </c>
      <c r="S1884">
        <v>0</v>
      </c>
      <c r="T1884">
        <v>0</v>
      </c>
      <c r="U1884">
        <v>0</v>
      </c>
      <c r="V1884">
        <v>0</v>
      </c>
      <c r="W1884">
        <v>0</v>
      </c>
      <c r="X1884">
        <v>0</v>
      </c>
      <c r="Y1884">
        <v>0</v>
      </c>
      <c r="Z1884">
        <v>0</v>
      </c>
      <c r="AA1884">
        <v>0</v>
      </c>
      <c r="AB1884">
        <v>0</v>
      </c>
      <c r="AC1884">
        <v>0</v>
      </c>
      <c r="AD1884">
        <v>0</v>
      </c>
      <c r="AE1884">
        <v>0</v>
      </c>
      <c r="AF1884">
        <v>0</v>
      </c>
      <c r="AG1884">
        <v>0</v>
      </c>
      <c r="AH1884">
        <v>0</v>
      </c>
      <c r="AI1884">
        <v>0</v>
      </c>
      <c r="AJ1884">
        <v>0</v>
      </c>
      <c r="AK1884">
        <v>0</v>
      </c>
      <c r="AL1884">
        <v>0</v>
      </c>
      <c r="AM1884">
        <v>8.58</v>
      </c>
      <c r="AN1884">
        <v>0</v>
      </c>
      <c r="AO1884">
        <v>0</v>
      </c>
      <c r="AP1884">
        <v>0</v>
      </c>
      <c r="AQ1884">
        <v>0</v>
      </c>
      <c r="AR1884">
        <v>0</v>
      </c>
      <c r="AS1884">
        <v>0</v>
      </c>
      <c r="AT1884">
        <v>0</v>
      </c>
      <c r="AU1884">
        <v>0</v>
      </c>
      <c r="AV1884">
        <v>0</v>
      </c>
      <c r="AW1884">
        <v>0</v>
      </c>
      <c r="AX1884">
        <v>0</v>
      </c>
      <c r="AY1884">
        <v>0</v>
      </c>
      <c r="AZ1884">
        <v>0</v>
      </c>
      <c r="BA1884">
        <v>0</v>
      </c>
      <c r="BB1884">
        <v>0</v>
      </c>
      <c r="BC1884">
        <v>0</v>
      </c>
      <c r="BD1884">
        <v>0</v>
      </c>
      <c r="BE1884">
        <v>0</v>
      </c>
      <c r="BF1884">
        <v>0</v>
      </c>
      <c r="BG1884">
        <v>0</v>
      </c>
      <c r="BH1884">
        <v>1</v>
      </c>
      <c r="BI1884">
        <v>1</v>
      </c>
      <c r="BJ1884">
        <v>0.2</v>
      </c>
      <c r="BK1884">
        <v>1</v>
      </c>
      <c r="BL1884" s="4">
        <v>50.45</v>
      </c>
      <c r="BM1884" s="4">
        <v>7.57</v>
      </c>
      <c r="BN1884" s="4">
        <v>58.02</v>
      </c>
      <c r="BO1884" s="4">
        <v>58.02</v>
      </c>
      <c r="BR1884" t="s">
        <v>84</v>
      </c>
      <c r="BS1884" s="3">
        <v>43818</v>
      </c>
      <c r="BT1884" s="5">
        <v>0.3125</v>
      </c>
      <c r="BU1884" t="s">
        <v>2218</v>
      </c>
      <c r="BV1884" t="s">
        <v>86</v>
      </c>
      <c r="BY1884">
        <v>1200</v>
      </c>
      <c r="CA1884" t="s">
        <v>112</v>
      </c>
      <c r="CC1884" t="s">
        <v>91</v>
      </c>
      <c r="CD1884">
        <v>7405</v>
      </c>
      <c r="CE1884" t="s">
        <v>88</v>
      </c>
      <c r="CF1884" s="3">
        <v>43819</v>
      </c>
      <c r="CI1884">
        <v>1</v>
      </c>
      <c r="CJ1884">
        <v>1</v>
      </c>
      <c r="CK1884">
        <v>21</v>
      </c>
      <c r="CL1884" t="s">
        <v>89</v>
      </c>
    </row>
    <row r="1885" spans="1:90">
      <c r="A1885" t="s">
        <v>72</v>
      </c>
      <c r="B1885" t="s">
        <v>73</v>
      </c>
      <c r="C1885" t="s">
        <v>74</v>
      </c>
      <c r="E1885" t="str">
        <f>"FES1162728943"</f>
        <v>FES1162728943</v>
      </c>
      <c r="F1885" s="3">
        <v>43817</v>
      </c>
      <c r="G1885">
        <v>202006</v>
      </c>
      <c r="H1885" t="s">
        <v>75</v>
      </c>
      <c r="I1885" t="s">
        <v>76</v>
      </c>
      <c r="J1885" t="s">
        <v>77</v>
      </c>
      <c r="K1885" t="s">
        <v>78</v>
      </c>
      <c r="L1885" t="s">
        <v>75</v>
      </c>
      <c r="M1885" t="s">
        <v>76</v>
      </c>
      <c r="N1885" t="s">
        <v>703</v>
      </c>
      <c r="O1885" t="s">
        <v>82</v>
      </c>
      <c r="P1885" t="str">
        <f>"217072132                     "</f>
        <v xml:space="preserve">217072132                     </v>
      </c>
      <c r="Q1885">
        <v>0</v>
      </c>
      <c r="R1885">
        <v>0</v>
      </c>
      <c r="S1885">
        <v>0</v>
      </c>
      <c r="T1885">
        <v>0</v>
      </c>
      <c r="U1885">
        <v>0</v>
      </c>
      <c r="V1885">
        <v>0</v>
      </c>
      <c r="W1885">
        <v>0</v>
      </c>
      <c r="X1885">
        <v>0</v>
      </c>
      <c r="Y1885">
        <v>0</v>
      </c>
      <c r="Z1885">
        <v>0</v>
      </c>
      <c r="AA1885">
        <v>0</v>
      </c>
      <c r="AB1885">
        <v>0</v>
      </c>
      <c r="AC1885">
        <v>0</v>
      </c>
      <c r="AD1885">
        <v>0</v>
      </c>
      <c r="AE1885">
        <v>0</v>
      </c>
      <c r="AF1885">
        <v>0</v>
      </c>
      <c r="AG1885">
        <v>0</v>
      </c>
      <c r="AH1885">
        <v>0</v>
      </c>
      <c r="AI1885">
        <v>0</v>
      </c>
      <c r="AJ1885">
        <v>0</v>
      </c>
      <c r="AK1885">
        <v>0</v>
      </c>
      <c r="AL1885">
        <v>0</v>
      </c>
      <c r="AM1885">
        <v>9.1199999999999992</v>
      </c>
      <c r="AN1885">
        <v>0</v>
      </c>
      <c r="AO1885">
        <v>0</v>
      </c>
      <c r="AP1885">
        <v>0</v>
      </c>
      <c r="AQ1885">
        <v>0</v>
      </c>
      <c r="AR1885">
        <v>0</v>
      </c>
      <c r="AS1885">
        <v>0</v>
      </c>
      <c r="AT1885">
        <v>0</v>
      </c>
      <c r="AU1885">
        <v>0</v>
      </c>
      <c r="AV1885">
        <v>0</v>
      </c>
      <c r="AW1885">
        <v>0</v>
      </c>
      <c r="AX1885">
        <v>0</v>
      </c>
      <c r="AY1885">
        <v>0</v>
      </c>
      <c r="AZ1885">
        <v>0</v>
      </c>
      <c r="BA1885">
        <v>0</v>
      </c>
      <c r="BB1885">
        <v>0</v>
      </c>
      <c r="BC1885">
        <v>0</v>
      </c>
      <c r="BD1885">
        <v>0</v>
      </c>
      <c r="BE1885">
        <v>0</v>
      </c>
      <c r="BF1885">
        <v>0</v>
      </c>
      <c r="BG1885">
        <v>0</v>
      </c>
      <c r="BH1885">
        <v>1</v>
      </c>
      <c r="BI1885">
        <v>1.9</v>
      </c>
      <c r="BJ1885">
        <v>3.2</v>
      </c>
      <c r="BK1885">
        <v>3.5</v>
      </c>
      <c r="BL1885" s="4">
        <v>53.59</v>
      </c>
      <c r="BM1885" s="4">
        <v>8.0399999999999991</v>
      </c>
      <c r="BN1885" s="4">
        <v>61.63</v>
      </c>
      <c r="BO1885" s="4">
        <v>61.63</v>
      </c>
      <c r="BQ1885" t="s">
        <v>93</v>
      </c>
      <c r="BR1885" t="s">
        <v>84</v>
      </c>
      <c r="BS1885" s="3">
        <v>43818</v>
      </c>
      <c r="BT1885" s="5">
        <v>0.29166666666666669</v>
      </c>
      <c r="BU1885" t="s">
        <v>1268</v>
      </c>
      <c r="BV1885" t="s">
        <v>86</v>
      </c>
      <c r="BY1885">
        <v>16234.15</v>
      </c>
      <c r="CA1885" t="s">
        <v>320</v>
      </c>
      <c r="CC1885" t="s">
        <v>76</v>
      </c>
      <c r="CD1885">
        <v>1665</v>
      </c>
      <c r="CE1885" t="s">
        <v>116</v>
      </c>
      <c r="CF1885" s="3">
        <v>43819</v>
      </c>
      <c r="CI1885">
        <v>1</v>
      </c>
      <c r="CJ1885">
        <v>1</v>
      </c>
      <c r="CK1885">
        <v>22</v>
      </c>
      <c r="CL1885" t="s">
        <v>89</v>
      </c>
    </row>
    <row r="1886" spans="1:90">
      <c r="A1886" t="s">
        <v>72</v>
      </c>
      <c r="B1886" t="s">
        <v>73</v>
      </c>
      <c r="C1886" t="s">
        <v>74</v>
      </c>
      <c r="E1886" t="str">
        <f>"FES1162728958"</f>
        <v>FES1162728958</v>
      </c>
      <c r="F1886" s="3">
        <v>43817</v>
      </c>
      <c r="G1886">
        <v>202006</v>
      </c>
      <c r="H1886" t="s">
        <v>75</v>
      </c>
      <c r="I1886" t="s">
        <v>76</v>
      </c>
      <c r="J1886" t="s">
        <v>77</v>
      </c>
      <c r="K1886" t="s">
        <v>78</v>
      </c>
      <c r="L1886" t="s">
        <v>1497</v>
      </c>
      <c r="M1886" t="s">
        <v>1498</v>
      </c>
      <c r="N1886" t="s">
        <v>2219</v>
      </c>
      <c r="O1886" t="s">
        <v>82</v>
      </c>
      <c r="P1886" t="str">
        <f>"2170722069                    "</f>
        <v xml:space="preserve">2170722069                    </v>
      </c>
      <c r="Q1886">
        <v>0</v>
      </c>
      <c r="R1886">
        <v>0</v>
      </c>
      <c r="S1886">
        <v>0</v>
      </c>
      <c r="T1886">
        <v>0</v>
      </c>
      <c r="U1886">
        <v>0</v>
      </c>
      <c r="V1886">
        <v>0</v>
      </c>
      <c r="W1886">
        <v>0</v>
      </c>
      <c r="X1886">
        <v>0</v>
      </c>
      <c r="Y1886">
        <v>0</v>
      </c>
      <c r="Z1886">
        <v>0</v>
      </c>
      <c r="AA1886">
        <v>0</v>
      </c>
      <c r="AB1886">
        <v>0</v>
      </c>
      <c r="AC1886">
        <v>0</v>
      </c>
      <c r="AD1886">
        <v>0</v>
      </c>
      <c r="AE1886">
        <v>0</v>
      </c>
      <c r="AF1886">
        <v>0</v>
      </c>
      <c r="AG1886">
        <v>0</v>
      </c>
      <c r="AH1886">
        <v>0</v>
      </c>
      <c r="AI1886">
        <v>0</v>
      </c>
      <c r="AJ1886">
        <v>0</v>
      </c>
      <c r="AK1886">
        <v>0</v>
      </c>
      <c r="AL1886">
        <v>0</v>
      </c>
      <c r="AM1886">
        <v>12.07</v>
      </c>
      <c r="AN1886">
        <v>0</v>
      </c>
      <c r="AO1886">
        <v>0</v>
      </c>
      <c r="AP1886">
        <v>0</v>
      </c>
      <c r="AQ1886">
        <v>0</v>
      </c>
      <c r="AR1886">
        <v>0</v>
      </c>
      <c r="AS1886">
        <v>0</v>
      </c>
      <c r="AT1886">
        <v>0</v>
      </c>
      <c r="AU1886">
        <v>0</v>
      </c>
      <c r="AV1886">
        <v>0</v>
      </c>
      <c r="AW1886">
        <v>0</v>
      </c>
      <c r="AX1886">
        <v>0</v>
      </c>
      <c r="AY1886">
        <v>0</v>
      </c>
      <c r="AZ1886">
        <v>0</v>
      </c>
      <c r="BA1886">
        <v>0</v>
      </c>
      <c r="BB1886">
        <v>0</v>
      </c>
      <c r="BC1886">
        <v>0</v>
      </c>
      <c r="BD1886">
        <v>0</v>
      </c>
      <c r="BE1886">
        <v>0</v>
      </c>
      <c r="BF1886">
        <v>0</v>
      </c>
      <c r="BG1886">
        <v>0</v>
      </c>
      <c r="BH1886">
        <v>1</v>
      </c>
      <c r="BI1886">
        <v>1.2</v>
      </c>
      <c r="BJ1886">
        <v>1.2</v>
      </c>
      <c r="BK1886">
        <v>1.5</v>
      </c>
      <c r="BL1886" s="4">
        <v>70.95</v>
      </c>
      <c r="BM1886" s="4">
        <v>10.64</v>
      </c>
      <c r="BN1886" s="4">
        <v>81.59</v>
      </c>
      <c r="BO1886" s="4">
        <v>81.59</v>
      </c>
      <c r="BQ1886" t="s">
        <v>2220</v>
      </c>
      <c r="BR1886" t="s">
        <v>84</v>
      </c>
      <c r="BS1886" s="3">
        <v>43818</v>
      </c>
      <c r="BT1886" s="5">
        <v>0.5625</v>
      </c>
      <c r="BU1886" t="s">
        <v>2221</v>
      </c>
      <c r="BV1886" t="s">
        <v>86</v>
      </c>
      <c r="BY1886">
        <v>6156.35</v>
      </c>
      <c r="CA1886" t="s">
        <v>2020</v>
      </c>
      <c r="CC1886" t="s">
        <v>1498</v>
      </c>
      <c r="CD1886">
        <v>208</v>
      </c>
      <c r="CE1886" t="s">
        <v>96</v>
      </c>
      <c r="CF1886" s="3">
        <v>43822</v>
      </c>
      <c r="CI1886">
        <v>1</v>
      </c>
      <c r="CJ1886">
        <v>1</v>
      </c>
      <c r="CK1886">
        <v>24</v>
      </c>
      <c r="CL1886" t="s">
        <v>89</v>
      </c>
    </row>
    <row r="1887" spans="1:90">
      <c r="A1887" t="s">
        <v>72</v>
      </c>
      <c r="B1887" t="s">
        <v>73</v>
      </c>
      <c r="C1887" t="s">
        <v>74</v>
      </c>
      <c r="E1887" t="str">
        <f>"FES1162728889"</f>
        <v>FES1162728889</v>
      </c>
      <c r="F1887" s="3">
        <v>43817</v>
      </c>
      <c r="G1887">
        <v>202006</v>
      </c>
      <c r="H1887" t="s">
        <v>75</v>
      </c>
      <c r="I1887" t="s">
        <v>76</v>
      </c>
      <c r="J1887" t="s">
        <v>77</v>
      </c>
      <c r="K1887" t="s">
        <v>78</v>
      </c>
      <c r="L1887" t="s">
        <v>515</v>
      </c>
      <c r="M1887" t="s">
        <v>516</v>
      </c>
      <c r="N1887" t="s">
        <v>517</v>
      </c>
      <c r="O1887" t="s">
        <v>82</v>
      </c>
      <c r="P1887" t="str">
        <f>"2170719944                    "</f>
        <v xml:space="preserve">2170719944                    </v>
      </c>
      <c r="Q1887">
        <v>0</v>
      </c>
      <c r="R1887">
        <v>0</v>
      </c>
      <c r="S1887">
        <v>0</v>
      </c>
      <c r="T1887">
        <v>0</v>
      </c>
      <c r="U1887">
        <v>0</v>
      </c>
      <c r="V1887">
        <v>0</v>
      </c>
      <c r="W1887">
        <v>0</v>
      </c>
      <c r="X1887">
        <v>0</v>
      </c>
      <c r="Y1887">
        <v>0</v>
      </c>
      <c r="Z1887">
        <v>0</v>
      </c>
      <c r="AA1887">
        <v>0</v>
      </c>
      <c r="AB1887">
        <v>0</v>
      </c>
      <c r="AC1887">
        <v>0</v>
      </c>
      <c r="AD1887">
        <v>0</v>
      </c>
      <c r="AE1887">
        <v>0</v>
      </c>
      <c r="AF1887">
        <v>0</v>
      </c>
      <c r="AG1887">
        <v>0</v>
      </c>
      <c r="AH1887">
        <v>0</v>
      </c>
      <c r="AI1887">
        <v>0</v>
      </c>
      <c r="AJ1887">
        <v>0</v>
      </c>
      <c r="AK1887">
        <v>0</v>
      </c>
      <c r="AL1887">
        <v>0</v>
      </c>
      <c r="AM1887">
        <v>19.3</v>
      </c>
      <c r="AN1887">
        <v>0</v>
      </c>
      <c r="AO1887">
        <v>0</v>
      </c>
      <c r="AP1887">
        <v>0</v>
      </c>
      <c r="AQ1887">
        <v>0</v>
      </c>
      <c r="AR1887">
        <v>0</v>
      </c>
      <c r="AS1887">
        <v>0</v>
      </c>
      <c r="AT1887">
        <v>0</v>
      </c>
      <c r="AU1887">
        <v>0</v>
      </c>
      <c r="AV1887">
        <v>0</v>
      </c>
      <c r="AW1887">
        <v>0</v>
      </c>
      <c r="AX1887">
        <v>0</v>
      </c>
      <c r="AY1887">
        <v>0</v>
      </c>
      <c r="AZ1887">
        <v>0</v>
      </c>
      <c r="BA1887">
        <v>0</v>
      </c>
      <c r="BB1887">
        <v>0</v>
      </c>
      <c r="BC1887">
        <v>0</v>
      </c>
      <c r="BD1887">
        <v>0</v>
      </c>
      <c r="BE1887">
        <v>0</v>
      </c>
      <c r="BF1887">
        <v>0</v>
      </c>
      <c r="BG1887">
        <v>0</v>
      </c>
      <c r="BH1887">
        <v>1</v>
      </c>
      <c r="BI1887">
        <v>4.3</v>
      </c>
      <c r="BJ1887">
        <v>1.5</v>
      </c>
      <c r="BK1887">
        <v>4.5</v>
      </c>
      <c r="BL1887" s="4">
        <v>113.47</v>
      </c>
      <c r="BM1887" s="4">
        <v>17.02</v>
      </c>
      <c r="BN1887" s="4">
        <v>130.49</v>
      </c>
      <c r="BO1887" s="4">
        <v>130.49</v>
      </c>
      <c r="BQ1887" t="s">
        <v>147</v>
      </c>
      <c r="BR1887" t="s">
        <v>84</v>
      </c>
      <c r="BS1887" s="3">
        <v>43818</v>
      </c>
      <c r="BT1887" s="5">
        <v>0.34236111111111112</v>
      </c>
      <c r="BU1887" t="s">
        <v>2222</v>
      </c>
      <c r="BV1887" t="s">
        <v>86</v>
      </c>
      <c r="BY1887">
        <v>7456.51</v>
      </c>
      <c r="CA1887" t="s">
        <v>270</v>
      </c>
      <c r="CC1887" t="s">
        <v>516</v>
      </c>
      <c r="CD1887">
        <v>4300</v>
      </c>
      <c r="CE1887" t="s">
        <v>96</v>
      </c>
      <c r="CF1887" s="3">
        <v>43819</v>
      </c>
      <c r="CI1887">
        <v>1</v>
      </c>
      <c r="CJ1887">
        <v>1</v>
      </c>
      <c r="CK1887">
        <v>21</v>
      </c>
      <c r="CL1887" t="s">
        <v>89</v>
      </c>
    </row>
    <row r="1888" spans="1:90">
      <c r="A1888" t="s">
        <v>72</v>
      </c>
      <c r="B1888" t="s">
        <v>73</v>
      </c>
      <c r="C1888" t="s">
        <v>74</v>
      </c>
      <c r="E1888" t="str">
        <f>"RFES1162727717"</f>
        <v>RFES1162727717</v>
      </c>
      <c r="F1888" s="3">
        <v>43817</v>
      </c>
      <c r="G1888">
        <v>202006</v>
      </c>
      <c r="H1888" t="s">
        <v>151</v>
      </c>
      <c r="I1888" t="s">
        <v>102</v>
      </c>
      <c r="J1888" t="s">
        <v>103</v>
      </c>
      <c r="K1888" t="s">
        <v>78</v>
      </c>
      <c r="L1888" t="s">
        <v>75</v>
      </c>
      <c r="M1888" t="s">
        <v>76</v>
      </c>
      <c r="N1888" t="s">
        <v>77</v>
      </c>
      <c r="O1888" t="s">
        <v>82</v>
      </c>
      <c r="P1888" t="str">
        <f>"2170716743                    "</f>
        <v xml:space="preserve">2170716743                    </v>
      </c>
      <c r="Q1888">
        <v>0</v>
      </c>
      <c r="R1888">
        <v>0</v>
      </c>
      <c r="S1888">
        <v>0</v>
      </c>
      <c r="T1888">
        <v>0</v>
      </c>
      <c r="U1888">
        <v>0</v>
      </c>
      <c r="V1888">
        <v>0</v>
      </c>
      <c r="W1888">
        <v>0</v>
      </c>
      <c r="X1888">
        <v>0</v>
      </c>
      <c r="Y1888">
        <v>0</v>
      </c>
      <c r="Z1888">
        <v>0</v>
      </c>
      <c r="AA1888">
        <v>0</v>
      </c>
      <c r="AB1888">
        <v>0</v>
      </c>
      <c r="AC1888">
        <v>0</v>
      </c>
      <c r="AD1888">
        <v>0</v>
      </c>
      <c r="AE1888">
        <v>0</v>
      </c>
      <c r="AF1888">
        <v>0</v>
      </c>
      <c r="AG1888">
        <v>0</v>
      </c>
      <c r="AH1888">
        <v>0</v>
      </c>
      <c r="AI1888">
        <v>0</v>
      </c>
      <c r="AJ1888">
        <v>0</v>
      </c>
      <c r="AK1888">
        <v>0</v>
      </c>
      <c r="AL1888">
        <v>0</v>
      </c>
      <c r="AM1888">
        <v>8.58</v>
      </c>
      <c r="AN1888">
        <v>0</v>
      </c>
      <c r="AO1888">
        <v>0</v>
      </c>
      <c r="AP1888">
        <v>0</v>
      </c>
      <c r="AQ1888">
        <v>0</v>
      </c>
      <c r="AR1888">
        <v>0</v>
      </c>
      <c r="AS1888">
        <v>0</v>
      </c>
      <c r="AT1888">
        <v>0</v>
      </c>
      <c r="AU1888">
        <v>0</v>
      </c>
      <c r="AV1888">
        <v>0</v>
      </c>
      <c r="AW1888">
        <v>0</v>
      </c>
      <c r="AX1888">
        <v>0</v>
      </c>
      <c r="AY1888">
        <v>0</v>
      </c>
      <c r="AZ1888">
        <v>0</v>
      </c>
      <c r="BA1888">
        <v>0</v>
      </c>
      <c r="BB1888">
        <v>0</v>
      </c>
      <c r="BC1888">
        <v>0</v>
      </c>
      <c r="BD1888">
        <v>0</v>
      </c>
      <c r="BE1888">
        <v>0</v>
      </c>
      <c r="BF1888">
        <v>0</v>
      </c>
      <c r="BG1888">
        <v>0</v>
      </c>
      <c r="BH1888">
        <v>1</v>
      </c>
      <c r="BI1888">
        <v>0.8</v>
      </c>
      <c r="BJ1888">
        <v>1.8</v>
      </c>
      <c r="BK1888">
        <v>2</v>
      </c>
      <c r="BL1888" s="4">
        <v>50.45</v>
      </c>
      <c r="BM1888" s="4">
        <v>7.57</v>
      </c>
      <c r="BN1888" s="4">
        <v>58.02</v>
      </c>
      <c r="BO1888" s="4">
        <v>58.02</v>
      </c>
      <c r="BQ1888" t="s">
        <v>84</v>
      </c>
      <c r="BR1888" t="s">
        <v>93</v>
      </c>
      <c r="BS1888" s="3">
        <v>43818</v>
      </c>
      <c r="BT1888" s="5">
        <v>0.36180555555555555</v>
      </c>
      <c r="BU1888" t="s">
        <v>154</v>
      </c>
      <c r="BV1888" t="s">
        <v>86</v>
      </c>
      <c r="BY1888">
        <v>9065.2800000000007</v>
      </c>
      <c r="CA1888" t="s">
        <v>155</v>
      </c>
      <c r="CC1888" t="s">
        <v>76</v>
      </c>
      <c r="CD1888">
        <v>1601</v>
      </c>
      <c r="CE1888" t="s">
        <v>96</v>
      </c>
      <c r="CF1888" s="3">
        <v>43819</v>
      </c>
      <c r="CI1888">
        <v>1</v>
      </c>
      <c r="CJ1888">
        <v>1</v>
      </c>
      <c r="CK1888">
        <v>21</v>
      </c>
      <c r="CL1888" t="s">
        <v>89</v>
      </c>
    </row>
    <row r="1889" spans="1:90">
      <c r="A1889" t="s">
        <v>72</v>
      </c>
      <c r="B1889" t="s">
        <v>73</v>
      </c>
      <c r="C1889" t="s">
        <v>74</v>
      </c>
      <c r="E1889" t="str">
        <f>"RFES1162728404"</f>
        <v>RFES1162728404</v>
      </c>
      <c r="F1889" s="3">
        <v>43817</v>
      </c>
      <c r="G1889">
        <v>202006</v>
      </c>
      <c r="H1889" t="s">
        <v>221</v>
      </c>
      <c r="I1889" t="s">
        <v>222</v>
      </c>
      <c r="J1889" t="s">
        <v>1662</v>
      </c>
      <c r="K1889" t="s">
        <v>78</v>
      </c>
      <c r="L1889" t="s">
        <v>75</v>
      </c>
      <c r="M1889" t="s">
        <v>76</v>
      </c>
      <c r="N1889" t="s">
        <v>77</v>
      </c>
      <c r="O1889" t="s">
        <v>82</v>
      </c>
      <c r="P1889" t="str">
        <f>"2170718467                    "</f>
        <v xml:space="preserve">2170718467                    </v>
      </c>
      <c r="Q1889">
        <v>0</v>
      </c>
      <c r="R1889">
        <v>0</v>
      </c>
      <c r="S1889">
        <v>0</v>
      </c>
      <c r="T1889">
        <v>0</v>
      </c>
      <c r="U1889">
        <v>0</v>
      </c>
      <c r="V1889">
        <v>0</v>
      </c>
      <c r="W1889">
        <v>0</v>
      </c>
      <c r="X1889">
        <v>0</v>
      </c>
      <c r="Y1889">
        <v>0</v>
      </c>
      <c r="Z1889">
        <v>0</v>
      </c>
      <c r="AA1889">
        <v>0</v>
      </c>
      <c r="AB1889">
        <v>0</v>
      </c>
      <c r="AC1889">
        <v>0</v>
      </c>
      <c r="AD1889">
        <v>0</v>
      </c>
      <c r="AE1889">
        <v>0</v>
      </c>
      <c r="AF1889">
        <v>0</v>
      </c>
      <c r="AG1889">
        <v>0</v>
      </c>
      <c r="AH1889">
        <v>0</v>
      </c>
      <c r="AI1889">
        <v>0</v>
      </c>
      <c r="AJ1889">
        <v>0</v>
      </c>
      <c r="AK1889">
        <v>0</v>
      </c>
      <c r="AL1889">
        <v>0</v>
      </c>
      <c r="AM1889">
        <v>8.58</v>
      </c>
      <c r="AN1889">
        <v>0</v>
      </c>
      <c r="AO1889">
        <v>0</v>
      </c>
      <c r="AP1889">
        <v>0</v>
      </c>
      <c r="AQ1889">
        <v>0</v>
      </c>
      <c r="AR1889">
        <v>0</v>
      </c>
      <c r="AS1889">
        <v>0</v>
      </c>
      <c r="AT1889">
        <v>0</v>
      </c>
      <c r="AU1889">
        <v>0</v>
      </c>
      <c r="AV1889">
        <v>0</v>
      </c>
      <c r="AW1889">
        <v>0</v>
      </c>
      <c r="AX1889">
        <v>0</v>
      </c>
      <c r="AY1889">
        <v>0</v>
      </c>
      <c r="AZ1889">
        <v>0</v>
      </c>
      <c r="BA1889">
        <v>0</v>
      </c>
      <c r="BB1889">
        <v>0</v>
      </c>
      <c r="BC1889">
        <v>0</v>
      </c>
      <c r="BD1889">
        <v>0</v>
      </c>
      <c r="BE1889">
        <v>0</v>
      </c>
      <c r="BF1889">
        <v>0</v>
      </c>
      <c r="BG1889">
        <v>0</v>
      </c>
      <c r="BH1889">
        <v>1</v>
      </c>
      <c r="BI1889">
        <v>1</v>
      </c>
      <c r="BJ1889">
        <v>0.2</v>
      </c>
      <c r="BK1889">
        <v>1</v>
      </c>
      <c r="BL1889" s="4">
        <v>50.45</v>
      </c>
      <c r="BM1889" s="4">
        <v>7.57</v>
      </c>
      <c r="BN1889" s="4">
        <v>58.02</v>
      </c>
      <c r="BO1889" s="4">
        <v>58.02</v>
      </c>
      <c r="BQ1889" t="s">
        <v>84</v>
      </c>
      <c r="BR1889" t="s">
        <v>147</v>
      </c>
      <c r="BS1889" s="3">
        <v>43818</v>
      </c>
      <c r="BT1889" s="5">
        <v>0.3611111111111111</v>
      </c>
      <c r="BU1889" t="s">
        <v>154</v>
      </c>
      <c r="BV1889" t="s">
        <v>86</v>
      </c>
      <c r="BY1889">
        <v>1200</v>
      </c>
      <c r="CA1889" t="s">
        <v>155</v>
      </c>
      <c r="CC1889" t="s">
        <v>76</v>
      </c>
      <c r="CD1889">
        <v>1601</v>
      </c>
      <c r="CE1889" t="s">
        <v>88</v>
      </c>
      <c r="CF1889" s="3">
        <v>43819</v>
      </c>
      <c r="CI1889">
        <v>1</v>
      </c>
      <c r="CJ1889">
        <v>1</v>
      </c>
      <c r="CK1889">
        <v>21</v>
      </c>
      <c r="CL1889" t="s">
        <v>89</v>
      </c>
    </row>
    <row r="1890" spans="1:90">
      <c r="A1890" t="s">
        <v>72</v>
      </c>
      <c r="B1890" t="s">
        <v>73</v>
      </c>
      <c r="C1890" t="s">
        <v>74</v>
      </c>
      <c r="E1890" t="str">
        <f>"FES1162729098"</f>
        <v>FES1162729098</v>
      </c>
      <c r="F1890" s="3">
        <v>43818</v>
      </c>
      <c r="G1890">
        <v>202006</v>
      </c>
      <c r="H1890" t="s">
        <v>75</v>
      </c>
      <c r="I1890" t="s">
        <v>76</v>
      </c>
      <c r="J1890" t="s">
        <v>77</v>
      </c>
      <c r="K1890" t="s">
        <v>78</v>
      </c>
      <c r="L1890" t="s">
        <v>213</v>
      </c>
      <c r="M1890" t="s">
        <v>214</v>
      </c>
      <c r="N1890" t="s">
        <v>303</v>
      </c>
      <c r="O1890" t="s">
        <v>82</v>
      </c>
      <c r="P1890" t="str">
        <f>"2170720511                    "</f>
        <v xml:space="preserve">2170720511                    </v>
      </c>
      <c r="Q1890">
        <v>0</v>
      </c>
      <c r="R1890">
        <v>0</v>
      </c>
      <c r="S1890">
        <v>0</v>
      </c>
      <c r="T1890">
        <v>0</v>
      </c>
      <c r="U1890">
        <v>0</v>
      </c>
      <c r="V1890">
        <v>0</v>
      </c>
      <c r="W1890">
        <v>0</v>
      </c>
      <c r="X1890">
        <v>0</v>
      </c>
      <c r="Y1890">
        <v>0</v>
      </c>
      <c r="Z1890">
        <v>0</v>
      </c>
      <c r="AA1890">
        <v>0</v>
      </c>
      <c r="AB1890">
        <v>0</v>
      </c>
      <c r="AC1890">
        <v>0</v>
      </c>
      <c r="AD1890">
        <v>0</v>
      </c>
      <c r="AE1890">
        <v>0</v>
      </c>
      <c r="AF1890">
        <v>0</v>
      </c>
      <c r="AG1890">
        <v>0</v>
      </c>
      <c r="AH1890">
        <v>0</v>
      </c>
      <c r="AI1890">
        <v>0</v>
      </c>
      <c r="AJ1890">
        <v>0</v>
      </c>
      <c r="AK1890">
        <v>0</v>
      </c>
      <c r="AL1890">
        <v>0</v>
      </c>
      <c r="AM1890">
        <v>8.58</v>
      </c>
      <c r="AN1890">
        <v>0</v>
      </c>
      <c r="AO1890">
        <v>0</v>
      </c>
      <c r="AP1890">
        <v>0</v>
      </c>
      <c r="AQ1890">
        <v>0</v>
      </c>
      <c r="AR1890">
        <v>0</v>
      </c>
      <c r="AS1890">
        <v>0</v>
      </c>
      <c r="AT1890">
        <v>0</v>
      </c>
      <c r="AU1890">
        <v>0</v>
      </c>
      <c r="AV1890">
        <v>0</v>
      </c>
      <c r="AW1890">
        <v>0</v>
      </c>
      <c r="AX1890">
        <v>0</v>
      </c>
      <c r="AY1890">
        <v>0</v>
      </c>
      <c r="AZ1890">
        <v>0</v>
      </c>
      <c r="BA1890">
        <v>0</v>
      </c>
      <c r="BB1890">
        <v>0</v>
      </c>
      <c r="BC1890">
        <v>0</v>
      </c>
      <c r="BD1890">
        <v>0</v>
      </c>
      <c r="BE1890">
        <v>0</v>
      </c>
      <c r="BF1890">
        <v>0</v>
      </c>
      <c r="BG1890">
        <v>0</v>
      </c>
      <c r="BH1890">
        <v>1</v>
      </c>
      <c r="BI1890">
        <v>1</v>
      </c>
      <c r="BJ1890">
        <v>0.2</v>
      </c>
      <c r="BK1890">
        <v>1</v>
      </c>
      <c r="BL1890" s="4">
        <v>50.45</v>
      </c>
      <c r="BM1890" s="4">
        <v>7.57</v>
      </c>
      <c r="BN1890" s="4">
        <v>58.02</v>
      </c>
      <c r="BO1890" s="4">
        <v>58.02</v>
      </c>
      <c r="BQ1890" t="s">
        <v>147</v>
      </c>
      <c r="BR1890" t="s">
        <v>84</v>
      </c>
      <c r="BS1890" s="3">
        <v>43819</v>
      </c>
      <c r="BT1890" s="5">
        <v>0.34027777777777773</v>
      </c>
      <c r="BU1890" t="s">
        <v>1336</v>
      </c>
      <c r="BV1890" t="s">
        <v>86</v>
      </c>
      <c r="BY1890">
        <v>1200</v>
      </c>
      <c r="CA1890" t="s">
        <v>99</v>
      </c>
      <c r="CC1890" t="s">
        <v>214</v>
      </c>
      <c r="CD1890">
        <v>6230</v>
      </c>
      <c r="CE1890" t="s">
        <v>88</v>
      </c>
      <c r="CF1890" s="3">
        <v>43822</v>
      </c>
      <c r="CI1890">
        <v>1</v>
      </c>
      <c r="CJ1890">
        <v>1</v>
      </c>
      <c r="CK1890">
        <v>21</v>
      </c>
      <c r="CL1890" t="s">
        <v>89</v>
      </c>
    </row>
    <row r="1891" spans="1:90">
      <c r="A1891" t="s">
        <v>72</v>
      </c>
      <c r="B1891" t="s">
        <v>73</v>
      </c>
      <c r="C1891" t="s">
        <v>74</v>
      </c>
      <c r="E1891" t="str">
        <f>"009935712076"</f>
        <v>009935712076</v>
      </c>
      <c r="F1891" s="3">
        <v>43809</v>
      </c>
      <c r="G1891">
        <v>202006</v>
      </c>
      <c r="H1891" t="s">
        <v>75</v>
      </c>
      <c r="I1891" t="s">
        <v>76</v>
      </c>
      <c r="J1891" t="s">
        <v>100</v>
      </c>
      <c r="K1891" t="s">
        <v>78</v>
      </c>
      <c r="L1891" t="s">
        <v>109</v>
      </c>
      <c r="M1891" t="s">
        <v>91</v>
      </c>
      <c r="N1891" t="s">
        <v>918</v>
      </c>
      <c r="O1891" t="s">
        <v>104</v>
      </c>
      <c r="P1891" t="str">
        <f>"1162725774                    "</f>
        <v xml:space="preserve">1162725774                    </v>
      </c>
      <c r="Q1891">
        <v>0</v>
      </c>
      <c r="R1891">
        <v>0</v>
      </c>
      <c r="S1891">
        <v>0</v>
      </c>
      <c r="T1891">
        <v>0</v>
      </c>
      <c r="U1891">
        <v>0</v>
      </c>
      <c r="V1891">
        <v>0</v>
      </c>
      <c r="W1891">
        <v>0</v>
      </c>
      <c r="X1891">
        <v>0</v>
      </c>
      <c r="Y1891">
        <v>0</v>
      </c>
      <c r="Z1891">
        <v>0</v>
      </c>
      <c r="AA1891">
        <v>0</v>
      </c>
      <c r="AB1891">
        <v>0</v>
      </c>
      <c r="AC1891">
        <v>0</v>
      </c>
      <c r="AD1891">
        <v>0</v>
      </c>
      <c r="AE1891">
        <v>0</v>
      </c>
      <c r="AF1891">
        <v>0</v>
      </c>
      <c r="AG1891">
        <v>0</v>
      </c>
      <c r="AH1891">
        <v>0</v>
      </c>
      <c r="AI1891">
        <v>0</v>
      </c>
      <c r="AJ1891">
        <v>0</v>
      </c>
      <c r="AK1891">
        <v>0</v>
      </c>
      <c r="AL1891">
        <v>0</v>
      </c>
      <c r="AM1891">
        <v>30.36</v>
      </c>
      <c r="AN1891">
        <v>0</v>
      </c>
      <c r="AO1891">
        <v>0</v>
      </c>
      <c r="AP1891">
        <v>0</v>
      </c>
      <c r="AQ1891">
        <v>0</v>
      </c>
      <c r="AR1891">
        <v>0</v>
      </c>
      <c r="AS1891">
        <v>0</v>
      </c>
      <c r="AT1891">
        <v>0</v>
      </c>
      <c r="AU1891">
        <v>0</v>
      </c>
      <c r="AV1891">
        <v>0</v>
      </c>
      <c r="AW1891">
        <v>0</v>
      </c>
      <c r="AX1891">
        <v>0</v>
      </c>
      <c r="AY1891">
        <v>0</v>
      </c>
      <c r="AZ1891">
        <v>0</v>
      </c>
      <c r="BA1891">
        <v>0</v>
      </c>
      <c r="BB1891">
        <v>0</v>
      </c>
      <c r="BC1891">
        <v>0</v>
      </c>
      <c r="BD1891">
        <v>0</v>
      </c>
      <c r="BE1891">
        <v>0</v>
      </c>
      <c r="BF1891">
        <v>0</v>
      </c>
      <c r="BG1891">
        <v>0</v>
      </c>
      <c r="BH1891">
        <v>1</v>
      </c>
      <c r="BI1891">
        <v>12</v>
      </c>
      <c r="BJ1891">
        <v>31.2</v>
      </c>
      <c r="BK1891">
        <v>32</v>
      </c>
      <c r="BL1891" s="4">
        <v>183.46</v>
      </c>
      <c r="BM1891" s="4">
        <v>27.52</v>
      </c>
      <c r="BN1891" s="4">
        <v>210.98</v>
      </c>
      <c r="BO1891" s="4">
        <v>210.98</v>
      </c>
      <c r="BP1891" t="s">
        <v>1242</v>
      </c>
      <c r="BQ1891" t="s">
        <v>919</v>
      </c>
      <c r="BR1891" t="s">
        <v>105</v>
      </c>
      <c r="BS1891" s="3">
        <v>43810</v>
      </c>
      <c r="BT1891" s="5">
        <v>0.35416666666666669</v>
      </c>
      <c r="BU1891" t="s">
        <v>2223</v>
      </c>
      <c r="BV1891" t="s">
        <v>86</v>
      </c>
      <c r="BY1891">
        <v>156246.12</v>
      </c>
      <c r="CC1891" t="s">
        <v>91</v>
      </c>
      <c r="CD1891">
        <v>7530</v>
      </c>
      <c r="CE1891" t="s">
        <v>96</v>
      </c>
      <c r="CF1891" s="3">
        <v>43811</v>
      </c>
      <c r="CI1891">
        <v>2</v>
      </c>
      <c r="CJ1891">
        <v>1</v>
      </c>
      <c r="CK1891" t="s">
        <v>113</v>
      </c>
      <c r="CL1891" t="s">
        <v>89</v>
      </c>
    </row>
    <row r="1892" spans="1:90">
      <c r="A1892" t="s">
        <v>72</v>
      </c>
      <c r="B1892" t="s">
        <v>73</v>
      </c>
      <c r="C1892" t="s">
        <v>74</v>
      </c>
      <c r="E1892" t="str">
        <f>"RFES1162725774"</f>
        <v>RFES1162725774</v>
      </c>
      <c r="F1892" s="3">
        <v>43801</v>
      </c>
      <c r="G1892">
        <v>202006</v>
      </c>
      <c r="H1892" t="s">
        <v>198</v>
      </c>
      <c r="I1892" t="s">
        <v>199</v>
      </c>
      <c r="J1892" t="s">
        <v>200</v>
      </c>
      <c r="K1892" t="s">
        <v>78</v>
      </c>
      <c r="L1892" t="s">
        <v>75</v>
      </c>
      <c r="M1892" t="s">
        <v>76</v>
      </c>
      <c r="N1892" t="s">
        <v>100</v>
      </c>
      <c r="O1892" t="s">
        <v>104</v>
      </c>
      <c r="P1892" t="str">
        <f>"2170718855                    "</f>
        <v xml:space="preserve">2170718855                    </v>
      </c>
      <c r="Q1892">
        <v>0</v>
      </c>
      <c r="R1892">
        <v>0</v>
      </c>
      <c r="S1892">
        <v>0</v>
      </c>
      <c r="T1892">
        <v>0</v>
      </c>
      <c r="U1892">
        <v>0</v>
      </c>
      <c r="V1892">
        <v>0</v>
      </c>
      <c r="W1892">
        <v>0</v>
      </c>
      <c r="X1892">
        <v>0</v>
      </c>
      <c r="Y1892">
        <v>0</v>
      </c>
      <c r="Z1892">
        <v>0</v>
      </c>
      <c r="AA1892">
        <v>0</v>
      </c>
      <c r="AB1892">
        <v>0</v>
      </c>
      <c r="AC1892">
        <v>0</v>
      </c>
      <c r="AD1892">
        <v>0</v>
      </c>
      <c r="AE1892">
        <v>0</v>
      </c>
      <c r="AF1892">
        <v>0</v>
      </c>
      <c r="AG1892">
        <v>0</v>
      </c>
      <c r="AH1892">
        <v>0</v>
      </c>
      <c r="AI1892">
        <v>0</v>
      </c>
      <c r="AJ1892">
        <v>0</v>
      </c>
      <c r="AK1892">
        <v>0</v>
      </c>
      <c r="AL1892">
        <v>0</v>
      </c>
      <c r="AM1892">
        <v>26.09</v>
      </c>
      <c r="AN1892">
        <v>0</v>
      </c>
      <c r="AO1892">
        <v>0</v>
      </c>
      <c r="AP1892">
        <v>0</v>
      </c>
      <c r="AQ1892">
        <v>0</v>
      </c>
      <c r="AR1892">
        <v>0</v>
      </c>
      <c r="AS1892">
        <v>0</v>
      </c>
      <c r="AT1892">
        <v>0</v>
      </c>
      <c r="AU1892">
        <v>0</v>
      </c>
      <c r="AV1892">
        <v>0</v>
      </c>
      <c r="AW1892">
        <v>0</v>
      </c>
      <c r="AX1892">
        <v>0</v>
      </c>
      <c r="AY1892">
        <v>0</v>
      </c>
      <c r="AZ1892">
        <v>0</v>
      </c>
      <c r="BA1892">
        <v>0</v>
      </c>
      <c r="BB1892">
        <v>0</v>
      </c>
      <c r="BC1892">
        <v>0</v>
      </c>
      <c r="BD1892">
        <v>0</v>
      </c>
      <c r="BE1892">
        <v>0</v>
      </c>
      <c r="BF1892">
        <v>0</v>
      </c>
      <c r="BG1892">
        <v>0</v>
      </c>
      <c r="BH1892">
        <v>1</v>
      </c>
      <c r="BI1892">
        <v>11.7</v>
      </c>
      <c r="BJ1892">
        <v>31.7</v>
      </c>
      <c r="BK1892">
        <v>32</v>
      </c>
      <c r="BL1892" s="4">
        <v>158.38</v>
      </c>
      <c r="BM1892" s="4">
        <v>23.76</v>
      </c>
      <c r="BN1892" s="4">
        <v>182.14</v>
      </c>
      <c r="BO1892" s="4">
        <v>182.14</v>
      </c>
      <c r="BQ1892" t="s">
        <v>105</v>
      </c>
      <c r="BR1892" t="s">
        <v>93</v>
      </c>
      <c r="BS1892" s="3">
        <v>43802</v>
      </c>
      <c r="BT1892" s="5">
        <v>0.35486111111111113</v>
      </c>
      <c r="BU1892" t="s">
        <v>154</v>
      </c>
      <c r="BV1892" t="s">
        <v>86</v>
      </c>
      <c r="BY1892">
        <v>158431.81</v>
      </c>
      <c r="CA1892" t="s">
        <v>155</v>
      </c>
      <c r="CC1892" t="s">
        <v>76</v>
      </c>
      <c r="CD1892">
        <v>1601</v>
      </c>
      <c r="CE1892" t="s">
        <v>96</v>
      </c>
      <c r="CF1892" s="3">
        <v>43803</v>
      </c>
      <c r="CI1892">
        <v>1</v>
      </c>
      <c r="CJ1892">
        <v>1</v>
      </c>
      <c r="CK1892" t="s">
        <v>722</v>
      </c>
      <c r="CL1892" t="s">
        <v>89</v>
      </c>
    </row>
    <row r="1893" spans="1:90">
      <c r="A1893" t="s">
        <v>72</v>
      </c>
      <c r="B1893" t="s">
        <v>73</v>
      </c>
      <c r="C1893" t="s">
        <v>74</v>
      </c>
      <c r="E1893" t="str">
        <f>"FES1162728816"</f>
        <v>FES1162728816</v>
      </c>
      <c r="F1893" s="3">
        <v>43818</v>
      </c>
      <c r="G1893">
        <v>202006</v>
      </c>
      <c r="H1893" t="s">
        <v>75</v>
      </c>
      <c r="I1893" t="s">
        <v>76</v>
      </c>
      <c r="J1893" t="s">
        <v>77</v>
      </c>
      <c r="K1893" t="s">
        <v>78</v>
      </c>
      <c r="L1893" t="s">
        <v>671</v>
      </c>
      <c r="M1893" t="s">
        <v>672</v>
      </c>
      <c r="N1893" t="s">
        <v>639</v>
      </c>
      <c r="O1893" t="s">
        <v>82</v>
      </c>
      <c r="P1893" t="str">
        <f>"2170707984                    "</f>
        <v xml:space="preserve">2170707984                    </v>
      </c>
      <c r="Q1893">
        <v>0</v>
      </c>
      <c r="R1893">
        <v>0</v>
      </c>
      <c r="S1893">
        <v>0</v>
      </c>
      <c r="T1893">
        <v>0</v>
      </c>
      <c r="U1893">
        <v>0</v>
      </c>
      <c r="V1893">
        <v>0</v>
      </c>
      <c r="W1893">
        <v>0</v>
      </c>
      <c r="X1893">
        <v>0</v>
      </c>
      <c r="Y1893">
        <v>0</v>
      </c>
      <c r="Z1893">
        <v>0</v>
      </c>
      <c r="AA1893">
        <v>0</v>
      </c>
      <c r="AB1893">
        <v>0</v>
      </c>
      <c r="AC1893">
        <v>0</v>
      </c>
      <c r="AD1893">
        <v>0</v>
      </c>
      <c r="AE1893">
        <v>0</v>
      </c>
      <c r="AF1893">
        <v>0</v>
      </c>
      <c r="AG1893">
        <v>0</v>
      </c>
      <c r="AH1893">
        <v>0</v>
      </c>
      <c r="AI1893">
        <v>0</v>
      </c>
      <c r="AJ1893">
        <v>0</v>
      </c>
      <c r="AK1893">
        <v>0</v>
      </c>
      <c r="AL1893">
        <v>0</v>
      </c>
      <c r="AM1893">
        <v>16.63</v>
      </c>
      <c r="AN1893">
        <v>0</v>
      </c>
      <c r="AO1893">
        <v>0</v>
      </c>
      <c r="AP1893">
        <v>0</v>
      </c>
      <c r="AQ1893">
        <v>0</v>
      </c>
      <c r="AR1893">
        <v>0</v>
      </c>
      <c r="AS1893">
        <v>0</v>
      </c>
      <c r="AT1893">
        <v>0</v>
      </c>
      <c r="AU1893">
        <v>0</v>
      </c>
      <c r="AV1893">
        <v>0</v>
      </c>
      <c r="AW1893">
        <v>0</v>
      </c>
      <c r="AX1893">
        <v>0</v>
      </c>
      <c r="AY1893">
        <v>0</v>
      </c>
      <c r="AZ1893">
        <v>0</v>
      </c>
      <c r="BA1893">
        <v>0</v>
      </c>
      <c r="BB1893">
        <v>0</v>
      </c>
      <c r="BC1893">
        <v>0</v>
      </c>
      <c r="BD1893">
        <v>0</v>
      </c>
      <c r="BE1893">
        <v>0</v>
      </c>
      <c r="BF1893">
        <v>0</v>
      </c>
      <c r="BG1893">
        <v>0</v>
      </c>
      <c r="BH1893">
        <v>1</v>
      </c>
      <c r="BI1893">
        <v>1</v>
      </c>
      <c r="BJ1893">
        <v>0.2</v>
      </c>
      <c r="BK1893">
        <v>1</v>
      </c>
      <c r="BL1893" s="4">
        <v>97.75</v>
      </c>
      <c r="BM1893" s="4">
        <v>14.66</v>
      </c>
      <c r="BN1893" s="4">
        <v>112.41</v>
      </c>
      <c r="BO1893" s="4">
        <v>112.41</v>
      </c>
      <c r="BQ1893" t="s">
        <v>93</v>
      </c>
      <c r="BR1893" t="s">
        <v>84</v>
      </c>
      <c r="BS1893" s="3">
        <v>43819</v>
      </c>
      <c r="BT1893" s="5">
        <v>0.33333333333333331</v>
      </c>
      <c r="BU1893" t="s">
        <v>2224</v>
      </c>
      <c r="BV1893" t="s">
        <v>86</v>
      </c>
      <c r="BY1893">
        <v>1200</v>
      </c>
      <c r="CA1893" t="s">
        <v>946</v>
      </c>
      <c r="CC1893" t="s">
        <v>672</v>
      </c>
      <c r="CD1893">
        <v>1911</v>
      </c>
      <c r="CE1893" t="s">
        <v>88</v>
      </c>
      <c r="CF1893" s="3">
        <v>43822</v>
      </c>
      <c r="CI1893">
        <v>1</v>
      </c>
      <c r="CJ1893">
        <v>1</v>
      </c>
      <c r="CK1893">
        <v>23</v>
      </c>
      <c r="CL1893" t="s">
        <v>89</v>
      </c>
    </row>
    <row r="1894" spans="1:90">
      <c r="A1894" t="s">
        <v>72</v>
      </c>
      <c r="B1894" t="s">
        <v>73</v>
      </c>
      <c r="C1894" t="s">
        <v>74</v>
      </c>
      <c r="E1894" t="str">
        <f>"FES1162729010"</f>
        <v>FES1162729010</v>
      </c>
      <c r="F1894" s="3">
        <v>43817</v>
      </c>
      <c r="G1894">
        <v>202006</v>
      </c>
      <c r="H1894" t="s">
        <v>75</v>
      </c>
      <c r="I1894" t="s">
        <v>76</v>
      </c>
      <c r="J1894" t="s">
        <v>77</v>
      </c>
      <c r="K1894" t="s">
        <v>78</v>
      </c>
      <c r="L1894" t="s">
        <v>79</v>
      </c>
      <c r="M1894" t="s">
        <v>80</v>
      </c>
      <c r="N1894" t="s">
        <v>129</v>
      </c>
      <c r="O1894" t="s">
        <v>104</v>
      </c>
      <c r="P1894" t="str">
        <f>"21707252048                   "</f>
        <v xml:space="preserve">21707252048                   </v>
      </c>
      <c r="Q1894">
        <v>0</v>
      </c>
      <c r="R1894">
        <v>0</v>
      </c>
      <c r="S1894">
        <v>0</v>
      </c>
      <c r="T1894">
        <v>0</v>
      </c>
      <c r="U1894">
        <v>0</v>
      </c>
      <c r="V1894">
        <v>0</v>
      </c>
      <c r="W1894">
        <v>0</v>
      </c>
      <c r="X1894">
        <v>0</v>
      </c>
      <c r="Y1894">
        <v>0</v>
      </c>
      <c r="Z1894">
        <v>0</v>
      </c>
      <c r="AA1894">
        <v>0</v>
      </c>
      <c r="AB1894">
        <v>0</v>
      </c>
      <c r="AC1894">
        <v>0</v>
      </c>
      <c r="AD1894">
        <v>0</v>
      </c>
      <c r="AE1894">
        <v>0</v>
      </c>
      <c r="AF1894">
        <v>0</v>
      </c>
      <c r="AG1894">
        <v>0</v>
      </c>
      <c r="AH1894">
        <v>0</v>
      </c>
      <c r="AI1894">
        <v>0</v>
      </c>
      <c r="AJ1894">
        <v>0</v>
      </c>
      <c r="AK1894">
        <v>0</v>
      </c>
      <c r="AL1894">
        <v>0</v>
      </c>
      <c r="AM1894">
        <v>52.93</v>
      </c>
      <c r="AN1894">
        <v>0</v>
      </c>
      <c r="AO1894">
        <v>0</v>
      </c>
      <c r="AP1894">
        <v>0</v>
      </c>
      <c r="AQ1894">
        <v>0</v>
      </c>
      <c r="AR1894">
        <v>0</v>
      </c>
      <c r="AS1894">
        <v>0</v>
      </c>
      <c r="AT1894">
        <v>0</v>
      </c>
      <c r="AU1894">
        <v>0</v>
      </c>
      <c r="AV1894">
        <v>0</v>
      </c>
      <c r="AW1894">
        <v>0</v>
      </c>
      <c r="AX1894">
        <v>0</v>
      </c>
      <c r="AY1894">
        <v>0</v>
      </c>
      <c r="AZ1894">
        <v>0</v>
      </c>
      <c r="BA1894">
        <v>0</v>
      </c>
      <c r="BB1894">
        <v>0</v>
      </c>
      <c r="BC1894">
        <v>0</v>
      </c>
      <c r="BD1894">
        <v>0</v>
      </c>
      <c r="BE1894">
        <v>0</v>
      </c>
      <c r="BF1894">
        <v>0</v>
      </c>
      <c r="BG1894">
        <v>0</v>
      </c>
      <c r="BH1894">
        <v>2</v>
      </c>
      <c r="BI1894">
        <v>29</v>
      </c>
      <c r="BJ1894">
        <v>61.5</v>
      </c>
      <c r="BK1894">
        <v>62</v>
      </c>
      <c r="BL1894" s="4">
        <v>316.13</v>
      </c>
      <c r="BM1894" s="4">
        <v>47.42</v>
      </c>
      <c r="BN1894" s="4">
        <v>363.55</v>
      </c>
      <c r="BO1894" s="4">
        <v>363.55</v>
      </c>
      <c r="BQ1894" t="s">
        <v>147</v>
      </c>
      <c r="BR1894" t="s">
        <v>84</v>
      </c>
      <c r="BS1894" s="3">
        <v>43818</v>
      </c>
      <c r="BT1894" s="5">
        <v>0.38680555555555557</v>
      </c>
      <c r="BU1894" t="s">
        <v>130</v>
      </c>
      <c r="BV1894" t="s">
        <v>86</v>
      </c>
      <c r="BY1894">
        <v>307506.78000000003</v>
      </c>
      <c r="CA1894" t="s">
        <v>131</v>
      </c>
      <c r="CC1894" t="s">
        <v>80</v>
      </c>
      <c r="CD1894">
        <v>6001</v>
      </c>
      <c r="CE1894" t="s">
        <v>1073</v>
      </c>
      <c r="CF1894" s="3">
        <v>43819</v>
      </c>
      <c r="CI1894">
        <v>2</v>
      </c>
      <c r="CJ1894">
        <v>1</v>
      </c>
      <c r="CK1894" t="s">
        <v>113</v>
      </c>
      <c r="CL1894" t="s">
        <v>89</v>
      </c>
    </row>
    <row r="1895" spans="1:90">
      <c r="A1895" t="s">
        <v>72</v>
      </c>
      <c r="B1895" t="s">
        <v>73</v>
      </c>
      <c r="C1895" t="s">
        <v>74</v>
      </c>
      <c r="E1895" t="str">
        <f>"FES1162728373"</f>
        <v>FES1162728373</v>
      </c>
      <c r="F1895" s="3">
        <v>43817</v>
      </c>
      <c r="G1895">
        <v>202006</v>
      </c>
      <c r="H1895" t="s">
        <v>75</v>
      </c>
      <c r="I1895" t="s">
        <v>76</v>
      </c>
      <c r="J1895" t="s">
        <v>77</v>
      </c>
      <c r="K1895" t="s">
        <v>78</v>
      </c>
      <c r="L1895" t="s">
        <v>213</v>
      </c>
      <c r="M1895" t="s">
        <v>214</v>
      </c>
      <c r="N1895" t="s">
        <v>303</v>
      </c>
      <c r="O1895" t="s">
        <v>104</v>
      </c>
      <c r="P1895" t="str">
        <f>"2170719968                    "</f>
        <v xml:space="preserve">2170719968                    </v>
      </c>
      <c r="Q1895">
        <v>0</v>
      </c>
      <c r="R1895">
        <v>0</v>
      </c>
      <c r="S1895">
        <v>0</v>
      </c>
      <c r="T1895">
        <v>0</v>
      </c>
      <c r="U1895">
        <v>0</v>
      </c>
      <c r="V1895">
        <v>0</v>
      </c>
      <c r="W1895">
        <v>0</v>
      </c>
      <c r="X1895">
        <v>0</v>
      </c>
      <c r="Y1895">
        <v>0</v>
      </c>
      <c r="Z1895">
        <v>0</v>
      </c>
      <c r="AA1895">
        <v>0</v>
      </c>
      <c r="AB1895">
        <v>0</v>
      </c>
      <c r="AC1895">
        <v>0</v>
      </c>
      <c r="AD1895">
        <v>0</v>
      </c>
      <c r="AE1895">
        <v>0</v>
      </c>
      <c r="AF1895">
        <v>0</v>
      </c>
      <c r="AG1895">
        <v>0</v>
      </c>
      <c r="AH1895">
        <v>0</v>
      </c>
      <c r="AI1895">
        <v>0</v>
      </c>
      <c r="AJ1895">
        <v>0</v>
      </c>
      <c r="AK1895">
        <v>0</v>
      </c>
      <c r="AL1895">
        <v>0</v>
      </c>
      <c r="AM1895">
        <v>24.34</v>
      </c>
      <c r="AN1895">
        <v>0</v>
      </c>
      <c r="AO1895">
        <v>0</v>
      </c>
      <c r="AP1895">
        <v>0</v>
      </c>
      <c r="AQ1895">
        <v>0</v>
      </c>
      <c r="AR1895">
        <v>0</v>
      </c>
      <c r="AS1895">
        <v>0</v>
      </c>
      <c r="AT1895">
        <v>0</v>
      </c>
      <c r="AU1895">
        <v>0</v>
      </c>
      <c r="AV1895">
        <v>0</v>
      </c>
      <c r="AW1895">
        <v>0</v>
      </c>
      <c r="AX1895">
        <v>0</v>
      </c>
      <c r="AY1895">
        <v>0</v>
      </c>
      <c r="AZ1895">
        <v>0</v>
      </c>
      <c r="BA1895">
        <v>0</v>
      </c>
      <c r="BB1895">
        <v>0</v>
      </c>
      <c r="BC1895">
        <v>0</v>
      </c>
      <c r="BD1895">
        <v>0</v>
      </c>
      <c r="BE1895">
        <v>0</v>
      </c>
      <c r="BF1895">
        <v>0</v>
      </c>
      <c r="BG1895">
        <v>0</v>
      </c>
      <c r="BH1895">
        <v>1</v>
      </c>
      <c r="BI1895">
        <v>23.2</v>
      </c>
      <c r="BJ1895">
        <v>17.3</v>
      </c>
      <c r="BK1895">
        <v>24</v>
      </c>
      <c r="BL1895" s="4">
        <v>148.08000000000001</v>
      </c>
      <c r="BM1895" s="4">
        <v>22.21</v>
      </c>
      <c r="BN1895" s="4">
        <v>170.29</v>
      </c>
      <c r="BO1895" s="4">
        <v>170.29</v>
      </c>
      <c r="BQ1895" t="s">
        <v>147</v>
      </c>
      <c r="BR1895" t="s">
        <v>84</v>
      </c>
      <c r="BS1895" s="3">
        <v>43818</v>
      </c>
      <c r="BT1895" s="5">
        <v>0.36944444444444446</v>
      </c>
      <c r="BU1895" t="s">
        <v>2153</v>
      </c>
      <c r="BV1895" t="s">
        <v>86</v>
      </c>
      <c r="BY1895">
        <v>86383.98</v>
      </c>
      <c r="CA1895" t="s">
        <v>99</v>
      </c>
      <c r="CC1895" t="s">
        <v>214</v>
      </c>
      <c r="CD1895">
        <v>6230</v>
      </c>
      <c r="CE1895" t="s">
        <v>96</v>
      </c>
      <c r="CF1895" s="3">
        <v>43819</v>
      </c>
      <c r="CI1895">
        <v>2</v>
      </c>
      <c r="CJ1895">
        <v>1</v>
      </c>
      <c r="CK1895" t="s">
        <v>113</v>
      </c>
      <c r="CL1895" t="s">
        <v>89</v>
      </c>
    </row>
    <row r="1896" spans="1:90">
      <c r="A1896" t="s">
        <v>72</v>
      </c>
      <c r="B1896" t="s">
        <v>73</v>
      </c>
      <c r="C1896" t="s">
        <v>74</v>
      </c>
      <c r="E1896" t="str">
        <f>"FES1162728981"</f>
        <v>FES1162728981</v>
      </c>
      <c r="F1896" s="3">
        <v>43817</v>
      </c>
      <c r="G1896">
        <v>202006</v>
      </c>
      <c r="H1896" t="s">
        <v>75</v>
      </c>
      <c r="I1896" t="s">
        <v>76</v>
      </c>
      <c r="J1896" t="s">
        <v>77</v>
      </c>
      <c r="K1896" t="s">
        <v>78</v>
      </c>
      <c r="L1896" t="s">
        <v>79</v>
      </c>
      <c r="M1896" t="s">
        <v>80</v>
      </c>
      <c r="N1896" t="s">
        <v>420</v>
      </c>
      <c r="O1896" t="s">
        <v>104</v>
      </c>
      <c r="P1896" t="str">
        <f>"21707220092                   "</f>
        <v xml:space="preserve">21707220092                   </v>
      </c>
      <c r="Q1896">
        <v>0</v>
      </c>
      <c r="R1896">
        <v>0</v>
      </c>
      <c r="S1896">
        <v>0</v>
      </c>
      <c r="T1896">
        <v>0</v>
      </c>
      <c r="U1896">
        <v>0</v>
      </c>
      <c r="V1896">
        <v>0</v>
      </c>
      <c r="W1896">
        <v>0</v>
      </c>
      <c r="X1896">
        <v>0</v>
      </c>
      <c r="Y1896">
        <v>0</v>
      </c>
      <c r="Z1896">
        <v>0</v>
      </c>
      <c r="AA1896">
        <v>0</v>
      </c>
      <c r="AB1896">
        <v>0</v>
      </c>
      <c r="AC1896">
        <v>0</v>
      </c>
      <c r="AD1896">
        <v>0</v>
      </c>
      <c r="AE1896">
        <v>0</v>
      </c>
      <c r="AF1896">
        <v>0</v>
      </c>
      <c r="AG1896">
        <v>0</v>
      </c>
      <c r="AH1896">
        <v>0</v>
      </c>
      <c r="AI1896">
        <v>0</v>
      </c>
      <c r="AJ1896">
        <v>0</v>
      </c>
      <c r="AK1896">
        <v>0</v>
      </c>
      <c r="AL1896">
        <v>0</v>
      </c>
      <c r="AM1896">
        <v>21.33</v>
      </c>
      <c r="AN1896">
        <v>0</v>
      </c>
      <c r="AO1896">
        <v>0</v>
      </c>
      <c r="AP1896">
        <v>0</v>
      </c>
      <c r="AQ1896">
        <v>0</v>
      </c>
      <c r="AR1896">
        <v>0</v>
      </c>
      <c r="AS1896">
        <v>0</v>
      </c>
      <c r="AT1896">
        <v>0</v>
      </c>
      <c r="AU1896">
        <v>0</v>
      </c>
      <c r="AV1896">
        <v>0</v>
      </c>
      <c r="AW1896">
        <v>0</v>
      </c>
      <c r="AX1896">
        <v>0</v>
      </c>
      <c r="AY1896">
        <v>0</v>
      </c>
      <c r="AZ1896">
        <v>0</v>
      </c>
      <c r="BA1896">
        <v>0</v>
      </c>
      <c r="BB1896">
        <v>0</v>
      </c>
      <c r="BC1896">
        <v>0</v>
      </c>
      <c r="BD1896">
        <v>0</v>
      </c>
      <c r="BE1896">
        <v>0</v>
      </c>
      <c r="BF1896">
        <v>0</v>
      </c>
      <c r="BG1896">
        <v>0</v>
      </c>
      <c r="BH1896">
        <v>1</v>
      </c>
      <c r="BI1896">
        <v>19.899999999999999</v>
      </c>
      <c r="BJ1896">
        <v>13.4</v>
      </c>
      <c r="BK1896">
        <v>20</v>
      </c>
      <c r="BL1896" s="4">
        <v>130.38999999999999</v>
      </c>
      <c r="BM1896" s="4">
        <v>19.559999999999999</v>
      </c>
      <c r="BN1896" s="4">
        <v>149.94999999999999</v>
      </c>
      <c r="BO1896" s="4">
        <v>149.94999999999999</v>
      </c>
      <c r="BQ1896" t="s">
        <v>147</v>
      </c>
      <c r="BR1896" t="s">
        <v>84</v>
      </c>
      <c r="BS1896" s="3">
        <v>43819</v>
      </c>
      <c r="BT1896" s="5">
        <v>0.48958333333333331</v>
      </c>
      <c r="BU1896" t="s">
        <v>2225</v>
      </c>
      <c r="BV1896" t="s">
        <v>86</v>
      </c>
      <c r="BY1896">
        <v>67039.3</v>
      </c>
      <c r="CA1896" t="s">
        <v>131</v>
      </c>
      <c r="CC1896" t="s">
        <v>80</v>
      </c>
      <c r="CD1896">
        <v>6001</v>
      </c>
      <c r="CE1896" t="s">
        <v>116</v>
      </c>
      <c r="CF1896" s="3">
        <v>43822</v>
      </c>
      <c r="CI1896">
        <v>2</v>
      </c>
      <c r="CJ1896">
        <v>2</v>
      </c>
      <c r="CK1896" t="s">
        <v>113</v>
      </c>
      <c r="CL1896" t="s">
        <v>89</v>
      </c>
    </row>
    <row r="1897" spans="1:90">
      <c r="A1897" t="s">
        <v>72</v>
      </c>
      <c r="B1897" t="s">
        <v>73</v>
      </c>
      <c r="C1897" t="s">
        <v>74</v>
      </c>
      <c r="E1897" t="str">
        <f>"FES1162728635"</f>
        <v>FES1162728635</v>
      </c>
      <c r="F1897" s="3">
        <v>43817</v>
      </c>
      <c r="G1897">
        <v>202006</v>
      </c>
      <c r="H1897" t="s">
        <v>75</v>
      </c>
      <c r="I1897" t="s">
        <v>76</v>
      </c>
      <c r="J1897" t="s">
        <v>77</v>
      </c>
      <c r="K1897" t="s">
        <v>78</v>
      </c>
      <c r="L1897" t="s">
        <v>213</v>
      </c>
      <c r="M1897" t="s">
        <v>214</v>
      </c>
      <c r="N1897" t="s">
        <v>303</v>
      </c>
      <c r="O1897" t="s">
        <v>104</v>
      </c>
      <c r="P1897" t="str">
        <f>"2170717913                    "</f>
        <v xml:space="preserve">2170717913                    </v>
      </c>
      <c r="Q1897">
        <v>0</v>
      </c>
      <c r="R1897">
        <v>0</v>
      </c>
      <c r="S1897">
        <v>0</v>
      </c>
      <c r="T1897">
        <v>0</v>
      </c>
      <c r="U1897">
        <v>0</v>
      </c>
      <c r="V1897">
        <v>0</v>
      </c>
      <c r="W1897">
        <v>0</v>
      </c>
      <c r="X1897">
        <v>0</v>
      </c>
      <c r="Y1897">
        <v>0</v>
      </c>
      <c r="Z1897">
        <v>0</v>
      </c>
      <c r="AA1897">
        <v>0</v>
      </c>
      <c r="AB1897">
        <v>0</v>
      </c>
      <c r="AC1897">
        <v>0</v>
      </c>
      <c r="AD1897">
        <v>0</v>
      </c>
      <c r="AE1897">
        <v>0</v>
      </c>
      <c r="AF1897">
        <v>0</v>
      </c>
      <c r="AG1897">
        <v>0</v>
      </c>
      <c r="AH1897">
        <v>0</v>
      </c>
      <c r="AI1897">
        <v>0</v>
      </c>
      <c r="AJ1897">
        <v>0</v>
      </c>
      <c r="AK1897">
        <v>0</v>
      </c>
      <c r="AL1897">
        <v>0</v>
      </c>
      <c r="AM1897">
        <v>22.84</v>
      </c>
      <c r="AN1897">
        <v>0</v>
      </c>
      <c r="AO1897">
        <v>0</v>
      </c>
      <c r="AP1897">
        <v>0</v>
      </c>
      <c r="AQ1897">
        <v>0</v>
      </c>
      <c r="AR1897">
        <v>0</v>
      </c>
      <c r="AS1897">
        <v>0</v>
      </c>
      <c r="AT1897">
        <v>0</v>
      </c>
      <c r="AU1897">
        <v>0</v>
      </c>
      <c r="AV1897">
        <v>0</v>
      </c>
      <c r="AW1897">
        <v>0</v>
      </c>
      <c r="AX1897">
        <v>0</v>
      </c>
      <c r="AY1897">
        <v>0</v>
      </c>
      <c r="AZ1897">
        <v>0</v>
      </c>
      <c r="BA1897">
        <v>0</v>
      </c>
      <c r="BB1897">
        <v>0</v>
      </c>
      <c r="BC1897">
        <v>0</v>
      </c>
      <c r="BD1897">
        <v>0</v>
      </c>
      <c r="BE1897">
        <v>0</v>
      </c>
      <c r="BF1897">
        <v>0</v>
      </c>
      <c r="BG1897">
        <v>0</v>
      </c>
      <c r="BH1897">
        <v>2</v>
      </c>
      <c r="BI1897">
        <v>21.7</v>
      </c>
      <c r="BJ1897">
        <v>8.1</v>
      </c>
      <c r="BK1897">
        <v>22</v>
      </c>
      <c r="BL1897" s="4">
        <v>139.24</v>
      </c>
      <c r="BM1897" s="4">
        <v>20.89</v>
      </c>
      <c r="BN1897" s="4">
        <v>160.13</v>
      </c>
      <c r="BO1897" s="4">
        <v>160.13</v>
      </c>
      <c r="BQ1897" t="s">
        <v>147</v>
      </c>
      <c r="BR1897" t="s">
        <v>84</v>
      </c>
      <c r="BS1897" s="3">
        <v>43818</v>
      </c>
      <c r="BT1897" s="5">
        <v>0.3298611111111111</v>
      </c>
      <c r="BU1897" t="s">
        <v>2153</v>
      </c>
      <c r="BV1897" t="s">
        <v>86</v>
      </c>
      <c r="BY1897">
        <v>40694.629999999997</v>
      </c>
      <c r="CA1897" t="s">
        <v>99</v>
      </c>
      <c r="CC1897" t="s">
        <v>214</v>
      </c>
      <c r="CD1897">
        <v>6230</v>
      </c>
      <c r="CE1897" t="s">
        <v>1073</v>
      </c>
      <c r="CF1897" s="3">
        <v>43819</v>
      </c>
      <c r="CI1897">
        <v>2</v>
      </c>
      <c r="CJ1897">
        <v>1</v>
      </c>
      <c r="CK1897" t="s">
        <v>113</v>
      </c>
      <c r="CL1897" t="s">
        <v>89</v>
      </c>
    </row>
    <row r="1898" spans="1:90">
      <c r="A1898" t="s">
        <v>72</v>
      </c>
      <c r="B1898" t="s">
        <v>73</v>
      </c>
      <c r="C1898" t="s">
        <v>74</v>
      </c>
      <c r="E1898" t="str">
        <f>"FES1162728874"</f>
        <v>FES1162728874</v>
      </c>
      <c r="F1898" s="3">
        <v>43817</v>
      </c>
      <c r="G1898">
        <v>202006</v>
      </c>
      <c r="H1898" t="s">
        <v>75</v>
      </c>
      <c r="I1898" t="s">
        <v>76</v>
      </c>
      <c r="J1898" t="s">
        <v>77</v>
      </c>
      <c r="K1898" t="s">
        <v>78</v>
      </c>
      <c r="L1898" t="s">
        <v>109</v>
      </c>
      <c r="M1898" t="s">
        <v>91</v>
      </c>
      <c r="N1898" t="s">
        <v>677</v>
      </c>
      <c r="O1898" t="s">
        <v>104</v>
      </c>
      <c r="P1898" t="str">
        <f>"2170716743                    "</f>
        <v xml:space="preserve">2170716743                    </v>
      </c>
      <c r="Q1898">
        <v>0</v>
      </c>
      <c r="R1898">
        <v>0</v>
      </c>
      <c r="S1898">
        <v>0</v>
      </c>
      <c r="T1898">
        <v>0</v>
      </c>
      <c r="U1898">
        <v>0</v>
      </c>
      <c r="V1898">
        <v>0</v>
      </c>
      <c r="W1898">
        <v>0</v>
      </c>
      <c r="X1898">
        <v>0</v>
      </c>
      <c r="Y1898">
        <v>0</v>
      </c>
      <c r="Z1898">
        <v>0</v>
      </c>
      <c r="AA1898">
        <v>0</v>
      </c>
      <c r="AB1898">
        <v>0</v>
      </c>
      <c r="AC1898">
        <v>0</v>
      </c>
      <c r="AD1898">
        <v>0</v>
      </c>
      <c r="AE1898">
        <v>0</v>
      </c>
      <c r="AF1898">
        <v>0</v>
      </c>
      <c r="AG1898">
        <v>0</v>
      </c>
      <c r="AH1898">
        <v>0</v>
      </c>
      <c r="AI1898">
        <v>0</v>
      </c>
      <c r="AJ1898">
        <v>0</v>
      </c>
      <c r="AK1898">
        <v>0</v>
      </c>
      <c r="AL1898">
        <v>0</v>
      </c>
      <c r="AM1898">
        <v>34.119999999999997</v>
      </c>
      <c r="AN1898">
        <v>0</v>
      </c>
      <c r="AO1898">
        <v>0</v>
      </c>
      <c r="AP1898">
        <v>0</v>
      </c>
      <c r="AQ1898">
        <v>0</v>
      </c>
      <c r="AR1898">
        <v>0</v>
      </c>
      <c r="AS1898">
        <v>0</v>
      </c>
      <c r="AT1898">
        <v>0</v>
      </c>
      <c r="AU1898">
        <v>0</v>
      </c>
      <c r="AV1898">
        <v>0</v>
      </c>
      <c r="AW1898">
        <v>0</v>
      </c>
      <c r="AX1898">
        <v>0</v>
      </c>
      <c r="AY1898">
        <v>0</v>
      </c>
      <c r="AZ1898">
        <v>0</v>
      </c>
      <c r="BA1898">
        <v>0</v>
      </c>
      <c r="BB1898">
        <v>0</v>
      </c>
      <c r="BC1898">
        <v>0</v>
      </c>
      <c r="BD1898">
        <v>0</v>
      </c>
      <c r="BE1898">
        <v>0</v>
      </c>
      <c r="BF1898">
        <v>0</v>
      </c>
      <c r="BG1898">
        <v>0</v>
      </c>
      <c r="BH1898">
        <v>2</v>
      </c>
      <c r="BI1898">
        <v>24.1</v>
      </c>
      <c r="BJ1898">
        <v>36.5</v>
      </c>
      <c r="BK1898">
        <v>37</v>
      </c>
      <c r="BL1898" s="4">
        <v>205.57</v>
      </c>
      <c r="BM1898" s="4">
        <v>30.84</v>
      </c>
      <c r="BN1898" s="4">
        <v>236.41</v>
      </c>
      <c r="BO1898" s="4">
        <v>236.41</v>
      </c>
      <c r="BR1898" t="s">
        <v>84</v>
      </c>
      <c r="BS1898" t="s">
        <v>717</v>
      </c>
      <c r="BY1898">
        <v>182727.67</v>
      </c>
      <c r="CC1898" t="s">
        <v>91</v>
      </c>
      <c r="CD1898">
        <v>7580</v>
      </c>
      <c r="CE1898" t="s">
        <v>1073</v>
      </c>
      <c r="CI1898">
        <v>2</v>
      </c>
      <c r="CJ1898" t="s">
        <v>717</v>
      </c>
      <c r="CK1898" t="s">
        <v>113</v>
      </c>
      <c r="CL1898" t="s">
        <v>89</v>
      </c>
    </row>
    <row r="1899" spans="1:90">
      <c r="A1899" t="s">
        <v>72</v>
      </c>
      <c r="B1899" t="s">
        <v>73</v>
      </c>
      <c r="C1899" t="s">
        <v>74</v>
      </c>
      <c r="E1899" t="str">
        <f>"FES1162729064"</f>
        <v>FES1162729064</v>
      </c>
      <c r="F1899" s="3">
        <v>43818</v>
      </c>
      <c r="G1899">
        <v>202006</v>
      </c>
      <c r="H1899" t="s">
        <v>75</v>
      </c>
      <c r="I1899" t="s">
        <v>76</v>
      </c>
      <c r="J1899" t="s">
        <v>77</v>
      </c>
      <c r="K1899" t="s">
        <v>78</v>
      </c>
      <c r="L1899" t="s">
        <v>198</v>
      </c>
      <c r="M1899" t="s">
        <v>199</v>
      </c>
      <c r="N1899" t="s">
        <v>297</v>
      </c>
      <c r="O1899" t="s">
        <v>82</v>
      </c>
      <c r="P1899" t="str">
        <f>"2170720268                    "</f>
        <v xml:space="preserve">2170720268                    </v>
      </c>
      <c r="Q1899">
        <v>0</v>
      </c>
      <c r="R1899">
        <v>0</v>
      </c>
      <c r="S1899">
        <v>0</v>
      </c>
      <c r="T1899">
        <v>0</v>
      </c>
      <c r="U1899">
        <v>0</v>
      </c>
      <c r="V1899">
        <v>0</v>
      </c>
      <c r="W1899">
        <v>0</v>
      </c>
      <c r="X1899">
        <v>0</v>
      </c>
      <c r="Y1899">
        <v>0</v>
      </c>
      <c r="Z1899">
        <v>0</v>
      </c>
      <c r="AA1899">
        <v>0</v>
      </c>
      <c r="AB1899">
        <v>0</v>
      </c>
      <c r="AC1899">
        <v>0</v>
      </c>
      <c r="AD1899">
        <v>0</v>
      </c>
      <c r="AE1899">
        <v>0</v>
      </c>
      <c r="AF1899">
        <v>0</v>
      </c>
      <c r="AG1899">
        <v>0</v>
      </c>
      <c r="AH1899">
        <v>0</v>
      </c>
      <c r="AI1899">
        <v>0</v>
      </c>
      <c r="AJ1899">
        <v>0</v>
      </c>
      <c r="AK1899">
        <v>0</v>
      </c>
      <c r="AL1899">
        <v>0</v>
      </c>
      <c r="AM1899">
        <v>8.58</v>
      </c>
      <c r="AN1899">
        <v>0</v>
      </c>
      <c r="AO1899">
        <v>0</v>
      </c>
      <c r="AP1899">
        <v>0</v>
      </c>
      <c r="AQ1899">
        <v>0</v>
      </c>
      <c r="AR1899">
        <v>0</v>
      </c>
      <c r="AS1899">
        <v>0</v>
      </c>
      <c r="AT1899">
        <v>0</v>
      </c>
      <c r="AU1899">
        <v>0</v>
      </c>
      <c r="AV1899">
        <v>0</v>
      </c>
      <c r="AW1899">
        <v>0</v>
      </c>
      <c r="AX1899">
        <v>0</v>
      </c>
      <c r="AY1899">
        <v>0</v>
      </c>
      <c r="AZ1899">
        <v>0</v>
      </c>
      <c r="BA1899">
        <v>0</v>
      </c>
      <c r="BB1899">
        <v>0</v>
      </c>
      <c r="BC1899">
        <v>0</v>
      </c>
      <c r="BD1899">
        <v>0</v>
      </c>
      <c r="BE1899">
        <v>0</v>
      </c>
      <c r="BF1899">
        <v>0</v>
      </c>
      <c r="BG1899">
        <v>0</v>
      </c>
      <c r="BH1899">
        <v>1</v>
      </c>
      <c r="BI1899">
        <v>1</v>
      </c>
      <c r="BJ1899">
        <v>0.2</v>
      </c>
      <c r="BK1899">
        <v>1</v>
      </c>
      <c r="BL1899" s="4">
        <v>50.45</v>
      </c>
      <c r="BM1899" s="4">
        <v>7.57</v>
      </c>
      <c r="BN1899" s="4">
        <v>58.02</v>
      </c>
      <c r="BO1899" s="4">
        <v>58.02</v>
      </c>
      <c r="BQ1899" t="s">
        <v>172</v>
      </c>
      <c r="BR1899" t="s">
        <v>84</v>
      </c>
      <c r="BS1899" s="3">
        <v>43819</v>
      </c>
      <c r="BT1899" s="5">
        <v>0.3888888888888889</v>
      </c>
      <c r="BU1899" t="s">
        <v>542</v>
      </c>
      <c r="BV1899" t="s">
        <v>86</v>
      </c>
      <c r="BY1899">
        <v>1200</v>
      </c>
      <c r="CA1899" t="s">
        <v>299</v>
      </c>
      <c r="CC1899" t="s">
        <v>199</v>
      </c>
      <c r="CD1899">
        <v>4000</v>
      </c>
      <c r="CE1899" t="s">
        <v>88</v>
      </c>
      <c r="CF1899" s="3">
        <v>43823</v>
      </c>
      <c r="CI1899">
        <v>1</v>
      </c>
      <c r="CJ1899">
        <v>1</v>
      </c>
      <c r="CK1899">
        <v>21</v>
      </c>
      <c r="CL1899" t="s">
        <v>89</v>
      </c>
    </row>
    <row r="1900" spans="1:90">
      <c r="A1900" t="s">
        <v>72</v>
      </c>
      <c r="B1900" t="s">
        <v>73</v>
      </c>
      <c r="C1900" t="s">
        <v>74</v>
      </c>
      <c r="E1900" t="str">
        <f>"FES1162728907"</f>
        <v>FES1162728907</v>
      </c>
      <c r="F1900" s="3">
        <v>43818</v>
      </c>
      <c r="G1900">
        <v>202006</v>
      </c>
      <c r="H1900" t="s">
        <v>75</v>
      </c>
      <c r="I1900" t="s">
        <v>76</v>
      </c>
      <c r="J1900" t="s">
        <v>77</v>
      </c>
      <c r="K1900" t="s">
        <v>78</v>
      </c>
      <c r="L1900" t="s">
        <v>169</v>
      </c>
      <c r="M1900" t="s">
        <v>170</v>
      </c>
      <c r="N1900" t="s">
        <v>969</v>
      </c>
      <c r="O1900" t="s">
        <v>82</v>
      </c>
      <c r="P1900" t="str">
        <f>"2170721614                    "</f>
        <v xml:space="preserve">2170721614                    </v>
      </c>
      <c r="Q1900">
        <v>0</v>
      </c>
      <c r="R1900">
        <v>0</v>
      </c>
      <c r="S1900">
        <v>0</v>
      </c>
      <c r="T1900">
        <v>0</v>
      </c>
      <c r="U1900">
        <v>0</v>
      </c>
      <c r="V1900">
        <v>0</v>
      </c>
      <c r="W1900">
        <v>0</v>
      </c>
      <c r="X1900">
        <v>0</v>
      </c>
      <c r="Y1900">
        <v>0</v>
      </c>
      <c r="Z1900">
        <v>0</v>
      </c>
      <c r="AA1900">
        <v>0</v>
      </c>
      <c r="AB1900">
        <v>0</v>
      </c>
      <c r="AC1900">
        <v>0</v>
      </c>
      <c r="AD1900">
        <v>0</v>
      </c>
      <c r="AE1900">
        <v>0</v>
      </c>
      <c r="AF1900">
        <v>0</v>
      </c>
      <c r="AG1900">
        <v>0</v>
      </c>
      <c r="AH1900">
        <v>0</v>
      </c>
      <c r="AI1900">
        <v>0</v>
      </c>
      <c r="AJ1900">
        <v>0</v>
      </c>
      <c r="AK1900">
        <v>0</v>
      </c>
      <c r="AL1900">
        <v>0</v>
      </c>
      <c r="AM1900">
        <v>6.71</v>
      </c>
      <c r="AN1900">
        <v>0</v>
      </c>
      <c r="AO1900">
        <v>0</v>
      </c>
      <c r="AP1900">
        <v>0</v>
      </c>
      <c r="AQ1900">
        <v>0</v>
      </c>
      <c r="AR1900">
        <v>0</v>
      </c>
      <c r="AS1900">
        <v>0</v>
      </c>
      <c r="AT1900">
        <v>0</v>
      </c>
      <c r="AU1900">
        <v>0</v>
      </c>
      <c r="AV1900">
        <v>0</v>
      </c>
      <c r="AW1900">
        <v>0</v>
      </c>
      <c r="AX1900">
        <v>0</v>
      </c>
      <c r="AY1900">
        <v>0</v>
      </c>
      <c r="AZ1900">
        <v>0</v>
      </c>
      <c r="BA1900">
        <v>0</v>
      </c>
      <c r="BB1900">
        <v>0</v>
      </c>
      <c r="BC1900">
        <v>0</v>
      </c>
      <c r="BD1900">
        <v>0</v>
      </c>
      <c r="BE1900">
        <v>0</v>
      </c>
      <c r="BF1900">
        <v>0</v>
      </c>
      <c r="BG1900">
        <v>0</v>
      </c>
      <c r="BH1900">
        <v>1</v>
      </c>
      <c r="BI1900">
        <v>1</v>
      </c>
      <c r="BJ1900">
        <v>0.2</v>
      </c>
      <c r="BK1900">
        <v>1</v>
      </c>
      <c r="BL1900" s="4">
        <v>39.42</v>
      </c>
      <c r="BM1900" s="4">
        <v>5.91</v>
      </c>
      <c r="BN1900" s="4">
        <v>45.33</v>
      </c>
      <c r="BO1900" s="4">
        <v>45.33</v>
      </c>
      <c r="BQ1900" t="s">
        <v>93</v>
      </c>
      <c r="BR1900" t="s">
        <v>84</v>
      </c>
      <c r="BS1900" s="3">
        <v>43819</v>
      </c>
      <c r="BT1900" s="5">
        <v>0.33402777777777781</v>
      </c>
      <c r="BU1900" t="s">
        <v>2226</v>
      </c>
      <c r="BV1900" t="s">
        <v>86</v>
      </c>
      <c r="BY1900">
        <v>1200</v>
      </c>
      <c r="CA1900" t="s">
        <v>250</v>
      </c>
      <c r="CC1900" t="s">
        <v>170</v>
      </c>
      <c r="CD1900">
        <v>1459</v>
      </c>
      <c r="CE1900" t="s">
        <v>88</v>
      </c>
      <c r="CF1900" s="3">
        <v>43822</v>
      </c>
      <c r="CI1900">
        <v>1</v>
      </c>
      <c r="CJ1900">
        <v>1</v>
      </c>
      <c r="CK1900">
        <v>22</v>
      </c>
      <c r="CL1900" t="s">
        <v>89</v>
      </c>
    </row>
    <row r="1901" spans="1:90">
      <c r="A1901" t="s">
        <v>72</v>
      </c>
      <c r="B1901" t="s">
        <v>73</v>
      </c>
      <c r="C1901" t="s">
        <v>74</v>
      </c>
      <c r="E1901" t="str">
        <f>"FES1162728539"</f>
        <v>FES1162728539</v>
      </c>
      <c r="F1901" s="3">
        <v>43816</v>
      </c>
      <c r="G1901">
        <v>202006</v>
      </c>
      <c r="H1901" t="s">
        <v>75</v>
      </c>
      <c r="I1901" t="s">
        <v>76</v>
      </c>
      <c r="J1901" t="s">
        <v>100</v>
      </c>
      <c r="K1901" t="s">
        <v>78</v>
      </c>
      <c r="L1901" t="s">
        <v>430</v>
      </c>
      <c r="M1901" t="s">
        <v>431</v>
      </c>
      <c r="N1901" t="s">
        <v>2227</v>
      </c>
      <c r="O1901" t="s">
        <v>104</v>
      </c>
      <c r="P1901" t="str">
        <f>"217071773                     "</f>
        <v xml:space="preserve">217071773                     </v>
      </c>
      <c r="Q1901">
        <v>0</v>
      </c>
      <c r="R1901">
        <v>0</v>
      </c>
      <c r="S1901">
        <v>0</v>
      </c>
      <c r="T1901">
        <v>0</v>
      </c>
      <c r="U1901">
        <v>0</v>
      </c>
      <c r="V1901">
        <v>0</v>
      </c>
      <c r="W1901">
        <v>0</v>
      </c>
      <c r="X1901">
        <v>0</v>
      </c>
      <c r="Y1901">
        <v>0</v>
      </c>
      <c r="Z1901">
        <v>0</v>
      </c>
      <c r="AA1901">
        <v>0</v>
      </c>
      <c r="AB1901">
        <v>0</v>
      </c>
      <c r="AC1901">
        <v>0</v>
      </c>
      <c r="AD1901">
        <v>0</v>
      </c>
      <c r="AE1901">
        <v>0</v>
      </c>
      <c r="AF1901">
        <v>0</v>
      </c>
      <c r="AG1901">
        <v>0</v>
      </c>
      <c r="AH1901">
        <v>0</v>
      </c>
      <c r="AI1901">
        <v>0</v>
      </c>
      <c r="AJ1901">
        <v>0</v>
      </c>
      <c r="AK1901">
        <v>0</v>
      </c>
      <c r="AL1901">
        <v>0</v>
      </c>
      <c r="AM1901">
        <v>17.86</v>
      </c>
      <c r="AN1901">
        <v>0</v>
      </c>
      <c r="AO1901">
        <v>0</v>
      </c>
      <c r="AP1901">
        <v>0</v>
      </c>
      <c r="AQ1901">
        <v>0</v>
      </c>
      <c r="AR1901">
        <v>0</v>
      </c>
      <c r="AS1901">
        <v>0</v>
      </c>
      <c r="AT1901">
        <v>0</v>
      </c>
      <c r="AU1901">
        <v>0</v>
      </c>
      <c r="AV1901">
        <v>0</v>
      </c>
      <c r="AW1901">
        <v>0</v>
      </c>
      <c r="AX1901">
        <v>0</v>
      </c>
      <c r="AY1901">
        <v>0</v>
      </c>
      <c r="AZ1901">
        <v>0</v>
      </c>
      <c r="BA1901">
        <v>0</v>
      </c>
      <c r="BB1901">
        <v>0</v>
      </c>
      <c r="BC1901">
        <v>0</v>
      </c>
      <c r="BD1901">
        <v>0</v>
      </c>
      <c r="BE1901">
        <v>0</v>
      </c>
      <c r="BF1901">
        <v>0</v>
      </c>
      <c r="BG1901">
        <v>0</v>
      </c>
      <c r="BH1901">
        <v>1</v>
      </c>
      <c r="BI1901">
        <v>17.7</v>
      </c>
      <c r="BJ1901">
        <v>16.899999999999999</v>
      </c>
      <c r="BK1901">
        <v>18</v>
      </c>
      <c r="BL1901" s="4">
        <v>109.97</v>
      </c>
      <c r="BM1901" s="4">
        <v>16.5</v>
      </c>
      <c r="BN1901" s="4">
        <v>126.47</v>
      </c>
      <c r="BO1901" s="4">
        <v>126.47</v>
      </c>
      <c r="BQ1901" t="s">
        <v>2228</v>
      </c>
      <c r="BR1901" t="s">
        <v>105</v>
      </c>
      <c r="BS1901" t="s">
        <v>717</v>
      </c>
      <c r="BW1901" t="s">
        <v>1335</v>
      </c>
      <c r="BX1901" t="s">
        <v>619</v>
      </c>
      <c r="BY1901">
        <v>84524.54</v>
      </c>
      <c r="CC1901" t="s">
        <v>431</v>
      </c>
      <c r="CD1901">
        <v>250</v>
      </c>
      <c r="CE1901" t="s">
        <v>116</v>
      </c>
      <c r="CI1901">
        <v>0</v>
      </c>
      <c r="CJ1901">
        <v>0</v>
      </c>
      <c r="CK1901" t="s">
        <v>740</v>
      </c>
      <c r="CL1901" t="s">
        <v>89</v>
      </c>
    </row>
    <row r="1902" spans="1:90">
      <c r="A1902" t="s">
        <v>72</v>
      </c>
      <c r="B1902" t="s">
        <v>73</v>
      </c>
      <c r="C1902" t="s">
        <v>74</v>
      </c>
      <c r="E1902" t="str">
        <f>"FES1162727632"</f>
        <v>FES1162727632</v>
      </c>
      <c r="F1902" s="3">
        <v>43809</v>
      </c>
      <c r="G1902">
        <v>202006</v>
      </c>
      <c r="H1902" t="s">
        <v>75</v>
      </c>
      <c r="I1902" t="s">
        <v>76</v>
      </c>
      <c r="J1902" t="s">
        <v>100</v>
      </c>
      <c r="K1902" t="s">
        <v>78</v>
      </c>
      <c r="L1902" t="s">
        <v>177</v>
      </c>
      <c r="M1902" t="s">
        <v>178</v>
      </c>
      <c r="N1902" t="s">
        <v>2229</v>
      </c>
      <c r="O1902" t="s">
        <v>104</v>
      </c>
      <c r="P1902" t="str">
        <f>"217071132                     "</f>
        <v xml:space="preserve">217071132                     </v>
      </c>
      <c r="Q1902">
        <v>0</v>
      </c>
      <c r="R1902">
        <v>0</v>
      </c>
      <c r="S1902">
        <v>0</v>
      </c>
      <c r="T1902">
        <v>0</v>
      </c>
      <c r="U1902">
        <v>0</v>
      </c>
      <c r="V1902">
        <v>0</v>
      </c>
      <c r="W1902">
        <v>0</v>
      </c>
      <c r="X1902">
        <v>0</v>
      </c>
      <c r="Y1902">
        <v>0</v>
      </c>
      <c r="Z1902">
        <v>0</v>
      </c>
      <c r="AA1902">
        <v>0</v>
      </c>
      <c r="AB1902">
        <v>0</v>
      </c>
      <c r="AC1902">
        <v>0</v>
      </c>
      <c r="AD1902">
        <v>0</v>
      </c>
      <c r="AE1902">
        <v>0</v>
      </c>
      <c r="AF1902">
        <v>0</v>
      </c>
      <c r="AG1902">
        <v>0</v>
      </c>
      <c r="AH1902">
        <v>0</v>
      </c>
      <c r="AI1902">
        <v>0</v>
      </c>
      <c r="AJ1902">
        <v>0</v>
      </c>
      <c r="AK1902">
        <v>0</v>
      </c>
      <c r="AL1902">
        <v>0</v>
      </c>
      <c r="AM1902">
        <v>19.03</v>
      </c>
      <c r="AN1902">
        <v>0</v>
      </c>
      <c r="AO1902">
        <v>0</v>
      </c>
      <c r="AP1902">
        <v>0</v>
      </c>
      <c r="AQ1902">
        <v>0</v>
      </c>
      <c r="AR1902">
        <v>0</v>
      </c>
      <c r="AS1902">
        <v>0</v>
      </c>
      <c r="AT1902">
        <v>0</v>
      </c>
      <c r="AU1902">
        <v>0</v>
      </c>
      <c r="AV1902">
        <v>0</v>
      </c>
      <c r="AW1902">
        <v>0</v>
      </c>
      <c r="AX1902">
        <v>0</v>
      </c>
      <c r="AY1902">
        <v>0</v>
      </c>
      <c r="AZ1902">
        <v>0</v>
      </c>
      <c r="BA1902">
        <v>0</v>
      </c>
      <c r="BB1902">
        <v>0</v>
      </c>
      <c r="BC1902">
        <v>0</v>
      </c>
      <c r="BD1902">
        <v>0</v>
      </c>
      <c r="BE1902">
        <v>0</v>
      </c>
      <c r="BF1902">
        <v>0</v>
      </c>
      <c r="BG1902">
        <v>0</v>
      </c>
      <c r="BH1902">
        <v>1</v>
      </c>
      <c r="BI1902">
        <v>19.3</v>
      </c>
      <c r="BJ1902">
        <v>8.4</v>
      </c>
      <c r="BK1902">
        <v>20</v>
      </c>
      <c r="BL1902" s="4">
        <v>116.88</v>
      </c>
      <c r="BM1902" s="4">
        <v>17.53</v>
      </c>
      <c r="BN1902" s="4">
        <v>134.41</v>
      </c>
      <c r="BO1902" s="4">
        <v>134.41</v>
      </c>
      <c r="BQ1902" t="s">
        <v>2230</v>
      </c>
      <c r="BR1902" t="s">
        <v>105</v>
      </c>
      <c r="BS1902" s="3">
        <v>43810</v>
      </c>
      <c r="BT1902" s="5">
        <v>0.68680555555555556</v>
      </c>
      <c r="BU1902" t="s">
        <v>2231</v>
      </c>
      <c r="BV1902" t="s">
        <v>86</v>
      </c>
      <c r="BY1902">
        <v>42171.7</v>
      </c>
      <c r="CA1902" t="s">
        <v>182</v>
      </c>
      <c r="CC1902" t="s">
        <v>178</v>
      </c>
      <c r="CD1902">
        <v>1020</v>
      </c>
      <c r="CE1902" t="s">
        <v>96</v>
      </c>
      <c r="CF1902" s="3">
        <v>43812</v>
      </c>
      <c r="CI1902">
        <v>1</v>
      </c>
      <c r="CJ1902">
        <v>1</v>
      </c>
      <c r="CK1902" t="s">
        <v>740</v>
      </c>
      <c r="CL1902" t="s">
        <v>89</v>
      </c>
    </row>
    <row r="1903" spans="1:90">
      <c r="A1903" t="s">
        <v>72</v>
      </c>
      <c r="B1903" t="s">
        <v>73</v>
      </c>
      <c r="C1903" t="s">
        <v>74</v>
      </c>
      <c r="E1903" t="str">
        <f>"FES1162728501"</f>
        <v>FES1162728501</v>
      </c>
      <c r="F1903" s="3">
        <v>43816</v>
      </c>
      <c r="G1903">
        <v>202006</v>
      </c>
      <c r="H1903" t="s">
        <v>75</v>
      </c>
      <c r="I1903" t="s">
        <v>76</v>
      </c>
      <c r="J1903" t="s">
        <v>100</v>
      </c>
      <c r="K1903" t="s">
        <v>78</v>
      </c>
      <c r="L1903" t="s">
        <v>340</v>
      </c>
      <c r="M1903" t="s">
        <v>341</v>
      </c>
      <c r="N1903" t="s">
        <v>1180</v>
      </c>
      <c r="O1903" t="s">
        <v>104</v>
      </c>
      <c r="P1903" t="str">
        <f>"217071734                     "</f>
        <v xml:space="preserve">217071734                     </v>
      </c>
      <c r="Q1903">
        <v>0</v>
      </c>
      <c r="R1903">
        <v>0</v>
      </c>
      <c r="S1903">
        <v>0</v>
      </c>
      <c r="T1903">
        <v>0</v>
      </c>
      <c r="U1903">
        <v>0</v>
      </c>
      <c r="V1903">
        <v>0</v>
      </c>
      <c r="W1903">
        <v>0</v>
      </c>
      <c r="X1903">
        <v>0</v>
      </c>
      <c r="Y1903">
        <v>0</v>
      </c>
      <c r="Z1903">
        <v>0</v>
      </c>
      <c r="AA1903">
        <v>0</v>
      </c>
      <c r="AB1903">
        <v>0</v>
      </c>
      <c r="AC1903">
        <v>0</v>
      </c>
      <c r="AD1903">
        <v>0</v>
      </c>
      <c r="AE1903">
        <v>0</v>
      </c>
      <c r="AF1903">
        <v>0</v>
      </c>
      <c r="AG1903">
        <v>0</v>
      </c>
      <c r="AH1903">
        <v>0</v>
      </c>
      <c r="AI1903">
        <v>0</v>
      </c>
      <c r="AJ1903">
        <v>0</v>
      </c>
      <c r="AK1903">
        <v>0</v>
      </c>
      <c r="AL1903">
        <v>0</v>
      </c>
      <c r="AM1903">
        <v>16.09</v>
      </c>
      <c r="AN1903">
        <v>0</v>
      </c>
      <c r="AO1903">
        <v>0</v>
      </c>
      <c r="AP1903">
        <v>0</v>
      </c>
      <c r="AQ1903">
        <v>0</v>
      </c>
      <c r="AR1903">
        <v>0</v>
      </c>
      <c r="AS1903">
        <v>0</v>
      </c>
      <c r="AT1903">
        <v>0</v>
      </c>
      <c r="AU1903">
        <v>0</v>
      </c>
      <c r="AV1903">
        <v>0</v>
      </c>
      <c r="AW1903">
        <v>0</v>
      </c>
      <c r="AX1903">
        <v>0</v>
      </c>
      <c r="AY1903">
        <v>0</v>
      </c>
      <c r="AZ1903">
        <v>0</v>
      </c>
      <c r="BA1903">
        <v>0</v>
      </c>
      <c r="BB1903">
        <v>0</v>
      </c>
      <c r="BC1903">
        <v>0</v>
      </c>
      <c r="BD1903">
        <v>0</v>
      </c>
      <c r="BE1903">
        <v>0</v>
      </c>
      <c r="BF1903">
        <v>0</v>
      </c>
      <c r="BG1903">
        <v>0</v>
      </c>
      <c r="BH1903">
        <v>1</v>
      </c>
      <c r="BI1903">
        <v>1.1000000000000001</v>
      </c>
      <c r="BJ1903">
        <v>3.3</v>
      </c>
      <c r="BK1903">
        <v>4</v>
      </c>
      <c r="BL1903" s="4">
        <v>99.59</v>
      </c>
      <c r="BM1903" s="4">
        <v>14.94</v>
      </c>
      <c r="BN1903" s="4">
        <v>114.53</v>
      </c>
      <c r="BO1903" s="4">
        <v>114.53</v>
      </c>
      <c r="BQ1903" t="s">
        <v>2041</v>
      </c>
      <c r="BR1903" t="s">
        <v>105</v>
      </c>
      <c r="BS1903" s="3">
        <v>43817</v>
      </c>
      <c r="BT1903" s="5">
        <v>0.4375</v>
      </c>
      <c r="BU1903" t="s">
        <v>2042</v>
      </c>
      <c r="BV1903" t="s">
        <v>86</v>
      </c>
      <c r="BY1903">
        <v>16411.439999999999</v>
      </c>
      <c r="CA1903" t="s">
        <v>344</v>
      </c>
      <c r="CC1903" t="s">
        <v>341</v>
      </c>
      <c r="CD1903">
        <v>1947</v>
      </c>
      <c r="CE1903" t="s">
        <v>96</v>
      </c>
      <c r="CF1903" s="3">
        <v>43818</v>
      </c>
      <c r="CI1903">
        <v>1</v>
      </c>
      <c r="CJ1903">
        <v>1</v>
      </c>
      <c r="CK1903" t="s">
        <v>740</v>
      </c>
      <c r="CL1903" t="s">
        <v>89</v>
      </c>
    </row>
    <row r="1904" spans="1:90">
      <c r="A1904" t="s">
        <v>72</v>
      </c>
      <c r="B1904" t="s">
        <v>73</v>
      </c>
      <c r="C1904" t="s">
        <v>74</v>
      </c>
      <c r="E1904" t="str">
        <f>"FES1162728469"</f>
        <v>FES1162728469</v>
      </c>
      <c r="F1904" s="3">
        <v>43812</v>
      </c>
      <c r="G1904">
        <v>202006</v>
      </c>
      <c r="H1904" t="s">
        <v>75</v>
      </c>
      <c r="I1904" t="s">
        <v>76</v>
      </c>
      <c r="J1904" t="s">
        <v>100</v>
      </c>
      <c r="K1904" t="s">
        <v>78</v>
      </c>
      <c r="L1904" t="s">
        <v>332</v>
      </c>
      <c r="M1904" t="s">
        <v>333</v>
      </c>
      <c r="N1904" t="s">
        <v>1756</v>
      </c>
      <c r="O1904" t="s">
        <v>104</v>
      </c>
      <c r="P1904" t="str">
        <f>"217071371                     "</f>
        <v xml:space="preserve">217071371                     </v>
      </c>
      <c r="Q1904">
        <v>0</v>
      </c>
      <c r="R1904">
        <v>0</v>
      </c>
      <c r="S1904">
        <v>0</v>
      </c>
      <c r="T1904">
        <v>0</v>
      </c>
      <c r="U1904">
        <v>0</v>
      </c>
      <c r="V1904">
        <v>0</v>
      </c>
      <c r="W1904">
        <v>0</v>
      </c>
      <c r="X1904">
        <v>0</v>
      </c>
      <c r="Y1904">
        <v>0</v>
      </c>
      <c r="Z1904">
        <v>0</v>
      </c>
      <c r="AA1904">
        <v>0</v>
      </c>
      <c r="AB1904">
        <v>0</v>
      </c>
      <c r="AC1904">
        <v>0</v>
      </c>
      <c r="AD1904">
        <v>0</v>
      </c>
      <c r="AE1904">
        <v>0</v>
      </c>
      <c r="AF1904">
        <v>0</v>
      </c>
      <c r="AG1904">
        <v>0</v>
      </c>
      <c r="AH1904">
        <v>0</v>
      </c>
      <c r="AI1904">
        <v>0</v>
      </c>
      <c r="AJ1904">
        <v>0</v>
      </c>
      <c r="AK1904">
        <v>0</v>
      </c>
      <c r="AL1904">
        <v>0</v>
      </c>
      <c r="AM1904">
        <v>18.53</v>
      </c>
      <c r="AN1904">
        <v>0</v>
      </c>
      <c r="AO1904">
        <v>0</v>
      </c>
      <c r="AP1904">
        <v>0</v>
      </c>
      <c r="AQ1904">
        <v>0</v>
      </c>
      <c r="AR1904">
        <v>0</v>
      </c>
      <c r="AS1904">
        <v>0</v>
      </c>
      <c r="AT1904">
        <v>0</v>
      </c>
      <c r="AU1904">
        <v>0</v>
      </c>
      <c r="AV1904">
        <v>0</v>
      </c>
      <c r="AW1904">
        <v>0</v>
      </c>
      <c r="AX1904">
        <v>0</v>
      </c>
      <c r="AY1904">
        <v>0</v>
      </c>
      <c r="AZ1904">
        <v>0</v>
      </c>
      <c r="BA1904">
        <v>0</v>
      </c>
      <c r="BB1904">
        <v>0</v>
      </c>
      <c r="BC1904">
        <v>0</v>
      </c>
      <c r="BD1904">
        <v>0</v>
      </c>
      <c r="BE1904">
        <v>0</v>
      </c>
      <c r="BF1904">
        <v>0</v>
      </c>
      <c r="BG1904">
        <v>0</v>
      </c>
      <c r="BH1904">
        <v>1</v>
      </c>
      <c r="BI1904">
        <v>14.4</v>
      </c>
      <c r="BJ1904">
        <v>30.5</v>
      </c>
      <c r="BK1904">
        <v>31</v>
      </c>
      <c r="BL1904" s="4">
        <v>113.93</v>
      </c>
      <c r="BM1904" s="4">
        <v>17.09</v>
      </c>
      <c r="BN1904" s="4">
        <v>131.02000000000001</v>
      </c>
      <c r="BO1904" s="4">
        <v>131.02000000000001</v>
      </c>
      <c r="BQ1904" t="s">
        <v>135</v>
      </c>
      <c r="BR1904" t="s">
        <v>105</v>
      </c>
      <c r="BS1904" s="3">
        <v>43819</v>
      </c>
      <c r="BT1904" s="5">
        <v>0.33333333333333331</v>
      </c>
      <c r="BU1904" t="s">
        <v>1009</v>
      </c>
      <c r="BV1904" t="s">
        <v>89</v>
      </c>
      <c r="BW1904" t="s">
        <v>149</v>
      </c>
      <c r="BX1904" t="s">
        <v>2005</v>
      </c>
      <c r="BY1904">
        <v>152324.48000000001</v>
      </c>
      <c r="CC1904" t="s">
        <v>333</v>
      </c>
      <c r="CD1904">
        <v>2013</v>
      </c>
      <c r="CE1904" t="s">
        <v>96</v>
      </c>
      <c r="CF1904" s="3">
        <v>43822</v>
      </c>
      <c r="CI1904">
        <v>1</v>
      </c>
      <c r="CJ1904">
        <v>5</v>
      </c>
      <c r="CK1904" t="s">
        <v>123</v>
      </c>
      <c r="CL1904" t="s">
        <v>89</v>
      </c>
    </row>
    <row r="1905" spans="1:90">
      <c r="A1905" t="s">
        <v>72</v>
      </c>
      <c r="B1905" t="s">
        <v>73</v>
      </c>
      <c r="C1905" t="s">
        <v>74</v>
      </c>
      <c r="E1905" t="str">
        <f>"FES1162728783"</f>
        <v>FES1162728783</v>
      </c>
      <c r="F1905" s="3">
        <v>43818</v>
      </c>
      <c r="G1905">
        <v>202006</v>
      </c>
      <c r="H1905" t="s">
        <v>75</v>
      </c>
      <c r="I1905" t="s">
        <v>76</v>
      </c>
      <c r="J1905" t="s">
        <v>77</v>
      </c>
      <c r="K1905" t="s">
        <v>78</v>
      </c>
      <c r="L1905" t="s">
        <v>75</v>
      </c>
      <c r="M1905" t="s">
        <v>76</v>
      </c>
      <c r="N1905" t="s">
        <v>2232</v>
      </c>
      <c r="O1905" t="s">
        <v>82</v>
      </c>
      <c r="P1905" t="str">
        <f>"217071975                     "</f>
        <v xml:space="preserve">217071975                     </v>
      </c>
      <c r="Q1905">
        <v>0</v>
      </c>
      <c r="R1905">
        <v>0</v>
      </c>
      <c r="S1905">
        <v>0</v>
      </c>
      <c r="T1905">
        <v>0</v>
      </c>
      <c r="U1905">
        <v>0</v>
      </c>
      <c r="V1905">
        <v>0</v>
      </c>
      <c r="W1905">
        <v>0</v>
      </c>
      <c r="X1905">
        <v>0</v>
      </c>
      <c r="Y1905">
        <v>0</v>
      </c>
      <c r="Z1905">
        <v>0</v>
      </c>
      <c r="AA1905">
        <v>0</v>
      </c>
      <c r="AB1905">
        <v>0</v>
      </c>
      <c r="AC1905">
        <v>0</v>
      </c>
      <c r="AD1905">
        <v>0</v>
      </c>
      <c r="AE1905">
        <v>0</v>
      </c>
      <c r="AF1905">
        <v>0</v>
      </c>
      <c r="AG1905">
        <v>0</v>
      </c>
      <c r="AH1905">
        <v>0</v>
      </c>
      <c r="AI1905">
        <v>0</v>
      </c>
      <c r="AJ1905">
        <v>0</v>
      </c>
      <c r="AK1905">
        <v>0</v>
      </c>
      <c r="AL1905">
        <v>0</v>
      </c>
      <c r="AM1905">
        <v>17.96</v>
      </c>
      <c r="AN1905">
        <v>0</v>
      </c>
      <c r="AO1905">
        <v>0</v>
      </c>
      <c r="AP1905">
        <v>0</v>
      </c>
      <c r="AQ1905">
        <v>0</v>
      </c>
      <c r="AR1905">
        <v>0</v>
      </c>
      <c r="AS1905">
        <v>0</v>
      </c>
      <c r="AT1905">
        <v>0</v>
      </c>
      <c r="AU1905">
        <v>0</v>
      </c>
      <c r="AV1905">
        <v>0</v>
      </c>
      <c r="AW1905">
        <v>0</v>
      </c>
      <c r="AX1905">
        <v>0</v>
      </c>
      <c r="AY1905">
        <v>0</v>
      </c>
      <c r="AZ1905">
        <v>0</v>
      </c>
      <c r="BA1905">
        <v>0</v>
      </c>
      <c r="BB1905">
        <v>0</v>
      </c>
      <c r="BC1905">
        <v>0</v>
      </c>
      <c r="BD1905">
        <v>0</v>
      </c>
      <c r="BE1905">
        <v>0</v>
      </c>
      <c r="BF1905">
        <v>0</v>
      </c>
      <c r="BG1905">
        <v>0</v>
      </c>
      <c r="BH1905">
        <v>1</v>
      </c>
      <c r="BI1905">
        <v>6.3</v>
      </c>
      <c r="BJ1905">
        <v>8.6</v>
      </c>
      <c r="BK1905">
        <v>9</v>
      </c>
      <c r="BL1905" s="4">
        <v>105.55</v>
      </c>
      <c r="BM1905" s="4">
        <v>15.83</v>
      </c>
      <c r="BN1905" s="4">
        <v>121.38</v>
      </c>
      <c r="BO1905" s="4">
        <v>121.38</v>
      </c>
      <c r="BP1905">
        <v>21</v>
      </c>
      <c r="BQ1905" t="s">
        <v>93</v>
      </c>
      <c r="BR1905" t="s">
        <v>84</v>
      </c>
      <c r="BS1905" s="3">
        <v>43819</v>
      </c>
      <c r="BT1905" s="5">
        <v>0.40277777777777773</v>
      </c>
      <c r="BU1905" t="s">
        <v>2233</v>
      </c>
      <c r="BV1905" t="s">
        <v>86</v>
      </c>
      <c r="BY1905">
        <v>42850.47</v>
      </c>
      <c r="CA1905" t="s">
        <v>155</v>
      </c>
      <c r="CC1905" t="s">
        <v>76</v>
      </c>
      <c r="CD1905">
        <v>1600</v>
      </c>
      <c r="CE1905" t="s">
        <v>96</v>
      </c>
      <c r="CF1905" s="3">
        <v>43822</v>
      </c>
      <c r="CI1905">
        <v>1</v>
      </c>
      <c r="CJ1905">
        <v>1</v>
      </c>
      <c r="CK1905">
        <v>22</v>
      </c>
      <c r="CL1905" t="s">
        <v>89</v>
      </c>
    </row>
    <row r="1906" spans="1:90">
      <c r="A1906" t="s">
        <v>72</v>
      </c>
      <c r="B1906" t="s">
        <v>73</v>
      </c>
      <c r="C1906" t="s">
        <v>74</v>
      </c>
      <c r="E1906" t="str">
        <f>"FES1162729340"</f>
        <v>FES1162729340</v>
      </c>
      <c r="F1906" s="3">
        <v>43819</v>
      </c>
      <c r="G1906">
        <v>202006</v>
      </c>
      <c r="H1906" t="s">
        <v>75</v>
      </c>
      <c r="I1906" t="s">
        <v>76</v>
      </c>
      <c r="J1906" t="s">
        <v>77</v>
      </c>
      <c r="K1906" t="s">
        <v>78</v>
      </c>
      <c r="L1906" t="s">
        <v>164</v>
      </c>
      <c r="M1906" t="s">
        <v>165</v>
      </c>
      <c r="N1906" t="s">
        <v>369</v>
      </c>
      <c r="O1906" t="s">
        <v>82</v>
      </c>
      <c r="P1906" t="str">
        <f>"2170722324                    "</f>
        <v xml:space="preserve">2170722324                    </v>
      </c>
      <c r="Q1906">
        <v>0</v>
      </c>
      <c r="R1906">
        <v>0</v>
      </c>
      <c r="S1906">
        <v>0</v>
      </c>
      <c r="T1906">
        <v>0</v>
      </c>
      <c r="U1906">
        <v>0</v>
      </c>
      <c r="V1906">
        <v>0</v>
      </c>
      <c r="W1906">
        <v>0</v>
      </c>
      <c r="X1906">
        <v>0</v>
      </c>
      <c r="Y1906">
        <v>0</v>
      </c>
      <c r="Z1906">
        <v>0</v>
      </c>
      <c r="AA1906">
        <v>0</v>
      </c>
      <c r="AB1906">
        <v>0</v>
      </c>
      <c r="AC1906">
        <v>0</v>
      </c>
      <c r="AD1906">
        <v>0</v>
      </c>
      <c r="AE1906">
        <v>0</v>
      </c>
      <c r="AF1906">
        <v>0</v>
      </c>
      <c r="AG1906">
        <v>0</v>
      </c>
      <c r="AH1906">
        <v>0</v>
      </c>
      <c r="AI1906">
        <v>0</v>
      </c>
      <c r="AJ1906">
        <v>0</v>
      </c>
      <c r="AK1906">
        <v>0</v>
      </c>
      <c r="AL1906">
        <v>0</v>
      </c>
      <c r="AM1906">
        <v>8.58</v>
      </c>
      <c r="AN1906">
        <v>0</v>
      </c>
      <c r="AO1906">
        <v>0</v>
      </c>
      <c r="AP1906">
        <v>0</v>
      </c>
      <c r="AQ1906">
        <v>0</v>
      </c>
      <c r="AR1906">
        <v>0</v>
      </c>
      <c r="AS1906">
        <v>0</v>
      </c>
      <c r="AT1906">
        <v>0</v>
      </c>
      <c r="AU1906">
        <v>0</v>
      </c>
      <c r="AV1906">
        <v>0</v>
      </c>
      <c r="AW1906">
        <v>0</v>
      </c>
      <c r="AX1906">
        <v>0</v>
      </c>
      <c r="AY1906">
        <v>0</v>
      </c>
      <c r="AZ1906">
        <v>0</v>
      </c>
      <c r="BA1906">
        <v>0</v>
      </c>
      <c r="BB1906">
        <v>0</v>
      </c>
      <c r="BC1906">
        <v>0</v>
      </c>
      <c r="BD1906">
        <v>0</v>
      </c>
      <c r="BE1906">
        <v>0</v>
      </c>
      <c r="BF1906">
        <v>0</v>
      </c>
      <c r="BG1906">
        <v>0</v>
      </c>
      <c r="BH1906">
        <v>1</v>
      </c>
      <c r="BI1906">
        <v>2</v>
      </c>
      <c r="BJ1906">
        <v>1.5</v>
      </c>
      <c r="BK1906">
        <v>2</v>
      </c>
      <c r="BL1906" s="4">
        <v>50.45</v>
      </c>
      <c r="BM1906" s="4">
        <v>7.57</v>
      </c>
      <c r="BN1906" s="4">
        <v>58.02</v>
      </c>
      <c r="BO1906" s="4">
        <v>58.02</v>
      </c>
      <c r="BQ1906" t="s">
        <v>93</v>
      </c>
      <c r="BR1906" t="s">
        <v>84</v>
      </c>
      <c r="BS1906" s="3">
        <v>43822</v>
      </c>
      <c r="BT1906" s="5">
        <v>0.36874999999999997</v>
      </c>
      <c r="BU1906" t="s">
        <v>2234</v>
      </c>
      <c r="BV1906" t="s">
        <v>86</v>
      </c>
      <c r="BY1906">
        <v>7540</v>
      </c>
      <c r="CA1906" t="s">
        <v>766</v>
      </c>
      <c r="CC1906" t="s">
        <v>165</v>
      </c>
      <c r="CD1906">
        <v>5201</v>
      </c>
      <c r="CE1906" t="s">
        <v>96</v>
      </c>
      <c r="CF1906" s="3">
        <v>43830</v>
      </c>
      <c r="CI1906">
        <v>1</v>
      </c>
      <c r="CJ1906">
        <v>1</v>
      </c>
      <c r="CK1906">
        <v>21</v>
      </c>
      <c r="CL1906" t="s">
        <v>89</v>
      </c>
    </row>
    <row r="1907" spans="1:90">
      <c r="A1907" t="s">
        <v>72</v>
      </c>
      <c r="B1907" t="s">
        <v>73</v>
      </c>
      <c r="C1907" t="s">
        <v>74</v>
      </c>
      <c r="E1907" t="str">
        <f>"FES1162729198"</f>
        <v>FES1162729198</v>
      </c>
      <c r="F1907" s="3">
        <v>43819</v>
      </c>
      <c r="G1907">
        <v>202006</v>
      </c>
      <c r="H1907" t="s">
        <v>75</v>
      </c>
      <c r="I1907" t="s">
        <v>76</v>
      </c>
      <c r="J1907" t="s">
        <v>77</v>
      </c>
      <c r="K1907" t="s">
        <v>78</v>
      </c>
      <c r="L1907" t="s">
        <v>79</v>
      </c>
      <c r="M1907" t="s">
        <v>80</v>
      </c>
      <c r="N1907" t="s">
        <v>81</v>
      </c>
      <c r="O1907" t="s">
        <v>82</v>
      </c>
      <c r="P1907" t="str">
        <f>"2170722182                    "</f>
        <v xml:space="preserve">2170722182                    </v>
      </c>
      <c r="Q1907">
        <v>0</v>
      </c>
      <c r="R1907">
        <v>0</v>
      </c>
      <c r="S1907">
        <v>0</v>
      </c>
      <c r="T1907">
        <v>0</v>
      </c>
      <c r="U1907">
        <v>0</v>
      </c>
      <c r="V1907">
        <v>0</v>
      </c>
      <c r="W1907">
        <v>0</v>
      </c>
      <c r="X1907">
        <v>0</v>
      </c>
      <c r="Y1907">
        <v>0</v>
      </c>
      <c r="Z1907">
        <v>0</v>
      </c>
      <c r="AA1907">
        <v>0</v>
      </c>
      <c r="AB1907">
        <v>0</v>
      </c>
      <c r="AC1907">
        <v>0</v>
      </c>
      <c r="AD1907">
        <v>0</v>
      </c>
      <c r="AE1907">
        <v>0</v>
      </c>
      <c r="AF1907">
        <v>0</v>
      </c>
      <c r="AG1907">
        <v>0</v>
      </c>
      <c r="AH1907">
        <v>0</v>
      </c>
      <c r="AI1907">
        <v>0</v>
      </c>
      <c r="AJ1907">
        <v>0</v>
      </c>
      <c r="AK1907">
        <v>0</v>
      </c>
      <c r="AL1907">
        <v>0</v>
      </c>
      <c r="AM1907">
        <v>81.489999999999995</v>
      </c>
      <c r="AN1907">
        <v>0</v>
      </c>
      <c r="AO1907">
        <v>0</v>
      </c>
      <c r="AP1907">
        <v>0</v>
      </c>
      <c r="AQ1907">
        <v>0</v>
      </c>
      <c r="AR1907">
        <v>0</v>
      </c>
      <c r="AS1907">
        <v>0</v>
      </c>
      <c r="AT1907">
        <v>0</v>
      </c>
      <c r="AU1907">
        <v>0</v>
      </c>
      <c r="AV1907">
        <v>0</v>
      </c>
      <c r="AW1907">
        <v>0</v>
      </c>
      <c r="AX1907">
        <v>0</v>
      </c>
      <c r="AY1907">
        <v>0</v>
      </c>
      <c r="AZ1907">
        <v>0</v>
      </c>
      <c r="BA1907">
        <v>0</v>
      </c>
      <c r="BB1907">
        <v>0</v>
      </c>
      <c r="BC1907">
        <v>0</v>
      </c>
      <c r="BD1907">
        <v>0</v>
      </c>
      <c r="BE1907">
        <v>0</v>
      </c>
      <c r="BF1907">
        <v>0</v>
      </c>
      <c r="BG1907">
        <v>0</v>
      </c>
      <c r="BH1907">
        <v>1</v>
      </c>
      <c r="BI1907">
        <v>12</v>
      </c>
      <c r="BJ1907">
        <v>18.7</v>
      </c>
      <c r="BK1907">
        <v>19</v>
      </c>
      <c r="BL1907" s="4">
        <v>479</v>
      </c>
      <c r="BM1907" s="4">
        <v>71.849999999999994</v>
      </c>
      <c r="BN1907" s="4">
        <v>550.85</v>
      </c>
      <c r="BO1907" s="4">
        <v>550.85</v>
      </c>
      <c r="BQ1907" t="s">
        <v>83</v>
      </c>
      <c r="BR1907" t="s">
        <v>84</v>
      </c>
      <c r="BS1907" s="3">
        <v>43822</v>
      </c>
      <c r="BT1907" s="5">
        <v>0.36388888888888887</v>
      </c>
      <c r="BU1907" t="s">
        <v>2235</v>
      </c>
      <c r="BV1907" t="s">
        <v>86</v>
      </c>
      <c r="BY1907">
        <v>93486.86</v>
      </c>
      <c r="CA1907" t="s">
        <v>1562</v>
      </c>
      <c r="CC1907" t="s">
        <v>80</v>
      </c>
      <c r="CD1907">
        <v>6045</v>
      </c>
      <c r="CE1907" t="s">
        <v>96</v>
      </c>
      <c r="CF1907" s="3">
        <v>43823</v>
      </c>
      <c r="CI1907">
        <v>1</v>
      </c>
      <c r="CJ1907">
        <v>1</v>
      </c>
      <c r="CK1907">
        <v>21</v>
      </c>
      <c r="CL1907" t="s">
        <v>89</v>
      </c>
    </row>
    <row r="1908" spans="1:90">
      <c r="A1908" t="s">
        <v>72</v>
      </c>
      <c r="B1908" t="s">
        <v>73</v>
      </c>
      <c r="C1908" t="s">
        <v>74</v>
      </c>
      <c r="E1908" t="str">
        <f>"FES1162729250"</f>
        <v>FES1162729250</v>
      </c>
      <c r="F1908" s="3">
        <v>43819</v>
      </c>
      <c r="G1908">
        <v>202006</v>
      </c>
      <c r="H1908" t="s">
        <v>75</v>
      </c>
      <c r="I1908" t="s">
        <v>76</v>
      </c>
      <c r="J1908" t="s">
        <v>77</v>
      </c>
      <c r="K1908" t="s">
        <v>78</v>
      </c>
      <c r="L1908" t="s">
        <v>332</v>
      </c>
      <c r="M1908" t="s">
        <v>333</v>
      </c>
      <c r="N1908" t="s">
        <v>701</v>
      </c>
      <c r="O1908" t="s">
        <v>82</v>
      </c>
      <c r="P1908" t="str">
        <f>"2170722242                    "</f>
        <v xml:space="preserve">2170722242                    </v>
      </c>
      <c r="Q1908">
        <v>0</v>
      </c>
      <c r="R1908">
        <v>0</v>
      </c>
      <c r="S1908">
        <v>0</v>
      </c>
      <c r="T1908">
        <v>0</v>
      </c>
      <c r="U1908">
        <v>0</v>
      </c>
      <c r="V1908">
        <v>0</v>
      </c>
      <c r="W1908">
        <v>0</v>
      </c>
      <c r="X1908">
        <v>0</v>
      </c>
      <c r="Y1908">
        <v>0</v>
      </c>
      <c r="Z1908">
        <v>0</v>
      </c>
      <c r="AA1908">
        <v>0</v>
      </c>
      <c r="AB1908">
        <v>0</v>
      </c>
      <c r="AC1908">
        <v>0</v>
      </c>
      <c r="AD1908">
        <v>0</v>
      </c>
      <c r="AE1908">
        <v>0</v>
      </c>
      <c r="AF1908">
        <v>0</v>
      </c>
      <c r="AG1908">
        <v>0</v>
      </c>
      <c r="AH1908">
        <v>0</v>
      </c>
      <c r="AI1908">
        <v>0</v>
      </c>
      <c r="AJ1908">
        <v>0</v>
      </c>
      <c r="AK1908">
        <v>0</v>
      </c>
      <c r="AL1908">
        <v>0</v>
      </c>
      <c r="AM1908">
        <v>8.31</v>
      </c>
      <c r="AN1908">
        <v>0</v>
      </c>
      <c r="AO1908">
        <v>0</v>
      </c>
      <c r="AP1908">
        <v>0</v>
      </c>
      <c r="AQ1908">
        <v>0</v>
      </c>
      <c r="AR1908">
        <v>0</v>
      </c>
      <c r="AS1908">
        <v>0</v>
      </c>
      <c r="AT1908">
        <v>0</v>
      </c>
      <c r="AU1908">
        <v>0</v>
      </c>
      <c r="AV1908">
        <v>0</v>
      </c>
      <c r="AW1908">
        <v>0</v>
      </c>
      <c r="AX1908">
        <v>0</v>
      </c>
      <c r="AY1908">
        <v>0</v>
      </c>
      <c r="AZ1908">
        <v>0</v>
      </c>
      <c r="BA1908">
        <v>0</v>
      </c>
      <c r="BB1908">
        <v>0</v>
      </c>
      <c r="BC1908">
        <v>0</v>
      </c>
      <c r="BD1908">
        <v>0</v>
      </c>
      <c r="BE1908">
        <v>0</v>
      </c>
      <c r="BF1908">
        <v>0</v>
      </c>
      <c r="BG1908">
        <v>0</v>
      </c>
      <c r="BH1908">
        <v>1</v>
      </c>
      <c r="BI1908">
        <v>1.7</v>
      </c>
      <c r="BJ1908">
        <v>3</v>
      </c>
      <c r="BK1908">
        <v>3</v>
      </c>
      <c r="BL1908" s="4">
        <v>48.86</v>
      </c>
      <c r="BM1908" s="4">
        <v>7.33</v>
      </c>
      <c r="BN1908" s="4">
        <v>56.19</v>
      </c>
      <c r="BO1908" s="4">
        <v>56.19</v>
      </c>
      <c r="BQ1908" t="s">
        <v>93</v>
      </c>
      <c r="BR1908" t="s">
        <v>84</v>
      </c>
      <c r="BS1908" s="3">
        <v>43822</v>
      </c>
      <c r="BT1908" s="5">
        <v>0.3576388888888889</v>
      </c>
      <c r="BU1908" t="s">
        <v>1358</v>
      </c>
      <c r="BV1908" t="s">
        <v>86</v>
      </c>
      <c r="BY1908">
        <v>14892.96</v>
      </c>
      <c r="CA1908" t="s">
        <v>700</v>
      </c>
      <c r="CC1908" t="s">
        <v>333</v>
      </c>
      <c r="CD1908">
        <v>2094</v>
      </c>
      <c r="CE1908" t="s">
        <v>96</v>
      </c>
      <c r="CF1908" s="3">
        <v>43823</v>
      </c>
      <c r="CI1908">
        <v>1</v>
      </c>
      <c r="CJ1908">
        <v>1</v>
      </c>
      <c r="CK1908">
        <v>22</v>
      </c>
      <c r="CL1908" t="s">
        <v>89</v>
      </c>
    </row>
    <row r="1909" spans="1:90">
      <c r="A1909" t="s">
        <v>72</v>
      </c>
      <c r="B1909" t="s">
        <v>73</v>
      </c>
      <c r="C1909" t="s">
        <v>74</v>
      </c>
      <c r="E1909" t="str">
        <f>"FES1162729154"</f>
        <v>FES1162729154</v>
      </c>
      <c r="F1909" s="3">
        <v>43819</v>
      </c>
      <c r="G1909">
        <v>202006</v>
      </c>
      <c r="H1909" t="s">
        <v>75</v>
      </c>
      <c r="I1909" t="s">
        <v>76</v>
      </c>
      <c r="J1909" t="s">
        <v>77</v>
      </c>
      <c r="K1909" t="s">
        <v>78</v>
      </c>
      <c r="L1909" t="s">
        <v>709</v>
      </c>
      <c r="M1909" t="s">
        <v>710</v>
      </c>
      <c r="N1909" t="s">
        <v>2236</v>
      </c>
      <c r="O1909" t="s">
        <v>82</v>
      </c>
      <c r="P1909" t="str">
        <f>"2170722139                    "</f>
        <v xml:space="preserve">2170722139                    </v>
      </c>
      <c r="Q1909">
        <v>0</v>
      </c>
      <c r="R1909">
        <v>0</v>
      </c>
      <c r="S1909">
        <v>0</v>
      </c>
      <c r="T1909">
        <v>0</v>
      </c>
      <c r="U1909">
        <v>0</v>
      </c>
      <c r="V1909">
        <v>0</v>
      </c>
      <c r="W1909">
        <v>0</v>
      </c>
      <c r="X1909">
        <v>0</v>
      </c>
      <c r="Y1909">
        <v>0</v>
      </c>
      <c r="Z1909">
        <v>0</v>
      </c>
      <c r="AA1909">
        <v>0</v>
      </c>
      <c r="AB1909">
        <v>0</v>
      </c>
      <c r="AC1909">
        <v>0</v>
      </c>
      <c r="AD1909">
        <v>0</v>
      </c>
      <c r="AE1909">
        <v>0</v>
      </c>
      <c r="AF1909">
        <v>0</v>
      </c>
      <c r="AG1909">
        <v>0</v>
      </c>
      <c r="AH1909">
        <v>0</v>
      </c>
      <c r="AI1909">
        <v>0</v>
      </c>
      <c r="AJ1909">
        <v>0</v>
      </c>
      <c r="AK1909">
        <v>0</v>
      </c>
      <c r="AL1909">
        <v>0</v>
      </c>
      <c r="AM1909">
        <v>12.07</v>
      </c>
      <c r="AN1909">
        <v>0</v>
      </c>
      <c r="AO1909">
        <v>0</v>
      </c>
      <c r="AP1909">
        <v>0</v>
      </c>
      <c r="AQ1909">
        <v>0</v>
      </c>
      <c r="AR1909">
        <v>0</v>
      </c>
      <c r="AS1909">
        <v>0</v>
      </c>
      <c r="AT1909">
        <v>0</v>
      </c>
      <c r="AU1909">
        <v>0</v>
      </c>
      <c r="AV1909">
        <v>0</v>
      </c>
      <c r="AW1909">
        <v>0</v>
      </c>
      <c r="AX1909">
        <v>0</v>
      </c>
      <c r="AY1909">
        <v>0</v>
      </c>
      <c r="AZ1909">
        <v>0</v>
      </c>
      <c r="BA1909">
        <v>0</v>
      </c>
      <c r="BB1909">
        <v>0</v>
      </c>
      <c r="BC1909">
        <v>0</v>
      </c>
      <c r="BD1909">
        <v>0</v>
      </c>
      <c r="BE1909">
        <v>0</v>
      </c>
      <c r="BF1909">
        <v>0</v>
      </c>
      <c r="BG1909">
        <v>0</v>
      </c>
      <c r="BH1909">
        <v>1</v>
      </c>
      <c r="BI1909">
        <v>1.3</v>
      </c>
      <c r="BJ1909">
        <v>1</v>
      </c>
      <c r="BK1909">
        <v>1.5</v>
      </c>
      <c r="BL1909" s="4">
        <v>70.95</v>
      </c>
      <c r="BM1909" s="4">
        <v>10.64</v>
      </c>
      <c r="BN1909" s="4">
        <v>81.59</v>
      </c>
      <c r="BO1909" s="4">
        <v>81.59</v>
      </c>
      <c r="BQ1909" t="s">
        <v>93</v>
      </c>
      <c r="BR1909" t="s">
        <v>84</v>
      </c>
      <c r="BS1909" s="3">
        <v>43832</v>
      </c>
      <c r="BT1909" s="5">
        <v>0.77013888888888893</v>
      </c>
      <c r="BU1909" t="s">
        <v>617</v>
      </c>
      <c r="BV1909" t="s">
        <v>89</v>
      </c>
      <c r="BW1909" t="s">
        <v>1707</v>
      </c>
      <c r="BX1909" t="s">
        <v>619</v>
      </c>
      <c r="BY1909">
        <v>4763.2</v>
      </c>
      <c r="CA1909" t="s">
        <v>620</v>
      </c>
      <c r="CC1909" t="s">
        <v>710</v>
      </c>
      <c r="CD1909">
        <v>1939</v>
      </c>
      <c r="CE1909" t="s">
        <v>96</v>
      </c>
      <c r="CI1909">
        <v>1</v>
      </c>
      <c r="CJ1909">
        <v>9</v>
      </c>
      <c r="CK1909">
        <v>24</v>
      </c>
      <c r="CL1909" t="s">
        <v>89</v>
      </c>
    </row>
    <row r="1910" spans="1:90">
      <c r="A1910" t="s">
        <v>72</v>
      </c>
      <c r="B1910" t="s">
        <v>73</v>
      </c>
      <c r="C1910" t="s">
        <v>74</v>
      </c>
      <c r="E1910" t="str">
        <f>"FES1162729034"</f>
        <v>FES1162729034</v>
      </c>
      <c r="F1910" s="3">
        <v>43819</v>
      </c>
      <c r="G1910">
        <v>202006</v>
      </c>
      <c r="H1910" t="s">
        <v>75</v>
      </c>
      <c r="I1910" t="s">
        <v>76</v>
      </c>
      <c r="J1910" t="s">
        <v>77</v>
      </c>
      <c r="K1910" t="s">
        <v>78</v>
      </c>
      <c r="L1910" t="s">
        <v>75</v>
      </c>
      <c r="M1910" t="s">
        <v>76</v>
      </c>
      <c r="N1910" t="s">
        <v>305</v>
      </c>
      <c r="O1910" t="s">
        <v>82</v>
      </c>
      <c r="P1910" t="str">
        <f>"2170718967                    "</f>
        <v xml:space="preserve">2170718967                    </v>
      </c>
      <c r="Q1910">
        <v>0</v>
      </c>
      <c r="R1910">
        <v>0</v>
      </c>
      <c r="S1910">
        <v>0</v>
      </c>
      <c r="T1910">
        <v>0</v>
      </c>
      <c r="U1910">
        <v>0</v>
      </c>
      <c r="V1910">
        <v>0</v>
      </c>
      <c r="W1910">
        <v>0</v>
      </c>
      <c r="X1910">
        <v>0</v>
      </c>
      <c r="Y1910">
        <v>0</v>
      </c>
      <c r="Z1910">
        <v>0</v>
      </c>
      <c r="AA1910">
        <v>0</v>
      </c>
      <c r="AB1910">
        <v>0</v>
      </c>
      <c r="AC1910">
        <v>0</v>
      </c>
      <c r="AD1910">
        <v>0</v>
      </c>
      <c r="AE1910">
        <v>0</v>
      </c>
      <c r="AF1910">
        <v>0</v>
      </c>
      <c r="AG1910">
        <v>0</v>
      </c>
      <c r="AH1910">
        <v>0</v>
      </c>
      <c r="AI1910">
        <v>0</v>
      </c>
      <c r="AJ1910">
        <v>0</v>
      </c>
      <c r="AK1910">
        <v>0</v>
      </c>
      <c r="AL1910">
        <v>0</v>
      </c>
      <c r="AM1910">
        <v>6.71</v>
      </c>
      <c r="AN1910">
        <v>0</v>
      </c>
      <c r="AO1910">
        <v>0</v>
      </c>
      <c r="AP1910">
        <v>0</v>
      </c>
      <c r="AQ1910">
        <v>0</v>
      </c>
      <c r="AR1910">
        <v>0</v>
      </c>
      <c r="AS1910">
        <v>0</v>
      </c>
      <c r="AT1910">
        <v>0</v>
      </c>
      <c r="AU1910">
        <v>0</v>
      </c>
      <c r="AV1910">
        <v>0</v>
      </c>
      <c r="AW1910">
        <v>0</v>
      </c>
      <c r="AX1910">
        <v>0</v>
      </c>
      <c r="AY1910">
        <v>0</v>
      </c>
      <c r="AZ1910">
        <v>0</v>
      </c>
      <c r="BA1910">
        <v>0</v>
      </c>
      <c r="BB1910">
        <v>0</v>
      </c>
      <c r="BC1910">
        <v>0</v>
      </c>
      <c r="BD1910">
        <v>0</v>
      </c>
      <c r="BE1910">
        <v>0</v>
      </c>
      <c r="BF1910">
        <v>0</v>
      </c>
      <c r="BG1910">
        <v>0</v>
      </c>
      <c r="BH1910">
        <v>1</v>
      </c>
      <c r="BI1910">
        <v>1</v>
      </c>
      <c r="BJ1910">
        <v>0.2</v>
      </c>
      <c r="BK1910">
        <v>1</v>
      </c>
      <c r="BL1910" s="4">
        <v>39.42</v>
      </c>
      <c r="BM1910" s="4">
        <v>5.91</v>
      </c>
      <c r="BN1910" s="4">
        <v>45.33</v>
      </c>
      <c r="BO1910" s="4">
        <v>45.33</v>
      </c>
      <c r="BQ1910" t="s">
        <v>147</v>
      </c>
      <c r="BR1910" t="s">
        <v>84</v>
      </c>
      <c r="BS1910" s="3">
        <v>43832</v>
      </c>
      <c r="BT1910" s="5">
        <v>0.78819444444444453</v>
      </c>
      <c r="BU1910" t="s">
        <v>617</v>
      </c>
      <c r="BV1910" t="s">
        <v>89</v>
      </c>
      <c r="BY1910">
        <v>1200</v>
      </c>
      <c r="CA1910" t="s">
        <v>620</v>
      </c>
      <c r="CC1910" t="s">
        <v>76</v>
      </c>
      <c r="CD1910">
        <v>1645</v>
      </c>
      <c r="CE1910" t="s">
        <v>88</v>
      </c>
      <c r="CI1910">
        <v>1</v>
      </c>
      <c r="CJ1910">
        <v>9</v>
      </c>
      <c r="CK1910">
        <v>22</v>
      </c>
      <c r="CL1910" t="s">
        <v>89</v>
      </c>
    </row>
    <row r="1911" spans="1:90">
      <c r="A1911" t="s">
        <v>72</v>
      </c>
      <c r="B1911" t="s">
        <v>73</v>
      </c>
      <c r="C1911" t="s">
        <v>74</v>
      </c>
      <c r="E1911" t="str">
        <f>"FES1162729007"</f>
        <v>FES1162729007</v>
      </c>
      <c r="F1911" s="3">
        <v>43819</v>
      </c>
      <c r="G1911">
        <v>202006</v>
      </c>
      <c r="H1911" t="s">
        <v>75</v>
      </c>
      <c r="I1911" t="s">
        <v>76</v>
      </c>
      <c r="J1911" t="s">
        <v>77</v>
      </c>
      <c r="K1911" t="s">
        <v>78</v>
      </c>
      <c r="L1911" t="s">
        <v>632</v>
      </c>
      <c r="M1911" t="s">
        <v>633</v>
      </c>
      <c r="N1911" t="s">
        <v>634</v>
      </c>
      <c r="O1911" t="s">
        <v>82</v>
      </c>
      <c r="P1911" t="str">
        <f>"2170721953                    "</f>
        <v xml:space="preserve">2170721953                    </v>
      </c>
      <c r="Q1911">
        <v>0</v>
      </c>
      <c r="R1911">
        <v>0</v>
      </c>
      <c r="S1911">
        <v>0</v>
      </c>
      <c r="T1911">
        <v>0</v>
      </c>
      <c r="U1911">
        <v>0</v>
      </c>
      <c r="V1911">
        <v>0</v>
      </c>
      <c r="W1911">
        <v>0</v>
      </c>
      <c r="X1911">
        <v>0</v>
      </c>
      <c r="Y1911">
        <v>0</v>
      </c>
      <c r="Z1911">
        <v>0</v>
      </c>
      <c r="AA1911">
        <v>0</v>
      </c>
      <c r="AB1911">
        <v>0</v>
      </c>
      <c r="AC1911">
        <v>0</v>
      </c>
      <c r="AD1911">
        <v>0</v>
      </c>
      <c r="AE1911">
        <v>0</v>
      </c>
      <c r="AF1911">
        <v>0</v>
      </c>
      <c r="AG1911">
        <v>0</v>
      </c>
      <c r="AH1911">
        <v>0</v>
      </c>
      <c r="AI1911">
        <v>0</v>
      </c>
      <c r="AJ1911">
        <v>0</v>
      </c>
      <c r="AK1911">
        <v>0</v>
      </c>
      <c r="AL1911">
        <v>0</v>
      </c>
      <c r="AM1911">
        <v>11.53</v>
      </c>
      <c r="AN1911">
        <v>0</v>
      </c>
      <c r="AO1911">
        <v>0</v>
      </c>
      <c r="AP1911">
        <v>0</v>
      </c>
      <c r="AQ1911">
        <v>0</v>
      </c>
      <c r="AR1911">
        <v>0</v>
      </c>
      <c r="AS1911">
        <v>0</v>
      </c>
      <c r="AT1911">
        <v>0</v>
      </c>
      <c r="AU1911">
        <v>0</v>
      </c>
      <c r="AV1911">
        <v>0</v>
      </c>
      <c r="AW1911">
        <v>0</v>
      </c>
      <c r="AX1911">
        <v>0</v>
      </c>
      <c r="AY1911">
        <v>0</v>
      </c>
      <c r="AZ1911">
        <v>0</v>
      </c>
      <c r="BA1911">
        <v>0</v>
      </c>
      <c r="BB1911">
        <v>0</v>
      </c>
      <c r="BC1911">
        <v>0</v>
      </c>
      <c r="BD1911">
        <v>0</v>
      </c>
      <c r="BE1911">
        <v>0</v>
      </c>
      <c r="BF1911">
        <v>0</v>
      </c>
      <c r="BG1911">
        <v>0</v>
      </c>
      <c r="BH1911">
        <v>1</v>
      </c>
      <c r="BI1911">
        <v>4.5999999999999996</v>
      </c>
      <c r="BJ1911">
        <v>2.7</v>
      </c>
      <c r="BK1911">
        <v>5</v>
      </c>
      <c r="BL1911" s="4">
        <v>67.760000000000005</v>
      </c>
      <c r="BM1911" s="4">
        <v>10.16</v>
      </c>
      <c r="BN1911" s="4">
        <v>77.92</v>
      </c>
      <c r="BO1911" s="4">
        <v>77.92</v>
      </c>
      <c r="BQ1911" t="s">
        <v>147</v>
      </c>
      <c r="BR1911" t="s">
        <v>84</v>
      </c>
      <c r="BS1911" s="3">
        <v>43832</v>
      </c>
      <c r="BT1911" s="5">
        <v>0.78333333333333333</v>
      </c>
      <c r="BU1911" t="s">
        <v>617</v>
      </c>
      <c r="BV1911" t="s">
        <v>89</v>
      </c>
      <c r="BY1911">
        <v>13301.2</v>
      </c>
      <c r="CA1911" t="s">
        <v>620</v>
      </c>
      <c r="CC1911" t="s">
        <v>633</v>
      </c>
      <c r="CD1911">
        <v>1451</v>
      </c>
      <c r="CE1911" t="s">
        <v>116</v>
      </c>
      <c r="CI1911">
        <v>1</v>
      </c>
      <c r="CJ1911">
        <v>9</v>
      </c>
      <c r="CK1911">
        <v>22</v>
      </c>
      <c r="CL1911" t="s">
        <v>89</v>
      </c>
    </row>
    <row r="1912" spans="1:90">
      <c r="A1912" t="s">
        <v>72</v>
      </c>
      <c r="B1912" t="s">
        <v>73</v>
      </c>
      <c r="C1912" t="s">
        <v>74</v>
      </c>
      <c r="E1912" t="str">
        <f>"FES1162729320"</f>
        <v>FES1162729320</v>
      </c>
      <c r="F1912" s="3">
        <v>43819</v>
      </c>
      <c r="G1912">
        <v>202006</v>
      </c>
      <c r="H1912" t="s">
        <v>75</v>
      </c>
      <c r="I1912" t="s">
        <v>76</v>
      </c>
      <c r="J1912" t="s">
        <v>77</v>
      </c>
      <c r="K1912" t="s">
        <v>78</v>
      </c>
      <c r="L1912" t="s">
        <v>151</v>
      </c>
      <c r="M1912" t="s">
        <v>102</v>
      </c>
      <c r="N1912" t="s">
        <v>706</v>
      </c>
      <c r="O1912" t="s">
        <v>82</v>
      </c>
      <c r="P1912" t="str">
        <f>"217072206                     "</f>
        <v xml:space="preserve">217072206                     </v>
      </c>
      <c r="Q1912">
        <v>0</v>
      </c>
      <c r="R1912">
        <v>0</v>
      </c>
      <c r="S1912">
        <v>0</v>
      </c>
      <c r="T1912">
        <v>0</v>
      </c>
      <c r="U1912">
        <v>0</v>
      </c>
      <c r="V1912">
        <v>0</v>
      </c>
      <c r="W1912">
        <v>0</v>
      </c>
      <c r="X1912">
        <v>0</v>
      </c>
      <c r="Y1912">
        <v>0</v>
      </c>
      <c r="Z1912">
        <v>0</v>
      </c>
      <c r="AA1912">
        <v>0</v>
      </c>
      <c r="AB1912">
        <v>0</v>
      </c>
      <c r="AC1912">
        <v>0</v>
      </c>
      <c r="AD1912">
        <v>0</v>
      </c>
      <c r="AE1912">
        <v>0</v>
      </c>
      <c r="AF1912">
        <v>0</v>
      </c>
      <c r="AG1912">
        <v>0</v>
      </c>
      <c r="AH1912">
        <v>0</v>
      </c>
      <c r="AI1912">
        <v>0</v>
      </c>
      <c r="AJ1912">
        <v>0</v>
      </c>
      <c r="AK1912">
        <v>0</v>
      </c>
      <c r="AL1912">
        <v>0</v>
      </c>
      <c r="AM1912">
        <v>8.58</v>
      </c>
      <c r="AN1912">
        <v>0</v>
      </c>
      <c r="AO1912">
        <v>0</v>
      </c>
      <c r="AP1912">
        <v>0</v>
      </c>
      <c r="AQ1912">
        <v>0</v>
      </c>
      <c r="AR1912">
        <v>0</v>
      </c>
      <c r="AS1912">
        <v>0</v>
      </c>
      <c r="AT1912">
        <v>0</v>
      </c>
      <c r="AU1912">
        <v>0</v>
      </c>
      <c r="AV1912">
        <v>0</v>
      </c>
      <c r="AW1912">
        <v>0</v>
      </c>
      <c r="AX1912">
        <v>0</v>
      </c>
      <c r="AY1912">
        <v>0</v>
      </c>
      <c r="AZ1912">
        <v>0</v>
      </c>
      <c r="BA1912">
        <v>0</v>
      </c>
      <c r="BB1912">
        <v>0</v>
      </c>
      <c r="BC1912">
        <v>0</v>
      </c>
      <c r="BD1912">
        <v>0</v>
      </c>
      <c r="BE1912">
        <v>0</v>
      </c>
      <c r="BF1912">
        <v>0</v>
      </c>
      <c r="BG1912">
        <v>0</v>
      </c>
      <c r="BH1912">
        <v>1</v>
      </c>
      <c r="BI1912">
        <v>1.1000000000000001</v>
      </c>
      <c r="BJ1912">
        <v>1.2</v>
      </c>
      <c r="BK1912">
        <v>1.5</v>
      </c>
      <c r="BL1912" s="4">
        <v>50.45</v>
      </c>
      <c r="BM1912" s="4">
        <v>7.57</v>
      </c>
      <c r="BN1912" s="4">
        <v>58.02</v>
      </c>
      <c r="BO1912" s="4">
        <v>58.02</v>
      </c>
      <c r="BQ1912" t="s">
        <v>147</v>
      </c>
      <c r="BR1912" t="s">
        <v>84</v>
      </c>
      <c r="BS1912" s="3">
        <v>43822</v>
      </c>
      <c r="BT1912" s="5">
        <v>0.37152777777777773</v>
      </c>
      <c r="BU1912" t="s">
        <v>2237</v>
      </c>
      <c r="BV1912" t="s">
        <v>86</v>
      </c>
      <c r="BY1912">
        <v>5916</v>
      </c>
      <c r="CA1912" t="s">
        <v>2238</v>
      </c>
      <c r="CC1912" t="s">
        <v>102</v>
      </c>
      <c r="CD1912">
        <v>1</v>
      </c>
      <c r="CE1912" t="s">
        <v>96</v>
      </c>
      <c r="CF1912" s="3">
        <v>43826</v>
      </c>
      <c r="CI1912">
        <v>1</v>
      </c>
      <c r="CJ1912">
        <v>1</v>
      </c>
      <c r="CK1912">
        <v>21</v>
      </c>
      <c r="CL1912" t="s">
        <v>89</v>
      </c>
    </row>
    <row r="1913" spans="1:90">
      <c r="A1913" t="s">
        <v>72</v>
      </c>
      <c r="B1913" t="s">
        <v>73</v>
      </c>
      <c r="C1913" t="s">
        <v>74</v>
      </c>
      <c r="E1913" t="str">
        <f>"FES1162729362"</f>
        <v>FES1162729362</v>
      </c>
      <c r="F1913" s="3">
        <v>43819</v>
      </c>
      <c r="G1913">
        <v>202006</v>
      </c>
      <c r="H1913" t="s">
        <v>75</v>
      </c>
      <c r="I1913" t="s">
        <v>76</v>
      </c>
      <c r="J1913" t="s">
        <v>77</v>
      </c>
      <c r="K1913" t="s">
        <v>78</v>
      </c>
      <c r="L1913" t="s">
        <v>221</v>
      </c>
      <c r="M1913" t="s">
        <v>222</v>
      </c>
      <c r="N1913" t="s">
        <v>473</v>
      </c>
      <c r="O1913" t="s">
        <v>82</v>
      </c>
      <c r="P1913" t="str">
        <f>"2170722362                    "</f>
        <v xml:space="preserve">2170722362                    </v>
      </c>
      <c r="Q1913">
        <v>0</v>
      </c>
      <c r="R1913">
        <v>0</v>
      </c>
      <c r="S1913">
        <v>0</v>
      </c>
      <c r="T1913">
        <v>0</v>
      </c>
      <c r="U1913">
        <v>0</v>
      </c>
      <c r="V1913">
        <v>0</v>
      </c>
      <c r="W1913">
        <v>0</v>
      </c>
      <c r="X1913">
        <v>0</v>
      </c>
      <c r="Y1913">
        <v>0</v>
      </c>
      <c r="Z1913">
        <v>0</v>
      </c>
      <c r="AA1913">
        <v>0</v>
      </c>
      <c r="AB1913">
        <v>0</v>
      </c>
      <c r="AC1913">
        <v>0</v>
      </c>
      <c r="AD1913">
        <v>0</v>
      </c>
      <c r="AE1913">
        <v>0</v>
      </c>
      <c r="AF1913">
        <v>0</v>
      </c>
      <c r="AG1913">
        <v>0</v>
      </c>
      <c r="AH1913">
        <v>0</v>
      </c>
      <c r="AI1913">
        <v>0</v>
      </c>
      <c r="AJ1913">
        <v>0</v>
      </c>
      <c r="AK1913">
        <v>0</v>
      </c>
      <c r="AL1913">
        <v>0</v>
      </c>
      <c r="AM1913">
        <v>10.73</v>
      </c>
      <c r="AN1913">
        <v>0</v>
      </c>
      <c r="AO1913">
        <v>0</v>
      </c>
      <c r="AP1913">
        <v>0</v>
      </c>
      <c r="AQ1913">
        <v>0</v>
      </c>
      <c r="AR1913">
        <v>0</v>
      </c>
      <c r="AS1913">
        <v>0</v>
      </c>
      <c r="AT1913">
        <v>0</v>
      </c>
      <c r="AU1913">
        <v>0</v>
      </c>
      <c r="AV1913">
        <v>0</v>
      </c>
      <c r="AW1913">
        <v>0</v>
      </c>
      <c r="AX1913">
        <v>0</v>
      </c>
      <c r="AY1913">
        <v>0</v>
      </c>
      <c r="AZ1913">
        <v>0</v>
      </c>
      <c r="BA1913">
        <v>0</v>
      </c>
      <c r="BB1913">
        <v>0</v>
      </c>
      <c r="BC1913">
        <v>0</v>
      </c>
      <c r="BD1913">
        <v>0</v>
      </c>
      <c r="BE1913">
        <v>0</v>
      </c>
      <c r="BF1913">
        <v>0</v>
      </c>
      <c r="BG1913">
        <v>0</v>
      </c>
      <c r="BH1913">
        <v>1</v>
      </c>
      <c r="BI1913">
        <v>2.2999999999999998</v>
      </c>
      <c r="BJ1913">
        <v>1.2</v>
      </c>
      <c r="BK1913">
        <v>2.5</v>
      </c>
      <c r="BL1913" s="4">
        <v>63.06</v>
      </c>
      <c r="BM1913" s="4">
        <v>9.4600000000000009</v>
      </c>
      <c r="BN1913" s="4">
        <v>72.52</v>
      </c>
      <c r="BO1913" s="4">
        <v>72.52</v>
      </c>
      <c r="BQ1913" t="s">
        <v>147</v>
      </c>
      <c r="BR1913" t="s">
        <v>84</v>
      </c>
      <c r="BS1913" s="3">
        <v>43822</v>
      </c>
      <c r="BT1913" s="5">
        <v>0.4375</v>
      </c>
      <c r="BU1913" t="s">
        <v>2239</v>
      </c>
      <c r="BV1913" t="s">
        <v>86</v>
      </c>
      <c r="BY1913">
        <v>6042.07</v>
      </c>
      <c r="CC1913" t="s">
        <v>222</v>
      </c>
      <c r="CD1913">
        <v>3201</v>
      </c>
      <c r="CE1913" t="s">
        <v>96</v>
      </c>
      <c r="CF1913" s="3">
        <v>43823</v>
      </c>
      <c r="CI1913">
        <v>1</v>
      </c>
      <c r="CJ1913">
        <v>1</v>
      </c>
      <c r="CK1913">
        <v>21</v>
      </c>
      <c r="CL1913" t="s">
        <v>89</v>
      </c>
    </row>
    <row r="1914" spans="1:90">
      <c r="A1914" t="s">
        <v>72</v>
      </c>
      <c r="B1914" t="s">
        <v>73</v>
      </c>
      <c r="C1914" t="s">
        <v>74</v>
      </c>
      <c r="E1914" t="str">
        <f>"FES1162729329"</f>
        <v>FES1162729329</v>
      </c>
      <c r="F1914" s="3">
        <v>43819</v>
      </c>
      <c r="G1914">
        <v>202006</v>
      </c>
      <c r="H1914" t="s">
        <v>75</v>
      </c>
      <c r="I1914" t="s">
        <v>76</v>
      </c>
      <c r="J1914" t="s">
        <v>77</v>
      </c>
      <c r="K1914" t="s">
        <v>78</v>
      </c>
      <c r="L1914" t="s">
        <v>332</v>
      </c>
      <c r="M1914" t="s">
        <v>333</v>
      </c>
      <c r="N1914" t="s">
        <v>701</v>
      </c>
      <c r="O1914" t="s">
        <v>82</v>
      </c>
      <c r="P1914" t="str">
        <f>"2170722317                    "</f>
        <v xml:space="preserve">2170722317                    </v>
      </c>
      <c r="Q1914">
        <v>0</v>
      </c>
      <c r="R1914">
        <v>0</v>
      </c>
      <c r="S1914">
        <v>0</v>
      </c>
      <c r="T1914">
        <v>0</v>
      </c>
      <c r="U1914">
        <v>0</v>
      </c>
      <c r="V1914">
        <v>0</v>
      </c>
      <c r="W1914">
        <v>0</v>
      </c>
      <c r="X1914">
        <v>0</v>
      </c>
      <c r="Y1914">
        <v>0</v>
      </c>
      <c r="Z1914">
        <v>0</v>
      </c>
      <c r="AA1914">
        <v>0</v>
      </c>
      <c r="AB1914">
        <v>0</v>
      </c>
      <c r="AC1914">
        <v>0</v>
      </c>
      <c r="AD1914">
        <v>0</v>
      </c>
      <c r="AE1914">
        <v>0</v>
      </c>
      <c r="AF1914">
        <v>0</v>
      </c>
      <c r="AG1914">
        <v>0</v>
      </c>
      <c r="AH1914">
        <v>0</v>
      </c>
      <c r="AI1914">
        <v>0</v>
      </c>
      <c r="AJ1914">
        <v>0</v>
      </c>
      <c r="AK1914">
        <v>0</v>
      </c>
      <c r="AL1914">
        <v>0</v>
      </c>
      <c r="AM1914">
        <v>6.71</v>
      </c>
      <c r="AN1914">
        <v>0</v>
      </c>
      <c r="AO1914">
        <v>0</v>
      </c>
      <c r="AP1914">
        <v>0</v>
      </c>
      <c r="AQ1914">
        <v>0</v>
      </c>
      <c r="AR1914">
        <v>0</v>
      </c>
      <c r="AS1914">
        <v>0</v>
      </c>
      <c r="AT1914">
        <v>0</v>
      </c>
      <c r="AU1914">
        <v>0</v>
      </c>
      <c r="AV1914">
        <v>0</v>
      </c>
      <c r="AW1914">
        <v>0</v>
      </c>
      <c r="AX1914">
        <v>0</v>
      </c>
      <c r="AY1914">
        <v>0</v>
      </c>
      <c r="AZ1914">
        <v>0</v>
      </c>
      <c r="BA1914">
        <v>0</v>
      </c>
      <c r="BB1914">
        <v>0</v>
      </c>
      <c r="BC1914">
        <v>0</v>
      </c>
      <c r="BD1914">
        <v>0</v>
      </c>
      <c r="BE1914">
        <v>0</v>
      </c>
      <c r="BF1914">
        <v>0</v>
      </c>
      <c r="BG1914">
        <v>0</v>
      </c>
      <c r="BH1914">
        <v>1</v>
      </c>
      <c r="BI1914">
        <v>1</v>
      </c>
      <c r="BJ1914">
        <v>0.2</v>
      </c>
      <c r="BK1914">
        <v>1</v>
      </c>
      <c r="BL1914" s="4">
        <v>39.42</v>
      </c>
      <c r="BM1914" s="4">
        <v>5.91</v>
      </c>
      <c r="BN1914" s="4">
        <v>45.33</v>
      </c>
      <c r="BO1914" s="4">
        <v>45.33</v>
      </c>
      <c r="BQ1914" t="s">
        <v>93</v>
      </c>
      <c r="BR1914" t="s">
        <v>84</v>
      </c>
      <c r="BS1914" s="3">
        <v>43822</v>
      </c>
      <c r="BT1914" s="5">
        <v>0.35833333333333334</v>
      </c>
      <c r="BU1914" t="s">
        <v>702</v>
      </c>
      <c r="BV1914" t="s">
        <v>86</v>
      </c>
      <c r="BY1914">
        <v>1200</v>
      </c>
      <c r="CA1914" t="s">
        <v>700</v>
      </c>
      <c r="CC1914" t="s">
        <v>333</v>
      </c>
      <c r="CD1914">
        <v>2094</v>
      </c>
      <c r="CE1914" t="s">
        <v>88</v>
      </c>
      <c r="CF1914" s="3">
        <v>43823</v>
      </c>
      <c r="CI1914">
        <v>1</v>
      </c>
      <c r="CJ1914">
        <v>1</v>
      </c>
      <c r="CK1914">
        <v>22</v>
      </c>
      <c r="CL1914" t="s">
        <v>89</v>
      </c>
    </row>
    <row r="1915" spans="1:90">
      <c r="A1915" t="s">
        <v>72</v>
      </c>
      <c r="B1915" t="s">
        <v>73</v>
      </c>
      <c r="C1915" t="s">
        <v>74</v>
      </c>
      <c r="E1915" t="str">
        <f>"FES1162729298"</f>
        <v>FES1162729298</v>
      </c>
      <c r="F1915" s="3">
        <v>43819</v>
      </c>
      <c r="G1915">
        <v>202006</v>
      </c>
      <c r="H1915" t="s">
        <v>75</v>
      </c>
      <c r="I1915" t="s">
        <v>76</v>
      </c>
      <c r="J1915" t="s">
        <v>77</v>
      </c>
      <c r="K1915" t="s">
        <v>78</v>
      </c>
      <c r="L1915" t="s">
        <v>90</v>
      </c>
      <c r="M1915" t="s">
        <v>91</v>
      </c>
      <c r="N1915" t="s">
        <v>2232</v>
      </c>
      <c r="O1915" t="s">
        <v>82</v>
      </c>
      <c r="P1915" t="str">
        <f>"2170721427                    "</f>
        <v xml:space="preserve">2170721427                    </v>
      </c>
      <c r="Q1915">
        <v>0</v>
      </c>
      <c r="R1915">
        <v>0</v>
      </c>
      <c r="S1915">
        <v>0</v>
      </c>
      <c r="T1915">
        <v>0</v>
      </c>
      <c r="U1915">
        <v>0</v>
      </c>
      <c r="V1915">
        <v>0</v>
      </c>
      <c r="W1915">
        <v>0</v>
      </c>
      <c r="X1915">
        <v>0</v>
      </c>
      <c r="Y1915">
        <v>0</v>
      </c>
      <c r="Z1915">
        <v>0</v>
      </c>
      <c r="AA1915">
        <v>0</v>
      </c>
      <c r="AB1915">
        <v>0</v>
      </c>
      <c r="AC1915">
        <v>0</v>
      </c>
      <c r="AD1915">
        <v>0</v>
      </c>
      <c r="AE1915">
        <v>0</v>
      </c>
      <c r="AF1915">
        <v>0</v>
      </c>
      <c r="AG1915">
        <v>0</v>
      </c>
      <c r="AH1915">
        <v>0</v>
      </c>
      <c r="AI1915">
        <v>0</v>
      </c>
      <c r="AJ1915">
        <v>0</v>
      </c>
      <c r="AK1915">
        <v>0</v>
      </c>
      <c r="AL1915">
        <v>0</v>
      </c>
      <c r="AM1915">
        <v>45.04</v>
      </c>
      <c r="AN1915">
        <v>0</v>
      </c>
      <c r="AO1915">
        <v>0</v>
      </c>
      <c r="AP1915">
        <v>0</v>
      </c>
      <c r="AQ1915">
        <v>0</v>
      </c>
      <c r="AR1915">
        <v>0</v>
      </c>
      <c r="AS1915">
        <v>0</v>
      </c>
      <c r="AT1915">
        <v>0</v>
      </c>
      <c r="AU1915">
        <v>0</v>
      </c>
      <c r="AV1915">
        <v>0</v>
      </c>
      <c r="AW1915">
        <v>0</v>
      </c>
      <c r="AX1915">
        <v>0</v>
      </c>
      <c r="AY1915">
        <v>0</v>
      </c>
      <c r="AZ1915">
        <v>0</v>
      </c>
      <c r="BA1915">
        <v>0</v>
      </c>
      <c r="BB1915">
        <v>0</v>
      </c>
      <c r="BC1915">
        <v>0</v>
      </c>
      <c r="BD1915">
        <v>0</v>
      </c>
      <c r="BE1915">
        <v>0</v>
      </c>
      <c r="BF1915">
        <v>0</v>
      </c>
      <c r="BG1915">
        <v>0</v>
      </c>
      <c r="BH1915">
        <v>1</v>
      </c>
      <c r="BI1915">
        <v>6.5</v>
      </c>
      <c r="BJ1915">
        <v>10.5</v>
      </c>
      <c r="BK1915">
        <v>10.5</v>
      </c>
      <c r="BL1915" s="4">
        <v>264.73</v>
      </c>
      <c r="BM1915" s="4">
        <v>39.71</v>
      </c>
      <c r="BN1915" s="4">
        <v>304.44</v>
      </c>
      <c r="BO1915" s="4">
        <v>304.44</v>
      </c>
      <c r="BQ1915" t="s">
        <v>93</v>
      </c>
      <c r="BR1915" t="s">
        <v>84</v>
      </c>
      <c r="BS1915" s="3">
        <v>43822</v>
      </c>
      <c r="BT1915" s="5">
        <v>0.35000000000000003</v>
      </c>
      <c r="BU1915" t="s">
        <v>2240</v>
      </c>
      <c r="BV1915" t="s">
        <v>86</v>
      </c>
      <c r="BY1915">
        <v>52540.66</v>
      </c>
      <c r="CA1915" t="s">
        <v>440</v>
      </c>
      <c r="CC1915" t="s">
        <v>91</v>
      </c>
      <c r="CD1915">
        <v>7493</v>
      </c>
      <c r="CE1915" t="s">
        <v>116</v>
      </c>
      <c r="CF1915" s="3">
        <v>43823</v>
      </c>
      <c r="CI1915">
        <v>1</v>
      </c>
      <c r="CJ1915">
        <v>1</v>
      </c>
      <c r="CK1915">
        <v>21</v>
      </c>
      <c r="CL1915" t="s">
        <v>89</v>
      </c>
    </row>
    <row r="1916" spans="1:90">
      <c r="A1916" t="s">
        <v>72</v>
      </c>
      <c r="B1916" t="s">
        <v>73</v>
      </c>
      <c r="C1916" t="s">
        <v>74</v>
      </c>
      <c r="E1916" t="str">
        <f>"FES1162729305"</f>
        <v>FES1162729305</v>
      </c>
      <c r="F1916" s="3">
        <v>43819</v>
      </c>
      <c r="G1916">
        <v>202006</v>
      </c>
      <c r="H1916" t="s">
        <v>75</v>
      </c>
      <c r="I1916" t="s">
        <v>76</v>
      </c>
      <c r="J1916" t="s">
        <v>77</v>
      </c>
      <c r="K1916" t="s">
        <v>78</v>
      </c>
      <c r="L1916" t="s">
        <v>79</v>
      </c>
      <c r="M1916" t="s">
        <v>80</v>
      </c>
      <c r="N1916" t="s">
        <v>129</v>
      </c>
      <c r="O1916" t="s">
        <v>82</v>
      </c>
      <c r="P1916" t="str">
        <f>"217072129                     "</f>
        <v xml:space="preserve">217072129                     </v>
      </c>
      <c r="Q1916">
        <v>0</v>
      </c>
      <c r="R1916">
        <v>0</v>
      </c>
      <c r="S1916">
        <v>0</v>
      </c>
      <c r="T1916">
        <v>0</v>
      </c>
      <c r="U1916">
        <v>0</v>
      </c>
      <c r="V1916">
        <v>0</v>
      </c>
      <c r="W1916">
        <v>0</v>
      </c>
      <c r="X1916">
        <v>0</v>
      </c>
      <c r="Y1916">
        <v>0</v>
      </c>
      <c r="Z1916">
        <v>0</v>
      </c>
      <c r="AA1916">
        <v>0</v>
      </c>
      <c r="AB1916">
        <v>0</v>
      </c>
      <c r="AC1916">
        <v>0</v>
      </c>
      <c r="AD1916">
        <v>0</v>
      </c>
      <c r="AE1916">
        <v>0</v>
      </c>
      <c r="AF1916">
        <v>0</v>
      </c>
      <c r="AG1916">
        <v>0</v>
      </c>
      <c r="AH1916">
        <v>0</v>
      </c>
      <c r="AI1916">
        <v>0</v>
      </c>
      <c r="AJ1916">
        <v>0</v>
      </c>
      <c r="AK1916">
        <v>0</v>
      </c>
      <c r="AL1916">
        <v>0</v>
      </c>
      <c r="AM1916">
        <v>19.3</v>
      </c>
      <c r="AN1916">
        <v>0</v>
      </c>
      <c r="AO1916">
        <v>0</v>
      </c>
      <c r="AP1916">
        <v>0</v>
      </c>
      <c r="AQ1916">
        <v>0</v>
      </c>
      <c r="AR1916">
        <v>0</v>
      </c>
      <c r="AS1916">
        <v>0</v>
      </c>
      <c r="AT1916">
        <v>0</v>
      </c>
      <c r="AU1916">
        <v>0</v>
      </c>
      <c r="AV1916">
        <v>0</v>
      </c>
      <c r="AW1916">
        <v>0</v>
      </c>
      <c r="AX1916">
        <v>0</v>
      </c>
      <c r="AY1916">
        <v>0</v>
      </c>
      <c r="AZ1916">
        <v>0</v>
      </c>
      <c r="BA1916">
        <v>0</v>
      </c>
      <c r="BB1916">
        <v>0</v>
      </c>
      <c r="BC1916">
        <v>0</v>
      </c>
      <c r="BD1916">
        <v>0</v>
      </c>
      <c r="BE1916">
        <v>0</v>
      </c>
      <c r="BF1916">
        <v>0</v>
      </c>
      <c r="BG1916">
        <v>0</v>
      </c>
      <c r="BH1916">
        <v>1</v>
      </c>
      <c r="BI1916">
        <v>4.2</v>
      </c>
      <c r="BJ1916">
        <v>1.8</v>
      </c>
      <c r="BK1916">
        <v>4.5</v>
      </c>
      <c r="BL1916" s="4">
        <v>113.47</v>
      </c>
      <c r="BM1916" s="4">
        <v>17.02</v>
      </c>
      <c r="BN1916" s="4">
        <v>130.49</v>
      </c>
      <c r="BO1916" s="4">
        <v>130.49</v>
      </c>
      <c r="BQ1916" t="s">
        <v>147</v>
      </c>
      <c r="BR1916" t="s">
        <v>84</v>
      </c>
      <c r="BS1916" s="3">
        <v>43836</v>
      </c>
      <c r="BT1916" s="5">
        <v>0.34097222222222223</v>
      </c>
      <c r="BU1916" t="s">
        <v>130</v>
      </c>
      <c r="BV1916" t="s">
        <v>89</v>
      </c>
      <c r="BY1916">
        <v>8893.19</v>
      </c>
      <c r="CA1916" t="s">
        <v>131</v>
      </c>
      <c r="CC1916" t="s">
        <v>80</v>
      </c>
      <c r="CD1916">
        <v>6001</v>
      </c>
      <c r="CE1916" t="s">
        <v>96</v>
      </c>
      <c r="CI1916">
        <v>1</v>
      </c>
      <c r="CJ1916">
        <v>11</v>
      </c>
      <c r="CK1916">
        <v>21</v>
      </c>
      <c r="CL1916" t="s">
        <v>89</v>
      </c>
    </row>
    <row r="1917" spans="1:90">
      <c r="A1917" t="s">
        <v>72</v>
      </c>
      <c r="B1917" t="s">
        <v>73</v>
      </c>
      <c r="C1917" t="s">
        <v>74</v>
      </c>
      <c r="E1917" t="str">
        <f>"FES1162729281"</f>
        <v>FES1162729281</v>
      </c>
      <c r="F1917" s="3">
        <v>43819</v>
      </c>
      <c r="G1917">
        <v>202006</v>
      </c>
      <c r="H1917" t="s">
        <v>75</v>
      </c>
      <c r="I1917" t="s">
        <v>76</v>
      </c>
      <c r="J1917" t="s">
        <v>77</v>
      </c>
      <c r="K1917" t="s">
        <v>78</v>
      </c>
      <c r="L1917" t="s">
        <v>90</v>
      </c>
      <c r="M1917" t="s">
        <v>91</v>
      </c>
      <c r="N1917" t="s">
        <v>110</v>
      </c>
      <c r="O1917" t="s">
        <v>82</v>
      </c>
      <c r="P1917" t="str">
        <f>"2170722292                    "</f>
        <v xml:space="preserve">2170722292                    </v>
      </c>
      <c r="Q1917">
        <v>0</v>
      </c>
      <c r="R1917">
        <v>0</v>
      </c>
      <c r="S1917">
        <v>0</v>
      </c>
      <c r="T1917">
        <v>0</v>
      </c>
      <c r="U1917">
        <v>0</v>
      </c>
      <c r="V1917">
        <v>0</v>
      </c>
      <c r="W1917">
        <v>0</v>
      </c>
      <c r="X1917">
        <v>0</v>
      </c>
      <c r="Y1917">
        <v>0</v>
      </c>
      <c r="Z1917">
        <v>0</v>
      </c>
      <c r="AA1917">
        <v>0</v>
      </c>
      <c r="AB1917">
        <v>0</v>
      </c>
      <c r="AC1917">
        <v>0</v>
      </c>
      <c r="AD1917">
        <v>0</v>
      </c>
      <c r="AE1917">
        <v>0</v>
      </c>
      <c r="AF1917">
        <v>0</v>
      </c>
      <c r="AG1917">
        <v>0</v>
      </c>
      <c r="AH1917">
        <v>0</v>
      </c>
      <c r="AI1917">
        <v>0</v>
      </c>
      <c r="AJ1917">
        <v>0</v>
      </c>
      <c r="AK1917">
        <v>0</v>
      </c>
      <c r="AL1917">
        <v>0</v>
      </c>
      <c r="AM1917">
        <v>8.58</v>
      </c>
      <c r="AN1917">
        <v>0</v>
      </c>
      <c r="AO1917">
        <v>0</v>
      </c>
      <c r="AP1917">
        <v>0</v>
      </c>
      <c r="AQ1917">
        <v>0</v>
      </c>
      <c r="AR1917">
        <v>0</v>
      </c>
      <c r="AS1917">
        <v>0</v>
      </c>
      <c r="AT1917">
        <v>0</v>
      </c>
      <c r="AU1917">
        <v>0</v>
      </c>
      <c r="AV1917">
        <v>0</v>
      </c>
      <c r="AW1917">
        <v>0</v>
      </c>
      <c r="AX1917">
        <v>0</v>
      </c>
      <c r="AY1917">
        <v>0</v>
      </c>
      <c r="AZ1917">
        <v>0</v>
      </c>
      <c r="BA1917">
        <v>0</v>
      </c>
      <c r="BB1917">
        <v>0</v>
      </c>
      <c r="BC1917">
        <v>0</v>
      </c>
      <c r="BD1917">
        <v>0</v>
      </c>
      <c r="BE1917">
        <v>0</v>
      </c>
      <c r="BF1917">
        <v>0</v>
      </c>
      <c r="BG1917">
        <v>0</v>
      </c>
      <c r="BH1917">
        <v>1</v>
      </c>
      <c r="BI1917">
        <v>1</v>
      </c>
      <c r="BJ1917">
        <v>0.2</v>
      </c>
      <c r="BK1917">
        <v>1</v>
      </c>
      <c r="BL1917" s="4">
        <v>50.45</v>
      </c>
      <c r="BM1917" s="4">
        <v>7.57</v>
      </c>
      <c r="BN1917" s="4">
        <v>58.02</v>
      </c>
      <c r="BO1917" s="4">
        <v>58.02</v>
      </c>
      <c r="BQ1917" t="s">
        <v>147</v>
      </c>
      <c r="BR1917" t="s">
        <v>84</v>
      </c>
      <c r="BS1917" s="3">
        <v>43822</v>
      </c>
      <c r="BT1917" s="5">
        <v>0.32569444444444445</v>
      </c>
      <c r="BU1917" t="s">
        <v>1830</v>
      </c>
      <c r="BV1917" t="s">
        <v>86</v>
      </c>
      <c r="BY1917">
        <v>1200</v>
      </c>
      <c r="CA1917" t="s">
        <v>1831</v>
      </c>
      <c r="CC1917" t="s">
        <v>91</v>
      </c>
      <c r="CD1917">
        <v>7405</v>
      </c>
      <c r="CE1917" t="s">
        <v>88</v>
      </c>
      <c r="CF1917" s="3">
        <v>43823</v>
      </c>
      <c r="CI1917">
        <v>1</v>
      </c>
      <c r="CJ1917">
        <v>1</v>
      </c>
      <c r="CK1917">
        <v>21</v>
      </c>
      <c r="CL1917" t="s">
        <v>89</v>
      </c>
    </row>
    <row r="1918" spans="1:90">
      <c r="A1918" t="s">
        <v>72</v>
      </c>
      <c r="B1918" t="s">
        <v>73</v>
      </c>
      <c r="C1918" t="s">
        <v>74</v>
      </c>
      <c r="E1918" t="str">
        <f>"FES1162729313"</f>
        <v>FES1162729313</v>
      </c>
      <c r="F1918" s="3">
        <v>43819</v>
      </c>
      <c r="G1918">
        <v>202006</v>
      </c>
      <c r="H1918" t="s">
        <v>75</v>
      </c>
      <c r="I1918" t="s">
        <v>76</v>
      </c>
      <c r="J1918" t="s">
        <v>77</v>
      </c>
      <c r="K1918" t="s">
        <v>78</v>
      </c>
      <c r="L1918" t="s">
        <v>90</v>
      </c>
      <c r="M1918" t="s">
        <v>91</v>
      </c>
      <c r="N1918" t="s">
        <v>110</v>
      </c>
      <c r="O1918" t="s">
        <v>82</v>
      </c>
      <c r="P1918" t="str">
        <f>"2170722297                    "</f>
        <v xml:space="preserve">2170722297                    </v>
      </c>
      <c r="Q1918">
        <v>0</v>
      </c>
      <c r="R1918">
        <v>0</v>
      </c>
      <c r="S1918">
        <v>0</v>
      </c>
      <c r="T1918">
        <v>0</v>
      </c>
      <c r="U1918">
        <v>0</v>
      </c>
      <c r="V1918">
        <v>0</v>
      </c>
      <c r="W1918">
        <v>0</v>
      </c>
      <c r="X1918">
        <v>0</v>
      </c>
      <c r="Y1918">
        <v>0</v>
      </c>
      <c r="Z1918">
        <v>0</v>
      </c>
      <c r="AA1918">
        <v>0</v>
      </c>
      <c r="AB1918">
        <v>0</v>
      </c>
      <c r="AC1918">
        <v>0</v>
      </c>
      <c r="AD1918">
        <v>0</v>
      </c>
      <c r="AE1918">
        <v>0</v>
      </c>
      <c r="AF1918">
        <v>0</v>
      </c>
      <c r="AG1918">
        <v>0</v>
      </c>
      <c r="AH1918">
        <v>0</v>
      </c>
      <c r="AI1918">
        <v>0</v>
      </c>
      <c r="AJ1918">
        <v>0</v>
      </c>
      <c r="AK1918">
        <v>0</v>
      </c>
      <c r="AL1918">
        <v>0</v>
      </c>
      <c r="AM1918">
        <v>8.58</v>
      </c>
      <c r="AN1918">
        <v>0</v>
      </c>
      <c r="AO1918">
        <v>0</v>
      </c>
      <c r="AP1918">
        <v>0</v>
      </c>
      <c r="AQ1918">
        <v>0</v>
      </c>
      <c r="AR1918">
        <v>0</v>
      </c>
      <c r="AS1918">
        <v>0</v>
      </c>
      <c r="AT1918">
        <v>0</v>
      </c>
      <c r="AU1918">
        <v>0</v>
      </c>
      <c r="AV1918">
        <v>0</v>
      </c>
      <c r="AW1918">
        <v>0</v>
      </c>
      <c r="AX1918">
        <v>0</v>
      </c>
      <c r="AY1918">
        <v>0</v>
      </c>
      <c r="AZ1918">
        <v>0</v>
      </c>
      <c r="BA1918">
        <v>0</v>
      </c>
      <c r="BB1918">
        <v>0</v>
      </c>
      <c r="BC1918">
        <v>0</v>
      </c>
      <c r="BD1918">
        <v>0</v>
      </c>
      <c r="BE1918">
        <v>0</v>
      </c>
      <c r="BF1918">
        <v>0</v>
      </c>
      <c r="BG1918">
        <v>0</v>
      </c>
      <c r="BH1918">
        <v>1</v>
      </c>
      <c r="BI1918">
        <v>1</v>
      </c>
      <c r="BJ1918">
        <v>0.2</v>
      </c>
      <c r="BK1918">
        <v>1</v>
      </c>
      <c r="BL1918" s="4">
        <v>50.45</v>
      </c>
      <c r="BM1918" s="4">
        <v>7.57</v>
      </c>
      <c r="BN1918" s="4">
        <v>58.02</v>
      </c>
      <c r="BO1918" s="4">
        <v>58.02</v>
      </c>
      <c r="BQ1918" t="s">
        <v>147</v>
      </c>
      <c r="BR1918" t="s">
        <v>84</v>
      </c>
      <c r="BS1918" s="3">
        <v>43822</v>
      </c>
      <c r="BT1918" s="5">
        <v>0.3263888888888889</v>
      </c>
      <c r="BU1918" t="s">
        <v>1830</v>
      </c>
      <c r="BV1918" t="s">
        <v>86</v>
      </c>
      <c r="BY1918">
        <v>1200</v>
      </c>
      <c r="CA1918" t="s">
        <v>1831</v>
      </c>
      <c r="CC1918" t="s">
        <v>91</v>
      </c>
      <c r="CD1918">
        <v>7405</v>
      </c>
      <c r="CE1918" t="s">
        <v>88</v>
      </c>
      <c r="CF1918" s="3">
        <v>43823</v>
      </c>
      <c r="CI1918">
        <v>1</v>
      </c>
      <c r="CJ1918">
        <v>1</v>
      </c>
      <c r="CK1918">
        <v>21</v>
      </c>
      <c r="CL1918" t="s">
        <v>89</v>
      </c>
    </row>
    <row r="1919" spans="1:90">
      <c r="A1919" t="s">
        <v>72</v>
      </c>
      <c r="B1919" t="s">
        <v>73</v>
      </c>
      <c r="C1919" t="s">
        <v>74</v>
      </c>
      <c r="E1919" t="str">
        <f>"FES1162729304"</f>
        <v>FES1162729304</v>
      </c>
      <c r="F1919" s="3">
        <v>43819</v>
      </c>
      <c r="G1919">
        <v>202006</v>
      </c>
      <c r="H1919" t="s">
        <v>75</v>
      </c>
      <c r="I1919" t="s">
        <v>76</v>
      </c>
      <c r="J1919" t="s">
        <v>77</v>
      </c>
      <c r="K1919" t="s">
        <v>78</v>
      </c>
      <c r="L1919" t="s">
        <v>164</v>
      </c>
      <c r="M1919" t="s">
        <v>165</v>
      </c>
      <c r="N1919" t="s">
        <v>369</v>
      </c>
      <c r="O1919" t="s">
        <v>82</v>
      </c>
      <c r="P1919" t="str">
        <f>"2170721911                    "</f>
        <v xml:space="preserve">2170721911                    </v>
      </c>
      <c r="Q1919">
        <v>0</v>
      </c>
      <c r="R1919">
        <v>0</v>
      </c>
      <c r="S1919">
        <v>0</v>
      </c>
      <c r="T1919">
        <v>0</v>
      </c>
      <c r="U1919">
        <v>0</v>
      </c>
      <c r="V1919">
        <v>0</v>
      </c>
      <c r="W1919">
        <v>0</v>
      </c>
      <c r="X1919">
        <v>0</v>
      </c>
      <c r="Y1919">
        <v>0</v>
      </c>
      <c r="Z1919">
        <v>0</v>
      </c>
      <c r="AA1919">
        <v>0</v>
      </c>
      <c r="AB1919">
        <v>0</v>
      </c>
      <c r="AC1919">
        <v>0</v>
      </c>
      <c r="AD1919">
        <v>0</v>
      </c>
      <c r="AE1919">
        <v>0</v>
      </c>
      <c r="AF1919">
        <v>0</v>
      </c>
      <c r="AG1919">
        <v>0</v>
      </c>
      <c r="AH1919">
        <v>0</v>
      </c>
      <c r="AI1919">
        <v>0</v>
      </c>
      <c r="AJ1919">
        <v>0</v>
      </c>
      <c r="AK1919">
        <v>0</v>
      </c>
      <c r="AL1919">
        <v>0</v>
      </c>
      <c r="AM1919">
        <v>21.45</v>
      </c>
      <c r="AN1919">
        <v>0</v>
      </c>
      <c r="AO1919">
        <v>0</v>
      </c>
      <c r="AP1919">
        <v>0</v>
      </c>
      <c r="AQ1919">
        <v>0</v>
      </c>
      <c r="AR1919">
        <v>0</v>
      </c>
      <c r="AS1919">
        <v>0</v>
      </c>
      <c r="AT1919">
        <v>0</v>
      </c>
      <c r="AU1919">
        <v>0</v>
      </c>
      <c r="AV1919">
        <v>0</v>
      </c>
      <c r="AW1919">
        <v>0</v>
      </c>
      <c r="AX1919">
        <v>0</v>
      </c>
      <c r="AY1919">
        <v>0</v>
      </c>
      <c r="AZ1919">
        <v>0</v>
      </c>
      <c r="BA1919">
        <v>0</v>
      </c>
      <c r="BB1919">
        <v>0</v>
      </c>
      <c r="BC1919">
        <v>0</v>
      </c>
      <c r="BD1919">
        <v>0</v>
      </c>
      <c r="BE1919">
        <v>0</v>
      </c>
      <c r="BF1919">
        <v>0</v>
      </c>
      <c r="BG1919">
        <v>0</v>
      </c>
      <c r="BH1919">
        <v>1</v>
      </c>
      <c r="BI1919">
        <v>4.7</v>
      </c>
      <c r="BJ1919">
        <v>2.2000000000000002</v>
      </c>
      <c r="BK1919">
        <v>5</v>
      </c>
      <c r="BL1919" s="4">
        <v>126.08</v>
      </c>
      <c r="BM1919" s="4">
        <v>18.91</v>
      </c>
      <c r="BN1919" s="4">
        <v>144.99</v>
      </c>
      <c r="BO1919" s="4">
        <v>144.99</v>
      </c>
      <c r="BQ1919" t="s">
        <v>93</v>
      </c>
      <c r="BR1919" t="s">
        <v>84</v>
      </c>
      <c r="BS1919" s="3">
        <v>43822</v>
      </c>
      <c r="BT1919" s="5">
        <v>0.36874999999999997</v>
      </c>
      <c r="BU1919" t="s">
        <v>2234</v>
      </c>
      <c r="BV1919" t="s">
        <v>86</v>
      </c>
      <c r="BY1919">
        <v>11142.85</v>
      </c>
      <c r="CA1919" t="s">
        <v>766</v>
      </c>
      <c r="CC1919" t="s">
        <v>165</v>
      </c>
      <c r="CD1919">
        <v>5201</v>
      </c>
      <c r="CE1919" t="s">
        <v>116</v>
      </c>
      <c r="CF1919" s="3">
        <v>43830</v>
      </c>
      <c r="CI1919">
        <v>1</v>
      </c>
      <c r="CJ1919">
        <v>1</v>
      </c>
      <c r="CK1919">
        <v>21</v>
      </c>
      <c r="CL1919" t="s">
        <v>89</v>
      </c>
    </row>
    <row r="1920" spans="1:90">
      <c r="A1920" t="s">
        <v>72</v>
      </c>
      <c r="B1920" t="s">
        <v>73</v>
      </c>
      <c r="C1920" t="s">
        <v>74</v>
      </c>
      <c r="E1920" t="str">
        <f>"FES1162729287"</f>
        <v>FES1162729287</v>
      </c>
      <c r="F1920" s="3">
        <v>43819</v>
      </c>
      <c r="G1920">
        <v>202006</v>
      </c>
      <c r="H1920" t="s">
        <v>75</v>
      </c>
      <c r="I1920" t="s">
        <v>76</v>
      </c>
      <c r="J1920" t="s">
        <v>77</v>
      </c>
      <c r="K1920" t="s">
        <v>78</v>
      </c>
      <c r="L1920" t="s">
        <v>79</v>
      </c>
      <c r="M1920" t="s">
        <v>80</v>
      </c>
      <c r="N1920" t="s">
        <v>300</v>
      </c>
      <c r="O1920" t="s">
        <v>82</v>
      </c>
      <c r="P1920" t="str">
        <f>"2170719948                    "</f>
        <v xml:space="preserve">2170719948                    </v>
      </c>
      <c r="Q1920">
        <v>0</v>
      </c>
      <c r="R1920">
        <v>0</v>
      </c>
      <c r="S1920">
        <v>0</v>
      </c>
      <c r="T1920">
        <v>0</v>
      </c>
      <c r="U1920">
        <v>0</v>
      </c>
      <c r="V1920">
        <v>0</v>
      </c>
      <c r="W1920">
        <v>0</v>
      </c>
      <c r="X1920">
        <v>0</v>
      </c>
      <c r="Y1920">
        <v>0</v>
      </c>
      <c r="Z1920">
        <v>0</v>
      </c>
      <c r="AA1920">
        <v>0</v>
      </c>
      <c r="AB1920">
        <v>0</v>
      </c>
      <c r="AC1920">
        <v>0</v>
      </c>
      <c r="AD1920">
        <v>0</v>
      </c>
      <c r="AE1920">
        <v>0</v>
      </c>
      <c r="AF1920">
        <v>0</v>
      </c>
      <c r="AG1920">
        <v>0</v>
      </c>
      <c r="AH1920">
        <v>0</v>
      </c>
      <c r="AI1920">
        <v>0</v>
      </c>
      <c r="AJ1920">
        <v>0</v>
      </c>
      <c r="AK1920">
        <v>0</v>
      </c>
      <c r="AL1920">
        <v>0</v>
      </c>
      <c r="AM1920">
        <v>8.58</v>
      </c>
      <c r="AN1920">
        <v>0</v>
      </c>
      <c r="AO1920">
        <v>0</v>
      </c>
      <c r="AP1920">
        <v>0</v>
      </c>
      <c r="AQ1920">
        <v>0</v>
      </c>
      <c r="AR1920">
        <v>0</v>
      </c>
      <c r="AS1920">
        <v>0</v>
      </c>
      <c r="AT1920">
        <v>0</v>
      </c>
      <c r="AU1920">
        <v>0</v>
      </c>
      <c r="AV1920">
        <v>0</v>
      </c>
      <c r="AW1920">
        <v>0</v>
      </c>
      <c r="AX1920">
        <v>0</v>
      </c>
      <c r="AY1920">
        <v>0</v>
      </c>
      <c r="AZ1920">
        <v>0</v>
      </c>
      <c r="BA1920">
        <v>0</v>
      </c>
      <c r="BB1920">
        <v>0</v>
      </c>
      <c r="BC1920">
        <v>0</v>
      </c>
      <c r="BD1920">
        <v>0</v>
      </c>
      <c r="BE1920">
        <v>0</v>
      </c>
      <c r="BF1920">
        <v>0</v>
      </c>
      <c r="BG1920">
        <v>0</v>
      </c>
      <c r="BH1920">
        <v>1</v>
      </c>
      <c r="BI1920">
        <v>1</v>
      </c>
      <c r="BJ1920">
        <v>0.2</v>
      </c>
      <c r="BK1920">
        <v>1</v>
      </c>
      <c r="BL1920" s="4">
        <v>50.45</v>
      </c>
      <c r="BM1920" s="4">
        <v>7.57</v>
      </c>
      <c r="BN1920" s="4">
        <v>58.02</v>
      </c>
      <c r="BO1920" s="4">
        <v>58.02</v>
      </c>
      <c r="BQ1920" t="s">
        <v>147</v>
      </c>
      <c r="BR1920" t="s">
        <v>84</v>
      </c>
      <c r="BS1920" t="s">
        <v>717</v>
      </c>
      <c r="BY1920">
        <v>1200</v>
      </c>
      <c r="CC1920" t="s">
        <v>80</v>
      </c>
      <c r="CD1920">
        <v>6001</v>
      </c>
      <c r="CE1920" t="s">
        <v>88</v>
      </c>
      <c r="CI1920">
        <v>1</v>
      </c>
      <c r="CJ1920" t="s">
        <v>717</v>
      </c>
      <c r="CK1920">
        <v>21</v>
      </c>
      <c r="CL1920" t="s">
        <v>89</v>
      </c>
    </row>
    <row r="1921" spans="1:90">
      <c r="A1921" t="s">
        <v>72</v>
      </c>
      <c r="B1921" t="s">
        <v>73</v>
      </c>
      <c r="C1921" t="s">
        <v>74</v>
      </c>
      <c r="E1921" t="str">
        <f>"FES1162729039"</f>
        <v>FES1162729039</v>
      </c>
      <c r="F1921" s="3">
        <v>43819</v>
      </c>
      <c r="G1921">
        <v>202006</v>
      </c>
      <c r="H1921" t="s">
        <v>75</v>
      </c>
      <c r="I1921" t="s">
        <v>76</v>
      </c>
      <c r="J1921" t="s">
        <v>77</v>
      </c>
      <c r="K1921" t="s">
        <v>78</v>
      </c>
      <c r="L1921" t="s">
        <v>332</v>
      </c>
      <c r="M1921" t="s">
        <v>333</v>
      </c>
      <c r="N1921" t="s">
        <v>701</v>
      </c>
      <c r="O1921" t="s">
        <v>82</v>
      </c>
      <c r="P1921" t="str">
        <f>"2170719575                    "</f>
        <v xml:space="preserve">2170719575                    </v>
      </c>
      <c r="Q1921">
        <v>0</v>
      </c>
      <c r="R1921">
        <v>0</v>
      </c>
      <c r="S1921">
        <v>0</v>
      </c>
      <c r="T1921">
        <v>0</v>
      </c>
      <c r="U1921">
        <v>0</v>
      </c>
      <c r="V1921">
        <v>0</v>
      </c>
      <c r="W1921">
        <v>0</v>
      </c>
      <c r="X1921">
        <v>0</v>
      </c>
      <c r="Y1921">
        <v>0</v>
      </c>
      <c r="Z1921">
        <v>0</v>
      </c>
      <c r="AA1921">
        <v>0</v>
      </c>
      <c r="AB1921">
        <v>0</v>
      </c>
      <c r="AC1921">
        <v>0</v>
      </c>
      <c r="AD1921">
        <v>0</v>
      </c>
      <c r="AE1921">
        <v>0</v>
      </c>
      <c r="AF1921">
        <v>0</v>
      </c>
      <c r="AG1921">
        <v>0</v>
      </c>
      <c r="AH1921">
        <v>0</v>
      </c>
      <c r="AI1921">
        <v>0</v>
      </c>
      <c r="AJ1921">
        <v>0</v>
      </c>
      <c r="AK1921">
        <v>0</v>
      </c>
      <c r="AL1921">
        <v>0</v>
      </c>
      <c r="AM1921">
        <v>10.72</v>
      </c>
      <c r="AN1921">
        <v>0</v>
      </c>
      <c r="AO1921">
        <v>0</v>
      </c>
      <c r="AP1921">
        <v>0</v>
      </c>
      <c r="AQ1921">
        <v>0</v>
      </c>
      <c r="AR1921">
        <v>0</v>
      </c>
      <c r="AS1921">
        <v>0</v>
      </c>
      <c r="AT1921">
        <v>0</v>
      </c>
      <c r="AU1921">
        <v>0</v>
      </c>
      <c r="AV1921">
        <v>0</v>
      </c>
      <c r="AW1921">
        <v>0</v>
      </c>
      <c r="AX1921">
        <v>0</v>
      </c>
      <c r="AY1921">
        <v>0</v>
      </c>
      <c r="AZ1921">
        <v>0</v>
      </c>
      <c r="BA1921">
        <v>0</v>
      </c>
      <c r="BB1921">
        <v>0</v>
      </c>
      <c r="BC1921">
        <v>0</v>
      </c>
      <c r="BD1921">
        <v>0</v>
      </c>
      <c r="BE1921">
        <v>0</v>
      </c>
      <c r="BF1921">
        <v>0</v>
      </c>
      <c r="BG1921">
        <v>0</v>
      </c>
      <c r="BH1921">
        <v>1</v>
      </c>
      <c r="BI1921">
        <v>4.2</v>
      </c>
      <c r="BJ1921">
        <v>2.2999999999999998</v>
      </c>
      <c r="BK1921">
        <v>4.5</v>
      </c>
      <c r="BL1921" s="4">
        <v>63.03</v>
      </c>
      <c r="BM1921" s="4">
        <v>9.4499999999999993</v>
      </c>
      <c r="BN1921" s="4">
        <v>72.48</v>
      </c>
      <c r="BO1921" s="4">
        <v>72.48</v>
      </c>
      <c r="BQ1921" t="s">
        <v>93</v>
      </c>
      <c r="BR1921" t="s">
        <v>84</v>
      </c>
      <c r="BS1921" s="3">
        <v>43822</v>
      </c>
      <c r="BT1921" s="5">
        <v>0.35833333333333334</v>
      </c>
      <c r="BU1921" t="s">
        <v>702</v>
      </c>
      <c r="BV1921" t="s">
        <v>86</v>
      </c>
      <c r="BY1921">
        <v>11256.88</v>
      </c>
      <c r="CA1921" t="s">
        <v>700</v>
      </c>
      <c r="CC1921" t="s">
        <v>333</v>
      </c>
      <c r="CD1921">
        <v>2094</v>
      </c>
      <c r="CE1921" t="s">
        <v>116</v>
      </c>
      <c r="CF1921" s="3">
        <v>43823</v>
      </c>
      <c r="CI1921">
        <v>1</v>
      </c>
      <c r="CJ1921">
        <v>1</v>
      </c>
      <c r="CK1921">
        <v>22</v>
      </c>
      <c r="CL1921" t="s">
        <v>89</v>
      </c>
    </row>
    <row r="1922" spans="1:90">
      <c r="A1922" t="s">
        <v>72</v>
      </c>
      <c r="B1922" t="s">
        <v>73</v>
      </c>
      <c r="C1922" t="s">
        <v>74</v>
      </c>
      <c r="E1922" t="str">
        <f>"FES1162729099"</f>
        <v>FES1162729099</v>
      </c>
      <c r="F1922" s="3">
        <v>43819</v>
      </c>
      <c r="G1922">
        <v>202006</v>
      </c>
      <c r="H1922" t="s">
        <v>75</v>
      </c>
      <c r="I1922" t="s">
        <v>76</v>
      </c>
      <c r="J1922" t="s">
        <v>77</v>
      </c>
      <c r="K1922" t="s">
        <v>78</v>
      </c>
      <c r="L1922" t="s">
        <v>332</v>
      </c>
      <c r="M1922" t="s">
        <v>333</v>
      </c>
      <c r="N1922" t="s">
        <v>2241</v>
      </c>
      <c r="O1922" t="s">
        <v>82</v>
      </c>
      <c r="P1922" t="str">
        <f>"21707201579                   "</f>
        <v xml:space="preserve">21707201579                   </v>
      </c>
      <c r="Q1922">
        <v>0</v>
      </c>
      <c r="R1922">
        <v>0</v>
      </c>
      <c r="S1922">
        <v>0</v>
      </c>
      <c r="T1922">
        <v>0</v>
      </c>
      <c r="U1922">
        <v>0</v>
      </c>
      <c r="V1922">
        <v>0</v>
      </c>
      <c r="W1922">
        <v>0</v>
      </c>
      <c r="X1922">
        <v>0</v>
      </c>
      <c r="Y1922">
        <v>0</v>
      </c>
      <c r="Z1922">
        <v>0</v>
      </c>
      <c r="AA1922">
        <v>0</v>
      </c>
      <c r="AB1922">
        <v>0</v>
      </c>
      <c r="AC1922">
        <v>0</v>
      </c>
      <c r="AD1922">
        <v>0</v>
      </c>
      <c r="AE1922">
        <v>0</v>
      </c>
      <c r="AF1922">
        <v>0</v>
      </c>
      <c r="AG1922">
        <v>0</v>
      </c>
      <c r="AH1922">
        <v>0</v>
      </c>
      <c r="AI1922">
        <v>0</v>
      </c>
      <c r="AJ1922">
        <v>0</v>
      </c>
      <c r="AK1922">
        <v>0</v>
      </c>
      <c r="AL1922">
        <v>0</v>
      </c>
      <c r="AM1922">
        <v>13.94</v>
      </c>
      <c r="AN1922">
        <v>0</v>
      </c>
      <c r="AO1922">
        <v>0</v>
      </c>
      <c r="AP1922">
        <v>0</v>
      </c>
      <c r="AQ1922">
        <v>0</v>
      </c>
      <c r="AR1922">
        <v>0</v>
      </c>
      <c r="AS1922">
        <v>0</v>
      </c>
      <c r="AT1922">
        <v>0</v>
      </c>
      <c r="AU1922">
        <v>0</v>
      </c>
      <c r="AV1922">
        <v>0</v>
      </c>
      <c r="AW1922">
        <v>0</v>
      </c>
      <c r="AX1922">
        <v>0</v>
      </c>
      <c r="AY1922">
        <v>0</v>
      </c>
      <c r="AZ1922">
        <v>0</v>
      </c>
      <c r="BA1922">
        <v>0</v>
      </c>
      <c r="BB1922">
        <v>0</v>
      </c>
      <c r="BC1922">
        <v>0</v>
      </c>
      <c r="BD1922">
        <v>0</v>
      </c>
      <c r="BE1922">
        <v>0</v>
      </c>
      <c r="BF1922">
        <v>0</v>
      </c>
      <c r="BG1922">
        <v>0</v>
      </c>
      <c r="BH1922">
        <v>1</v>
      </c>
      <c r="BI1922">
        <v>6.5</v>
      </c>
      <c r="BJ1922">
        <v>2.4</v>
      </c>
      <c r="BK1922">
        <v>6.5</v>
      </c>
      <c r="BL1922" s="4">
        <v>81.93</v>
      </c>
      <c r="BM1922" s="4">
        <v>12.29</v>
      </c>
      <c r="BN1922" s="4">
        <v>94.22</v>
      </c>
      <c r="BO1922" s="4">
        <v>94.22</v>
      </c>
      <c r="BQ1922" t="s">
        <v>147</v>
      </c>
      <c r="BR1922" t="s">
        <v>84</v>
      </c>
      <c r="BS1922" s="3">
        <v>43822</v>
      </c>
      <c r="BT1922" s="5">
        <v>0.375</v>
      </c>
      <c r="BU1922" t="s">
        <v>2242</v>
      </c>
      <c r="BV1922" t="s">
        <v>86</v>
      </c>
      <c r="BY1922">
        <v>11800.4</v>
      </c>
      <c r="CA1922" t="s">
        <v>2243</v>
      </c>
      <c r="CC1922" t="s">
        <v>333</v>
      </c>
      <c r="CD1922">
        <v>1811</v>
      </c>
      <c r="CE1922" t="s">
        <v>116</v>
      </c>
      <c r="CF1922" s="3">
        <v>43823</v>
      </c>
      <c r="CI1922">
        <v>1</v>
      </c>
      <c r="CJ1922">
        <v>1</v>
      </c>
      <c r="CK1922">
        <v>22</v>
      </c>
      <c r="CL1922" t="s">
        <v>89</v>
      </c>
    </row>
    <row r="1923" spans="1:90">
      <c r="A1923" t="s">
        <v>72</v>
      </c>
      <c r="B1923" t="s">
        <v>73</v>
      </c>
      <c r="C1923" t="s">
        <v>74</v>
      </c>
      <c r="E1923" t="str">
        <f>"FES1162729006"</f>
        <v>FES1162729006</v>
      </c>
      <c r="F1923" s="3">
        <v>43819</v>
      </c>
      <c r="G1923">
        <v>202006</v>
      </c>
      <c r="H1923" t="s">
        <v>75</v>
      </c>
      <c r="I1923" t="s">
        <v>76</v>
      </c>
      <c r="J1923" t="s">
        <v>77</v>
      </c>
      <c r="K1923" t="s">
        <v>78</v>
      </c>
      <c r="L1923" t="s">
        <v>714</v>
      </c>
      <c r="M1923" t="s">
        <v>715</v>
      </c>
      <c r="N1923" t="s">
        <v>1015</v>
      </c>
      <c r="O1923" t="s">
        <v>82</v>
      </c>
      <c r="P1923" t="str">
        <f>"2170721907                    "</f>
        <v xml:space="preserve">2170721907                    </v>
      </c>
      <c r="Q1923">
        <v>0</v>
      </c>
      <c r="R1923">
        <v>0</v>
      </c>
      <c r="S1923">
        <v>0</v>
      </c>
      <c r="T1923">
        <v>0</v>
      </c>
      <c r="U1923">
        <v>0</v>
      </c>
      <c r="V1923">
        <v>0</v>
      </c>
      <c r="W1923">
        <v>0</v>
      </c>
      <c r="X1923">
        <v>0</v>
      </c>
      <c r="Y1923">
        <v>0</v>
      </c>
      <c r="Z1923">
        <v>0</v>
      </c>
      <c r="AA1923">
        <v>0</v>
      </c>
      <c r="AB1923">
        <v>0</v>
      </c>
      <c r="AC1923">
        <v>0</v>
      </c>
      <c r="AD1923">
        <v>0</v>
      </c>
      <c r="AE1923">
        <v>0</v>
      </c>
      <c r="AF1923">
        <v>0</v>
      </c>
      <c r="AG1923">
        <v>0</v>
      </c>
      <c r="AH1923">
        <v>0</v>
      </c>
      <c r="AI1923">
        <v>0</v>
      </c>
      <c r="AJ1923">
        <v>0</v>
      </c>
      <c r="AK1923">
        <v>0</v>
      </c>
      <c r="AL1923">
        <v>0</v>
      </c>
      <c r="AM1923">
        <v>9.92</v>
      </c>
      <c r="AN1923">
        <v>0</v>
      </c>
      <c r="AO1923">
        <v>0</v>
      </c>
      <c r="AP1923">
        <v>0</v>
      </c>
      <c r="AQ1923">
        <v>0</v>
      </c>
      <c r="AR1923">
        <v>0</v>
      </c>
      <c r="AS1923">
        <v>0</v>
      </c>
      <c r="AT1923">
        <v>0</v>
      </c>
      <c r="AU1923">
        <v>0</v>
      </c>
      <c r="AV1923">
        <v>0</v>
      </c>
      <c r="AW1923">
        <v>0</v>
      </c>
      <c r="AX1923">
        <v>0</v>
      </c>
      <c r="AY1923">
        <v>0</v>
      </c>
      <c r="AZ1923">
        <v>0</v>
      </c>
      <c r="BA1923">
        <v>0</v>
      </c>
      <c r="BB1923">
        <v>0</v>
      </c>
      <c r="BC1923">
        <v>0</v>
      </c>
      <c r="BD1923">
        <v>0</v>
      </c>
      <c r="BE1923">
        <v>0</v>
      </c>
      <c r="BF1923">
        <v>0</v>
      </c>
      <c r="BG1923">
        <v>0</v>
      </c>
      <c r="BH1923">
        <v>1</v>
      </c>
      <c r="BI1923">
        <v>4</v>
      </c>
      <c r="BJ1923">
        <v>2.7</v>
      </c>
      <c r="BK1923">
        <v>4</v>
      </c>
      <c r="BL1923" s="4">
        <v>58.31</v>
      </c>
      <c r="BM1923" s="4">
        <v>8.75</v>
      </c>
      <c r="BN1923" s="4">
        <v>67.06</v>
      </c>
      <c r="BO1923" s="4">
        <v>67.06</v>
      </c>
      <c r="BQ1923" t="s">
        <v>1016</v>
      </c>
      <c r="BR1923" t="s">
        <v>84</v>
      </c>
      <c r="BS1923" s="3">
        <v>43822</v>
      </c>
      <c r="BT1923" s="5">
        <v>0.35416666666666669</v>
      </c>
      <c r="BU1923" t="s">
        <v>2244</v>
      </c>
      <c r="BV1923" t="s">
        <v>86</v>
      </c>
      <c r="BY1923">
        <v>13428.18</v>
      </c>
      <c r="CC1923" t="s">
        <v>715</v>
      </c>
      <c r="CD1923">
        <v>1559</v>
      </c>
      <c r="CE1923" t="s">
        <v>116</v>
      </c>
      <c r="CF1923" s="3">
        <v>43823</v>
      </c>
      <c r="CI1923">
        <v>1</v>
      </c>
      <c r="CJ1923">
        <v>1</v>
      </c>
      <c r="CK1923">
        <v>22</v>
      </c>
      <c r="CL1923" t="s">
        <v>89</v>
      </c>
    </row>
    <row r="1924" spans="1:90">
      <c r="A1924" t="s">
        <v>72</v>
      </c>
      <c r="B1924" t="s">
        <v>73</v>
      </c>
      <c r="C1924" t="s">
        <v>74</v>
      </c>
      <c r="E1924" t="str">
        <f>"FES1162729347"</f>
        <v>FES1162729347</v>
      </c>
      <c r="F1924" s="3">
        <v>43819</v>
      </c>
      <c r="G1924">
        <v>202006</v>
      </c>
      <c r="H1924" t="s">
        <v>75</v>
      </c>
      <c r="I1924" t="s">
        <v>76</v>
      </c>
      <c r="J1924" t="s">
        <v>77</v>
      </c>
      <c r="K1924" t="s">
        <v>78</v>
      </c>
      <c r="L1924" t="s">
        <v>169</v>
      </c>
      <c r="M1924" t="s">
        <v>170</v>
      </c>
      <c r="N1924" t="s">
        <v>1754</v>
      </c>
      <c r="O1924" t="s">
        <v>82</v>
      </c>
      <c r="P1924" t="str">
        <f>"2170722336                    "</f>
        <v xml:space="preserve">2170722336                    </v>
      </c>
      <c r="Q1924">
        <v>0</v>
      </c>
      <c r="R1924">
        <v>0</v>
      </c>
      <c r="S1924">
        <v>0</v>
      </c>
      <c r="T1924">
        <v>0</v>
      </c>
      <c r="U1924">
        <v>0</v>
      </c>
      <c r="V1924">
        <v>0</v>
      </c>
      <c r="W1924">
        <v>0</v>
      </c>
      <c r="X1924">
        <v>0</v>
      </c>
      <c r="Y1924">
        <v>0</v>
      </c>
      <c r="Z1924">
        <v>0</v>
      </c>
      <c r="AA1924">
        <v>0</v>
      </c>
      <c r="AB1924">
        <v>0</v>
      </c>
      <c r="AC1924">
        <v>0</v>
      </c>
      <c r="AD1924">
        <v>0</v>
      </c>
      <c r="AE1924">
        <v>0</v>
      </c>
      <c r="AF1924">
        <v>0</v>
      </c>
      <c r="AG1924">
        <v>0</v>
      </c>
      <c r="AH1924">
        <v>0</v>
      </c>
      <c r="AI1924">
        <v>0</v>
      </c>
      <c r="AJ1924">
        <v>0</v>
      </c>
      <c r="AK1924">
        <v>0</v>
      </c>
      <c r="AL1924">
        <v>0</v>
      </c>
      <c r="AM1924">
        <v>10.72</v>
      </c>
      <c r="AN1924">
        <v>0</v>
      </c>
      <c r="AO1924">
        <v>0</v>
      </c>
      <c r="AP1924">
        <v>0</v>
      </c>
      <c r="AQ1924">
        <v>0</v>
      </c>
      <c r="AR1924">
        <v>0</v>
      </c>
      <c r="AS1924">
        <v>0</v>
      </c>
      <c r="AT1924">
        <v>0</v>
      </c>
      <c r="AU1924">
        <v>0</v>
      </c>
      <c r="AV1924">
        <v>0</v>
      </c>
      <c r="AW1924">
        <v>0</v>
      </c>
      <c r="AX1924">
        <v>0</v>
      </c>
      <c r="AY1924">
        <v>0</v>
      </c>
      <c r="AZ1924">
        <v>0</v>
      </c>
      <c r="BA1924">
        <v>0</v>
      </c>
      <c r="BB1924">
        <v>0</v>
      </c>
      <c r="BC1924">
        <v>0</v>
      </c>
      <c r="BD1924">
        <v>0</v>
      </c>
      <c r="BE1924">
        <v>0</v>
      </c>
      <c r="BF1924">
        <v>0</v>
      </c>
      <c r="BG1924">
        <v>0</v>
      </c>
      <c r="BH1924">
        <v>1</v>
      </c>
      <c r="BI1924">
        <v>4.2</v>
      </c>
      <c r="BJ1924">
        <v>1.5</v>
      </c>
      <c r="BK1924">
        <v>4.5</v>
      </c>
      <c r="BL1924" s="4">
        <v>63.03</v>
      </c>
      <c r="BM1924" s="4">
        <v>9.4499999999999993</v>
      </c>
      <c r="BN1924" s="4">
        <v>72.48</v>
      </c>
      <c r="BO1924" s="4">
        <v>72.48</v>
      </c>
      <c r="BQ1924" t="s">
        <v>147</v>
      </c>
      <c r="BR1924" t="s">
        <v>84</v>
      </c>
      <c r="BS1924" s="3">
        <v>43822</v>
      </c>
      <c r="BT1924" s="5">
        <v>0.36527777777777781</v>
      </c>
      <c r="BU1924" t="s">
        <v>1578</v>
      </c>
      <c r="BV1924" t="s">
        <v>86</v>
      </c>
      <c r="BY1924">
        <v>7656.95</v>
      </c>
      <c r="CA1924" t="s">
        <v>174</v>
      </c>
      <c r="CC1924" t="s">
        <v>170</v>
      </c>
      <c r="CD1924">
        <v>1459</v>
      </c>
      <c r="CE1924" t="s">
        <v>96</v>
      </c>
      <c r="CF1924" s="3">
        <v>43823</v>
      </c>
      <c r="CI1924">
        <v>1</v>
      </c>
      <c r="CJ1924">
        <v>1</v>
      </c>
      <c r="CK1924">
        <v>22</v>
      </c>
      <c r="CL1924" t="s">
        <v>89</v>
      </c>
    </row>
    <row r="1925" spans="1:90">
      <c r="A1925" t="s">
        <v>72</v>
      </c>
      <c r="B1925" t="s">
        <v>73</v>
      </c>
      <c r="C1925" t="s">
        <v>74</v>
      </c>
      <c r="E1925" t="str">
        <f>"FES1162729254"</f>
        <v>FES1162729254</v>
      </c>
      <c r="F1925" s="3">
        <v>43819</v>
      </c>
      <c r="G1925">
        <v>202006</v>
      </c>
      <c r="H1925" t="s">
        <v>75</v>
      </c>
      <c r="I1925" t="s">
        <v>76</v>
      </c>
      <c r="J1925" t="s">
        <v>77</v>
      </c>
      <c r="K1925" t="s">
        <v>78</v>
      </c>
      <c r="L1925" t="s">
        <v>169</v>
      </c>
      <c r="M1925" t="s">
        <v>170</v>
      </c>
      <c r="N1925" t="s">
        <v>248</v>
      </c>
      <c r="O1925" t="s">
        <v>82</v>
      </c>
      <c r="P1925" t="str">
        <f>"217072248                     "</f>
        <v xml:space="preserve">217072248                     </v>
      </c>
      <c r="Q1925">
        <v>0</v>
      </c>
      <c r="R1925">
        <v>0</v>
      </c>
      <c r="S1925">
        <v>0</v>
      </c>
      <c r="T1925">
        <v>0</v>
      </c>
      <c r="U1925">
        <v>0</v>
      </c>
      <c r="V1925">
        <v>0</v>
      </c>
      <c r="W1925">
        <v>0</v>
      </c>
      <c r="X1925">
        <v>0</v>
      </c>
      <c r="Y1925">
        <v>0</v>
      </c>
      <c r="Z1925">
        <v>0</v>
      </c>
      <c r="AA1925">
        <v>0</v>
      </c>
      <c r="AB1925">
        <v>0</v>
      </c>
      <c r="AC1925">
        <v>0</v>
      </c>
      <c r="AD1925">
        <v>0</v>
      </c>
      <c r="AE1925">
        <v>0</v>
      </c>
      <c r="AF1925">
        <v>0</v>
      </c>
      <c r="AG1925">
        <v>0</v>
      </c>
      <c r="AH1925">
        <v>0</v>
      </c>
      <c r="AI1925">
        <v>0</v>
      </c>
      <c r="AJ1925">
        <v>0</v>
      </c>
      <c r="AK1925">
        <v>0</v>
      </c>
      <c r="AL1925">
        <v>0</v>
      </c>
      <c r="AM1925">
        <v>13.94</v>
      </c>
      <c r="AN1925">
        <v>0</v>
      </c>
      <c r="AO1925">
        <v>0</v>
      </c>
      <c r="AP1925">
        <v>0</v>
      </c>
      <c r="AQ1925">
        <v>0</v>
      </c>
      <c r="AR1925">
        <v>0</v>
      </c>
      <c r="AS1925">
        <v>0</v>
      </c>
      <c r="AT1925">
        <v>0</v>
      </c>
      <c r="AU1925">
        <v>0</v>
      </c>
      <c r="AV1925">
        <v>0</v>
      </c>
      <c r="AW1925">
        <v>0</v>
      </c>
      <c r="AX1925">
        <v>0</v>
      </c>
      <c r="AY1925">
        <v>0</v>
      </c>
      <c r="AZ1925">
        <v>0</v>
      </c>
      <c r="BA1925">
        <v>0</v>
      </c>
      <c r="BB1925">
        <v>0</v>
      </c>
      <c r="BC1925">
        <v>0</v>
      </c>
      <c r="BD1925">
        <v>0</v>
      </c>
      <c r="BE1925">
        <v>0</v>
      </c>
      <c r="BF1925">
        <v>0</v>
      </c>
      <c r="BG1925">
        <v>0</v>
      </c>
      <c r="BH1925">
        <v>1</v>
      </c>
      <c r="BI1925">
        <v>3.8</v>
      </c>
      <c r="BJ1925">
        <v>6.1</v>
      </c>
      <c r="BK1925">
        <v>6.5</v>
      </c>
      <c r="BL1925" s="4">
        <v>81.93</v>
      </c>
      <c r="BM1925" s="4">
        <v>12.29</v>
      </c>
      <c r="BN1925" s="4">
        <v>94.22</v>
      </c>
      <c r="BO1925" s="4">
        <v>94.22</v>
      </c>
      <c r="BQ1925" t="s">
        <v>147</v>
      </c>
      <c r="BR1925" t="s">
        <v>84</v>
      </c>
      <c r="BS1925" s="3">
        <v>43836</v>
      </c>
      <c r="BT1925" s="5">
        <v>0.33194444444444443</v>
      </c>
      <c r="BU1925" t="s">
        <v>2245</v>
      </c>
      <c r="BV1925" t="s">
        <v>89</v>
      </c>
      <c r="BW1925" t="s">
        <v>1335</v>
      </c>
      <c r="BX1925" t="s">
        <v>619</v>
      </c>
      <c r="BY1925">
        <v>30702.240000000002</v>
      </c>
      <c r="CA1925" t="s">
        <v>1421</v>
      </c>
      <c r="CC1925" t="s">
        <v>170</v>
      </c>
      <c r="CD1925">
        <v>1459</v>
      </c>
      <c r="CE1925" t="s">
        <v>116</v>
      </c>
      <c r="CF1925" s="3">
        <v>43823</v>
      </c>
      <c r="CI1925">
        <v>1</v>
      </c>
      <c r="CJ1925">
        <v>11</v>
      </c>
      <c r="CK1925">
        <v>22</v>
      </c>
      <c r="CL1925" t="s">
        <v>89</v>
      </c>
    </row>
    <row r="1926" spans="1:90">
      <c r="A1926" t="s">
        <v>72</v>
      </c>
      <c r="B1926" t="s">
        <v>73</v>
      </c>
      <c r="C1926" t="s">
        <v>74</v>
      </c>
      <c r="E1926" t="str">
        <f>"FES1162728937"</f>
        <v>FES1162728937</v>
      </c>
      <c r="F1926" s="3">
        <v>43818</v>
      </c>
      <c r="G1926">
        <v>202006</v>
      </c>
      <c r="H1926" t="s">
        <v>75</v>
      </c>
      <c r="I1926" t="s">
        <v>76</v>
      </c>
      <c r="J1926" t="s">
        <v>77</v>
      </c>
      <c r="K1926" t="s">
        <v>78</v>
      </c>
      <c r="L1926" t="s">
        <v>671</v>
      </c>
      <c r="M1926" t="s">
        <v>672</v>
      </c>
      <c r="N1926" t="s">
        <v>1897</v>
      </c>
      <c r="O1926" t="s">
        <v>82</v>
      </c>
      <c r="P1926" t="str">
        <f>"2170722047                    "</f>
        <v xml:space="preserve">2170722047                    </v>
      </c>
      <c r="Q1926">
        <v>0</v>
      </c>
      <c r="R1926">
        <v>0</v>
      </c>
      <c r="S1926">
        <v>0</v>
      </c>
      <c r="T1926">
        <v>0</v>
      </c>
      <c r="U1926">
        <v>0</v>
      </c>
      <c r="V1926">
        <v>0</v>
      </c>
      <c r="W1926">
        <v>0</v>
      </c>
      <c r="X1926">
        <v>0</v>
      </c>
      <c r="Y1926">
        <v>0</v>
      </c>
      <c r="Z1926">
        <v>0</v>
      </c>
      <c r="AA1926">
        <v>0</v>
      </c>
      <c r="AB1926">
        <v>0</v>
      </c>
      <c r="AC1926">
        <v>0</v>
      </c>
      <c r="AD1926">
        <v>0</v>
      </c>
      <c r="AE1926">
        <v>0</v>
      </c>
      <c r="AF1926">
        <v>0</v>
      </c>
      <c r="AG1926">
        <v>0</v>
      </c>
      <c r="AH1926">
        <v>0</v>
      </c>
      <c r="AI1926">
        <v>0</v>
      </c>
      <c r="AJ1926">
        <v>0</v>
      </c>
      <c r="AK1926">
        <v>0</v>
      </c>
      <c r="AL1926">
        <v>0</v>
      </c>
      <c r="AM1926">
        <v>16.63</v>
      </c>
      <c r="AN1926">
        <v>0</v>
      </c>
      <c r="AO1926">
        <v>0</v>
      </c>
      <c r="AP1926">
        <v>0</v>
      </c>
      <c r="AQ1926">
        <v>0</v>
      </c>
      <c r="AR1926">
        <v>0</v>
      </c>
      <c r="AS1926">
        <v>0</v>
      </c>
      <c r="AT1926">
        <v>0</v>
      </c>
      <c r="AU1926">
        <v>0</v>
      </c>
      <c r="AV1926">
        <v>0</v>
      </c>
      <c r="AW1926">
        <v>0</v>
      </c>
      <c r="AX1926">
        <v>0</v>
      </c>
      <c r="AY1926">
        <v>0</v>
      </c>
      <c r="AZ1926">
        <v>0</v>
      </c>
      <c r="BA1926">
        <v>0</v>
      </c>
      <c r="BB1926">
        <v>0</v>
      </c>
      <c r="BC1926">
        <v>0</v>
      </c>
      <c r="BD1926">
        <v>0</v>
      </c>
      <c r="BE1926">
        <v>0</v>
      </c>
      <c r="BF1926">
        <v>0</v>
      </c>
      <c r="BG1926">
        <v>0</v>
      </c>
      <c r="BH1926">
        <v>1</v>
      </c>
      <c r="BI1926">
        <v>1</v>
      </c>
      <c r="BJ1926">
        <v>0.2</v>
      </c>
      <c r="BK1926">
        <v>1</v>
      </c>
      <c r="BL1926" s="4">
        <v>97.75</v>
      </c>
      <c r="BM1926" s="4">
        <v>14.66</v>
      </c>
      <c r="BN1926" s="4">
        <v>112.41</v>
      </c>
      <c r="BO1926" s="4">
        <v>112.41</v>
      </c>
      <c r="BQ1926" t="s">
        <v>147</v>
      </c>
      <c r="BR1926" t="s">
        <v>84</v>
      </c>
      <c r="BS1926" s="3">
        <v>43819</v>
      </c>
      <c r="BT1926" s="5">
        <v>0.33333333333333331</v>
      </c>
      <c r="BU1926" t="s">
        <v>1669</v>
      </c>
      <c r="BV1926" t="s">
        <v>86</v>
      </c>
      <c r="BY1926">
        <v>1200</v>
      </c>
      <c r="CA1926" t="s">
        <v>946</v>
      </c>
      <c r="CC1926" t="s">
        <v>672</v>
      </c>
      <c r="CD1926">
        <v>1900</v>
      </c>
      <c r="CE1926" t="s">
        <v>88</v>
      </c>
      <c r="CF1926" s="3">
        <v>43822</v>
      </c>
      <c r="CI1926">
        <v>1</v>
      </c>
      <c r="CJ1926">
        <v>1</v>
      </c>
      <c r="CK1926">
        <v>23</v>
      </c>
      <c r="CL1926" t="s">
        <v>89</v>
      </c>
    </row>
    <row r="1927" spans="1:90">
      <c r="A1927" t="s">
        <v>72</v>
      </c>
      <c r="B1927" t="s">
        <v>73</v>
      </c>
      <c r="C1927" t="s">
        <v>74</v>
      </c>
      <c r="E1927" t="str">
        <f>"FES1162728334"</f>
        <v>FES1162728334</v>
      </c>
      <c r="F1927" s="3">
        <v>43818</v>
      </c>
      <c r="G1927">
        <v>202006</v>
      </c>
      <c r="H1927" t="s">
        <v>75</v>
      </c>
      <c r="I1927" t="s">
        <v>76</v>
      </c>
      <c r="J1927" t="s">
        <v>77</v>
      </c>
      <c r="K1927" t="s">
        <v>78</v>
      </c>
      <c r="L1927" t="s">
        <v>132</v>
      </c>
      <c r="M1927" t="s">
        <v>133</v>
      </c>
      <c r="N1927" t="s">
        <v>2006</v>
      </c>
      <c r="O1927" t="s">
        <v>82</v>
      </c>
      <c r="P1927" t="str">
        <f>"2170720040                    "</f>
        <v xml:space="preserve">2170720040                    </v>
      </c>
      <c r="Q1927">
        <v>0</v>
      </c>
      <c r="R1927">
        <v>0</v>
      </c>
      <c r="S1927">
        <v>0</v>
      </c>
      <c r="T1927">
        <v>0</v>
      </c>
      <c r="U1927">
        <v>0</v>
      </c>
      <c r="V1927">
        <v>0</v>
      </c>
      <c r="W1927">
        <v>0</v>
      </c>
      <c r="X1927">
        <v>0</v>
      </c>
      <c r="Y1927">
        <v>0</v>
      </c>
      <c r="Z1927">
        <v>0</v>
      </c>
      <c r="AA1927">
        <v>0</v>
      </c>
      <c r="AB1927">
        <v>0</v>
      </c>
      <c r="AC1927">
        <v>0</v>
      </c>
      <c r="AD1927">
        <v>0</v>
      </c>
      <c r="AE1927">
        <v>0</v>
      </c>
      <c r="AF1927">
        <v>0</v>
      </c>
      <c r="AG1927">
        <v>0</v>
      </c>
      <c r="AH1927">
        <v>0</v>
      </c>
      <c r="AI1927">
        <v>0</v>
      </c>
      <c r="AJ1927">
        <v>0</v>
      </c>
      <c r="AK1927">
        <v>0</v>
      </c>
      <c r="AL1927">
        <v>0</v>
      </c>
      <c r="AM1927">
        <v>8.58</v>
      </c>
      <c r="AN1927">
        <v>0</v>
      </c>
      <c r="AO1927">
        <v>0</v>
      </c>
      <c r="AP1927">
        <v>0</v>
      </c>
      <c r="AQ1927">
        <v>0</v>
      </c>
      <c r="AR1927">
        <v>0</v>
      </c>
      <c r="AS1927">
        <v>0</v>
      </c>
      <c r="AT1927">
        <v>0</v>
      </c>
      <c r="AU1927">
        <v>0</v>
      </c>
      <c r="AV1927">
        <v>0</v>
      </c>
      <c r="AW1927">
        <v>0</v>
      </c>
      <c r="AX1927">
        <v>0</v>
      </c>
      <c r="AY1927">
        <v>0</v>
      </c>
      <c r="AZ1927">
        <v>0</v>
      </c>
      <c r="BA1927">
        <v>0</v>
      </c>
      <c r="BB1927">
        <v>0</v>
      </c>
      <c r="BC1927">
        <v>0</v>
      </c>
      <c r="BD1927">
        <v>0</v>
      </c>
      <c r="BE1927">
        <v>0</v>
      </c>
      <c r="BF1927">
        <v>0</v>
      </c>
      <c r="BG1927">
        <v>0</v>
      </c>
      <c r="BH1927">
        <v>1</v>
      </c>
      <c r="BI1927">
        <v>1</v>
      </c>
      <c r="BJ1927">
        <v>0.2</v>
      </c>
      <c r="BK1927">
        <v>1</v>
      </c>
      <c r="BL1927" s="4">
        <v>50.45</v>
      </c>
      <c r="BM1927" s="4">
        <v>7.57</v>
      </c>
      <c r="BN1927" s="4">
        <v>58.02</v>
      </c>
      <c r="BO1927" s="4">
        <v>58.02</v>
      </c>
      <c r="BR1927" t="s">
        <v>84</v>
      </c>
      <c r="BS1927" s="3">
        <v>43819</v>
      </c>
      <c r="BT1927" s="5">
        <v>0.40347222222222223</v>
      </c>
      <c r="BU1927" t="s">
        <v>2246</v>
      </c>
      <c r="BV1927" t="s">
        <v>86</v>
      </c>
      <c r="BY1927">
        <v>1200</v>
      </c>
      <c r="CA1927" t="s">
        <v>2137</v>
      </c>
      <c r="CC1927" t="s">
        <v>133</v>
      </c>
      <c r="CD1927">
        <v>157</v>
      </c>
      <c r="CE1927" t="s">
        <v>88</v>
      </c>
      <c r="CF1927" s="3">
        <v>43822</v>
      </c>
      <c r="CI1927">
        <v>1</v>
      </c>
      <c r="CJ1927">
        <v>1</v>
      </c>
      <c r="CK1927">
        <v>21</v>
      </c>
      <c r="CL1927" t="s">
        <v>89</v>
      </c>
    </row>
    <row r="1928" spans="1:90">
      <c r="A1928" t="s">
        <v>72</v>
      </c>
      <c r="B1928" t="s">
        <v>73</v>
      </c>
      <c r="C1928" t="s">
        <v>74</v>
      </c>
      <c r="E1928" t="str">
        <f>"FES1162729144"</f>
        <v>FES1162729144</v>
      </c>
      <c r="F1928" s="3">
        <v>43818</v>
      </c>
      <c r="G1928">
        <v>202006</v>
      </c>
      <c r="H1928" t="s">
        <v>75</v>
      </c>
      <c r="I1928" t="s">
        <v>76</v>
      </c>
      <c r="J1928" t="s">
        <v>77</v>
      </c>
      <c r="K1928" t="s">
        <v>78</v>
      </c>
      <c r="L1928" t="s">
        <v>75</v>
      </c>
      <c r="M1928" t="s">
        <v>76</v>
      </c>
      <c r="N1928" t="s">
        <v>312</v>
      </c>
      <c r="O1928" t="s">
        <v>82</v>
      </c>
      <c r="P1928" t="str">
        <f>"2170721643                    "</f>
        <v xml:space="preserve">2170721643                    </v>
      </c>
      <c r="Q1928">
        <v>0</v>
      </c>
      <c r="R1928">
        <v>0</v>
      </c>
      <c r="S1928">
        <v>0</v>
      </c>
      <c r="T1928">
        <v>0</v>
      </c>
      <c r="U1928">
        <v>0</v>
      </c>
      <c r="V1928">
        <v>0</v>
      </c>
      <c r="W1928">
        <v>0</v>
      </c>
      <c r="X1928">
        <v>0</v>
      </c>
      <c r="Y1928">
        <v>0</v>
      </c>
      <c r="Z1928">
        <v>0</v>
      </c>
      <c r="AA1928">
        <v>0</v>
      </c>
      <c r="AB1928">
        <v>0</v>
      </c>
      <c r="AC1928">
        <v>0</v>
      </c>
      <c r="AD1928">
        <v>0</v>
      </c>
      <c r="AE1928">
        <v>0</v>
      </c>
      <c r="AF1928">
        <v>0</v>
      </c>
      <c r="AG1928">
        <v>0</v>
      </c>
      <c r="AH1928">
        <v>0</v>
      </c>
      <c r="AI1928">
        <v>0</v>
      </c>
      <c r="AJ1928">
        <v>0</v>
      </c>
      <c r="AK1928">
        <v>0</v>
      </c>
      <c r="AL1928">
        <v>0</v>
      </c>
      <c r="AM1928">
        <v>6.71</v>
      </c>
      <c r="AN1928">
        <v>0</v>
      </c>
      <c r="AO1928">
        <v>0</v>
      </c>
      <c r="AP1928">
        <v>0</v>
      </c>
      <c r="AQ1928">
        <v>0</v>
      </c>
      <c r="AR1928">
        <v>0</v>
      </c>
      <c r="AS1928">
        <v>0</v>
      </c>
      <c r="AT1928">
        <v>0</v>
      </c>
      <c r="AU1928">
        <v>0</v>
      </c>
      <c r="AV1928">
        <v>0</v>
      </c>
      <c r="AW1928">
        <v>0</v>
      </c>
      <c r="AX1928">
        <v>0</v>
      </c>
      <c r="AY1928">
        <v>0</v>
      </c>
      <c r="AZ1928">
        <v>0</v>
      </c>
      <c r="BA1928">
        <v>0</v>
      </c>
      <c r="BB1928">
        <v>0</v>
      </c>
      <c r="BC1928">
        <v>0</v>
      </c>
      <c r="BD1928">
        <v>0</v>
      </c>
      <c r="BE1928">
        <v>0</v>
      </c>
      <c r="BF1928">
        <v>0</v>
      </c>
      <c r="BG1928">
        <v>0</v>
      </c>
      <c r="BH1928">
        <v>1</v>
      </c>
      <c r="BI1928">
        <v>1.3</v>
      </c>
      <c r="BJ1928">
        <v>1.6</v>
      </c>
      <c r="BK1928">
        <v>2</v>
      </c>
      <c r="BL1928" s="4">
        <v>39.42</v>
      </c>
      <c r="BM1928" s="4">
        <v>5.91</v>
      </c>
      <c r="BN1928" s="4">
        <v>45.33</v>
      </c>
      <c r="BO1928" s="4">
        <v>45.33</v>
      </c>
      <c r="BQ1928" t="s">
        <v>147</v>
      </c>
      <c r="BR1928" t="s">
        <v>84</v>
      </c>
      <c r="BS1928" s="3">
        <v>43832</v>
      </c>
      <c r="BT1928" s="5">
        <v>0.77222222222222225</v>
      </c>
      <c r="BU1928" t="s">
        <v>617</v>
      </c>
      <c r="BV1928" t="s">
        <v>89</v>
      </c>
      <c r="BY1928">
        <v>8192.66</v>
      </c>
      <c r="CA1928" t="s">
        <v>620</v>
      </c>
      <c r="CC1928" t="s">
        <v>76</v>
      </c>
      <c r="CD1928">
        <v>1609</v>
      </c>
      <c r="CE1928" t="s">
        <v>96</v>
      </c>
      <c r="CI1928">
        <v>1</v>
      </c>
      <c r="CJ1928">
        <v>10</v>
      </c>
      <c r="CK1928">
        <v>22</v>
      </c>
      <c r="CL1928" t="s">
        <v>89</v>
      </c>
    </row>
    <row r="1929" spans="1:90">
      <c r="A1929" t="s">
        <v>72</v>
      </c>
      <c r="B1929" t="s">
        <v>73</v>
      </c>
      <c r="C1929" t="s">
        <v>74</v>
      </c>
      <c r="E1929" t="str">
        <f>"FES1162728348"</f>
        <v>FES1162728348</v>
      </c>
      <c r="F1929" s="3">
        <v>43818</v>
      </c>
      <c r="G1929">
        <v>202006</v>
      </c>
      <c r="H1929" t="s">
        <v>75</v>
      </c>
      <c r="I1929" t="s">
        <v>76</v>
      </c>
      <c r="J1929" t="s">
        <v>77</v>
      </c>
      <c r="K1929" t="s">
        <v>78</v>
      </c>
      <c r="L1929" t="s">
        <v>1497</v>
      </c>
      <c r="M1929" t="s">
        <v>1498</v>
      </c>
      <c r="N1929" t="s">
        <v>2017</v>
      </c>
      <c r="O1929" t="s">
        <v>82</v>
      </c>
      <c r="P1929" t="str">
        <f>"2170721401                    "</f>
        <v xml:space="preserve">2170721401                    </v>
      </c>
      <c r="Q1929">
        <v>0</v>
      </c>
      <c r="R1929">
        <v>0</v>
      </c>
      <c r="S1929">
        <v>0</v>
      </c>
      <c r="T1929">
        <v>0</v>
      </c>
      <c r="U1929">
        <v>0</v>
      </c>
      <c r="V1929">
        <v>0</v>
      </c>
      <c r="W1929">
        <v>0</v>
      </c>
      <c r="X1929">
        <v>0</v>
      </c>
      <c r="Y1929">
        <v>0</v>
      </c>
      <c r="Z1929">
        <v>0</v>
      </c>
      <c r="AA1929">
        <v>0</v>
      </c>
      <c r="AB1929">
        <v>0</v>
      </c>
      <c r="AC1929">
        <v>0</v>
      </c>
      <c r="AD1929">
        <v>0</v>
      </c>
      <c r="AE1929">
        <v>0</v>
      </c>
      <c r="AF1929">
        <v>0</v>
      </c>
      <c r="AG1929">
        <v>0</v>
      </c>
      <c r="AH1929">
        <v>0</v>
      </c>
      <c r="AI1929">
        <v>0</v>
      </c>
      <c r="AJ1929">
        <v>0</v>
      </c>
      <c r="AK1929">
        <v>0</v>
      </c>
      <c r="AL1929">
        <v>0</v>
      </c>
      <c r="AM1929">
        <v>12.07</v>
      </c>
      <c r="AN1929">
        <v>0</v>
      </c>
      <c r="AO1929">
        <v>0</v>
      </c>
      <c r="AP1929">
        <v>0</v>
      </c>
      <c r="AQ1929">
        <v>0</v>
      </c>
      <c r="AR1929">
        <v>0</v>
      </c>
      <c r="AS1929">
        <v>0</v>
      </c>
      <c r="AT1929">
        <v>0</v>
      </c>
      <c r="AU1929">
        <v>0</v>
      </c>
      <c r="AV1929">
        <v>0</v>
      </c>
      <c r="AW1929">
        <v>0</v>
      </c>
      <c r="AX1929">
        <v>0</v>
      </c>
      <c r="AY1929">
        <v>0</v>
      </c>
      <c r="AZ1929">
        <v>0</v>
      </c>
      <c r="BA1929">
        <v>0</v>
      </c>
      <c r="BB1929">
        <v>0</v>
      </c>
      <c r="BC1929">
        <v>0</v>
      </c>
      <c r="BD1929">
        <v>0</v>
      </c>
      <c r="BE1929">
        <v>0</v>
      </c>
      <c r="BF1929">
        <v>0</v>
      </c>
      <c r="BG1929">
        <v>0</v>
      </c>
      <c r="BH1929">
        <v>1</v>
      </c>
      <c r="BI1929">
        <v>2</v>
      </c>
      <c r="BJ1929">
        <v>1.3</v>
      </c>
      <c r="BK1929">
        <v>2</v>
      </c>
      <c r="BL1929" s="4">
        <v>70.95</v>
      </c>
      <c r="BM1929" s="4">
        <v>10.64</v>
      </c>
      <c r="BN1929" s="4">
        <v>81.59</v>
      </c>
      <c r="BO1929" s="4">
        <v>81.59</v>
      </c>
      <c r="BQ1929" t="s">
        <v>2018</v>
      </c>
      <c r="BR1929" t="s">
        <v>84</v>
      </c>
      <c r="BS1929" t="s">
        <v>717</v>
      </c>
      <c r="BY1929">
        <v>6426.42</v>
      </c>
      <c r="CC1929" t="s">
        <v>1498</v>
      </c>
      <c r="CD1929">
        <v>208</v>
      </c>
      <c r="CE1929" t="s">
        <v>96</v>
      </c>
      <c r="CI1929">
        <v>1</v>
      </c>
      <c r="CJ1929" t="s">
        <v>717</v>
      </c>
      <c r="CK1929">
        <v>24</v>
      </c>
      <c r="CL1929" t="s">
        <v>89</v>
      </c>
    </row>
    <row r="1930" spans="1:90">
      <c r="A1930" t="s">
        <v>72</v>
      </c>
      <c r="B1930" t="s">
        <v>73</v>
      </c>
      <c r="C1930" t="s">
        <v>74</v>
      </c>
      <c r="E1930" t="str">
        <f>"FES1162729138"</f>
        <v>FES1162729138</v>
      </c>
      <c r="F1930" s="3">
        <v>43818</v>
      </c>
      <c r="G1930">
        <v>202006</v>
      </c>
      <c r="H1930" t="s">
        <v>75</v>
      </c>
      <c r="I1930" t="s">
        <v>76</v>
      </c>
      <c r="J1930" t="s">
        <v>77</v>
      </c>
      <c r="K1930" t="s">
        <v>78</v>
      </c>
      <c r="L1930" t="s">
        <v>213</v>
      </c>
      <c r="M1930" t="s">
        <v>214</v>
      </c>
      <c r="N1930" t="s">
        <v>303</v>
      </c>
      <c r="O1930" t="s">
        <v>82</v>
      </c>
      <c r="P1930" t="str">
        <f>"2170721144                    "</f>
        <v xml:space="preserve">2170721144                    </v>
      </c>
      <c r="Q1930">
        <v>0</v>
      </c>
      <c r="R1930">
        <v>0</v>
      </c>
      <c r="S1930">
        <v>0</v>
      </c>
      <c r="T1930">
        <v>0</v>
      </c>
      <c r="U1930">
        <v>0</v>
      </c>
      <c r="V1930">
        <v>0</v>
      </c>
      <c r="W1930">
        <v>0</v>
      </c>
      <c r="X1930">
        <v>0</v>
      </c>
      <c r="Y1930">
        <v>0</v>
      </c>
      <c r="Z1930">
        <v>0</v>
      </c>
      <c r="AA1930">
        <v>0</v>
      </c>
      <c r="AB1930">
        <v>0</v>
      </c>
      <c r="AC1930">
        <v>0</v>
      </c>
      <c r="AD1930">
        <v>0</v>
      </c>
      <c r="AE1930">
        <v>0</v>
      </c>
      <c r="AF1930">
        <v>0</v>
      </c>
      <c r="AG1930">
        <v>0</v>
      </c>
      <c r="AH1930">
        <v>0</v>
      </c>
      <c r="AI1930">
        <v>0</v>
      </c>
      <c r="AJ1930">
        <v>0</v>
      </c>
      <c r="AK1930">
        <v>0</v>
      </c>
      <c r="AL1930">
        <v>0</v>
      </c>
      <c r="AM1930">
        <v>8.58</v>
      </c>
      <c r="AN1930">
        <v>0</v>
      </c>
      <c r="AO1930">
        <v>0</v>
      </c>
      <c r="AP1930">
        <v>0</v>
      </c>
      <c r="AQ1930">
        <v>0</v>
      </c>
      <c r="AR1930">
        <v>0</v>
      </c>
      <c r="AS1930">
        <v>0</v>
      </c>
      <c r="AT1930">
        <v>0</v>
      </c>
      <c r="AU1930">
        <v>0</v>
      </c>
      <c r="AV1930">
        <v>0</v>
      </c>
      <c r="AW1930">
        <v>0</v>
      </c>
      <c r="AX1930">
        <v>0</v>
      </c>
      <c r="AY1930">
        <v>0</v>
      </c>
      <c r="AZ1930">
        <v>0</v>
      </c>
      <c r="BA1930">
        <v>0</v>
      </c>
      <c r="BB1930">
        <v>0</v>
      </c>
      <c r="BC1930">
        <v>0</v>
      </c>
      <c r="BD1930">
        <v>0</v>
      </c>
      <c r="BE1930">
        <v>0</v>
      </c>
      <c r="BF1930">
        <v>0</v>
      </c>
      <c r="BG1930">
        <v>0</v>
      </c>
      <c r="BH1930">
        <v>1</v>
      </c>
      <c r="BI1930">
        <v>1</v>
      </c>
      <c r="BJ1930">
        <v>0.2</v>
      </c>
      <c r="BK1930">
        <v>1</v>
      </c>
      <c r="BL1930" s="4">
        <v>50.45</v>
      </c>
      <c r="BM1930" s="4">
        <v>7.57</v>
      </c>
      <c r="BN1930" s="4">
        <v>58.02</v>
      </c>
      <c r="BO1930" s="4">
        <v>58.02</v>
      </c>
      <c r="BQ1930" t="s">
        <v>147</v>
      </c>
      <c r="BR1930" t="s">
        <v>84</v>
      </c>
      <c r="BS1930" s="3">
        <v>43819</v>
      </c>
      <c r="BT1930" s="5">
        <v>0.34027777777777773</v>
      </c>
      <c r="BU1930" t="s">
        <v>1336</v>
      </c>
      <c r="BV1930" t="s">
        <v>86</v>
      </c>
      <c r="BY1930">
        <v>1200</v>
      </c>
      <c r="CA1930" t="s">
        <v>99</v>
      </c>
      <c r="CC1930" t="s">
        <v>214</v>
      </c>
      <c r="CD1930">
        <v>6230</v>
      </c>
      <c r="CE1930" t="s">
        <v>88</v>
      </c>
      <c r="CF1930" s="3">
        <v>43822</v>
      </c>
      <c r="CI1930">
        <v>1</v>
      </c>
      <c r="CJ1930">
        <v>1</v>
      </c>
      <c r="CK1930">
        <v>21</v>
      </c>
      <c r="CL1930" t="s">
        <v>89</v>
      </c>
    </row>
    <row r="1931" spans="1:90">
      <c r="A1931" t="s">
        <v>72</v>
      </c>
      <c r="B1931" t="s">
        <v>73</v>
      </c>
      <c r="C1931" t="s">
        <v>74</v>
      </c>
      <c r="E1931" t="str">
        <f>"FES1162728963"</f>
        <v>FES1162728963</v>
      </c>
      <c r="F1931" s="3">
        <v>43818</v>
      </c>
      <c r="G1931">
        <v>202006</v>
      </c>
      <c r="H1931" t="s">
        <v>75</v>
      </c>
      <c r="I1931" t="s">
        <v>76</v>
      </c>
      <c r="J1931" t="s">
        <v>77</v>
      </c>
      <c r="K1931" t="s">
        <v>78</v>
      </c>
      <c r="L1931" t="s">
        <v>75</v>
      </c>
      <c r="M1931" t="s">
        <v>76</v>
      </c>
      <c r="N1931" t="s">
        <v>305</v>
      </c>
      <c r="O1931" t="s">
        <v>82</v>
      </c>
      <c r="P1931" t="str">
        <f>"2170720204                    "</f>
        <v xml:space="preserve">2170720204                    </v>
      </c>
      <c r="Q1931">
        <v>0</v>
      </c>
      <c r="R1931">
        <v>0</v>
      </c>
      <c r="S1931">
        <v>0</v>
      </c>
      <c r="T1931">
        <v>0</v>
      </c>
      <c r="U1931">
        <v>0</v>
      </c>
      <c r="V1931">
        <v>0</v>
      </c>
      <c r="W1931">
        <v>0</v>
      </c>
      <c r="X1931">
        <v>0</v>
      </c>
      <c r="Y1931">
        <v>0</v>
      </c>
      <c r="Z1931">
        <v>0</v>
      </c>
      <c r="AA1931">
        <v>0</v>
      </c>
      <c r="AB1931">
        <v>0</v>
      </c>
      <c r="AC1931">
        <v>0</v>
      </c>
      <c r="AD1931">
        <v>0</v>
      </c>
      <c r="AE1931">
        <v>0</v>
      </c>
      <c r="AF1931">
        <v>0</v>
      </c>
      <c r="AG1931">
        <v>0</v>
      </c>
      <c r="AH1931">
        <v>0</v>
      </c>
      <c r="AI1931">
        <v>0</v>
      </c>
      <c r="AJ1931">
        <v>0</v>
      </c>
      <c r="AK1931">
        <v>0</v>
      </c>
      <c r="AL1931">
        <v>0</v>
      </c>
      <c r="AM1931">
        <v>6.71</v>
      </c>
      <c r="AN1931">
        <v>0</v>
      </c>
      <c r="AO1931">
        <v>0</v>
      </c>
      <c r="AP1931">
        <v>0</v>
      </c>
      <c r="AQ1931">
        <v>0</v>
      </c>
      <c r="AR1931">
        <v>0</v>
      </c>
      <c r="AS1931">
        <v>0</v>
      </c>
      <c r="AT1931">
        <v>0</v>
      </c>
      <c r="AU1931">
        <v>0</v>
      </c>
      <c r="AV1931">
        <v>0</v>
      </c>
      <c r="AW1931">
        <v>0</v>
      </c>
      <c r="AX1931">
        <v>0</v>
      </c>
      <c r="AY1931">
        <v>0</v>
      </c>
      <c r="AZ1931">
        <v>0</v>
      </c>
      <c r="BA1931">
        <v>0</v>
      </c>
      <c r="BB1931">
        <v>0</v>
      </c>
      <c r="BC1931">
        <v>0</v>
      </c>
      <c r="BD1931">
        <v>0</v>
      </c>
      <c r="BE1931">
        <v>0</v>
      </c>
      <c r="BF1931">
        <v>0</v>
      </c>
      <c r="BG1931">
        <v>0</v>
      </c>
      <c r="BH1931">
        <v>1</v>
      </c>
      <c r="BI1931">
        <v>0.8</v>
      </c>
      <c r="BJ1931">
        <v>0.5</v>
      </c>
      <c r="BK1931">
        <v>1</v>
      </c>
      <c r="BL1931" s="4">
        <v>39.42</v>
      </c>
      <c r="BM1931" s="4">
        <v>5.91</v>
      </c>
      <c r="BN1931" s="4">
        <v>45.33</v>
      </c>
      <c r="BO1931" s="4">
        <v>45.33</v>
      </c>
      <c r="BQ1931" t="s">
        <v>147</v>
      </c>
      <c r="BR1931" t="s">
        <v>84</v>
      </c>
      <c r="BS1931" s="3">
        <v>43819</v>
      </c>
      <c r="BT1931" s="5">
        <v>0.3347222222222222</v>
      </c>
      <c r="BU1931" t="s">
        <v>1954</v>
      </c>
      <c r="BV1931" t="s">
        <v>86</v>
      </c>
      <c r="BY1931">
        <v>2630.4</v>
      </c>
      <c r="CA1931" t="s">
        <v>307</v>
      </c>
      <c r="CC1931" t="s">
        <v>76</v>
      </c>
      <c r="CD1931">
        <v>1645</v>
      </c>
      <c r="CE1931" t="s">
        <v>116</v>
      </c>
      <c r="CF1931" s="3">
        <v>43822</v>
      </c>
      <c r="CI1931">
        <v>1</v>
      </c>
      <c r="CJ1931">
        <v>1</v>
      </c>
      <c r="CK1931">
        <v>22</v>
      </c>
      <c r="CL1931" t="s">
        <v>89</v>
      </c>
    </row>
    <row r="1932" spans="1:90">
      <c r="A1932" t="s">
        <v>72</v>
      </c>
      <c r="B1932" t="s">
        <v>73</v>
      </c>
      <c r="C1932" t="s">
        <v>74</v>
      </c>
      <c r="E1932" t="str">
        <f>"FES1162728823"</f>
        <v>FES1162728823</v>
      </c>
      <c r="F1932" s="3">
        <v>43818</v>
      </c>
      <c r="G1932">
        <v>202006</v>
      </c>
      <c r="H1932" t="s">
        <v>75</v>
      </c>
      <c r="I1932" t="s">
        <v>76</v>
      </c>
      <c r="J1932" t="s">
        <v>77</v>
      </c>
      <c r="K1932" t="s">
        <v>78</v>
      </c>
      <c r="L1932" t="s">
        <v>714</v>
      </c>
      <c r="M1932" t="s">
        <v>715</v>
      </c>
      <c r="N1932" t="s">
        <v>2247</v>
      </c>
      <c r="O1932" t="s">
        <v>82</v>
      </c>
      <c r="P1932" t="str">
        <f>"2170719988                    "</f>
        <v xml:space="preserve">2170719988                    </v>
      </c>
      <c r="Q1932">
        <v>0</v>
      </c>
      <c r="R1932">
        <v>0</v>
      </c>
      <c r="S1932">
        <v>0</v>
      </c>
      <c r="T1932">
        <v>0</v>
      </c>
      <c r="U1932">
        <v>0</v>
      </c>
      <c r="V1932">
        <v>0</v>
      </c>
      <c r="W1932">
        <v>0</v>
      </c>
      <c r="X1932">
        <v>0</v>
      </c>
      <c r="Y1932">
        <v>0</v>
      </c>
      <c r="Z1932">
        <v>0</v>
      </c>
      <c r="AA1932">
        <v>0</v>
      </c>
      <c r="AB1932">
        <v>0</v>
      </c>
      <c r="AC1932">
        <v>0</v>
      </c>
      <c r="AD1932">
        <v>0</v>
      </c>
      <c r="AE1932">
        <v>0</v>
      </c>
      <c r="AF1932">
        <v>0</v>
      </c>
      <c r="AG1932">
        <v>0</v>
      </c>
      <c r="AH1932">
        <v>0</v>
      </c>
      <c r="AI1932">
        <v>0</v>
      </c>
      <c r="AJ1932">
        <v>0</v>
      </c>
      <c r="AK1932">
        <v>0</v>
      </c>
      <c r="AL1932">
        <v>0</v>
      </c>
      <c r="AM1932">
        <v>6.71</v>
      </c>
      <c r="AN1932">
        <v>0</v>
      </c>
      <c r="AO1932">
        <v>0</v>
      </c>
      <c r="AP1932">
        <v>0</v>
      </c>
      <c r="AQ1932">
        <v>0</v>
      </c>
      <c r="AR1932">
        <v>0</v>
      </c>
      <c r="AS1932">
        <v>0</v>
      </c>
      <c r="AT1932">
        <v>0</v>
      </c>
      <c r="AU1932">
        <v>0</v>
      </c>
      <c r="AV1932">
        <v>0</v>
      </c>
      <c r="AW1932">
        <v>0</v>
      </c>
      <c r="AX1932">
        <v>0</v>
      </c>
      <c r="AY1932">
        <v>0</v>
      </c>
      <c r="AZ1932">
        <v>0</v>
      </c>
      <c r="BA1932">
        <v>0</v>
      </c>
      <c r="BB1932">
        <v>0</v>
      </c>
      <c r="BC1932">
        <v>0</v>
      </c>
      <c r="BD1932">
        <v>0</v>
      </c>
      <c r="BE1932">
        <v>0</v>
      </c>
      <c r="BF1932">
        <v>0</v>
      </c>
      <c r="BG1932">
        <v>0</v>
      </c>
      <c r="BH1932">
        <v>1</v>
      </c>
      <c r="BI1932">
        <v>1.2</v>
      </c>
      <c r="BJ1932">
        <v>1.5</v>
      </c>
      <c r="BK1932">
        <v>1.5</v>
      </c>
      <c r="BL1932" s="4">
        <v>39.42</v>
      </c>
      <c r="BM1932" s="4">
        <v>5.91</v>
      </c>
      <c r="BN1932" s="4">
        <v>45.33</v>
      </c>
      <c r="BO1932" s="4">
        <v>45.33</v>
      </c>
      <c r="BQ1932" t="s">
        <v>93</v>
      </c>
      <c r="BR1932" t="s">
        <v>84</v>
      </c>
      <c r="BS1932" s="3">
        <v>43819</v>
      </c>
      <c r="BT1932" s="5">
        <v>0.3659722222222222</v>
      </c>
      <c r="BU1932" t="s">
        <v>1857</v>
      </c>
      <c r="BV1932" t="s">
        <v>86</v>
      </c>
      <c r="BY1932">
        <v>7358.9</v>
      </c>
      <c r="CA1932" t="s">
        <v>1350</v>
      </c>
      <c r="CC1932" t="s">
        <v>715</v>
      </c>
      <c r="CD1932">
        <v>1559</v>
      </c>
      <c r="CE1932" t="s">
        <v>96</v>
      </c>
      <c r="CF1932" s="3">
        <v>43822</v>
      </c>
      <c r="CI1932">
        <v>1</v>
      </c>
      <c r="CJ1932">
        <v>1</v>
      </c>
      <c r="CK1932">
        <v>22</v>
      </c>
      <c r="CL1932" t="s">
        <v>89</v>
      </c>
    </row>
    <row r="1933" spans="1:90">
      <c r="A1933" t="s">
        <v>72</v>
      </c>
      <c r="B1933" t="s">
        <v>73</v>
      </c>
      <c r="C1933" t="s">
        <v>74</v>
      </c>
      <c r="E1933" t="str">
        <f>"FES1162728317"</f>
        <v>FES1162728317</v>
      </c>
      <c r="F1933" s="3">
        <v>43818</v>
      </c>
      <c r="G1933">
        <v>202006</v>
      </c>
      <c r="H1933" t="s">
        <v>75</v>
      </c>
      <c r="I1933" t="s">
        <v>76</v>
      </c>
      <c r="J1933" t="s">
        <v>77</v>
      </c>
      <c r="K1933" t="s">
        <v>78</v>
      </c>
      <c r="L1933" t="s">
        <v>151</v>
      </c>
      <c r="M1933" t="s">
        <v>102</v>
      </c>
      <c r="N1933" t="s">
        <v>681</v>
      </c>
      <c r="O1933" t="s">
        <v>82</v>
      </c>
      <c r="P1933" t="str">
        <f>"21779421                      "</f>
        <v xml:space="preserve">21779421                      </v>
      </c>
      <c r="Q1933">
        <v>0</v>
      </c>
      <c r="R1933">
        <v>0</v>
      </c>
      <c r="S1933">
        <v>0</v>
      </c>
      <c r="T1933">
        <v>0</v>
      </c>
      <c r="U1933">
        <v>0</v>
      </c>
      <c r="V1933">
        <v>0</v>
      </c>
      <c r="W1933">
        <v>0</v>
      </c>
      <c r="X1933">
        <v>0</v>
      </c>
      <c r="Y1933">
        <v>0</v>
      </c>
      <c r="Z1933">
        <v>0</v>
      </c>
      <c r="AA1933">
        <v>0</v>
      </c>
      <c r="AB1933">
        <v>0</v>
      </c>
      <c r="AC1933">
        <v>0</v>
      </c>
      <c r="AD1933">
        <v>0</v>
      </c>
      <c r="AE1933">
        <v>0</v>
      </c>
      <c r="AF1933">
        <v>0</v>
      </c>
      <c r="AG1933">
        <v>0</v>
      </c>
      <c r="AH1933">
        <v>0</v>
      </c>
      <c r="AI1933">
        <v>0</v>
      </c>
      <c r="AJ1933">
        <v>0</v>
      </c>
      <c r="AK1933">
        <v>0</v>
      </c>
      <c r="AL1933">
        <v>0</v>
      </c>
      <c r="AM1933">
        <v>8.58</v>
      </c>
      <c r="AN1933">
        <v>0</v>
      </c>
      <c r="AO1933">
        <v>0</v>
      </c>
      <c r="AP1933">
        <v>0</v>
      </c>
      <c r="AQ1933">
        <v>0</v>
      </c>
      <c r="AR1933">
        <v>0</v>
      </c>
      <c r="AS1933">
        <v>0</v>
      </c>
      <c r="AT1933">
        <v>0</v>
      </c>
      <c r="AU1933">
        <v>0</v>
      </c>
      <c r="AV1933">
        <v>0</v>
      </c>
      <c r="AW1933">
        <v>0</v>
      </c>
      <c r="AX1933">
        <v>0</v>
      </c>
      <c r="AY1933">
        <v>0</v>
      </c>
      <c r="AZ1933">
        <v>0</v>
      </c>
      <c r="BA1933">
        <v>0</v>
      </c>
      <c r="BB1933">
        <v>0</v>
      </c>
      <c r="BC1933">
        <v>0</v>
      </c>
      <c r="BD1933">
        <v>0</v>
      </c>
      <c r="BE1933">
        <v>0</v>
      </c>
      <c r="BF1933">
        <v>0</v>
      </c>
      <c r="BG1933">
        <v>0</v>
      </c>
      <c r="BH1933">
        <v>1</v>
      </c>
      <c r="BI1933">
        <v>1.3</v>
      </c>
      <c r="BJ1933">
        <v>1.9</v>
      </c>
      <c r="BK1933">
        <v>2</v>
      </c>
      <c r="BL1933" s="4">
        <v>50.45</v>
      </c>
      <c r="BM1933" s="4">
        <v>7.57</v>
      </c>
      <c r="BN1933" s="4">
        <v>58.02</v>
      </c>
      <c r="BO1933" s="4">
        <v>58.02</v>
      </c>
      <c r="BR1933" t="s">
        <v>84</v>
      </c>
      <c r="BS1933" s="3">
        <v>43826</v>
      </c>
      <c r="BT1933" s="5">
        <v>0.39583333333333331</v>
      </c>
      <c r="BU1933" t="s">
        <v>2106</v>
      </c>
      <c r="BV1933" t="s">
        <v>89</v>
      </c>
      <c r="BY1933">
        <v>9380.09</v>
      </c>
      <c r="CC1933" t="s">
        <v>102</v>
      </c>
      <c r="CD1933">
        <v>1</v>
      </c>
      <c r="CE1933" t="s">
        <v>96</v>
      </c>
      <c r="CF1933" s="3">
        <v>43830</v>
      </c>
      <c r="CI1933">
        <v>1</v>
      </c>
      <c r="CJ1933">
        <v>6</v>
      </c>
      <c r="CK1933">
        <v>21</v>
      </c>
      <c r="CL1933" t="s">
        <v>89</v>
      </c>
    </row>
    <row r="1934" spans="1:90">
      <c r="A1934" t="s">
        <v>72</v>
      </c>
      <c r="B1934" t="s">
        <v>73</v>
      </c>
      <c r="C1934" t="s">
        <v>74</v>
      </c>
      <c r="E1934" t="str">
        <f>"FES1162729043"</f>
        <v>FES1162729043</v>
      </c>
      <c r="F1934" s="3">
        <v>43818</v>
      </c>
      <c r="G1934">
        <v>202006</v>
      </c>
      <c r="H1934" t="s">
        <v>75</v>
      </c>
      <c r="I1934" t="s">
        <v>76</v>
      </c>
      <c r="J1934" t="s">
        <v>77</v>
      </c>
      <c r="K1934" t="s">
        <v>78</v>
      </c>
      <c r="L1934" t="s">
        <v>79</v>
      </c>
      <c r="M1934" t="s">
        <v>80</v>
      </c>
      <c r="N1934" t="s">
        <v>129</v>
      </c>
      <c r="O1934" t="s">
        <v>82</v>
      </c>
      <c r="P1934" t="str">
        <f>"2170719724                    "</f>
        <v xml:space="preserve">2170719724                    </v>
      </c>
      <c r="Q1934">
        <v>0</v>
      </c>
      <c r="R1934">
        <v>0</v>
      </c>
      <c r="S1934">
        <v>0</v>
      </c>
      <c r="T1934">
        <v>0</v>
      </c>
      <c r="U1934">
        <v>0</v>
      </c>
      <c r="V1934">
        <v>0</v>
      </c>
      <c r="W1934">
        <v>0</v>
      </c>
      <c r="X1934">
        <v>0</v>
      </c>
      <c r="Y1934">
        <v>0</v>
      </c>
      <c r="Z1934">
        <v>0</v>
      </c>
      <c r="AA1934">
        <v>0</v>
      </c>
      <c r="AB1934">
        <v>0</v>
      </c>
      <c r="AC1934">
        <v>0</v>
      </c>
      <c r="AD1934">
        <v>0</v>
      </c>
      <c r="AE1934">
        <v>0</v>
      </c>
      <c r="AF1934">
        <v>0</v>
      </c>
      <c r="AG1934">
        <v>0</v>
      </c>
      <c r="AH1934">
        <v>0</v>
      </c>
      <c r="AI1934">
        <v>0</v>
      </c>
      <c r="AJ1934">
        <v>0</v>
      </c>
      <c r="AK1934">
        <v>0</v>
      </c>
      <c r="AL1934">
        <v>0</v>
      </c>
      <c r="AM1934">
        <v>8.58</v>
      </c>
      <c r="AN1934">
        <v>0</v>
      </c>
      <c r="AO1934">
        <v>0</v>
      </c>
      <c r="AP1934">
        <v>0</v>
      </c>
      <c r="AQ1934">
        <v>0</v>
      </c>
      <c r="AR1934">
        <v>0</v>
      </c>
      <c r="AS1934">
        <v>0</v>
      </c>
      <c r="AT1934">
        <v>0</v>
      </c>
      <c r="AU1934">
        <v>0</v>
      </c>
      <c r="AV1934">
        <v>0</v>
      </c>
      <c r="AW1934">
        <v>0</v>
      </c>
      <c r="AX1934">
        <v>0</v>
      </c>
      <c r="AY1934">
        <v>0</v>
      </c>
      <c r="AZ1934">
        <v>0</v>
      </c>
      <c r="BA1934">
        <v>0</v>
      </c>
      <c r="BB1934">
        <v>0</v>
      </c>
      <c r="BC1934">
        <v>0</v>
      </c>
      <c r="BD1934">
        <v>0</v>
      </c>
      <c r="BE1934">
        <v>0</v>
      </c>
      <c r="BF1934">
        <v>0</v>
      </c>
      <c r="BG1934">
        <v>0</v>
      </c>
      <c r="BH1934">
        <v>1</v>
      </c>
      <c r="BI1934">
        <v>1</v>
      </c>
      <c r="BJ1934">
        <v>0.2</v>
      </c>
      <c r="BK1934">
        <v>1</v>
      </c>
      <c r="BL1934" s="4">
        <v>50.45</v>
      </c>
      <c r="BM1934" s="4">
        <v>7.57</v>
      </c>
      <c r="BN1934" s="4">
        <v>58.02</v>
      </c>
      <c r="BO1934" s="4">
        <v>58.02</v>
      </c>
      <c r="BQ1934" t="s">
        <v>147</v>
      </c>
      <c r="BR1934" t="s">
        <v>84</v>
      </c>
      <c r="BS1934" s="3">
        <v>43819</v>
      </c>
      <c r="BT1934" s="5">
        <v>0.37777777777777777</v>
      </c>
      <c r="BU1934" t="s">
        <v>130</v>
      </c>
      <c r="BV1934" t="s">
        <v>86</v>
      </c>
      <c r="BY1934">
        <v>1200</v>
      </c>
      <c r="CA1934" t="s">
        <v>131</v>
      </c>
      <c r="CC1934" t="s">
        <v>80</v>
      </c>
      <c r="CD1934">
        <v>6001</v>
      </c>
      <c r="CE1934" t="s">
        <v>88</v>
      </c>
      <c r="CF1934" s="3">
        <v>43822</v>
      </c>
      <c r="CI1934">
        <v>1</v>
      </c>
      <c r="CJ1934">
        <v>1</v>
      </c>
      <c r="CK1934">
        <v>21</v>
      </c>
      <c r="CL1934" t="s">
        <v>89</v>
      </c>
    </row>
    <row r="1935" spans="1:90">
      <c r="A1935" t="s">
        <v>72</v>
      </c>
      <c r="B1935" t="s">
        <v>73</v>
      </c>
      <c r="C1935" t="s">
        <v>74</v>
      </c>
      <c r="E1935" t="str">
        <f>"FES1162729067"</f>
        <v>FES1162729067</v>
      </c>
      <c r="F1935" s="3">
        <v>43818</v>
      </c>
      <c r="G1935">
        <v>202006</v>
      </c>
      <c r="H1935" t="s">
        <v>75</v>
      </c>
      <c r="I1935" t="s">
        <v>76</v>
      </c>
      <c r="J1935" t="s">
        <v>77</v>
      </c>
      <c r="K1935" t="s">
        <v>78</v>
      </c>
      <c r="L1935" t="s">
        <v>198</v>
      </c>
      <c r="M1935" t="s">
        <v>199</v>
      </c>
      <c r="N1935" t="s">
        <v>837</v>
      </c>
      <c r="O1935" t="s">
        <v>82</v>
      </c>
      <c r="P1935" t="str">
        <f>"217072077                     "</f>
        <v xml:space="preserve">217072077                     </v>
      </c>
      <c r="Q1935">
        <v>0</v>
      </c>
      <c r="R1935">
        <v>0</v>
      </c>
      <c r="S1935">
        <v>0</v>
      </c>
      <c r="T1935">
        <v>0</v>
      </c>
      <c r="U1935">
        <v>0</v>
      </c>
      <c r="V1935">
        <v>0</v>
      </c>
      <c r="W1935">
        <v>0</v>
      </c>
      <c r="X1935">
        <v>0</v>
      </c>
      <c r="Y1935">
        <v>0</v>
      </c>
      <c r="Z1935">
        <v>0</v>
      </c>
      <c r="AA1935">
        <v>0</v>
      </c>
      <c r="AB1935">
        <v>0</v>
      </c>
      <c r="AC1935">
        <v>0</v>
      </c>
      <c r="AD1935">
        <v>0</v>
      </c>
      <c r="AE1935">
        <v>0</v>
      </c>
      <c r="AF1935">
        <v>0</v>
      </c>
      <c r="AG1935">
        <v>0</v>
      </c>
      <c r="AH1935">
        <v>0</v>
      </c>
      <c r="AI1935">
        <v>0</v>
      </c>
      <c r="AJ1935">
        <v>0</v>
      </c>
      <c r="AK1935">
        <v>0</v>
      </c>
      <c r="AL1935">
        <v>0</v>
      </c>
      <c r="AM1935">
        <v>8.58</v>
      </c>
      <c r="AN1935">
        <v>0</v>
      </c>
      <c r="AO1935">
        <v>0</v>
      </c>
      <c r="AP1935">
        <v>0</v>
      </c>
      <c r="AQ1935">
        <v>0</v>
      </c>
      <c r="AR1935">
        <v>0</v>
      </c>
      <c r="AS1935">
        <v>0</v>
      </c>
      <c r="AT1935">
        <v>0</v>
      </c>
      <c r="AU1935">
        <v>0</v>
      </c>
      <c r="AV1935">
        <v>0</v>
      </c>
      <c r="AW1935">
        <v>0</v>
      </c>
      <c r="AX1935">
        <v>0</v>
      </c>
      <c r="AY1935">
        <v>0</v>
      </c>
      <c r="AZ1935">
        <v>0</v>
      </c>
      <c r="BA1935">
        <v>0</v>
      </c>
      <c r="BB1935">
        <v>0</v>
      </c>
      <c r="BC1935">
        <v>0</v>
      </c>
      <c r="BD1935">
        <v>0</v>
      </c>
      <c r="BE1935">
        <v>0</v>
      </c>
      <c r="BF1935">
        <v>0</v>
      </c>
      <c r="BG1935">
        <v>0</v>
      </c>
      <c r="BH1935">
        <v>1</v>
      </c>
      <c r="BI1935">
        <v>1</v>
      </c>
      <c r="BJ1935">
        <v>0.2</v>
      </c>
      <c r="BK1935">
        <v>1</v>
      </c>
      <c r="BL1935" s="4">
        <v>50.45</v>
      </c>
      <c r="BM1935" s="4">
        <v>7.57</v>
      </c>
      <c r="BN1935" s="4">
        <v>58.02</v>
      </c>
      <c r="BO1935" s="4">
        <v>58.02</v>
      </c>
      <c r="BQ1935" t="s">
        <v>135</v>
      </c>
      <c r="BR1935" t="s">
        <v>84</v>
      </c>
      <c r="BS1935" s="3">
        <v>43819</v>
      </c>
      <c r="BT1935" s="5">
        <v>0.31805555555555554</v>
      </c>
      <c r="BU1935" t="s">
        <v>1854</v>
      </c>
      <c r="BV1935" t="s">
        <v>86</v>
      </c>
      <c r="BY1935">
        <v>1200</v>
      </c>
      <c r="CA1935" t="s">
        <v>839</v>
      </c>
      <c r="CC1935" t="s">
        <v>199</v>
      </c>
      <c r="CD1935">
        <v>4064</v>
      </c>
      <c r="CE1935" t="s">
        <v>88</v>
      </c>
      <c r="CF1935" s="3">
        <v>43823</v>
      </c>
      <c r="CI1935">
        <v>1</v>
      </c>
      <c r="CJ1935">
        <v>1</v>
      </c>
      <c r="CK1935">
        <v>21</v>
      </c>
      <c r="CL1935" t="s">
        <v>89</v>
      </c>
    </row>
    <row r="1936" spans="1:90">
      <c r="A1936" t="s">
        <v>72</v>
      </c>
      <c r="B1936" t="s">
        <v>73</v>
      </c>
      <c r="C1936" t="s">
        <v>74</v>
      </c>
      <c r="E1936" t="str">
        <f>"FES1162728645"</f>
        <v>FES1162728645</v>
      </c>
      <c r="F1936" s="3">
        <v>43818</v>
      </c>
      <c r="G1936">
        <v>202006</v>
      </c>
      <c r="H1936" t="s">
        <v>75</v>
      </c>
      <c r="I1936" t="s">
        <v>76</v>
      </c>
      <c r="J1936" t="s">
        <v>77</v>
      </c>
      <c r="K1936" t="s">
        <v>78</v>
      </c>
      <c r="L1936" t="s">
        <v>2100</v>
      </c>
      <c r="M1936" t="s">
        <v>2101</v>
      </c>
      <c r="N1936" t="s">
        <v>2248</v>
      </c>
      <c r="O1936" t="s">
        <v>82</v>
      </c>
      <c r="P1936" t="str">
        <f>"2170720056                    "</f>
        <v xml:space="preserve">2170720056                    </v>
      </c>
      <c r="Q1936">
        <v>0</v>
      </c>
      <c r="R1936">
        <v>0</v>
      </c>
      <c r="S1936">
        <v>0</v>
      </c>
      <c r="T1936">
        <v>0</v>
      </c>
      <c r="U1936">
        <v>0</v>
      </c>
      <c r="V1936">
        <v>0</v>
      </c>
      <c r="W1936">
        <v>0</v>
      </c>
      <c r="X1936">
        <v>0</v>
      </c>
      <c r="Y1936">
        <v>0</v>
      </c>
      <c r="Z1936">
        <v>0</v>
      </c>
      <c r="AA1936">
        <v>0</v>
      </c>
      <c r="AB1936">
        <v>0</v>
      </c>
      <c r="AC1936">
        <v>0</v>
      </c>
      <c r="AD1936">
        <v>0</v>
      </c>
      <c r="AE1936">
        <v>0</v>
      </c>
      <c r="AF1936">
        <v>0</v>
      </c>
      <c r="AG1936">
        <v>0</v>
      </c>
      <c r="AH1936">
        <v>0</v>
      </c>
      <c r="AI1936">
        <v>0</v>
      </c>
      <c r="AJ1936">
        <v>0</v>
      </c>
      <c r="AK1936">
        <v>0</v>
      </c>
      <c r="AL1936">
        <v>0</v>
      </c>
      <c r="AM1936">
        <v>12.07</v>
      </c>
      <c r="AN1936">
        <v>0</v>
      </c>
      <c r="AO1936">
        <v>0</v>
      </c>
      <c r="AP1936">
        <v>0</v>
      </c>
      <c r="AQ1936">
        <v>0</v>
      </c>
      <c r="AR1936">
        <v>0</v>
      </c>
      <c r="AS1936">
        <v>0</v>
      </c>
      <c r="AT1936">
        <v>0</v>
      </c>
      <c r="AU1936">
        <v>0</v>
      </c>
      <c r="AV1936">
        <v>0</v>
      </c>
      <c r="AW1936">
        <v>0</v>
      </c>
      <c r="AX1936">
        <v>0</v>
      </c>
      <c r="AY1936">
        <v>0</v>
      </c>
      <c r="AZ1936">
        <v>0</v>
      </c>
      <c r="BA1936">
        <v>0</v>
      </c>
      <c r="BB1936">
        <v>0</v>
      </c>
      <c r="BC1936">
        <v>0</v>
      </c>
      <c r="BD1936">
        <v>0</v>
      </c>
      <c r="BE1936">
        <v>0</v>
      </c>
      <c r="BF1936">
        <v>0</v>
      </c>
      <c r="BG1936">
        <v>0</v>
      </c>
      <c r="BH1936">
        <v>1</v>
      </c>
      <c r="BI1936">
        <v>1</v>
      </c>
      <c r="BJ1936">
        <v>0.9</v>
      </c>
      <c r="BK1936">
        <v>1</v>
      </c>
      <c r="BL1936" s="4">
        <v>70.95</v>
      </c>
      <c r="BM1936" s="4">
        <v>10.64</v>
      </c>
      <c r="BN1936" s="4">
        <v>81.59</v>
      </c>
      <c r="BO1936" s="4">
        <v>81.59</v>
      </c>
      <c r="BQ1936" t="s">
        <v>93</v>
      </c>
      <c r="BR1936" t="s">
        <v>84</v>
      </c>
      <c r="BS1936" s="3">
        <v>43819</v>
      </c>
      <c r="BT1936" s="5">
        <v>0.41736111111111113</v>
      </c>
      <c r="BU1936" t="s">
        <v>2249</v>
      </c>
      <c r="BV1936" t="s">
        <v>86</v>
      </c>
      <c r="BY1936">
        <v>4500</v>
      </c>
      <c r="CA1936" t="s">
        <v>2250</v>
      </c>
      <c r="CC1936" t="s">
        <v>2101</v>
      </c>
      <c r="CD1936">
        <v>1438</v>
      </c>
      <c r="CE1936" t="s">
        <v>116</v>
      </c>
      <c r="CF1936" s="3">
        <v>43822</v>
      </c>
      <c r="CI1936">
        <v>1</v>
      </c>
      <c r="CJ1936">
        <v>1</v>
      </c>
      <c r="CK1936">
        <v>24</v>
      </c>
      <c r="CL1936" t="s">
        <v>89</v>
      </c>
    </row>
    <row r="1937" spans="1:90">
      <c r="A1937" t="s">
        <v>72</v>
      </c>
      <c r="B1937" t="s">
        <v>73</v>
      </c>
      <c r="C1937" t="s">
        <v>74</v>
      </c>
      <c r="E1937" t="str">
        <f>"FES1162729106"</f>
        <v>FES1162729106</v>
      </c>
      <c r="F1937" s="3">
        <v>43818</v>
      </c>
      <c r="G1937">
        <v>202006</v>
      </c>
      <c r="H1937" t="s">
        <v>75</v>
      </c>
      <c r="I1937" t="s">
        <v>76</v>
      </c>
      <c r="J1937" t="s">
        <v>77</v>
      </c>
      <c r="K1937" t="s">
        <v>78</v>
      </c>
      <c r="L1937" t="s">
        <v>79</v>
      </c>
      <c r="M1937" t="s">
        <v>80</v>
      </c>
      <c r="N1937" t="s">
        <v>175</v>
      </c>
      <c r="O1937" t="s">
        <v>82</v>
      </c>
      <c r="P1937" t="str">
        <f>"2170720597                    "</f>
        <v xml:space="preserve">2170720597                    </v>
      </c>
      <c r="Q1937">
        <v>0</v>
      </c>
      <c r="R1937">
        <v>0</v>
      </c>
      <c r="S1937">
        <v>0</v>
      </c>
      <c r="T1937">
        <v>0</v>
      </c>
      <c r="U1937">
        <v>0</v>
      </c>
      <c r="V1937">
        <v>0</v>
      </c>
      <c r="W1937">
        <v>0</v>
      </c>
      <c r="X1937">
        <v>0</v>
      </c>
      <c r="Y1937">
        <v>0</v>
      </c>
      <c r="Z1937">
        <v>0</v>
      </c>
      <c r="AA1937">
        <v>0</v>
      </c>
      <c r="AB1937">
        <v>0</v>
      </c>
      <c r="AC1937">
        <v>0</v>
      </c>
      <c r="AD1937">
        <v>0</v>
      </c>
      <c r="AE1937">
        <v>0</v>
      </c>
      <c r="AF1937">
        <v>0</v>
      </c>
      <c r="AG1937">
        <v>0</v>
      </c>
      <c r="AH1937">
        <v>0</v>
      </c>
      <c r="AI1937">
        <v>0</v>
      </c>
      <c r="AJ1937">
        <v>0</v>
      </c>
      <c r="AK1937">
        <v>0</v>
      </c>
      <c r="AL1937">
        <v>0</v>
      </c>
      <c r="AM1937">
        <v>8.58</v>
      </c>
      <c r="AN1937">
        <v>0</v>
      </c>
      <c r="AO1937">
        <v>0</v>
      </c>
      <c r="AP1937">
        <v>0</v>
      </c>
      <c r="AQ1937">
        <v>0</v>
      </c>
      <c r="AR1937">
        <v>0</v>
      </c>
      <c r="AS1937">
        <v>0</v>
      </c>
      <c r="AT1937">
        <v>0</v>
      </c>
      <c r="AU1937">
        <v>0</v>
      </c>
      <c r="AV1937">
        <v>0</v>
      </c>
      <c r="AW1937">
        <v>0</v>
      </c>
      <c r="AX1937">
        <v>0</v>
      </c>
      <c r="AY1937">
        <v>0</v>
      </c>
      <c r="AZ1937">
        <v>0</v>
      </c>
      <c r="BA1937">
        <v>0</v>
      </c>
      <c r="BB1937">
        <v>0</v>
      </c>
      <c r="BC1937">
        <v>0</v>
      </c>
      <c r="BD1937">
        <v>0</v>
      </c>
      <c r="BE1937">
        <v>0</v>
      </c>
      <c r="BF1937">
        <v>0</v>
      </c>
      <c r="BG1937">
        <v>0</v>
      </c>
      <c r="BH1937">
        <v>1</v>
      </c>
      <c r="BI1937">
        <v>1.2</v>
      </c>
      <c r="BJ1937">
        <v>1</v>
      </c>
      <c r="BK1937">
        <v>1.5</v>
      </c>
      <c r="BL1937" s="4">
        <v>50.45</v>
      </c>
      <c r="BM1937" s="4">
        <v>7.57</v>
      </c>
      <c r="BN1937" s="4">
        <v>58.02</v>
      </c>
      <c r="BO1937" s="4">
        <v>58.02</v>
      </c>
      <c r="BQ1937" t="s">
        <v>147</v>
      </c>
      <c r="BR1937" t="s">
        <v>84</v>
      </c>
      <c r="BS1937" s="3">
        <v>43819</v>
      </c>
      <c r="BT1937" s="5">
        <v>0.32291666666666669</v>
      </c>
      <c r="BU1937" t="s">
        <v>2251</v>
      </c>
      <c r="BV1937" t="s">
        <v>86</v>
      </c>
      <c r="BY1937">
        <v>4809.2700000000004</v>
      </c>
      <c r="CA1937" t="s">
        <v>1915</v>
      </c>
      <c r="CC1937" t="s">
        <v>80</v>
      </c>
      <c r="CD1937">
        <v>6001</v>
      </c>
      <c r="CE1937" t="s">
        <v>116</v>
      </c>
      <c r="CF1937" s="3">
        <v>43822</v>
      </c>
      <c r="CI1937">
        <v>1</v>
      </c>
      <c r="CJ1937">
        <v>1</v>
      </c>
      <c r="CK1937">
        <v>21</v>
      </c>
      <c r="CL1937" t="s">
        <v>89</v>
      </c>
    </row>
    <row r="1938" spans="1:90">
      <c r="A1938" t="s">
        <v>72</v>
      </c>
      <c r="B1938" t="s">
        <v>73</v>
      </c>
      <c r="C1938" t="s">
        <v>74</v>
      </c>
      <c r="E1938" t="str">
        <f>"FES1162729054"</f>
        <v>FES1162729054</v>
      </c>
      <c r="F1938" s="3">
        <v>43818</v>
      </c>
      <c r="G1938">
        <v>202006</v>
      </c>
      <c r="H1938" t="s">
        <v>75</v>
      </c>
      <c r="I1938" t="s">
        <v>76</v>
      </c>
      <c r="J1938" t="s">
        <v>77</v>
      </c>
      <c r="K1938" t="s">
        <v>78</v>
      </c>
      <c r="L1938" t="s">
        <v>79</v>
      </c>
      <c r="M1938" t="s">
        <v>80</v>
      </c>
      <c r="N1938" t="s">
        <v>481</v>
      </c>
      <c r="O1938" t="s">
        <v>82</v>
      </c>
      <c r="P1938" t="str">
        <f>"2170720202                    "</f>
        <v xml:space="preserve">2170720202                    </v>
      </c>
      <c r="Q1938">
        <v>0</v>
      </c>
      <c r="R1938">
        <v>0</v>
      </c>
      <c r="S1938">
        <v>0</v>
      </c>
      <c r="T1938">
        <v>0</v>
      </c>
      <c r="U1938">
        <v>0</v>
      </c>
      <c r="V1938">
        <v>0</v>
      </c>
      <c r="W1938">
        <v>0</v>
      </c>
      <c r="X1938">
        <v>0</v>
      </c>
      <c r="Y1938">
        <v>0</v>
      </c>
      <c r="Z1938">
        <v>0</v>
      </c>
      <c r="AA1938">
        <v>0</v>
      </c>
      <c r="AB1938">
        <v>0</v>
      </c>
      <c r="AC1938">
        <v>0</v>
      </c>
      <c r="AD1938">
        <v>0</v>
      </c>
      <c r="AE1938">
        <v>0</v>
      </c>
      <c r="AF1938">
        <v>0</v>
      </c>
      <c r="AG1938">
        <v>0</v>
      </c>
      <c r="AH1938">
        <v>0</v>
      </c>
      <c r="AI1938">
        <v>0</v>
      </c>
      <c r="AJ1938">
        <v>0</v>
      </c>
      <c r="AK1938">
        <v>0</v>
      </c>
      <c r="AL1938">
        <v>0</v>
      </c>
      <c r="AM1938">
        <v>12.87</v>
      </c>
      <c r="AN1938">
        <v>0</v>
      </c>
      <c r="AO1938">
        <v>0</v>
      </c>
      <c r="AP1938">
        <v>0</v>
      </c>
      <c r="AQ1938">
        <v>0</v>
      </c>
      <c r="AR1938">
        <v>0</v>
      </c>
      <c r="AS1938">
        <v>0</v>
      </c>
      <c r="AT1938">
        <v>0</v>
      </c>
      <c r="AU1938">
        <v>0</v>
      </c>
      <c r="AV1938">
        <v>0</v>
      </c>
      <c r="AW1938">
        <v>0</v>
      </c>
      <c r="AX1938">
        <v>0</v>
      </c>
      <c r="AY1938">
        <v>0</v>
      </c>
      <c r="AZ1938">
        <v>0</v>
      </c>
      <c r="BA1938">
        <v>0</v>
      </c>
      <c r="BB1938">
        <v>0</v>
      </c>
      <c r="BC1938">
        <v>0</v>
      </c>
      <c r="BD1938">
        <v>0</v>
      </c>
      <c r="BE1938">
        <v>0</v>
      </c>
      <c r="BF1938">
        <v>0</v>
      </c>
      <c r="BG1938">
        <v>0</v>
      </c>
      <c r="BH1938">
        <v>1</v>
      </c>
      <c r="BI1938">
        <v>3</v>
      </c>
      <c r="BJ1938">
        <v>2</v>
      </c>
      <c r="BK1938">
        <v>3</v>
      </c>
      <c r="BL1938" s="4">
        <v>75.66</v>
      </c>
      <c r="BM1938" s="4">
        <v>11.35</v>
      </c>
      <c r="BN1938" s="4">
        <v>87.01</v>
      </c>
      <c r="BO1938" s="4">
        <v>87.01</v>
      </c>
      <c r="BR1938" t="s">
        <v>84</v>
      </c>
      <c r="BS1938" s="3">
        <v>43836</v>
      </c>
      <c r="BT1938" s="5">
        <v>0.31805555555555554</v>
      </c>
      <c r="BU1938" t="s">
        <v>482</v>
      </c>
      <c r="BV1938" t="s">
        <v>89</v>
      </c>
      <c r="BY1938">
        <v>9918</v>
      </c>
      <c r="CA1938" t="s">
        <v>131</v>
      </c>
      <c r="CC1938" t="s">
        <v>80</v>
      </c>
      <c r="CD1938">
        <v>6001</v>
      </c>
      <c r="CE1938" t="s">
        <v>96</v>
      </c>
      <c r="CI1938">
        <v>1</v>
      </c>
      <c r="CJ1938">
        <v>12</v>
      </c>
      <c r="CK1938">
        <v>21</v>
      </c>
      <c r="CL1938" t="s">
        <v>89</v>
      </c>
    </row>
    <row r="1939" spans="1:90">
      <c r="A1939" t="s">
        <v>72</v>
      </c>
      <c r="B1939" t="s">
        <v>73</v>
      </c>
      <c r="C1939" t="s">
        <v>74</v>
      </c>
      <c r="E1939" t="str">
        <f>"FES1162729169"</f>
        <v>FES1162729169</v>
      </c>
      <c r="F1939" s="3">
        <v>43818</v>
      </c>
      <c r="G1939">
        <v>202006</v>
      </c>
      <c r="H1939" t="s">
        <v>75</v>
      </c>
      <c r="I1939" t="s">
        <v>76</v>
      </c>
      <c r="J1939" t="s">
        <v>77</v>
      </c>
      <c r="K1939" t="s">
        <v>78</v>
      </c>
      <c r="L1939" t="s">
        <v>164</v>
      </c>
      <c r="M1939" t="s">
        <v>165</v>
      </c>
      <c r="N1939" t="s">
        <v>238</v>
      </c>
      <c r="O1939" t="s">
        <v>82</v>
      </c>
      <c r="P1939" t="str">
        <f>"2170721294                    "</f>
        <v xml:space="preserve">2170721294                    </v>
      </c>
      <c r="Q1939">
        <v>0</v>
      </c>
      <c r="R1939">
        <v>0</v>
      </c>
      <c r="S1939">
        <v>0</v>
      </c>
      <c r="T1939">
        <v>0</v>
      </c>
      <c r="U1939">
        <v>0</v>
      </c>
      <c r="V1939">
        <v>0</v>
      </c>
      <c r="W1939">
        <v>0</v>
      </c>
      <c r="X1939">
        <v>0</v>
      </c>
      <c r="Y1939">
        <v>0</v>
      </c>
      <c r="Z1939">
        <v>0</v>
      </c>
      <c r="AA1939">
        <v>0</v>
      </c>
      <c r="AB1939">
        <v>0</v>
      </c>
      <c r="AC1939">
        <v>0</v>
      </c>
      <c r="AD1939">
        <v>0</v>
      </c>
      <c r="AE1939">
        <v>0</v>
      </c>
      <c r="AF1939">
        <v>0</v>
      </c>
      <c r="AG1939">
        <v>0</v>
      </c>
      <c r="AH1939">
        <v>0</v>
      </c>
      <c r="AI1939">
        <v>0</v>
      </c>
      <c r="AJ1939">
        <v>0</v>
      </c>
      <c r="AK1939">
        <v>0</v>
      </c>
      <c r="AL1939">
        <v>0</v>
      </c>
      <c r="AM1939">
        <v>8.58</v>
      </c>
      <c r="AN1939">
        <v>0</v>
      </c>
      <c r="AO1939">
        <v>0</v>
      </c>
      <c r="AP1939">
        <v>0</v>
      </c>
      <c r="AQ1939">
        <v>0</v>
      </c>
      <c r="AR1939">
        <v>0</v>
      </c>
      <c r="AS1939">
        <v>0</v>
      </c>
      <c r="AT1939">
        <v>0</v>
      </c>
      <c r="AU1939">
        <v>0</v>
      </c>
      <c r="AV1939">
        <v>0</v>
      </c>
      <c r="AW1939">
        <v>0</v>
      </c>
      <c r="AX1939">
        <v>0</v>
      </c>
      <c r="AY1939">
        <v>0</v>
      </c>
      <c r="AZ1939">
        <v>0</v>
      </c>
      <c r="BA1939">
        <v>0</v>
      </c>
      <c r="BB1939">
        <v>0</v>
      </c>
      <c r="BC1939">
        <v>0</v>
      </c>
      <c r="BD1939">
        <v>0</v>
      </c>
      <c r="BE1939">
        <v>0</v>
      </c>
      <c r="BF1939">
        <v>0</v>
      </c>
      <c r="BG1939">
        <v>0</v>
      </c>
      <c r="BH1939">
        <v>1</v>
      </c>
      <c r="BI1939">
        <v>1</v>
      </c>
      <c r="BJ1939">
        <v>0.2</v>
      </c>
      <c r="BK1939">
        <v>1</v>
      </c>
      <c r="BL1939" s="4">
        <v>50.45</v>
      </c>
      <c r="BM1939" s="4">
        <v>7.57</v>
      </c>
      <c r="BN1939" s="4">
        <v>58.02</v>
      </c>
      <c r="BO1939" s="4">
        <v>58.02</v>
      </c>
      <c r="BQ1939" t="s">
        <v>147</v>
      </c>
      <c r="BR1939" t="s">
        <v>84</v>
      </c>
      <c r="BS1939" s="3">
        <v>43819</v>
      </c>
      <c r="BT1939" s="5">
        <v>0.35972222222222222</v>
      </c>
      <c r="BU1939" t="s">
        <v>239</v>
      </c>
      <c r="BV1939" t="s">
        <v>86</v>
      </c>
      <c r="BY1939">
        <v>1200</v>
      </c>
      <c r="CA1939" t="s">
        <v>168</v>
      </c>
      <c r="CC1939" t="s">
        <v>165</v>
      </c>
      <c r="CD1939">
        <v>5201</v>
      </c>
      <c r="CE1939" t="s">
        <v>88</v>
      </c>
      <c r="CF1939" s="3">
        <v>43822</v>
      </c>
      <c r="CI1939">
        <v>1</v>
      </c>
      <c r="CJ1939">
        <v>1</v>
      </c>
      <c r="CK1939">
        <v>21</v>
      </c>
      <c r="CL1939" t="s">
        <v>89</v>
      </c>
    </row>
    <row r="1940" spans="1:90">
      <c r="A1940" t="s">
        <v>72</v>
      </c>
      <c r="B1940" t="s">
        <v>73</v>
      </c>
      <c r="C1940" t="s">
        <v>74</v>
      </c>
      <c r="E1940" t="str">
        <f>"FES1162728720"</f>
        <v>FES1162728720</v>
      </c>
      <c r="F1940" s="3">
        <v>43818</v>
      </c>
      <c r="G1940">
        <v>202006</v>
      </c>
      <c r="H1940" t="s">
        <v>75</v>
      </c>
      <c r="I1940" t="s">
        <v>76</v>
      </c>
      <c r="J1940" t="s">
        <v>77</v>
      </c>
      <c r="K1940" t="s">
        <v>78</v>
      </c>
      <c r="L1940" t="s">
        <v>75</v>
      </c>
      <c r="M1940" t="s">
        <v>76</v>
      </c>
      <c r="N1940" t="s">
        <v>1494</v>
      </c>
      <c r="O1940" t="s">
        <v>82</v>
      </c>
      <c r="P1940" t="str">
        <f>"21707217247                   "</f>
        <v xml:space="preserve">21707217247                   </v>
      </c>
      <c r="Q1940">
        <v>0</v>
      </c>
      <c r="R1940">
        <v>0</v>
      </c>
      <c r="S1940">
        <v>0</v>
      </c>
      <c r="T1940">
        <v>0</v>
      </c>
      <c r="U1940">
        <v>0</v>
      </c>
      <c r="V1940">
        <v>0</v>
      </c>
      <c r="W1940">
        <v>0</v>
      </c>
      <c r="X1940">
        <v>0</v>
      </c>
      <c r="Y1940">
        <v>0</v>
      </c>
      <c r="Z1940">
        <v>0</v>
      </c>
      <c r="AA1940">
        <v>0</v>
      </c>
      <c r="AB1940">
        <v>0</v>
      </c>
      <c r="AC1940">
        <v>0</v>
      </c>
      <c r="AD1940">
        <v>0</v>
      </c>
      <c r="AE1940">
        <v>0</v>
      </c>
      <c r="AF1940">
        <v>0</v>
      </c>
      <c r="AG1940">
        <v>0</v>
      </c>
      <c r="AH1940">
        <v>0</v>
      </c>
      <c r="AI1940">
        <v>0</v>
      </c>
      <c r="AJ1940">
        <v>0</v>
      </c>
      <c r="AK1940">
        <v>0</v>
      </c>
      <c r="AL1940">
        <v>0</v>
      </c>
      <c r="AM1940">
        <v>8.31</v>
      </c>
      <c r="AN1940">
        <v>0</v>
      </c>
      <c r="AO1940">
        <v>0</v>
      </c>
      <c r="AP1940">
        <v>0</v>
      </c>
      <c r="AQ1940">
        <v>0</v>
      </c>
      <c r="AR1940">
        <v>0</v>
      </c>
      <c r="AS1940">
        <v>0</v>
      </c>
      <c r="AT1940">
        <v>0</v>
      </c>
      <c r="AU1940">
        <v>0</v>
      </c>
      <c r="AV1940">
        <v>0</v>
      </c>
      <c r="AW1940">
        <v>0</v>
      </c>
      <c r="AX1940">
        <v>0</v>
      </c>
      <c r="AY1940">
        <v>0</v>
      </c>
      <c r="AZ1940">
        <v>0</v>
      </c>
      <c r="BA1940">
        <v>0</v>
      </c>
      <c r="BB1940">
        <v>0</v>
      </c>
      <c r="BC1940">
        <v>0</v>
      </c>
      <c r="BD1940">
        <v>0</v>
      </c>
      <c r="BE1940">
        <v>0</v>
      </c>
      <c r="BF1940">
        <v>0</v>
      </c>
      <c r="BG1940">
        <v>0</v>
      </c>
      <c r="BH1940">
        <v>1</v>
      </c>
      <c r="BI1940">
        <v>1.8</v>
      </c>
      <c r="BJ1940">
        <v>2.8</v>
      </c>
      <c r="BK1940">
        <v>3</v>
      </c>
      <c r="BL1940" s="4">
        <v>48.86</v>
      </c>
      <c r="BM1940" s="4">
        <v>7.33</v>
      </c>
      <c r="BN1940" s="4">
        <v>56.19</v>
      </c>
      <c r="BO1940" s="4">
        <v>56.19</v>
      </c>
      <c r="BQ1940" t="s">
        <v>1495</v>
      </c>
      <c r="BR1940" t="s">
        <v>84</v>
      </c>
      <c r="BS1940" s="3">
        <v>43832</v>
      </c>
      <c r="BT1940" s="5">
        <v>0.78125</v>
      </c>
      <c r="BU1940" t="s">
        <v>617</v>
      </c>
      <c r="BV1940" t="s">
        <v>89</v>
      </c>
      <c r="BY1940">
        <v>14032.66</v>
      </c>
      <c r="CA1940" t="s">
        <v>620</v>
      </c>
      <c r="CC1940" t="s">
        <v>76</v>
      </c>
      <c r="CD1940">
        <v>1609</v>
      </c>
      <c r="CE1940" t="s">
        <v>116</v>
      </c>
      <c r="CI1940">
        <v>1</v>
      </c>
      <c r="CJ1940">
        <v>10</v>
      </c>
      <c r="CK1940">
        <v>22</v>
      </c>
      <c r="CL1940" t="s">
        <v>89</v>
      </c>
    </row>
    <row r="1941" spans="1:90">
      <c r="A1941" t="s">
        <v>72</v>
      </c>
      <c r="B1941" t="s">
        <v>73</v>
      </c>
      <c r="C1941" t="s">
        <v>74</v>
      </c>
      <c r="E1941" t="str">
        <f>"FES1162728808"</f>
        <v>FES1162728808</v>
      </c>
      <c r="F1941" s="3">
        <v>43818</v>
      </c>
      <c r="G1941">
        <v>202006</v>
      </c>
      <c r="H1941" t="s">
        <v>75</v>
      </c>
      <c r="I1941" t="s">
        <v>76</v>
      </c>
      <c r="J1941" t="s">
        <v>77</v>
      </c>
      <c r="K1941" t="s">
        <v>78</v>
      </c>
      <c r="L1941" t="s">
        <v>332</v>
      </c>
      <c r="M1941" t="s">
        <v>333</v>
      </c>
      <c r="N1941" t="s">
        <v>701</v>
      </c>
      <c r="O1941" t="s">
        <v>82</v>
      </c>
      <c r="P1941" t="str">
        <f>"2170719706                    "</f>
        <v xml:space="preserve">2170719706                    </v>
      </c>
      <c r="Q1941">
        <v>0</v>
      </c>
      <c r="R1941">
        <v>0</v>
      </c>
      <c r="S1941">
        <v>0</v>
      </c>
      <c r="T1941">
        <v>0</v>
      </c>
      <c r="U1941">
        <v>0</v>
      </c>
      <c r="V1941">
        <v>0</v>
      </c>
      <c r="W1941">
        <v>0</v>
      </c>
      <c r="X1941">
        <v>0</v>
      </c>
      <c r="Y1941">
        <v>0</v>
      </c>
      <c r="Z1941">
        <v>0</v>
      </c>
      <c r="AA1941">
        <v>0</v>
      </c>
      <c r="AB1941">
        <v>0</v>
      </c>
      <c r="AC1941">
        <v>0</v>
      </c>
      <c r="AD1941">
        <v>0</v>
      </c>
      <c r="AE1941">
        <v>0</v>
      </c>
      <c r="AF1941">
        <v>0</v>
      </c>
      <c r="AG1941">
        <v>0</v>
      </c>
      <c r="AH1941">
        <v>0</v>
      </c>
      <c r="AI1941">
        <v>0</v>
      </c>
      <c r="AJ1941">
        <v>0</v>
      </c>
      <c r="AK1941">
        <v>0</v>
      </c>
      <c r="AL1941">
        <v>0</v>
      </c>
      <c r="AM1941">
        <v>6.71</v>
      </c>
      <c r="AN1941">
        <v>0</v>
      </c>
      <c r="AO1941">
        <v>0</v>
      </c>
      <c r="AP1941">
        <v>0</v>
      </c>
      <c r="AQ1941">
        <v>0</v>
      </c>
      <c r="AR1941">
        <v>0</v>
      </c>
      <c r="AS1941">
        <v>0</v>
      </c>
      <c r="AT1941">
        <v>0</v>
      </c>
      <c r="AU1941">
        <v>0</v>
      </c>
      <c r="AV1941">
        <v>0</v>
      </c>
      <c r="AW1941">
        <v>0</v>
      </c>
      <c r="AX1941">
        <v>0</v>
      </c>
      <c r="AY1941">
        <v>0</v>
      </c>
      <c r="AZ1941">
        <v>0</v>
      </c>
      <c r="BA1941">
        <v>0</v>
      </c>
      <c r="BB1941">
        <v>0</v>
      </c>
      <c r="BC1941">
        <v>0</v>
      </c>
      <c r="BD1941">
        <v>0</v>
      </c>
      <c r="BE1941">
        <v>0</v>
      </c>
      <c r="BF1941">
        <v>0</v>
      </c>
      <c r="BG1941">
        <v>0</v>
      </c>
      <c r="BH1941">
        <v>1</v>
      </c>
      <c r="BI1941">
        <v>1.8</v>
      </c>
      <c r="BJ1941">
        <v>1.2</v>
      </c>
      <c r="BK1941">
        <v>2</v>
      </c>
      <c r="BL1941" s="4">
        <v>39.42</v>
      </c>
      <c r="BM1941" s="4">
        <v>5.91</v>
      </c>
      <c r="BN1941" s="4">
        <v>45.33</v>
      </c>
      <c r="BO1941" s="4">
        <v>45.33</v>
      </c>
      <c r="BQ1941" t="s">
        <v>93</v>
      </c>
      <c r="BR1941" t="s">
        <v>84</v>
      </c>
      <c r="BS1941" s="3">
        <v>43819</v>
      </c>
      <c r="BT1941" s="5">
        <v>0.34583333333333338</v>
      </c>
      <c r="BU1941" t="s">
        <v>702</v>
      </c>
      <c r="BV1941" t="s">
        <v>86</v>
      </c>
      <c r="BY1941">
        <v>6177.94</v>
      </c>
      <c r="CA1941" t="s">
        <v>700</v>
      </c>
      <c r="CC1941" t="s">
        <v>333</v>
      </c>
      <c r="CD1941">
        <v>2094</v>
      </c>
      <c r="CE1941" t="s">
        <v>96</v>
      </c>
      <c r="CF1941" s="3">
        <v>43822</v>
      </c>
      <c r="CI1941">
        <v>1</v>
      </c>
      <c r="CJ1941">
        <v>1</v>
      </c>
      <c r="CK1941">
        <v>22</v>
      </c>
      <c r="CL1941" t="s">
        <v>89</v>
      </c>
    </row>
    <row r="1942" spans="1:90">
      <c r="A1942" t="s">
        <v>72</v>
      </c>
      <c r="B1942" t="s">
        <v>73</v>
      </c>
      <c r="C1942" t="s">
        <v>74</v>
      </c>
      <c r="E1942" t="str">
        <f>"FES1162728832"</f>
        <v>FES1162728832</v>
      </c>
      <c r="F1942" s="3">
        <v>43818</v>
      </c>
      <c r="G1942">
        <v>202006</v>
      </c>
      <c r="H1942" t="s">
        <v>75</v>
      </c>
      <c r="I1942" t="s">
        <v>76</v>
      </c>
      <c r="J1942" t="s">
        <v>77</v>
      </c>
      <c r="K1942" t="s">
        <v>78</v>
      </c>
      <c r="L1942" t="s">
        <v>860</v>
      </c>
      <c r="M1942" t="s">
        <v>861</v>
      </c>
      <c r="N1942" t="s">
        <v>907</v>
      </c>
      <c r="O1942" t="s">
        <v>82</v>
      </c>
      <c r="P1942" t="str">
        <f>"2170720074                    "</f>
        <v xml:space="preserve">2170720074                    </v>
      </c>
      <c r="Q1942">
        <v>0</v>
      </c>
      <c r="R1942">
        <v>0</v>
      </c>
      <c r="S1942">
        <v>0</v>
      </c>
      <c r="T1942">
        <v>0</v>
      </c>
      <c r="U1942">
        <v>0</v>
      </c>
      <c r="V1942">
        <v>0</v>
      </c>
      <c r="W1942">
        <v>0</v>
      </c>
      <c r="X1942">
        <v>0</v>
      </c>
      <c r="Y1942">
        <v>0</v>
      </c>
      <c r="Z1942">
        <v>0</v>
      </c>
      <c r="AA1942">
        <v>0</v>
      </c>
      <c r="AB1942">
        <v>0</v>
      </c>
      <c r="AC1942">
        <v>0</v>
      </c>
      <c r="AD1942">
        <v>0</v>
      </c>
      <c r="AE1942">
        <v>0</v>
      </c>
      <c r="AF1942">
        <v>0</v>
      </c>
      <c r="AG1942">
        <v>0</v>
      </c>
      <c r="AH1942">
        <v>0</v>
      </c>
      <c r="AI1942">
        <v>0</v>
      </c>
      <c r="AJ1942">
        <v>0</v>
      </c>
      <c r="AK1942">
        <v>0</v>
      </c>
      <c r="AL1942">
        <v>0</v>
      </c>
      <c r="AM1942">
        <v>6.71</v>
      </c>
      <c r="AN1942">
        <v>0</v>
      </c>
      <c r="AO1942">
        <v>0</v>
      </c>
      <c r="AP1942">
        <v>0</v>
      </c>
      <c r="AQ1942">
        <v>0</v>
      </c>
      <c r="AR1942">
        <v>0</v>
      </c>
      <c r="AS1942">
        <v>0</v>
      </c>
      <c r="AT1942">
        <v>0</v>
      </c>
      <c r="AU1942">
        <v>0</v>
      </c>
      <c r="AV1942">
        <v>0</v>
      </c>
      <c r="AW1942">
        <v>0</v>
      </c>
      <c r="AX1942">
        <v>0</v>
      </c>
      <c r="AY1942">
        <v>0</v>
      </c>
      <c r="AZ1942">
        <v>0</v>
      </c>
      <c r="BA1942">
        <v>0</v>
      </c>
      <c r="BB1942">
        <v>0</v>
      </c>
      <c r="BC1942">
        <v>0</v>
      </c>
      <c r="BD1942">
        <v>0</v>
      </c>
      <c r="BE1942">
        <v>0</v>
      </c>
      <c r="BF1942">
        <v>0</v>
      </c>
      <c r="BG1942">
        <v>0</v>
      </c>
      <c r="BH1942">
        <v>1</v>
      </c>
      <c r="BI1942">
        <v>0.7</v>
      </c>
      <c r="BJ1942">
        <v>0.9</v>
      </c>
      <c r="BK1942">
        <v>1</v>
      </c>
      <c r="BL1942" s="4">
        <v>39.42</v>
      </c>
      <c r="BM1942" s="4">
        <v>5.91</v>
      </c>
      <c r="BN1942" s="4">
        <v>45.33</v>
      </c>
      <c r="BO1942" s="4">
        <v>45.33</v>
      </c>
      <c r="BR1942" t="s">
        <v>84</v>
      </c>
      <c r="BS1942" s="3">
        <v>43819</v>
      </c>
      <c r="BT1942" s="5">
        <v>0.31666666666666665</v>
      </c>
      <c r="BU1942" t="s">
        <v>2252</v>
      </c>
      <c r="BV1942" t="s">
        <v>86</v>
      </c>
      <c r="BY1942">
        <v>4748.9399999999996</v>
      </c>
      <c r="CC1942" t="s">
        <v>861</v>
      </c>
      <c r="CD1942">
        <v>2194</v>
      </c>
      <c r="CE1942" t="s">
        <v>116</v>
      </c>
      <c r="CF1942" s="3">
        <v>43822</v>
      </c>
      <c r="CI1942">
        <v>1</v>
      </c>
      <c r="CJ1942">
        <v>1</v>
      </c>
      <c r="CK1942">
        <v>22</v>
      </c>
      <c r="CL1942" t="s">
        <v>89</v>
      </c>
    </row>
    <row r="1943" spans="1:90">
      <c r="A1943" t="s">
        <v>72</v>
      </c>
      <c r="B1943" t="s">
        <v>73</v>
      </c>
      <c r="C1943" t="s">
        <v>74</v>
      </c>
      <c r="E1943" t="str">
        <f>"FES1162728729"</f>
        <v>FES1162728729</v>
      </c>
      <c r="F1943" s="3">
        <v>43818</v>
      </c>
      <c r="G1943">
        <v>202006</v>
      </c>
      <c r="H1943" t="s">
        <v>75</v>
      </c>
      <c r="I1943" t="s">
        <v>76</v>
      </c>
      <c r="J1943" t="s">
        <v>77</v>
      </c>
      <c r="K1943" t="s">
        <v>78</v>
      </c>
      <c r="L1943" t="s">
        <v>332</v>
      </c>
      <c r="M1943" t="s">
        <v>333</v>
      </c>
      <c r="N1943" t="s">
        <v>1006</v>
      </c>
      <c r="O1943" t="s">
        <v>82</v>
      </c>
      <c r="P1943" t="str">
        <f>"2170720042                    "</f>
        <v xml:space="preserve">2170720042                    </v>
      </c>
      <c r="Q1943">
        <v>0</v>
      </c>
      <c r="R1943">
        <v>0</v>
      </c>
      <c r="S1943">
        <v>0</v>
      </c>
      <c r="T1943">
        <v>0</v>
      </c>
      <c r="U1943">
        <v>0</v>
      </c>
      <c r="V1943">
        <v>0</v>
      </c>
      <c r="W1943">
        <v>0</v>
      </c>
      <c r="X1943">
        <v>0</v>
      </c>
      <c r="Y1943">
        <v>0</v>
      </c>
      <c r="Z1943">
        <v>0</v>
      </c>
      <c r="AA1943">
        <v>0</v>
      </c>
      <c r="AB1943">
        <v>0</v>
      </c>
      <c r="AC1943">
        <v>0</v>
      </c>
      <c r="AD1943">
        <v>0</v>
      </c>
      <c r="AE1943">
        <v>0</v>
      </c>
      <c r="AF1943">
        <v>0</v>
      </c>
      <c r="AG1943">
        <v>0</v>
      </c>
      <c r="AH1943">
        <v>0</v>
      </c>
      <c r="AI1943">
        <v>0</v>
      </c>
      <c r="AJ1943">
        <v>0</v>
      </c>
      <c r="AK1943">
        <v>0</v>
      </c>
      <c r="AL1943">
        <v>0</v>
      </c>
      <c r="AM1943">
        <v>9.92</v>
      </c>
      <c r="AN1943">
        <v>0</v>
      </c>
      <c r="AO1943">
        <v>0</v>
      </c>
      <c r="AP1943">
        <v>0</v>
      </c>
      <c r="AQ1943">
        <v>0</v>
      </c>
      <c r="AR1943">
        <v>0</v>
      </c>
      <c r="AS1943">
        <v>0</v>
      </c>
      <c r="AT1943">
        <v>0</v>
      </c>
      <c r="AU1943">
        <v>0</v>
      </c>
      <c r="AV1943">
        <v>0</v>
      </c>
      <c r="AW1943">
        <v>0</v>
      </c>
      <c r="AX1943">
        <v>0</v>
      </c>
      <c r="AY1943">
        <v>0</v>
      </c>
      <c r="AZ1943">
        <v>0</v>
      </c>
      <c r="BA1943">
        <v>0</v>
      </c>
      <c r="BB1943">
        <v>0</v>
      </c>
      <c r="BC1943">
        <v>0</v>
      </c>
      <c r="BD1943">
        <v>0</v>
      </c>
      <c r="BE1943">
        <v>0</v>
      </c>
      <c r="BF1943">
        <v>0</v>
      </c>
      <c r="BG1943">
        <v>0</v>
      </c>
      <c r="BH1943">
        <v>1</v>
      </c>
      <c r="BI1943">
        <v>3.6</v>
      </c>
      <c r="BJ1943">
        <v>2.7</v>
      </c>
      <c r="BK1943">
        <v>4</v>
      </c>
      <c r="BL1943" s="4">
        <v>58.31</v>
      </c>
      <c r="BM1943" s="4">
        <v>8.75</v>
      </c>
      <c r="BN1943" s="4">
        <v>67.06</v>
      </c>
      <c r="BO1943" s="4">
        <v>67.06</v>
      </c>
      <c r="BQ1943" t="s">
        <v>1007</v>
      </c>
      <c r="BR1943" t="s">
        <v>84</v>
      </c>
      <c r="BS1943" s="3">
        <v>43819</v>
      </c>
      <c r="BT1943" s="5">
        <v>0.3576388888888889</v>
      </c>
      <c r="BU1943" t="s">
        <v>2253</v>
      </c>
      <c r="BV1943" t="s">
        <v>86</v>
      </c>
      <c r="BY1943">
        <v>13539.96</v>
      </c>
      <c r="CC1943" t="s">
        <v>333</v>
      </c>
      <c r="CD1943">
        <v>2013</v>
      </c>
      <c r="CE1943" t="s">
        <v>116</v>
      </c>
      <c r="CF1943" s="3">
        <v>43822</v>
      </c>
      <c r="CI1943">
        <v>1</v>
      </c>
      <c r="CJ1943">
        <v>1</v>
      </c>
      <c r="CK1943">
        <v>22</v>
      </c>
      <c r="CL1943" t="s">
        <v>89</v>
      </c>
    </row>
    <row r="1944" spans="1:90">
      <c r="A1944" t="s">
        <v>72</v>
      </c>
      <c r="B1944" t="s">
        <v>73</v>
      </c>
      <c r="C1944" t="s">
        <v>74</v>
      </c>
      <c r="E1944" t="str">
        <f>"RFES1162728455"</f>
        <v>RFES1162728455</v>
      </c>
      <c r="F1944" s="3">
        <v>43818</v>
      </c>
      <c r="G1944">
        <v>202006</v>
      </c>
      <c r="H1944" t="s">
        <v>201</v>
      </c>
      <c r="I1944" t="s">
        <v>202</v>
      </c>
      <c r="J1944" t="s">
        <v>1716</v>
      </c>
      <c r="K1944" t="s">
        <v>78</v>
      </c>
      <c r="L1944" t="s">
        <v>75</v>
      </c>
      <c r="M1944" t="s">
        <v>76</v>
      </c>
      <c r="N1944" t="s">
        <v>77</v>
      </c>
      <c r="O1944" t="s">
        <v>82</v>
      </c>
      <c r="P1944" t="str">
        <f>"2170721689                    "</f>
        <v xml:space="preserve">2170721689                    </v>
      </c>
      <c r="Q1944">
        <v>0</v>
      </c>
      <c r="R1944">
        <v>0</v>
      </c>
      <c r="S1944">
        <v>0</v>
      </c>
      <c r="T1944">
        <v>0</v>
      </c>
      <c r="U1944">
        <v>0</v>
      </c>
      <c r="V1944">
        <v>0</v>
      </c>
      <c r="W1944">
        <v>0</v>
      </c>
      <c r="X1944">
        <v>0</v>
      </c>
      <c r="Y1944">
        <v>0</v>
      </c>
      <c r="Z1944">
        <v>0</v>
      </c>
      <c r="AA1944">
        <v>0</v>
      </c>
      <c r="AB1944">
        <v>0</v>
      </c>
      <c r="AC1944">
        <v>0</v>
      </c>
      <c r="AD1944">
        <v>0</v>
      </c>
      <c r="AE1944">
        <v>0</v>
      </c>
      <c r="AF1944">
        <v>0</v>
      </c>
      <c r="AG1944">
        <v>0</v>
      </c>
      <c r="AH1944">
        <v>0</v>
      </c>
      <c r="AI1944">
        <v>0</v>
      </c>
      <c r="AJ1944">
        <v>0</v>
      </c>
      <c r="AK1944">
        <v>0</v>
      </c>
      <c r="AL1944">
        <v>0</v>
      </c>
      <c r="AM1944">
        <v>8.58</v>
      </c>
      <c r="AN1944">
        <v>0</v>
      </c>
      <c r="AO1944">
        <v>0</v>
      </c>
      <c r="AP1944">
        <v>0</v>
      </c>
      <c r="AQ1944">
        <v>0</v>
      </c>
      <c r="AR1944">
        <v>0</v>
      </c>
      <c r="AS1944">
        <v>0</v>
      </c>
      <c r="AT1944">
        <v>0</v>
      </c>
      <c r="AU1944">
        <v>0</v>
      </c>
      <c r="AV1944">
        <v>0</v>
      </c>
      <c r="AW1944">
        <v>0</v>
      </c>
      <c r="AX1944">
        <v>0</v>
      </c>
      <c r="AY1944">
        <v>0</v>
      </c>
      <c r="AZ1944">
        <v>0</v>
      </c>
      <c r="BA1944">
        <v>0</v>
      </c>
      <c r="BB1944">
        <v>0</v>
      </c>
      <c r="BC1944">
        <v>0</v>
      </c>
      <c r="BD1944">
        <v>0</v>
      </c>
      <c r="BE1944">
        <v>0</v>
      </c>
      <c r="BF1944">
        <v>0</v>
      </c>
      <c r="BG1944">
        <v>0</v>
      </c>
      <c r="BH1944">
        <v>1</v>
      </c>
      <c r="BI1944">
        <v>1</v>
      </c>
      <c r="BJ1944">
        <v>0.2</v>
      </c>
      <c r="BK1944">
        <v>1</v>
      </c>
      <c r="BL1944" s="4">
        <v>50.45</v>
      </c>
      <c r="BM1944" s="4">
        <v>7.57</v>
      </c>
      <c r="BN1944" s="4">
        <v>58.02</v>
      </c>
      <c r="BO1944" s="4">
        <v>58.02</v>
      </c>
      <c r="BQ1944" t="s">
        <v>84</v>
      </c>
      <c r="BR1944" t="s">
        <v>147</v>
      </c>
      <c r="BS1944" s="3">
        <v>43819</v>
      </c>
      <c r="BT1944" s="5">
        <v>0.39166666666666666</v>
      </c>
      <c r="BU1944" t="s">
        <v>2254</v>
      </c>
      <c r="BV1944" t="s">
        <v>86</v>
      </c>
      <c r="BY1944">
        <v>1200</v>
      </c>
      <c r="BZ1944" t="s">
        <v>27</v>
      </c>
      <c r="CA1944" t="s">
        <v>155</v>
      </c>
      <c r="CC1944" t="s">
        <v>76</v>
      </c>
      <c r="CD1944">
        <v>1601</v>
      </c>
      <c r="CE1944" t="s">
        <v>88</v>
      </c>
      <c r="CF1944" s="3">
        <v>43822</v>
      </c>
      <c r="CI1944">
        <v>1</v>
      </c>
      <c r="CJ1944">
        <v>1</v>
      </c>
      <c r="CK1944">
        <v>21</v>
      </c>
      <c r="CL1944" t="s">
        <v>89</v>
      </c>
    </row>
    <row r="1945" spans="1:90">
      <c r="A1945" t="s">
        <v>72</v>
      </c>
      <c r="B1945" t="s">
        <v>73</v>
      </c>
      <c r="C1945" t="s">
        <v>74</v>
      </c>
      <c r="E1945" t="str">
        <f>"FES1162729297"</f>
        <v>FES1162729297</v>
      </c>
      <c r="F1945" s="3">
        <v>43819</v>
      </c>
      <c r="G1945">
        <v>202006</v>
      </c>
      <c r="H1945" t="s">
        <v>75</v>
      </c>
      <c r="I1945" t="s">
        <v>76</v>
      </c>
      <c r="J1945" t="s">
        <v>77</v>
      </c>
      <c r="K1945" t="s">
        <v>78</v>
      </c>
      <c r="L1945" t="s">
        <v>198</v>
      </c>
      <c r="M1945" t="s">
        <v>199</v>
      </c>
      <c r="N1945" t="s">
        <v>2255</v>
      </c>
      <c r="O1945" t="s">
        <v>82</v>
      </c>
      <c r="P1945" t="str">
        <f>"2170721226                    "</f>
        <v xml:space="preserve">2170721226                    </v>
      </c>
      <c r="Q1945">
        <v>0</v>
      </c>
      <c r="R1945">
        <v>0</v>
      </c>
      <c r="S1945">
        <v>0</v>
      </c>
      <c r="T1945">
        <v>0</v>
      </c>
      <c r="U1945">
        <v>0</v>
      </c>
      <c r="V1945">
        <v>0</v>
      </c>
      <c r="W1945">
        <v>0</v>
      </c>
      <c r="X1945">
        <v>0</v>
      </c>
      <c r="Y1945">
        <v>0</v>
      </c>
      <c r="Z1945">
        <v>0</v>
      </c>
      <c r="AA1945">
        <v>0</v>
      </c>
      <c r="AB1945">
        <v>0</v>
      </c>
      <c r="AC1945">
        <v>0</v>
      </c>
      <c r="AD1945">
        <v>0</v>
      </c>
      <c r="AE1945">
        <v>0</v>
      </c>
      <c r="AF1945">
        <v>0</v>
      </c>
      <c r="AG1945">
        <v>0</v>
      </c>
      <c r="AH1945">
        <v>0</v>
      </c>
      <c r="AI1945">
        <v>0</v>
      </c>
      <c r="AJ1945">
        <v>0</v>
      </c>
      <c r="AK1945">
        <v>0</v>
      </c>
      <c r="AL1945">
        <v>0</v>
      </c>
      <c r="AM1945">
        <v>8.58</v>
      </c>
      <c r="AN1945">
        <v>0</v>
      </c>
      <c r="AO1945">
        <v>0</v>
      </c>
      <c r="AP1945">
        <v>0</v>
      </c>
      <c r="AQ1945">
        <v>0</v>
      </c>
      <c r="AR1945">
        <v>0</v>
      </c>
      <c r="AS1945">
        <v>0</v>
      </c>
      <c r="AT1945">
        <v>0</v>
      </c>
      <c r="AU1945">
        <v>0</v>
      </c>
      <c r="AV1945">
        <v>0</v>
      </c>
      <c r="AW1945">
        <v>0</v>
      </c>
      <c r="AX1945">
        <v>0</v>
      </c>
      <c r="AY1945">
        <v>0</v>
      </c>
      <c r="AZ1945">
        <v>0</v>
      </c>
      <c r="BA1945">
        <v>0</v>
      </c>
      <c r="BB1945">
        <v>0</v>
      </c>
      <c r="BC1945">
        <v>0</v>
      </c>
      <c r="BD1945">
        <v>0</v>
      </c>
      <c r="BE1945">
        <v>0</v>
      </c>
      <c r="BF1945">
        <v>0</v>
      </c>
      <c r="BG1945">
        <v>0</v>
      </c>
      <c r="BH1945">
        <v>1</v>
      </c>
      <c r="BI1945">
        <v>1.1000000000000001</v>
      </c>
      <c r="BJ1945">
        <v>0.8</v>
      </c>
      <c r="BK1945">
        <v>1.5</v>
      </c>
      <c r="BL1945" s="4">
        <v>50.45</v>
      </c>
      <c r="BM1945" s="4">
        <v>7.57</v>
      </c>
      <c r="BN1945" s="4">
        <v>58.02</v>
      </c>
      <c r="BO1945" s="4">
        <v>58.02</v>
      </c>
      <c r="BQ1945" t="s">
        <v>436</v>
      </c>
      <c r="BR1945" t="s">
        <v>84</v>
      </c>
      <c r="BS1945" t="s">
        <v>717</v>
      </c>
      <c r="BY1945">
        <v>4213</v>
      </c>
      <c r="CC1945" t="s">
        <v>199</v>
      </c>
      <c r="CD1945">
        <v>4001</v>
      </c>
      <c r="CE1945" t="s">
        <v>96</v>
      </c>
      <c r="CI1945">
        <v>1</v>
      </c>
      <c r="CJ1945" t="s">
        <v>717</v>
      </c>
      <c r="CK1945">
        <v>21</v>
      </c>
      <c r="CL1945" t="s">
        <v>89</v>
      </c>
    </row>
    <row r="1946" spans="1:90">
      <c r="A1946" t="s">
        <v>72</v>
      </c>
      <c r="B1946" t="s">
        <v>73</v>
      </c>
      <c r="C1946" t="s">
        <v>74</v>
      </c>
      <c r="E1946" t="str">
        <f>"FES1162729284"</f>
        <v>FES1162729284</v>
      </c>
      <c r="F1946" s="3">
        <v>43819</v>
      </c>
      <c r="G1946">
        <v>202006</v>
      </c>
      <c r="H1946" t="s">
        <v>75</v>
      </c>
      <c r="I1946" t="s">
        <v>76</v>
      </c>
      <c r="J1946" t="s">
        <v>77</v>
      </c>
      <c r="K1946" t="s">
        <v>78</v>
      </c>
      <c r="L1946" t="s">
        <v>198</v>
      </c>
      <c r="M1946" t="s">
        <v>199</v>
      </c>
      <c r="N1946" t="s">
        <v>525</v>
      </c>
      <c r="O1946" t="s">
        <v>82</v>
      </c>
      <c r="P1946" t="str">
        <f>"2170719398                    "</f>
        <v xml:space="preserve">2170719398                    </v>
      </c>
      <c r="Q1946">
        <v>0</v>
      </c>
      <c r="R1946">
        <v>0</v>
      </c>
      <c r="S1946">
        <v>0</v>
      </c>
      <c r="T1946">
        <v>0</v>
      </c>
      <c r="U1946">
        <v>0</v>
      </c>
      <c r="V1946">
        <v>0</v>
      </c>
      <c r="W1946">
        <v>0</v>
      </c>
      <c r="X1946">
        <v>0</v>
      </c>
      <c r="Y1946">
        <v>0</v>
      </c>
      <c r="Z1946">
        <v>0</v>
      </c>
      <c r="AA1946">
        <v>0</v>
      </c>
      <c r="AB1946">
        <v>0</v>
      </c>
      <c r="AC1946">
        <v>0</v>
      </c>
      <c r="AD1946">
        <v>0</v>
      </c>
      <c r="AE1946">
        <v>0</v>
      </c>
      <c r="AF1946">
        <v>0</v>
      </c>
      <c r="AG1946">
        <v>0</v>
      </c>
      <c r="AH1946">
        <v>0</v>
      </c>
      <c r="AI1946">
        <v>0</v>
      </c>
      <c r="AJ1946">
        <v>0</v>
      </c>
      <c r="AK1946">
        <v>0</v>
      </c>
      <c r="AL1946">
        <v>0</v>
      </c>
      <c r="AM1946">
        <v>8.58</v>
      </c>
      <c r="AN1946">
        <v>0</v>
      </c>
      <c r="AO1946">
        <v>0</v>
      </c>
      <c r="AP1946">
        <v>0</v>
      </c>
      <c r="AQ1946">
        <v>0</v>
      </c>
      <c r="AR1946">
        <v>0</v>
      </c>
      <c r="AS1946">
        <v>0</v>
      </c>
      <c r="AT1946">
        <v>0</v>
      </c>
      <c r="AU1946">
        <v>0</v>
      </c>
      <c r="AV1946">
        <v>0</v>
      </c>
      <c r="AW1946">
        <v>0</v>
      </c>
      <c r="AX1946">
        <v>0</v>
      </c>
      <c r="AY1946">
        <v>0</v>
      </c>
      <c r="AZ1946">
        <v>0</v>
      </c>
      <c r="BA1946">
        <v>0</v>
      </c>
      <c r="BB1946">
        <v>0</v>
      </c>
      <c r="BC1946">
        <v>0</v>
      </c>
      <c r="BD1946">
        <v>0</v>
      </c>
      <c r="BE1946">
        <v>0</v>
      </c>
      <c r="BF1946">
        <v>0</v>
      </c>
      <c r="BG1946">
        <v>0</v>
      </c>
      <c r="BH1946">
        <v>1</v>
      </c>
      <c r="BI1946">
        <v>1</v>
      </c>
      <c r="BJ1946">
        <v>0.2</v>
      </c>
      <c r="BK1946">
        <v>1</v>
      </c>
      <c r="BL1946" s="4">
        <v>50.45</v>
      </c>
      <c r="BM1946" s="4">
        <v>7.57</v>
      </c>
      <c r="BN1946" s="4">
        <v>58.02</v>
      </c>
      <c r="BO1946" s="4">
        <v>58.02</v>
      </c>
      <c r="BQ1946" t="s">
        <v>147</v>
      </c>
      <c r="BR1946" t="s">
        <v>84</v>
      </c>
      <c r="BS1946" s="3">
        <v>43822</v>
      </c>
      <c r="BT1946" s="5">
        <v>0.38125000000000003</v>
      </c>
      <c r="BU1946" t="s">
        <v>526</v>
      </c>
      <c r="BV1946" t="s">
        <v>86</v>
      </c>
      <c r="BY1946">
        <v>1200</v>
      </c>
      <c r="CA1946" t="s">
        <v>408</v>
      </c>
      <c r="CC1946" t="s">
        <v>199</v>
      </c>
      <c r="CD1946">
        <v>4001</v>
      </c>
      <c r="CE1946" t="s">
        <v>88</v>
      </c>
      <c r="CF1946" s="3">
        <v>43823</v>
      </c>
      <c r="CI1946">
        <v>1</v>
      </c>
      <c r="CJ1946">
        <v>1</v>
      </c>
      <c r="CK1946">
        <v>21</v>
      </c>
      <c r="CL1946" t="s">
        <v>89</v>
      </c>
    </row>
    <row r="1947" spans="1:90">
      <c r="A1947" t="s">
        <v>72</v>
      </c>
      <c r="B1947" t="s">
        <v>73</v>
      </c>
      <c r="C1947" t="s">
        <v>74</v>
      </c>
      <c r="E1947" t="str">
        <f>"FES1162729350"</f>
        <v>FES1162729350</v>
      </c>
      <c r="F1947" s="3">
        <v>43819</v>
      </c>
      <c r="G1947">
        <v>202006</v>
      </c>
      <c r="H1947" t="s">
        <v>75</v>
      </c>
      <c r="I1947" t="s">
        <v>76</v>
      </c>
      <c r="J1947" t="s">
        <v>77</v>
      </c>
      <c r="K1947" t="s">
        <v>78</v>
      </c>
      <c r="L1947" t="s">
        <v>90</v>
      </c>
      <c r="M1947" t="s">
        <v>91</v>
      </c>
      <c r="N1947" t="s">
        <v>802</v>
      </c>
      <c r="O1947" t="s">
        <v>82</v>
      </c>
      <c r="P1947" t="str">
        <f>"2170722339                    "</f>
        <v xml:space="preserve">2170722339                    </v>
      </c>
      <c r="Q1947">
        <v>0</v>
      </c>
      <c r="R1947">
        <v>0</v>
      </c>
      <c r="S1947">
        <v>0</v>
      </c>
      <c r="T1947">
        <v>0</v>
      </c>
      <c r="U1947">
        <v>0</v>
      </c>
      <c r="V1947">
        <v>0</v>
      </c>
      <c r="W1947">
        <v>0</v>
      </c>
      <c r="X1947">
        <v>0</v>
      </c>
      <c r="Y1947">
        <v>0</v>
      </c>
      <c r="Z1947">
        <v>0</v>
      </c>
      <c r="AA1947">
        <v>0</v>
      </c>
      <c r="AB1947">
        <v>0</v>
      </c>
      <c r="AC1947">
        <v>0</v>
      </c>
      <c r="AD1947">
        <v>0</v>
      </c>
      <c r="AE1947">
        <v>0</v>
      </c>
      <c r="AF1947">
        <v>0</v>
      </c>
      <c r="AG1947">
        <v>0</v>
      </c>
      <c r="AH1947">
        <v>0</v>
      </c>
      <c r="AI1947">
        <v>0</v>
      </c>
      <c r="AJ1947">
        <v>0</v>
      </c>
      <c r="AK1947">
        <v>0</v>
      </c>
      <c r="AL1947">
        <v>0</v>
      </c>
      <c r="AM1947">
        <v>8.58</v>
      </c>
      <c r="AN1947">
        <v>0</v>
      </c>
      <c r="AO1947">
        <v>0</v>
      </c>
      <c r="AP1947">
        <v>0</v>
      </c>
      <c r="AQ1947">
        <v>0</v>
      </c>
      <c r="AR1947">
        <v>0</v>
      </c>
      <c r="AS1947">
        <v>0</v>
      </c>
      <c r="AT1947">
        <v>0</v>
      </c>
      <c r="AU1947">
        <v>0</v>
      </c>
      <c r="AV1947">
        <v>0</v>
      </c>
      <c r="AW1947">
        <v>0</v>
      </c>
      <c r="AX1947">
        <v>0</v>
      </c>
      <c r="AY1947">
        <v>0</v>
      </c>
      <c r="AZ1947">
        <v>0</v>
      </c>
      <c r="BA1947">
        <v>0</v>
      </c>
      <c r="BB1947">
        <v>0</v>
      </c>
      <c r="BC1947">
        <v>0</v>
      </c>
      <c r="BD1947">
        <v>0</v>
      </c>
      <c r="BE1947">
        <v>0</v>
      </c>
      <c r="BF1947">
        <v>0</v>
      </c>
      <c r="BG1947">
        <v>0</v>
      </c>
      <c r="BH1947">
        <v>1</v>
      </c>
      <c r="BI1947">
        <v>1</v>
      </c>
      <c r="BJ1947">
        <v>0.2</v>
      </c>
      <c r="BK1947">
        <v>1</v>
      </c>
      <c r="BL1947" s="4">
        <v>50.45</v>
      </c>
      <c r="BM1947" s="4">
        <v>7.57</v>
      </c>
      <c r="BN1947" s="4">
        <v>58.02</v>
      </c>
      <c r="BO1947" s="4">
        <v>58.02</v>
      </c>
      <c r="BQ1947" t="s">
        <v>803</v>
      </c>
      <c r="BR1947" t="s">
        <v>84</v>
      </c>
      <c r="BS1947" s="3">
        <v>43822</v>
      </c>
      <c r="BT1947" s="5">
        <v>0.34166666666666662</v>
      </c>
      <c r="BU1947" t="s">
        <v>804</v>
      </c>
      <c r="BV1947" t="s">
        <v>86</v>
      </c>
      <c r="BY1947">
        <v>1200</v>
      </c>
      <c r="CA1947" t="s">
        <v>539</v>
      </c>
      <c r="CC1947" t="s">
        <v>91</v>
      </c>
      <c r="CD1947">
        <v>7530</v>
      </c>
      <c r="CE1947" t="s">
        <v>88</v>
      </c>
      <c r="CF1947" s="3">
        <v>43823</v>
      </c>
      <c r="CI1947">
        <v>1</v>
      </c>
      <c r="CJ1947">
        <v>1</v>
      </c>
      <c r="CK1947">
        <v>21</v>
      </c>
      <c r="CL1947" t="s">
        <v>89</v>
      </c>
    </row>
    <row r="1948" spans="1:90">
      <c r="A1948" t="s">
        <v>72</v>
      </c>
      <c r="B1948" t="s">
        <v>73</v>
      </c>
      <c r="C1948" t="s">
        <v>74</v>
      </c>
      <c r="E1948" t="str">
        <f>"FES1162729283"</f>
        <v>FES1162729283</v>
      </c>
      <c r="F1948" s="3">
        <v>43819</v>
      </c>
      <c r="G1948">
        <v>202006</v>
      </c>
      <c r="H1948" t="s">
        <v>75</v>
      </c>
      <c r="I1948" t="s">
        <v>76</v>
      </c>
      <c r="J1948" t="s">
        <v>77</v>
      </c>
      <c r="K1948" t="s">
        <v>78</v>
      </c>
      <c r="L1948" t="s">
        <v>169</v>
      </c>
      <c r="M1948" t="s">
        <v>170</v>
      </c>
      <c r="N1948" t="s">
        <v>1800</v>
      </c>
      <c r="O1948" t="s">
        <v>82</v>
      </c>
      <c r="P1948" t="str">
        <f>"2170718505                    "</f>
        <v xml:space="preserve">2170718505                    </v>
      </c>
      <c r="Q1948">
        <v>0</v>
      </c>
      <c r="R1948">
        <v>0</v>
      </c>
      <c r="S1948">
        <v>0</v>
      </c>
      <c r="T1948">
        <v>0</v>
      </c>
      <c r="U1948">
        <v>0</v>
      </c>
      <c r="V1948">
        <v>0</v>
      </c>
      <c r="W1948">
        <v>0</v>
      </c>
      <c r="X1948">
        <v>0</v>
      </c>
      <c r="Y1948">
        <v>0</v>
      </c>
      <c r="Z1948">
        <v>0</v>
      </c>
      <c r="AA1948">
        <v>0</v>
      </c>
      <c r="AB1948">
        <v>0</v>
      </c>
      <c r="AC1948">
        <v>0</v>
      </c>
      <c r="AD1948">
        <v>0</v>
      </c>
      <c r="AE1948">
        <v>0</v>
      </c>
      <c r="AF1948">
        <v>0</v>
      </c>
      <c r="AG1948">
        <v>0</v>
      </c>
      <c r="AH1948">
        <v>0</v>
      </c>
      <c r="AI1948">
        <v>0</v>
      </c>
      <c r="AJ1948">
        <v>0</v>
      </c>
      <c r="AK1948">
        <v>0</v>
      </c>
      <c r="AL1948">
        <v>0</v>
      </c>
      <c r="AM1948">
        <v>6.71</v>
      </c>
      <c r="AN1948">
        <v>0</v>
      </c>
      <c r="AO1948">
        <v>0</v>
      </c>
      <c r="AP1948">
        <v>0</v>
      </c>
      <c r="AQ1948">
        <v>0</v>
      </c>
      <c r="AR1948">
        <v>0</v>
      </c>
      <c r="AS1948">
        <v>0</v>
      </c>
      <c r="AT1948">
        <v>0</v>
      </c>
      <c r="AU1948">
        <v>0</v>
      </c>
      <c r="AV1948">
        <v>0</v>
      </c>
      <c r="AW1948">
        <v>0</v>
      </c>
      <c r="AX1948">
        <v>0</v>
      </c>
      <c r="AY1948">
        <v>0</v>
      </c>
      <c r="AZ1948">
        <v>0</v>
      </c>
      <c r="BA1948">
        <v>0</v>
      </c>
      <c r="BB1948">
        <v>0</v>
      </c>
      <c r="BC1948">
        <v>0</v>
      </c>
      <c r="BD1948">
        <v>0</v>
      </c>
      <c r="BE1948">
        <v>0</v>
      </c>
      <c r="BF1948">
        <v>0</v>
      </c>
      <c r="BG1948">
        <v>0</v>
      </c>
      <c r="BH1948">
        <v>1</v>
      </c>
      <c r="BI1948">
        <v>1</v>
      </c>
      <c r="BJ1948">
        <v>0.2</v>
      </c>
      <c r="BK1948">
        <v>1</v>
      </c>
      <c r="BL1948" s="4">
        <v>39.42</v>
      </c>
      <c r="BM1948" s="4">
        <v>5.91</v>
      </c>
      <c r="BN1948" s="4">
        <v>45.33</v>
      </c>
      <c r="BO1948" s="4">
        <v>45.33</v>
      </c>
      <c r="BQ1948" t="s">
        <v>147</v>
      </c>
      <c r="BR1948" t="s">
        <v>84</v>
      </c>
      <c r="BS1948" s="3">
        <v>43822</v>
      </c>
      <c r="BT1948" s="5">
        <v>0.33333333333333331</v>
      </c>
      <c r="BU1948" t="s">
        <v>2256</v>
      </c>
      <c r="BV1948" t="s">
        <v>86</v>
      </c>
      <c r="BY1948">
        <v>1200</v>
      </c>
      <c r="CC1948" t="s">
        <v>170</v>
      </c>
      <c r="CD1948">
        <v>1459</v>
      </c>
      <c r="CE1948" t="s">
        <v>88</v>
      </c>
      <c r="CF1948" s="3">
        <v>43823</v>
      </c>
      <c r="CI1948">
        <v>1</v>
      </c>
      <c r="CJ1948">
        <v>1</v>
      </c>
      <c r="CK1948">
        <v>22</v>
      </c>
      <c r="CL1948" t="s">
        <v>89</v>
      </c>
    </row>
    <row r="1949" spans="1:90">
      <c r="A1949" t="s">
        <v>72</v>
      </c>
      <c r="B1949" t="s">
        <v>73</v>
      </c>
      <c r="C1949" t="s">
        <v>74</v>
      </c>
      <c r="E1949" t="str">
        <f>"FES1162729108"</f>
        <v>FES1162729108</v>
      </c>
      <c r="F1949" s="3">
        <v>43818</v>
      </c>
      <c r="G1949">
        <v>202006</v>
      </c>
      <c r="H1949" t="s">
        <v>75</v>
      </c>
      <c r="I1949" t="s">
        <v>76</v>
      </c>
      <c r="J1949" t="s">
        <v>77</v>
      </c>
      <c r="K1949" t="s">
        <v>78</v>
      </c>
      <c r="L1949" t="s">
        <v>132</v>
      </c>
      <c r="M1949" t="s">
        <v>133</v>
      </c>
      <c r="N1949" t="s">
        <v>1257</v>
      </c>
      <c r="O1949" t="s">
        <v>82</v>
      </c>
      <c r="P1949" t="str">
        <f>"2170720613                    "</f>
        <v xml:space="preserve">2170720613                    </v>
      </c>
      <c r="Q1949">
        <v>0</v>
      </c>
      <c r="R1949">
        <v>0</v>
      </c>
      <c r="S1949">
        <v>0</v>
      </c>
      <c r="T1949">
        <v>0</v>
      </c>
      <c r="U1949">
        <v>0</v>
      </c>
      <c r="V1949">
        <v>0</v>
      </c>
      <c r="W1949">
        <v>0</v>
      </c>
      <c r="X1949">
        <v>0</v>
      </c>
      <c r="Y1949">
        <v>0</v>
      </c>
      <c r="Z1949">
        <v>0</v>
      </c>
      <c r="AA1949">
        <v>0</v>
      </c>
      <c r="AB1949">
        <v>0</v>
      </c>
      <c r="AC1949">
        <v>0</v>
      </c>
      <c r="AD1949">
        <v>0</v>
      </c>
      <c r="AE1949">
        <v>0</v>
      </c>
      <c r="AF1949">
        <v>0</v>
      </c>
      <c r="AG1949">
        <v>0</v>
      </c>
      <c r="AH1949">
        <v>0</v>
      </c>
      <c r="AI1949">
        <v>0</v>
      </c>
      <c r="AJ1949">
        <v>0</v>
      </c>
      <c r="AK1949">
        <v>0</v>
      </c>
      <c r="AL1949">
        <v>0</v>
      </c>
      <c r="AM1949">
        <v>8.58</v>
      </c>
      <c r="AN1949">
        <v>0</v>
      </c>
      <c r="AO1949">
        <v>0</v>
      </c>
      <c r="AP1949">
        <v>0</v>
      </c>
      <c r="AQ1949">
        <v>0</v>
      </c>
      <c r="AR1949">
        <v>0</v>
      </c>
      <c r="AS1949">
        <v>0</v>
      </c>
      <c r="AT1949">
        <v>0</v>
      </c>
      <c r="AU1949">
        <v>0</v>
      </c>
      <c r="AV1949">
        <v>0</v>
      </c>
      <c r="AW1949">
        <v>0</v>
      </c>
      <c r="AX1949">
        <v>0</v>
      </c>
      <c r="AY1949">
        <v>0</v>
      </c>
      <c r="AZ1949">
        <v>0</v>
      </c>
      <c r="BA1949">
        <v>0</v>
      </c>
      <c r="BB1949">
        <v>0</v>
      </c>
      <c r="BC1949">
        <v>0</v>
      </c>
      <c r="BD1949">
        <v>0</v>
      </c>
      <c r="BE1949">
        <v>0</v>
      </c>
      <c r="BF1949">
        <v>0</v>
      </c>
      <c r="BG1949">
        <v>0</v>
      </c>
      <c r="BH1949">
        <v>1</v>
      </c>
      <c r="BI1949">
        <v>0.6</v>
      </c>
      <c r="BJ1949">
        <v>1.2</v>
      </c>
      <c r="BK1949">
        <v>1.5</v>
      </c>
      <c r="BL1949" s="4">
        <v>50.45</v>
      </c>
      <c r="BM1949" s="4">
        <v>7.57</v>
      </c>
      <c r="BN1949" s="4">
        <v>58.02</v>
      </c>
      <c r="BO1949" s="4">
        <v>58.02</v>
      </c>
      <c r="BQ1949" t="s">
        <v>147</v>
      </c>
      <c r="BR1949" t="s">
        <v>84</v>
      </c>
      <c r="BS1949" s="3">
        <v>43833</v>
      </c>
      <c r="BT1949" s="5">
        <v>0.34166666666666662</v>
      </c>
      <c r="BU1949" t="s">
        <v>2257</v>
      </c>
      <c r="BV1949" t="s">
        <v>89</v>
      </c>
      <c r="BW1949" t="s">
        <v>149</v>
      </c>
      <c r="BX1949" t="s">
        <v>181</v>
      </c>
      <c r="BY1949">
        <v>6239.17</v>
      </c>
      <c r="CC1949" t="s">
        <v>133</v>
      </c>
      <c r="CD1949">
        <v>157</v>
      </c>
      <c r="CE1949" t="s">
        <v>96</v>
      </c>
      <c r="CI1949">
        <v>1</v>
      </c>
      <c r="CJ1949">
        <v>11</v>
      </c>
      <c r="CK1949">
        <v>21</v>
      </c>
      <c r="CL1949" t="s">
        <v>89</v>
      </c>
    </row>
    <row r="1950" spans="1:90">
      <c r="A1950" t="s">
        <v>72</v>
      </c>
      <c r="B1950" t="s">
        <v>73</v>
      </c>
      <c r="C1950" t="s">
        <v>74</v>
      </c>
      <c r="E1950" t="str">
        <f>"FES1162729058"</f>
        <v>FES1162729058</v>
      </c>
      <c r="F1950" s="3">
        <v>43818</v>
      </c>
      <c r="G1950">
        <v>202006</v>
      </c>
      <c r="H1950" t="s">
        <v>75</v>
      </c>
      <c r="I1950" t="s">
        <v>76</v>
      </c>
      <c r="J1950" t="s">
        <v>77</v>
      </c>
      <c r="K1950" t="s">
        <v>78</v>
      </c>
      <c r="L1950" t="s">
        <v>198</v>
      </c>
      <c r="M1950" t="s">
        <v>199</v>
      </c>
      <c r="N1950" t="s">
        <v>1031</v>
      </c>
      <c r="O1950" t="s">
        <v>82</v>
      </c>
      <c r="P1950" t="str">
        <f>"2170720222                    "</f>
        <v xml:space="preserve">2170720222                    </v>
      </c>
      <c r="Q1950">
        <v>0</v>
      </c>
      <c r="R1950">
        <v>0</v>
      </c>
      <c r="S1950">
        <v>0</v>
      </c>
      <c r="T1950">
        <v>0</v>
      </c>
      <c r="U1950">
        <v>0</v>
      </c>
      <c r="V1950">
        <v>0</v>
      </c>
      <c r="W1950">
        <v>0</v>
      </c>
      <c r="X1950">
        <v>0</v>
      </c>
      <c r="Y1950">
        <v>0</v>
      </c>
      <c r="Z1950">
        <v>0</v>
      </c>
      <c r="AA1950">
        <v>0</v>
      </c>
      <c r="AB1950">
        <v>0</v>
      </c>
      <c r="AC1950">
        <v>0</v>
      </c>
      <c r="AD1950">
        <v>0</v>
      </c>
      <c r="AE1950">
        <v>0</v>
      </c>
      <c r="AF1950">
        <v>0</v>
      </c>
      <c r="AG1950">
        <v>0</v>
      </c>
      <c r="AH1950">
        <v>0</v>
      </c>
      <c r="AI1950">
        <v>0</v>
      </c>
      <c r="AJ1950">
        <v>0</v>
      </c>
      <c r="AK1950">
        <v>0</v>
      </c>
      <c r="AL1950">
        <v>0</v>
      </c>
      <c r="AM1950">
        <v>8.58</v>
      </c>
      <c r="AN1950">
        <v>0</v>
      </c>
      <c r="AO1950">
        <v>0</v>
      </c>
      <c r="AP1950">
        <v>0</v>
      </c>
      <c r="AQ1950">
        <v>0</v>
      </c>
      <c r="AR1950">
        <v>0</v>
      </c>
      <c r="AS1950">
        <v>0</v>
      </c>
      <c r="AT1950">
        <v>0</v>
      </c>
      <c r="AU1950">
        <v>0</v>
      </c>
      <c r="AV1950">
        <v>0</v>
      </c>
      <c r="AW1950">
        <v>0</v>
      </c>
      <c r="AX1950">
        <v>0</v>
      </c>
      <c r="AY1950">
        <v>0</v>
      </c>
      <c r="AZ1950">
        <v>0</v>
      </c>
      <c r="BA1950">
        <v>0</v>
      </c>
      <c r="BB1950">
        <v>0</v>
      </c>
      <c r="BC1950">
        <v>0</v>
      </c>
      <c r="BD1950">
        <v>0</v>
      </c>
      <c r="BE1950">
        <v>0</v>
      </c>
      <c r="BF1950">
        <v>0</v>
      </c>
      <c r="BG1950">
        <v>0</v>
      </c>
      <c r="BH1950">
        <v>1</v>
      </c>
      <c r="BI1950">
        <v>1</v>
      </c>
      <c r="BJ1950">
        <v>0.2</v>
      </c>
      <c r="BK1950">
        <v>1</v>
      </c>
      <c r="BL1950" s="4">
        <v>50.45</v>
      </c>
      <c r="BM1950" s="4">
        <v>7.57</v>
      </c>
      <c r="BN1950" s="4">
        <v>58.02</v>
      </c>
      <c r="BO1950" s="4">
        <v>58.02</v>
      </c>
      <c r="BQ1950" t="s">
        <v>93</v>
      </c>
      <c r="BR1950" t="s">
        <v>84</v>
      </c>
      <c r="BS1950" s="3">
        <v>43819</v>
      </c>
      <c r="BT1950" s="5">
        <v>0.30972222222222223</v>
      </c>
      <c r="BU1950" t="s">
        <v>2258</v>
      </c>
      <c r="BV1950" t="s">
        <v>86</v>
      </c>
      <c r="BY1950">
        <v>1200</v>
      </c>
      <c r="CA1950" t="s">
        <v>2109</v>
      </c>
      <c r="CC1950" t="s">
        <v>199</v>
      </c>
      <c r="CD1950">
        <v>4001</v>
      </c>
      <c r="CE1950" t="s">
        <v>88</v>
      </c>
      <c r="CF1950" s="3">
        <v>43823</v>
      </c>
      <c r="CI1950">
        <v>1</v>
      </c>
      <c r="CJ1950">
        <v>1</v>
      </c>
      <c r="CK1950">
        <v>21</v>
      </c>
      <c r="CL1950" t="s">
        <v>89</v>
      </c>
    </row>
    <row r="1951" spans="1:90">
      <c r="A1951" t="s">
        <v>72</v>
      </c>
      <c r="B1951" t="s">
        <v>73</v>
      </c>
      <c r="C1951" t="s">
        <v>74</v>
      </c>
      <c r="E1951" t="str">
        <f>"FES1162729114"</f>
        <v>FES1162729114</v>
      </c>
      <c r="F1951" s="3">
        <v>43818</v>
      </c>
      <c r="G1951">
        <v>202006</v>
      </c>
      <c r="H1951" t="s">
        <v>75</v>
      </c>
      <c r="I1951" t="s">
        <v>76</v>
      </c>
      <c r="J1951" t="s">
        <v>77</v>
      </c>
      <c r="K1951" t="s">
        <v>78</v>
      </c>
      <c r="L1951" t="s">
        <v>240</v>
      </c>
      <c r="M1951" t="s">
        <v>241</v>
      </c>
      <c r="N1951" t="s">
        <v>242</v>
      </c>
      <c r="O1951" t="s">
        <v>82</v>
      </c>
      <c r="P1951" t="str">
        <f>"21707206598                   "</f>
        <v xml:space="preserve">21707206598                   </v>
      </c>
      <c r="Q1951">
        <v>0</v>
      </c>
      <c r="R1951">
        <v>0</v>
      </c>
      <c r="S1951">
        <v>0</v>
      </c>
      <c r="T1951">
        <v>0</v>
      </c>
      <c r="U1951">
        <v>0</v>
      </c>
      <c r="V1951">
        <v>0</v>
      </c>
      <c r="W1951">
        <v>0</v>
      </c>
      <c r="X1951">
        <v>0</v>
      </c>
      <c r="Y1951">
        <v>0</v>
      </c>
      <c r="Z1951">
        <v>0</v>
      </c>
      <c r="AA1951">
        <v>0</v>
      </c>
      <c r="AB1951">
        <v>0</v>
      </c>
      <c r="AC1951">
        <v>0</v>
      </c>
      <c r="AD1951">
        <v>0</v>
      </c>
      <c r="AE1951">
        <v>0</v>
      </c>
      <c r="AF1951">
        <v>0</v>
      </c>
      <c r="AG1951">
        <v>0</v>
      </c>
      <c r="AH1951">
        <v>0</v>
      </c>
      <c r="AI1951">
        <v>0</v>
      </c>
      <c r="AJ1951">
        <v>0</v>
      </c>
      <c r="AK1951">
        <v>0</v>
      </c>
      <c r="AL1951">
        <v>0</v>
      </c>
      <c r="AM1951">
        <v>8.58</v>
      </c>
      <c r="AN1951">
        <v>0</v>
      </c>
      <c r="AO1951">
        <v>0</v>
      </c>
      <c r="AP1951">
        <v>0</v>
      </c>
      <c r="AQ1951">
        <v>0</v>
      </c>
      <c r="AR1951">
        <v>0</v>
      </c>
      <c r="AS1951">
        <v>0</v>
      </c>
      <c r="AT1951">
        <v>0</v>
      </c>
      <c r="AU1951">
        <v>0</v>
      </c>
      <c r="AV1951">
        <v>0</v>
      </c>
      <c r="AW1951">
        <v>0</v>
      </c>
      <c r="AX1951">
        <v>0</v>
      </c>
      <c r="AY1951">
        <v>0</v>
      </c>
      <c r="AZ1951">
        <v>0</v>
      </c>
      <c r="BA1951">
        <v>0</v>
      </c>
      <c r="BB1951">
        <v>0</v>
      </c>
      <c r="BC1951">
        <v>0</v>
      </c>
      <c r="BD1951">
        <v>0</v>
      </c>
      <c r="BE1951">
        <v>0</v>
      </c>
      <c r="BF1951">
        <v>0</v>
      </c>
      <c r="BG1951">
        <v>0</v>
      </c>
      <c r="BH1951">
        <v>1</v>
      </c>
      <c r="BI1951">
        <v>1</v>
      </c>
      <c r="BJ1951">
        <v>0.2</v>
      </c>
      <c r="BK1951">
        <v>1</v>
      </c>
      <c r="BL1951" s="4">
        <v>50.45</v>
      </c>
      <c r="BM1951" s="4">
        <v>7.57</v>
      </c>
      <c r="BN1951" s="4">
        <v>58.02</v>
      </c>
      <c r="BO1951" s="4">
        <v>58.02</v>
      </c>
      <c r="BQ1951" t="s">
        <v>147</v>
      </c>
      <c r="BR1951" t="s">
        <v>84</v>
      </c>
      <c r="BS1951" s="3">
        <v>43819</v>
      </c>
      <c r="BT1951" s="5">
        <v>0.41041666666666665</v>
      </c>
      <c r="BU1951" t="s">
        <v>848</v>
      </c>
      <c r="BV1951" t="s">
        <v>86</v>
      </c>
      <c r="BY1951">
        <v>1200</v>
      </c>
      <c r="CA1951" t="s">
        <v>244</v>
      </c>
      <c r="CC1951" t="s">
        <v>241</v>
      </c>
      <c r="CD1951">
        <v>4126</v>
      </c>
      <c r="CE1951" t="s">
        <v>88</v>
      </c>
      <c r="CF1951" s="3">
        <v>43822</v>
      </c>
      <c r="CI1951">
        <v>1</v>
      </c>
      <c r="CJ1951">
        <v>1</v>
      </c>
      <c r="CK1951">
        <v>21</v>
      </c>
      <c r="CL1951" t="s">
        <v>89</v>
      </c>
    </row>
    <row r="1952" spans="1:90">
      <c r="A1952" t="s">
        <v>72</v>
      </c>
      <c r="B1952" t="s">
        <v>73</v>
      </c>
      <c r="C1952" t="s">
        <v>74</v>
      </c>
      <c r="E1952" t="str">
        <f>"FES1162729026"</f>
        <v>FES1162729026</v>
      </c>
      <c r="F1952" s="3">
        <v>43818</v>
      </c>
      <c r="G1952">
        <v>202006</v>
      </c>
      <c r="H1952" t="s">
        <v>75</v>
      </c>
      <c r="I1952" t="s">
        <v>76</v>
      </c>
      <c r="J1952" t="s">
        <v>77</v>
      </c>
      <c r="K1952" t="s">
        <v>78</v>
      </c>
      <c r="L1952" t="s">
        <v>198</v>
      </c>
      <c r="M1952" t="s">
        <v>199</v>
      </c>
      <c r="N1952" t="s">
        <v>297</v>
      </c>
      <c r="O1952" t="s">
        <v>82</v>
      </c>
      <c r="P1952" t="str">
        <f>"2170716614                    "</f>
        <v xml:space="preserve">2170716614                    </v>
      </c>
      <c r="Q1952">
        <v>0</v>
      </c>
      <c r="R1952">
        <v>0</v>
      </c>
      <c r="S1952">
        <v>0</v>
      </c>
      <c r="T1952">
        <v>0</v>
      </c>
      <c r="U1952">
        <v>0</v>
      </c>
      <c r="V1952">
        <v>0</v>
      </c>
      <c r="W1952">
        <v>0</v>
      </c>
      <c r="X1952">
        <v>0</v>
      </c>
      <c r="Y1952">
        <v>0</v>
      </c>
      <c r="Z1952">
        <v>0</v>
      </c>
      <c r="AA1952">
        <v>0</v>
      </c>
      <c r="AB1952">
        <v>0</v>
      </c>
      <c r="AC1952">
        <v>0</v>
      </c>
      <c r="AD1952">
        <v>0</v>
      </c>
      <c r="AE1952">
        <v>0</v>
      </c>
      <c r="AF1952">
        <v>0</v>
      </c>
      <c r="AG1952">
        <v>0</v>
      </c>
      <c r="AH1952">
        <v>0</v>
      </c>
      <c r="AI1952">
        <v>0</v>
      </c>
      <c r="AJ1952">
        <v>0</v>
      </c>
      <c r="AK1952">
        <v>0</v>
      </c>
      <c r="AL1952">
        <v>0</v>
      </c>
      <c r="AM1952">
        <v>8.58</v>
      </c>
      <c r="AN1952">
        <v>0</v>
      </c>
      <c r="AO1952">
        <v>0</v>
      </c>
      <c r="AP1952">
        <v>0</v>
      </c>
      <c r="AQ1952">
        <v>0</v>
      </c>
      <c r="AR1952">
        <v>0</v>
      </c>
      <c r="AS1952">
        <v>0</v>
      </c>
      <c r="AT1952">
        <v>0</v>
      </c>
      <c r="AU1952">
        <v>0</v>
      </c>
      <c r="AV1952">
        <v>0</v>
      </c>
      <c r="AW1952">
        <v>0</v>
      </c>
      <c r="AX1952">
        <v>0</v>
      </c>
      <c r="AY1952">
        <v>0</v>
      </c>
      <c r="AZ1952">
        <v>0</v>
      </c>
      <c r="BA1952">
        <v>0</v>
      </c>
      <c r="BB1952">
        <v>0</v>
      </c>
      <c r="BC1952">
        <v>0</v>
      </c>
      <c r="BD1952">
        <v>0</v>
      </c>
      <c r="BE1952">
        <v>0</v>
      </c>
      <c r="BF1952">
        <v>0</v>
      </c>
      <c r="BG1952">
        <v>0</v>
      </c>
      <c r="BH1952">
        <v>1</v>
      </c>
      <c r="BI1952">
        <v>1</v>
      </c>
      <c r="BJ1952">
        <v>0.2</v>
      </c>
      <c r="BK1952">
        <v>1</v>
      </c>
      <c r="BL1952" s="4">
        <v>50.45</v>
      </c>
      <c r="BM1952" s="4">
        <v>7.57</v>
      </c>
      <c r="BN1952" s="4">
        <v>58.02</v>
      </c>
      <c r="BO1952" s="4">
        <v>58.02</v>
      </c>
      <c r="BQ1952" t="s">
        <v>172</v>
      </c>
      <c r="BR1952" t="s">
        <v>84</v>
      </c>
      <c r="BS1952" s="3">
        <v>43819</v>
      </c>
      <c r="BT1952" s="5">
        <v>0.3888888888888889</v>
      </c>
      <c r="BU1952" t="s">
        <v>542</v>
      </c>
      <c r="BV1952" t="s">
        <v>86</v>
      </c>
      <c r="BY1952">
        <v>1200</v>
      </c>
      <c r="CA1952" t="s">
        <v>299</v>
      </c>
      <c r="CC1952" t="s">
        <v>199</v>
      </c>
      <c r="CD1952">
        <v>4000</v>
      </c>
      <c r="CE1952" t="s">
        <v>88</v>
      </c>
      <c r="CF1952" s="3">
        <v>43823</v>
      </c>
      <c r="CI1952">
        <v>1</v>
      </c>
      <c r="CJ1952">
        <v>1</v>
      </c>
      <c r="CK1952">
        <v>21</v>
      </c>
      <c r="CL1952" t="s">
        <v>89</v>
      </c>
    </row>
    <row r="1953" spans="1:90">
      <c r="A1953" t="s">
        <v>72</v>
      </c>
      <c r="B1953" t="s">
        <v>73</v>
      </c>
      <c r="C1953" t="s">
        <v>74</v>
      </c>
      <c r="E1953" t="str">
        <f>"FES1162728516"</f>
        <v>FES1162728516</v>
      </c>
      <c r="F1953" s="3">
        <v>43816</v>
      </c>
      <c r="G1953">
        <v>202006</v>
      </c>
      <c r="H1953" t="s">
        <v>75</v>
      </c>
      <c r="I1953" t="s">
        <v>76</v>
      </c>
      <c r="J1953" t="s">
        <v>100</v>
      </c>
      <c r="K1953" t="s">
        <v>78</v>
      </c>
      <c r="L1953" t="s">
        <v>101</v>
      </c>
      <c r="M1953" t="s">
        <v>102</v>
      </c>
      <c r="N1953" t="s">
        <v>1994</v>
      </c>
      <c r="O1953" t="s">
        <v>104</v>
      </c>
      <c r="P1953" t="str">
        <f>"2170716796                    "</f>
        <v xml:space="preserve">2170716796                    </v>
      </c>
      <c r="Q1953">
        <v>0</v>
      </c>
      <c r="R1953">
        <v>0</v>
      </c>
      <c r="S1953">
        <v>0</v>
      </c>
      <c r="T1953">
        <v>0</v>
      </c>
      <c r="U1953">
        <v>0</v>
      </c>
      <c r="V1953">
        <v>0</v>
      </c>
      <c r="W1953">
        <v>0</v>
      </c>
      <c r="X1953">
        <v>0</v>
      </c>
      <c r="Y1953">
        <v>0</v>
      </c>
      <c r="Z1953">
        <v>0</v>
      </c>
      <c r="AA1953">
        <v>0</v>
      </c>
      <c r="AB1953">
        <v>0</v>
      </c>
      <c r="AC1953">
        <v>0</v>
      </c>
      <c r="AD1953">
        <v>0</v>
      </c>
      <c r="AE1953">
        <v>0</v>
      </c>
      <c r="AF1953">
        <v>0</v>
      </c>
      <c r="AG1953">
        <v>0</v>
      </c>
      <c r="AH1953">
        <v>0</v>
      </c>
      <c r="AI1953">
        <v>0</v>
      </c>
      <c r="AJ1953">
        <v>0</v>
      </c>
      <c r="AK1953">
        <v>0</v>
      </c>
      <c r="AL1953">
        <v>0</v>
      </c>
      <c r="AM1953">
        <v>14.75</v>
      </c>
      <c r="AN1953">
        <v>0</v>
      </c>
      <c r="AO1953">
        <v>0</v>
      </c>
      <c r="AP1953">
        <v>0</v>
      </c>
      <c r="AQ1953">
        <v>0</v>
      </c>
      <c r="AR1953">
        <v>0</v>
      </c>
      <c r="AS1953">
        <v>0</v>
      </c>
      <c r="AT1953">
        <v>0</v>
      </c>
      <c r="AU1953">
        <v>0</v>
      </c>
      <c r="AV1953">
        <v>0</v>
      </c>
      <c r="AW1953">
        <v>0</v>
      </c>
      <c r="AX1953">
        <v>0</v>
      </c>
      <c r="AY1953">
        <v>0</v>
      </c>
      <c r="AZ1953">
        <v>0</v>
      </c>
      <c r="BA1953">
        <v>0</v>
      </c>
      <c r="BB1953">
        <v>0</v>
      </c>
      <c r="BC1953">
        <v>0</v>
      </c>
      <c r="BD1953">
        <v>0</v>
      </c>
      <c r="BE1953">
        <v>0</v>
      </c>
      <c r="BF1953">
        <v>0</v>
      </c>
      <c r="BG1953">
        <v>0</v>
      </c>
      <c r="BH1953">
        <v>1</v>
      </c>
      <c r="BI1953">
        <v>5</v>
      </c>
      <c r="BJ1953">
        <v>9.3000000000000007</v>
      </c>
      <c r="BK1953">
        <v>10</v>
      </c>
      <c r="BL1953" s="4">
        <v>91.71</v>
      </c>
      <c r="BM1953" s="4">
        <v>13.76</v>
      </c>
      <c r="BN1953" s="4">
        <v>105.47</v>
      </c>
      <c r="BO1953" s="4">
        <v>105.47</v>
      </c>
      <c r="BQ1953" t="s">
        <v>93</v>
      </c>
      <c r="BR1953" t="s">
        <v>105</v>
      </c>
      <c r="BS1953" s="3">
        <v>43817</v>
      </c>
      <c r="BT1953" s="5">
        <v>0.40625</v>
      </c>
      <c r="BU1953" t="s">
        <v>1995</v>
      </c>
      <c r="BV1953" t="s">
        <v>86</v>
      </c>
      <c r="BY1953">
        <v>46375.42</v>
      </c>
      <c r="CA1953" t="s">
        <v>1357</v>
      </c>
      <c r="CC1953" t="s">
        <v>102</v>
      </c>
      <c r="CD1953">
        <v>200</v>
      </c>
      <c r="CE1953" t="s">
        <v>116</v>
      </c>
      <c r="CF1953" s="3">
        <v>43818</v>
      </c>
      <c r="CI1953">
        <v>0</v>
      </c>
      <c r="CJ1953">
        <v>0</v>
      </c>
      <c r="CK1953" t="s">
        <v>108</v>
      </c>
      <c r="CL1953" t="s">
        <v>89</v>
      </c>
    </row>
    <row r="1954" spans="1:90">
      <c r="A1954" t="s">
        <v>72</v>
      </c>
      <c r="B1954" t="s">
        <v>73</v>
      </c>
      <c r="C1954" t="s">
        <v>74</v>
      </c>
      <c r="E1954" t="str">
        <f>"FES1162728986"</f>
        <v>FES1162728986</v>
      </c>
      <c r="F1954" s="3">
        <v>43818</v>
      </c>
      <c r="G1954">
        <v>202006</v>
      </c>
      <c r="H1954" t="s">
        <v>75</v>
      </c>
      <c r="I1954" t="s">
        <v>76</v>
      </c>
      <c r="J1954" t="s">
        <v>77</v>
      </c>
      <c r="K1954" t="s">
        <v>78</v>
      </c>
      <c r="L1954" t="s">
        <v>164</v>
      </c>
      <c r="M1954" t="s">
        <v>165</v>
      </c>
      <c r="N1954" t="s">
        <v>263</v>
      </c>
      <c r="O1954" t="s">
        <v>82</v>
      </c>
      <c r="P1954" t="str">
        <f>"2170722098                    "</f>
        <v xml:space="preserve">2170722098                    </v>
      </c>
      <c r="Q1954">
        <v>0</v>
      </c>
      <c r="R1954">
        <v>0</v>
      </c>
      <c r="S1954">
        <v>0</v>
      </c>
      <c r="T1954">
        <v>0</v>
      </c>
      <c r="U1954">
        <v>0</v>
      </c>
      <c r="V1954">
        <v>0</v>
      </c>
      <c r="W1954">
        <v>0</v>
      </c>
      <c r="X1954">
        <v>0</v>
      </c>
      <c r="Y1954">
        <v>0</v>
      </c>
      <c r="Z1954">
        <v>0</v>
      </c>
      <c r="AA1954">
        <v>0</v>
      </c>
      <c r="AB1954">
        <v>0</v>
      </c>
      <c r="AC1954">
        <v>0</v>
      </c>
      <c r="AD1954">
        <v>0</v>
      </c>
      <c r="AE1954">
        <v>0</v>
      </c>
      <c r="AF1954">
        <v>0</v>
      </c>
      <c r="AG1954">
        <v>0</v>
      </c>
      <c r="AH1954">
        <v>0</v>
      </c>
      <c r="AI1954">
        <v>0</v>
      </c>
      <c r="AJ1954">
        <v>0</v>
      </c>
      <c r="AK1954">
        <v>0</v>
      </c>
      <c r="AL1954">
        <v>0</v>
      </c>
      <c r="AM1954">
        <v>45.04</v>
      </c>
      <c r="AN1954">
        <v>0</v>
      </c>
      <c r="AO1954">
        <v>0</v>
      </c>
      <c r="AP1954">
        <v>0</v>
      </c>
      <c r="AQ1954">
        <v>0</v>
      </c>
      <c r="AR1954">
        <v>0</v>
      </c>
      <c r="AS1954">
        <v>0</v>
      </c>
      <c r="AT1954">
        <v>0</v>
      </c>
      <c r="AU1954">
        <v>0</v>
      </c>
      <c r="AV1954">
        <v>0</v>
      </c>
      <c r="AW1954">
        <v>0</v>
      </c>
      <c r="AX1954">
        <v>0</v>
      </c>
      <c r="AY1954">
        <v>0</v>
      </c>
      <c r="AZ1954">
        <v>0</v>
      </c>
      <c r="BA1954">
        <v>0</v>
      </c>
      <c r="BB1954">
        <v>0</v>
      </c>
      <c r="BC1954">
        <v>0</v>
      </c>
      <c r="BD1954">
        <v>0</v>
      </c>
      <c r="BE1954">
        <v>0</v>
      </c>
      <c r="BF1954">
        <v>0</v>
      </c>
      <c r="BG1954">
        <v>0</v>
      </c>
      <c r="BH1954">
        <v>1</v>
      </c>
      <c r="BI1954">
        <v>10.4</v>
      </c>
      <c r="BJ1954">
        <v>3.5</v>
      </c>
      <c r="BK1954">
        <v>10.5</v>
      </c>
      <c r="BL1954" s="4">
        <v>264.73</v>
      </c>
      <c r="BM1954" s="4">
        <v>39.71</v>
      </c>
      <c r="BN1954" s="4">
        <v>304.44</v>
      </c>
      <c r="BO1954" s="4">
        <v>304.44</v>
      </c>
      <c r="BQ1954" t="s">
        <v>147</v>
      </c>
      <c r="BR1954" t="s">
        <v>84</v>
      </c>
      <c r="BS1954" s="3">
        <v>43819</v>
      </c>
      <c r="BT1954" s="5">
        <v>0.35486111111111113</v>
      </c>
      <c r="BU1954" t="s">
        <v>1827</v>
      </c>
      <c r="BV1954" t="s">
        <v>86</v>
      </c>
      <c r="BY1954">
        <v>17601.3</v>
      </c>
      <c r="CA1954" t="s">
        <v>371</v>
      </c>
      <c r="CC1954" t="s">
        <v>165</v>
      </c>
      <c r="CD1954">
        <v>5201</v>
      </c>
      <c r="CE1954" t="s">
        <v>96</v>
      </c>
      <c r="CF1954" s="3">
        <v>43822</v>
      </c>
      <c r="CI1954">
        <v>1</v>
      </c>
      <c r="CJ1954">
        <v>1</v>
      </c>
      <c r="CK1954">
        <v>21</v>
      </c>
      <c r="CL1954" t="s">
        <v>89</v>
      </c>
    </row>
    <row r="1955" spans="1:90">
      <c r="A1955" t="s">
        <v>72</v>
      </c>
      <c r="B1955" t="s">
        <v>73</v>
      </c>
      <c r="C1955" t="s">
        <v>74</v>
      </c>
      <c r="E1955" t="str">
        <f>"FES1162728914"</f>
        <v>FES1162728914</v>
      </c>
      <c r="F1955" s="3">
        <v>43818</v>
      </c>
      <c r="G1955">
        <v>202006</v>
      </c>
      <c r="H1955" t="s">
        <v>75</v>
      </c>
      <c r="I1955" t="s">
        <v>76</v>
      </c>
      <c r="J1955" t="s">
        <v>77</v>
      </c>
      <c r="K1955" t="s">
        <v>78</v>
      </c>
      <c r="L1955" t="s">
        <v>213</v>
      </c>
      <c r="M1955" t="s">
        <v>214</v>
      </c>
      <c r="N1955" t="s">
        <v>1960</v>
      </c>
      <c r="O1955" t="s">
        <v>82</v>
      </c>
      <c r="P1955" t="str">
        <f>"2170722001                    "</f>
        <v xml:space="preserve">2170722001                    </v>
      </c>
      <c r="Q1955">
        <v>0</v>
      </c>
      <c r="R1955">
        <v>0</v>
      </c>
      <c r="S1955">
        <v>0</v>
      </c>
      <c r="T1955">
        <v>0</v>
      </c>
      <c r="U1955">
        <v>0</v>
      </c>
      <c r="V1955">
        <v>0</v>
      </c>
      <c r="W1955">
        <v>0</v>
      </c>
      <c r="X1955">
        <v>0</v>
      </c>
      <c r="Y1955">
        <v>0</v>
      </c>
      <c r="Z1955">
        <v>0</v>
      </c>
      <c r="AA1955">
        <v>0</v>
      </c>
      <c r="AB1955">
        <v>0</v>
      </c>
      <c r="AC1955">
        <v>0</v>
      </c>
      <c r="AD1955">
        <v>0</v>
      </c>
      <c r="AE1955">
        <v>0</v>
      </c>
      <c r="AF1955">
        <v>0</v>
      </c>
      <c r="AG1955">
        <v>0</v>
      </c>
      <c r="AH1955">
        <v>0</v>
      </c>
      <c r="AI1955">
        <v>0</v>
      </c>
      <c r="AJ1955">
        <v>0</v>
      </c>
      <c r="AK1955">
        <v>0</v>
      </c>
      <c r="AL1955">
        <v>0</v>
      </c>
      <c r="AM1955">
        <v>36.46</v>
      </c>
      <c r="AN1955">
        <v>0</v>
      </c>
      <c r="AO1955">
        <v>0</v>
      </c>
      <c r="AP1955">
        <v>0</v>
      </c>
      <c r="AQ1955">
        <v>0</v>
      </c>
      <c r="AR1955">
        <v>0</v>
      </c>
      <c r="AS1955">
        <v>0</v>
      </c>
      <c r="AT1955">
        <v>0</v>
      </c>
      <c r="AU1955">
        <v>0</v>
      </c>
      <c r="AV1955">
        <v>0</v>
      </c>
      <c r="AW1955">
        <v>0</v>
      </c>
      <c r="AX1955">
        <v>0</v>
      </c>
      <c r="AY1955">
        <v>0</v>
      </c>
      <c r="AZ1955">
        <v>0</v>
      </c>
      <c r="BA1955">
        <v>0</v>
      </c>
      <c r="BB1955">
        <v>0</v>
      </c>
      <c r="BC1955">
        <v>0</v>
      </c>
      <c r="BD1955">
        <v>0</v>
      </c>
      <c r="BE1955">
        <v>0</v>
      </c>
      <c r="BF1955">
        <v>0</v>
      </c>
      <c r="BG1955">
        <v>0</v>
      </c>
      <c r="BH1955">
        <v>1</v>
      </c>
      <c r="BI1955">
        <v>8.1999999999999993</v>
      </c>
      <c r="BJ1955">
        <v>3.1</v>
      </c>
      <c r="BK1955">
        <v>8.5</v>
      </c>
      <c r="BL1955" s="4">
        <v>214.31</v>
      </c>
      <c r="BM1955" s="4">
        <v>32.15</v>
      </c>
      <c r="BN1955" s="4">
        <v>246.46</v>
      </c>
      <c r="BO1955" s="4">
        <v>246.46</v>
      </c>
      <c r="BR1955" t="s">
        <v>84</v>
      </c>
      <c r="BS1955" s="3">
        <v>43819</v>
      </c>
      <c r="BT1955" s="5">
        <v>0.34722222222222227</v>
      </c>
      <c r="BU1955" t="s">
        <v>1961</v>
      </c>
      <c r="BV1955" t="s">
        <v>86</v>
      </c>
      <c r="BY1955">
        <v>15529.54</v>
      </c>
      <c r="CA1955" t="s">
        <v>99</v>
      </c>
      <c r="CC1955" t="s">
        <v>214</v>
      </c>
      <c r="CD1955">
        <v>6229</v>
      </c>
      <c r="CE1955" t="s">
        <v>96</v>
      </c>
      <c r="CF1955" s="3">
        <v>43822</v>
      </c>
      <c r="CI1955">
        <v>1</v>
      </c>
      <c r="CJ1955">
        <v>1</v>
      </c>
      <c r="CK1955">
        <v>21</v>
      </c>
      <c r="CL1955" t="s">
        <v>89</v>
      </c>
    </row>
    <row r="1956" spans="1:90">
      <c r="A1956" t="s">
        <v>72</v>
      </c>
      <c r="B1956" t="s">
        <v>73</v>
      </c>
      <c r="C1956" t="s">
        <v>74</v>
      </c>
      <c r="E1956" t="str">
        <f>"FES1162728951"</f>
        <v>FES1162728951</v>
      </c>
      <c r="F1956" s="3">
        <v>43818</v>
      </c>
      <c r="G1956">
        <v>202006</v>
      </c>
      <c r="H1956" t="s">
        <v>75</v>
      </c>
      <c r="I1956" t="s">
        <v>76</v>
      </c>
      <c r="J1956" t="s">
        <v>77</v>
      </c>
      <c r="K1956" t="s">
        <v>78</v>
      </c>
      <c r="L1956" t="s">
        <v>79</v>
      </c>
      <c r="M1956" t="s">
        <v>80</v>
      </c>
      <c r="N1956" t="s">
        <v>129</v>
      </c>
      <c r="O1956" t="s">
        <v>82</v>
      </c>
      <c r="P1956" t="str">
        <f>"2170722064                    "</f>
        <v xml:space="preserve">2170722064                    </v>
      </c>
      <c r="Q1956">
        <v>0</v>
      </c>
      <c r="R1956">
        <v>0</v>
      </c>
      <c r="S1956">
        <v>0</v>
      </c>
      <c r="T1956">
        <v>0</v>
      </c>
      <c r="U1956">
        <v>0</v>
      </c>
      <c r="V1956">
        <v>0</v>
      </c>
      <c r="W1956">
        <v>0</v>
      </c>
      <c r="X1956">
        <v>0</v>
      </c>
      <c r="Y1956">
        <v>0</v>
      </c>
      <c r="Z1956">
        <v>0</v>
      </c>
      <c r="AA1956">
        <v>0</v>
      </c>
      <c r="AB1956">
        <v>0</v>
      </c>
      <c r="AC1956">
        <v>0</v>
      </c>
      <c r="AD1956">
        <v>0</v>
      </c>
      <c r="AE1956">
        <v>0</v>
      </c>
      <c r="AF1956">
        <v>0</v>
      </c>
      <c r="AG1956">
        <v>0</v>
      </c>
      <c r="AH1956">
        <v>0</v>
      </c>
      <c r="AI1956">
        <v>0</v>
      </c>
      <c r="AJ1956">
        <v>0</v>
      </c>
      <c r="AK1956">
        <v>0</v>
      </c>
      <c r="AL1956">
        <v>0</v>
      </c>
      <c r="AM1956">
        <v>23.59</v>
      </c>
      <c r="AN1956">
        <v>0</v>
      </c>
      <c r="AO1956">
        <v>0</v>
      </c>
      <c r="AP1956">
        <v>0</v>
      </c>
      <c r="AQ1956">
        <v>0</v>
      </c>
      <c r="AR1956">
        <v>0</v>
      </c>
      <c r="AS1956">
        <v>0</v>
      </c>
      <c r="AT1956">
        <v>0</v>
      </c>
      <c r="AU1956">
        <v>0</v>
      </c>
      <c r="AV1956">
        <v>0</v>
      </c>
      <c r="AW1956">
        <v>0</v>
      </c>
      <c r="AX1956">
        <v>0</v>
      </c>
      <c r="AY1956">
        <v>0</v>
      </c>
      <c r="AZ1956">
        <v>0</v>
      </c>
      <c r="BA1956">
        <v>0</v>
      </c>
      <c r="BB1956">
        <v>0</v>
      </c>
      <c r="BC1956">
        <v>0</v>
      </c>
      <c r="BD1956">
        <v>0</v>
      </c>
      <c r="BE1956">
        <v>0</v>
      </c>
      <c r="BF1956">
        <v>0</v>
      </c>
      <c r="BG1956">
        <v>0</v>
      </c>
      <c r="BH1956">
        <v>1</v>
      </c>
      <c r="BI1956">
        <v>5.5</v>
      </c>
      <c r="BJ1956">
        <v>2.2999999999999998</v>
      </c>
      <c r="BK1956">
        <v>5.5</v>
      </c>
      <c r="BL1956" s="4">
        <v>138.68</v>
      </c>
      <c r="BM1956" s="4">
        <v>20.8</v>
      </c>
      <c r="BN1956" s="4">
        <v>159.47999999999999</v>
      </c>
      <c r="BO1956" s="4">
        <v>159.47999999999999</v>
      </c>
      <c r="BQ1956" t="s">
        <v>147</v>
      </c>
      <c r="BR1956" t="s">
        <v>84</v>
      </c>
      <c r="BS1956" s="3">
        <v>43819</v>
      </c>
      <c r="BT1956" s="5">
        <v>0.37777777777777777</v>
      </c>
      <c r="BU1956" t="s">
        <v>130</v>
      </c>
      <c r="BV1956" t="s">
        <v>86</v>
      </c>
      <c r="BY1956">
        <v>11698.22</v>
      </c>
      <c r="CA1956" t="s">
        <v>131</v>
      </c>
      <c r="CC1956" t="s">
        <v>80</v>
      </c>
      <c r="CD1956">
        <v>6001</v>
      </c>
      <c r="CE1956" t="s">
        <v>116</v>
      </c>
      <c r="CF1956" s="3">
        <v>43822</v>
      </c>
      <c r="CI1956">
        <v>1</v>
      </c>
      <c r="CJ1956">
        <v>1</v>
      </c>
      <c r="CK1956">
        <v>21</v>
      </c>
      <c r="CL1956" t="s">
        <v>89</v>
      </c>
    </row>
    <row r="1957" spans="1:90">
      <c r="A1957" t="s">
        <v>72</v>
      </c>
      <c r="B1957" t="s">
        <v>73</v>
      </c>
      <c r="C1957" t="s">
        <v>74</v>
      </c>
      <c r="E1957" t="str">
        <f>"FES1162728983"</f>
        <v>FES1162728983</v>
      </c>
      <c r="F1957" s="3">
        <v>43818</v>
      </c>
      <c r="G1957">
        <v>202006</v>
      </c>
      <c r="H1957" t="s">
        <v>75</v>
      </c>
      <c r="I1957" t="s">
        <v>76</v>
      </c>
      <c r="J1957" t="s">
        <v>77</v>
      </c>
      <c r="K1957" t="s">
        <v>78</v>
      </c>
      <c r="L1957" t="s">
        <v>90</v>
      </c>
      <c r="M1957" t="s">
        <v>91</v>
      </c>
      <c r="N1957" t="s">
        <v>915</v>
      </c>
      <c r="O1957" t="s">
        <v>82</v>
      </c>
      <c r="P1957" t="str">
        <f>"2170722096                    "</f>
        <v xml:space="preserve">2170722096                    </v>
      </c>
      <c r="Q1957">
        <v>0</v>
      </c>
      <c r="R1957">
        <v>0</v>
      </c>
      <c r="S1957">
        <v>0</v>
      </c>
      <c r="T1957">
        <v>0</v>
      </c>
      <c r="U1957">
        <v>0</v>
      </c>
      <c r="V1957">
        <v>0</v>
      </c>
      <c r="W1957">
        <v>0</v>
      </c>
      <c r="X1957">
        <v>0</v>
      </c>
      <c r="Y1957">
        <v>0</v>
      </c>
      <c r="Z1957">
        <v>0</v>
      </c>
      <c r="AA1957">
        <v>0</v>
      </c>
      <c r="AB1957">
        <v>0</v>
      </c>
      <c r="AC1957">
        <v>0</v>
      </c>
      <c r="AD1957">
        <v>0</v>
      </c>
      <c r="AE1957">
        <v>0</v>
      </c>
      <c r="AF1957">
        <v>0</v>
      </c>
      <c r="AG1957">
        <v>0</v>
      </c>
      <c r="AH1957">
        <v>0</v>
      </c>
      <c r="AI1957">
        <v>0</v>
      </c>
      <c r="AJ1957">
        <v>0</v>
      </c>
      <c r="AK1957">
        <v>0</v>
      </c>
      <c r="AL1957">
        <v>0</v>
      </c>
      <c r="AM1957">
        <v>10.73</v>
      </c>
      <c r="AN1957">
        <v>0</v>
      </c>
      <c r="AO1957">
        <v>0</v>
      </c>
      <c r="AP1957">
        <v>0</v>
      </c>
      <c r="AQ1957">
        <v>0</v>
      </c>
      <c r="AR1957">
        <v>0</v>
      </c>
      <c r="AS1957">
        <v>0</v>
      </c>
      <c r="AT1957">
        <v>0</v>
      </c>
      <c r="AU1957">
        <v>0</v>
      </c>
      <c r="AV1957">
        <v>0</v>
      </c>
      <c r="AW1957">
        <v>0</v>
      </c>
      <c r="AX1957">
        <v>0</v>
      </c>
      <c r="AY1957">
        <v>0</v>
      </c>
      <c r="AZ1957">
        <v>0</v>
      </c>
      <c r="BA1957">
        <v>0</v>
      </c>
      <c r="BB1957">
        <v>0</v>
      </c>
      <c r="BC1957">
        <v>0</v>
      </c>
      <c r="BD1957">
        <v>0</v>
      </c>
      <c r="BE1957">
        <v>0</v>
      </c>
      <c r="BF1957">
        <v>0</v>
      </c>
      <c r="BG1957">
        <v>0</v>
      </c>
      <c r="BH1957">
        <v>1</v>
      </c>
      <c r="BI1957">
        <v>2.2000000000000002</v>
      </c>
      <c r="BJ1957">
        <v>1</v>
      </c>
      <c r="BK1957">
        <v>2.5</v>
      </c>
      <c r="BL1957" s="4">
        <v>63.06</v>
      </c>
      <c r="BM1957" s="4">
        <v>9.4600000000000009</v>
      </c>
      <c r="BN1957" s="4">
        <v>72.52</v>
      </c>
      <c r="BO1957" s="4">
        <v>72.52</v>
      </c>
      <c r="BQ1957" t="s">
        <v>93</v>
      </c>
      <c r="BR1957" t="s">
        <v>84</v>
      </c>
      <c r="BS1957" s="3">
        <v>43819</v>
      </c>
      <c r="BT1957" s="5">
        <v>0.38958333333333334</v>
      </c>
      <c r="BU1957" t="s">
        <v>2259</v>
      </c>
      <c r="BV1957" t="s">
        <v>86</v>
      </c>
      <c r="BY1957">
        <v>5232.9399999999996</v>
      </c>
      <c r="CA1957" t="s">
        <v>917</v>
      </c>
      <c r="CC1957" t="s">
        <v>91</v>
      </c>
      <c r="CD1957">
        <v>7975</v>
      </c>
      <c r="CE1957" t="s">
        <v>96</v>
      </c>
      <c r="CF1957" s="3">
        <v>43822</v>
      </c>
      <c r="CI1957">
        <v>1</v>
      </c>
      <c r="CJ1957">
        <v>1</v>
      </c>
      <c r="CK1957">
        <v>21</v>
      </c>
      <c r="CL1957" t="s">
        <v>89</v>
      </c>
    </row>
    <row r="1958" spans="1:90">
      <c r="A1958" t="s">
        <v>72</v>
      </c>
      <c r="B1958" t="s">
        <v>73</v>
      </c>
      <c r="C1958" t="s">
        <v>74</v>
      </c>
      <c r="E1958" t="str">
        <f>"FES1162729000"</f>
        <v>FES1162729000</v>
      </c>
      <c r="F1958" s="3">
        <v>43818</v>
      </c>
      <c r="G1958">
        <v>202006</v>
      </c>
      <c r="H1958" t="s">
        <v>75</v>
      </c>
      <c r="I1958" t="s">
        <v>76</v>
      </c>
      <c r="J1958" t="s">
        <v>77</v>
      </c>
      <c r="K1958" t="s">
        <v>78</v>
      </c>
      <c r="L1958" t="s">
        <v>75</v>
      </c>
      <c r="M1958" t="s">
        <v>76</v>
      </c>
      <c r="N1958" t="s">
        <v>770</v>
      </c>
      <c r="O1958" t="s">
        <v>82</v>
      </c>
      <c r="P1958" t="str">
        <f>"2170717494                    "</f>
        <v xml:space="preserve">2170717494                    </v>
      </c>
      <c r="Q1958">
        <v>0</v>
      </c>
      <c r="R1958">
        <v>0</v>
      </c>
      <c r="S1958">
        <v>0</v>
      </c>
      <c r="T1958">
        <v>0</v>
      </c>
      <c r="U1958">
        <v>0</v>
      </c>
      <c r="V1958">
        <v>0</v>
      </c>
      <c r="W1958">
        <v>0</v>
      </c>
      <c r="X1958">
        <v>0</v>
      </c>
      <c r="Y1958">
        <v>0</v>
      </c>
      <c r="Z1958">
        <v>0</v>
      </c>
      <c r="AA1958">
        <v>0</v>
      </c>
      <c r="AB1958">
        <v>0</v>
      </c>
      <c r="AC1958">
        <v>0</v>
      </c>
      <c r="AD1958">
        <v>0</v>
      </c>
      <c r="AE1958">
        <v>0</v>
      </c>
      <c r="AF1958">
        <v>0</v>
      </c>
      <c r="AG1958">
        <v>0</v>
      </c>
      <c r="AH1958">
        <v>0</v>
      </c>
      <c r="AI1958">
        <v>0</v>
      </c>
      <c r="AJ1958">
        <v>0</v>
      </c>
      <c r="AK1958">
        <v>0</v>
      </c>
      <c r="AL1958">
        <v>0</v>
      </c>
      <c r="AM1958">
        <v>6.71</v>
      </c>
      <c r="AN1958">
        <v>0</v>
      </c>
      <c r="AO1958">
        <v>0</v>
      </c>
      <c r="AP1958">
        <v>0</v>
      </c>
      <c r="AQ1958">
        <v>0</v>
      </c>
      <c r="AR1958">
        <v>0</v>
      </c>
      <c r="AS1958">
        <v>0</v>
      </c>
      <c r="AT1958">
        <v>0</v>
      </c>
      <c r="AU1958">
        <v>0</v>
      </c>
      <c r="AV1958">
        <v>0</v>
      </c>
      <c r="AW1958">
        <v>0</v>
      </c>
      <c r="AX1958">
        <v>0</v>
      </c>
      <c r="AY1958">
        <v>0</v>
      </c>
      <c r="AZ1958">
        <v>0</v>
      </c>
      <c r="BA1958">
        <v>0</v>
      </c>
      <c r="BB1958">
        <v>0</v>
      </c>
      <c r="BC1958">
        <v>0</v>
      </c>
      <c r="BD1958">
        <v>0</v>
      </c>
      <c r="BE1958">
        <v>0</v>
      </c>
      <c r="BF1958">
        <v>0</v>
      </c>
      <c r="BG1958">
        <v>0</v>
      </c>
      <c r="BH1958">
        <v>1</v>
      </c>
      <c r="BI1958">
        <v>1.1000000000000001</v>
      </c>
      <c r="BJ1958">
        <v>1.2</v>
      </c>
      <c r="BK1958">
        <v>1.5</v>
      </c>
      <c r="BL1958" s="4">
        <v>39.42</v>
      </c>
      <c r="BM1958" s="4">
        <v>5.91</v>
      </c>
      <c r="BN1958" s="4">
        <v>45.33</v>
      </c>
      <c r="BO1958" s="4">
        <v>45.33</v>
      </c>
      <c r="BQ1958" t="s">
        <v>147</v>
      </c>
      <c r="BR1958" t="s">
        <v>84</v>
      </c>
      <c r="BS1958" s="3">
        <v>43819</v>
      </c>
      <c r="BT1958" s="5">
        <v>0.33333333333333331</v>
      </c>
      <c r="BU1958" t="s">
        <v>2260</v>
      </c>
      <c r="BV1958" t="s">
        <v>86</v>
      </c>
      <c r="BY1958">
        <v>6188.24</v>
      </c>
      <c r="CA1958" t="s">
        <v>155</v>
      </c>
      <c r="CC1958" t="s">
        <v>76</v>
      </c>
      <c r="CD1958">
        <v>1601</v>
      </c>
      <c r="CE1958" t="s">
        <v>96</v>
      </c>
      <c r="CF1958" s="3">
        <v>43822</v>
      </c>
      <c r="CI1958">
        <v>1</v>
      </c>
      <c r="CJ1958">
        <v>1</v>
      </c>
      <c r="CK1958">
        <v>22</v>
      </c>
      <c r="CL1958" t="s">
        <v>89</v>
      </c>
    </row>
    <row r="1959" spans="1:90">
      <c r="A1959" t="s">
        <v>72</v>
      </c>
      <c r="B1959" t="s">
        <v>73</v>
      </c>
      <c r="C1959" t="s">
        <v>74</v>
      </c>
      <c r="E1959" t="str">
        <f>"FES1162729005"</f>
        <v>FES1162729005</v>
      </c>
      <c r="F1959" s="3">
        <v>43818</v>
      </c>
      <c r="G1959">
        <v>202006</v>
      </c>
      <c r="H1959" t="s">
        <v>75</v>
      </c>
      <c r="I1959" t="s">
        <v>76</v>
      </c>
      <c r="J1959" t="s">
        <v>77</v>
      </c>
      <c r="K1959" t="s">
        <v>78</v>
      </c>
      <c r="L1959" t="s">
        <v>332</v>
      </c>
      <c r="M1959" t="s">
        <v>333</v>
      </c>
      <c r="N1959" t="s">
        <v>950</v>
      </c>
      <c r="O1959" t="s">
        <v>82</v>
      </c>
      <c r="P1959" t="str">
        <f>"2170721785                    "</f>
        <v xml:space="preserve">2170721785                    </v>
      </c>
      <c r="Q1959">
        <v>0</v>
      </c>
      <c r="R1959">
        <v>0</v>
      </c>
      <c r="S1959">
        <v>0</v>
      </c>
      <c r="T1959">
        <v>0</v>
      </c>
      <c r="U1959">
        <v>0</v>
      </c>
      <c r="V1959">
        <v>0</v>
      </c>
      <c r="W1959">
        <v>0</v>
      </c>
      <c r="X1959">
        <v>0</v>
      </c>
      <c r="Y1959">
        <v>0</v>
      </c>
      <c r="Z1959">
        <v>0</v>
      </c>
      <c r="AA1959">
        <v>0</v>
      </c>
      <c r="AB1959">
        <v>0</v>
      </c>
      <c r="AC1959">
        <v>0</v>
      </c>
      <c r="AD1959">
        <v>0</v>
      </c>
      <c r="AE1959">
        <v>0</v>
      </c>
      <c r="AF1959">
        <v>0</v>
      </c>
      <c r="AG1959">
        <v>0</v>
      </c>
      <c r="AH1959">
        <v>0</v>
      </c>
      <c r="AI1959">
        <v>0</v>
      </c>
      <c r="AJ1959">
        <v>0</v>
      </c>
      <c r="AK1959">
        <v>0</v>
      </c>
      <c r="AL1959">
        <v>0</v>
      </c>
      <c r="AM1959">
        <v>9.1199999999999992</v>
      </c>
      <c r="AN1959">
        <v>0</v>
      </c>
      <c r="AO1959">
        <v>0</v>
      </c>
      <c r="AP1959">
        <v>0</v>
      </c>
      <c r="AQ1959">
        <v>0</v>
      </c>
      <c r="AR1959">
        <v>0</v>
      </c>
      <c r="AS1959">
        <v>0</v>
      </c>
      <c r="AT1959">
        <v>0</v>
      </c>
      <c r="AU1959">
        <v>0</v>
      </c>
      <c r="AV1959">
        <v>0</v>
      </c>
      <c r="AW1959">
        <v>0</v>
      </c>
      <c r="AX1959">
        <v>0</v>
      </c>
      <c r="AY1959">
        <v>0</v>
      </c>
      <c r="AZ1959">
        <v>0</v>
      </c>
      <c r="BA1959">
        <v>0</v>
      </c>
      <c r="BB1959">
        <v>0</v>
      </c>
      <c r="BC1959">
        <v>0</v>
      </c>
      <c r="BD1959">
        <v>0</v>
      </c>
      <c r="BE1959">
        <v>0</v>
      </c>
      <c r="BF1959">
        <v>0</v>
      </c>
      <c r="BG1959">
        <v>0</v>
      </c>
      <c r="BH1959">
        <v>1</v>
      </c>
      <c r="BI1959">
        <v>3.1</v>
      </c>
      <c r="BJ1959">
        <v>3.1</v>
      </c>
      <c r="BK1959">
        <v>3.5</v>
      </c>
      <c r="BL1959" s="4">
        <v>53.59</v>
      </c>
      <c r="BM1959" s="4">
        <v>8.0399999999999991</v>
      </c>
      <c r="BN1959" s="4">
        <v>61.63</v>
      </c>
      <c r="BO1959" s="4">
        <v>61.63</v>
      </c>
      <c r="BQ1959" t="s">
        <v>147</v>
      </c>
      <c r="BR1959" t="s">
        <v>84</v>
      </c>
      <c r="BS1959" s="3">
        <v>43819</v>
      </c>
      <c r="BT1959" s="5">
        <v>0.34722222222222227</v>
      </c>
      <c r="BU1959" t="s">
        <v>2261</v>
      </c>
      <c r="BV1959" t="s">
        <v>86</v>
      </c>
      <c r="BY1959">
        <v>15629.66</v>
      </c>
      <c r="CC1959" t="s">
        <v>333</v>
      </c>
      <c r="CD1959">
        <v>2013</v>
      </c>
      <c r="CE1959" t="s">
        <v>96</v>
      </c>
      <c r="CF1959" s="3">
        <v>43822</v>
      </c>
      <c r="CI1959">
        <v>1</v>
      </c>
      <c r="CJ1959">
        <v>1</v>
      </c>
      <c r="CK1959">
        <v>22</v>
      </c>
      <c r="CL1959" t="s">
        <v>89</v>
      </c>
    </row>
    <row r="1960" spans="1:90">
      <c r="A1960" t="s">
        <v>72</v>
      </c>
      <c r="B1960" t="s">
        <v>73</v>
      </c>
      <c r="C1960" t="s">
        <v>74</v>
      </c>
      <c r="E1960" t="str">
        <f>"FES1162729044"</f>
        <v>FES1162729044</v>
      </c>
      <c r="F1960" s="3">
        <v>43818</v>
      </c>
      <c r="G1960">
        <v>202006</v>
      </c>
      <c r="H1960" t="s">
        <v>75</v>
      </c>
      <c r="I1960" t="s">
        <v>76</v>
      </c>
      <c r="J1960" t="s">
        <v>77</v>
      </c>
      <c r="K1960" t="s">
        <v>78</v>
      </c>
      <c r="L1960" t="s">
        <v>90</v>
      </c>
      <c r="M1960" t="s">
        <v>91</v>
      </c>
      <c r="N1960" t="s">
        <v>1815</v>
      </c>
      <c r="O1960" t="s">
        <v>82</v>
      </c>
      <c r="P1960" t="str">
        <f>"2170719782                    "</f>
        <v xml:space="preserve">2170719782                    </v>
      </c>
      <c r="Q1960">
        <v>0</v>
      </c>
      <c r="R1960">
        <v>0</v>
      </c>
      <c r="S1960">
        <v>0</v>
      </c>
      <c r="T1960">
        <v>0</v>
      </c>
      <c r="U1960">
        <v>0</v>
      </c>
      <c r="V1960">
        <v>0</v>
      </c>
      <c r="W1960">
        <v>0</v>
      </c>
      <c r="X1960">
        <v>0</v>
      </c>
      <c r="Y1960">
        <v>0</v>
      </c>
      <c r="Z1960">
        <v>0</v>
      </c>
      <c r="AA1960">
        <v>0</v>
      </c>
      <c r="AB1960">
        <v>0</v>
      </c>
      <c r="AC1960">
        <v>0</v>
      </c>
      <c r="AD1960">
        <v>0</v>
      </c>
      <c r="AE1960">
        <v>0</v>
      </c>
      <c r="AF1960">
        <v>0</v>
      </c>
      <c r="AG1960">
        <v>0</v>
      </c>
      <c r="AH1960">
        <v>0</v>
      </c>
      <c r="AI1960">
        <v>0</v>
      </c>
      <c r="AJ1960">
        <v>0</v>
      </c>
      <c r="AK1960">
        <v>0</v>
      </c>
      <c r="AL1960">
        <v>0</v>
      </c>
      <c r="AM1960">
        <v>8.58</v>
      </c>
      <c r="AN1960">
        <v>0</v>
      </c>
      <c r="AO1960">
        <v>0</v>
      </c>
      <c r="AP1960">
        <v>0</v>
      </c>
      <c r="AQ1960">
        <v>0</v>
      </c>
      <c r="AR1960">
        <v>0</v>
      </c>
      <c r="AS1960">
        <v>0</v>
      </c>
      <c r="AT1960">
        <v>0</v>
      </c>
      <c r="AU1960">
        <v>0</v>
      </c>
      <c r="AV1960">
        <v>0</v>
      </c>
      <c r="AW1960">
        <v>0</v>
      </c>
      <c r="AX1960">
        <v>0</v>
      </c>
      <c r="AY1960">
        <v>0</v>
      </c>
      <c r="AZ1960">
        <v>0</v>
      </c>
      <c r="BA1960">
        <v>0</v>
      </c>
      <c r="BB1960">
        <v>0</v>
      </c>
      <c r="BC1960">
        <v>0</v>
      </c>
      <c r="BD1960">
        <v>0</v>
      </c>
      <c r="BE1960">
        <v>0</v>
      </c>
      <c r="BF1960">
        <v>0</v>
      </c>
      <c r="BG1960">
        <v>0</v>
      </c>
      <c r="BH1960">
        <v>1</v>
      </c>
      <c r="BI1960">
        <v>1.6</v>
      </c>
      <c r="BJ1960">
        <v>1.3</v>
      </c>
      <c r="BK1960">
        <v>2</v>
      </c>
      <c r="BL1960" s="4">
        <v>50.45</v>
      </c>
      <c r="BM1960" s="4">
        <v>7.57</v>
      </c>
      <c r="BN1960" s="4">
        <v>58.02</v>
      </c>
      <c r="BO1960" s="4">
        <v>58.02</v>
      </c>
      <c r="BQ1960" t="s">
        <v>135</v>
      </c>
      <c r="BR1960" t="s">
        <v>84</v>
      </c>
      <c r="BS1960" s="3">
        <v>43819</v>
      </c>
      <c r="BT1960" s="5">
        <v>0.35347222222222219</v>
      </c>
      <c r="BU1960" t="s">
        <v>2262</v>
      </c>
      <c r="BV1960" t="s">
        <v>86</v>
      </c>
      <c r="BY1960">
        <v>6272.77</v>
      </c>
      <c r="CA1960" t="s">
        <v>145</v>
      </c>
      <c r="CC1960" t="s">
        <v>91</v>
      </c>
      <c r="CD1960">
        <v>7441</v>
      </c>
      <c r="CE1960" t="s">
        <v>96</v>
      </c>
      <c r="CF1960" s="3">
        <v>43822</v>
      </c>
      <c r="CI1960">
        <v>1</v>
      </c>
      <c r="CJ1960">
        <v>1</v>
      </c>
      <c r="CK1960">
        <v>21</v>
      </c>
      <c r="CL1960" t="s">
        <v>89</v>
      </c>
    </row>
    <row r="1961" spans="1:90">
      <c r="A1961" t="s">
        <v>72</v>
      </c>
      <c r="B1961" t="s">
        <v>73</v>
      </c>
      <c r="C1961" t="s">
        <v>74</v>
      </c>
      <c r="E1961" t="str">
        <f>"FES1162728800"</f>
        <v>FES1162728800</v>
      </c>
      <c r="F1961" s="3">
        <v>43818</v>
      </c>
      <c r="G1961">
        <v>202006</v>
      </c>
      <c r="H1961" t="s">
        <v>75</v>
      </c>
      <c r="I1961" t="s">
        <v>76</v>
      </c>
      <c r="J1961" t="s">
        <v>77</v>
      </c>
      <c r="K1961" t="s">
        <v>78</v>
      </c>
      <c r="L1961" t="s">
        <v>350</v>
      </c>
      <c r="M1961" t="s">
        <v>351</v>
      </c>
      <c r="N1961" t="s">
        <v>727</v>
      </c>
      <c r="O1961" t="s">
        <v>82</v>
      </c>
      <c r="P1961" t="str">
        <f>"2170718875                    "</f>
        <v xml:space="preserve">2170718875                    </v>
      </c>
      <c r="Q1961">
        <v>0</v>
      </c>
      <c r="R1961">
        <v>0</v>
      </c>
      <c r="S1961">
        <v>0</v>
      </c>
      <c r="T1961">
        <v>0</v>
      </c>
      <c r="U1961">
        <v>0</v>
      </c>
      <c r="V1961">
        <v>0</v>
      </c>
      <c r="W1961">
        <v>0</v>
      </c>
      <c r="X1961">
        <v>0</v>
      </c>
      <c r="Y1961">
        <v>0</v>
      </c>
      <c r="Z1961">
        <v>0</v>
      </c>
      <c r="AA1961">
        <v>0</v>
      </c>
      <c r="AB1961">
        <v>0</v>
      </c>
      <c r="AC1961">
        <v>0</v>
      </c>
      <c r="AD1961">
        <v>0</v>
      </c>
      <c r="AE1961">
        <v>0</v>
      </c>
      <c r="AF1961">
        <v>0</v>
      </c>
      <c r="AG1961">
        <v>0</v>
      </c>
      <c r="AH1961">
        <v>0</v>
      </c>
      <c r="AI1961">
        <v>0</v>
      </c>
      <c r="AJ1961">
        <v>0</v>
      </c>
      <c r="AK1961">
        <v>0</v>
      </c>
      <c r="AL1961">
        <v>0</v>
      </c>
      <c r="AM1961">
        <v>6.71</v>
      </c>
      <c r="AN1961">
        <v>0</v>
      </c>
      <c r="AO1961">
        <v>0</v>
      </c>
      <c r="AP1961">
        <v>0</v>
      </c>
      <c r="AQ1961">
        <v>0</v>
      </c>
      <c r="AR1961">
        <v>0</v>
      </c>
      <c r="AS1961">
        <v>0</v>
      </c>
      <c r="AT1961">
        <v>0</v>
      </c>
      <c r="AU1961">
        <v>0</v>
      </c>
      <c r="AV1961">
        <v>0</v>
      </c>
      <c r="AW1961">
        <v>0</v>
      </c>
      <c r="AX1961">
        <v>0</v>
      </c>
      <c r="AY1961">
        <v>0</v>
      </c>
      <c r="AZ1961">
        <v>0</v>
      </c>
      <c r="BA1961">
        <v>0</v>
      </c>
      <c r="BB1961">
        <v>0</v>
      </c>
      <c r="BC1961">
        <v>0</v>
      </c>
      <c r="BD1961">
        <v>0</v>
      </c>
      <c r="BE1961">
        <v>0</v>
      </c>
      <c r="BF1961">
        <v>0</v>
      </c>
      <c r="BG1961">
        <v>0</v>
      </c>
      <c r="BH1961">
        <v>1</v>
      </c>
      <c r="BI1961">
        <v>1</v>
      </c>
      <c r="BJ1961">
        <v>0.2</v>
      </c>
      <c r="BK1961">
        <v>1</v>
      </c>
      <c r="BL1961" s="4">
        <v>39.42</v>
      </c>
      <c r="BM1961" s="4">
        <v>5.91</v>
      </c>
      <c r="BN1961" s="4">
        <v>45.33</v>
      </c>
      <c r="BO1961" s="4">
        <v>45.33</v>
      </c>
      <c r="BQ1961" t="s">
        <v>147</v>
      </c>
      <c r="BR1961" t="s">
        <v>84</v>
      </c>
      <c r="BS1961" s="3">
        <v>43819</v>
      </c>
      <c r="BT1961" s="5">
        <v>0.30833333333333335</v>
      </c>
      <c r="BU1961" t="s">
        <v>2263</v>
      </c>
      <c r="BV1961" t="s">
        <v>86</v>
      </c>
      <c r="BY1961">
        <v>1200</v>
      </c>
      <c r="CA1961" t="s">
        <v>174</v>
      </c>
      <c r="CC1961" t="s">
        <v>351</v>
      </c>
      <c r="CD1961">
        <v>1501</v>
      </c>
      <c r="CE1961" t="s">
        <v>88</v>
      </c>
      <c r="CF1961" s="3">
        <v>43822</v>
      </c>
      <c r="CI1961">
        <v>1</v>
      </c>
      <c r="CJ1961">
        <v>1</v>
      </c>
      <c r="CK1961">
        <v>22</v>
      </c>
      <c r="CL1961" t="s">
        <v>89</v>
      </c>
    </row>
    <row r="1962" spans="1:90">
      <c r="A1962" t="s">
        <v>72</v>
      </c>
      <c r="B1962" t="s">
        <v>73</v>
      </c>
      <c r="C1962" t="s">
        <v>74</v>
      </c>
      <c r="E1962" t="str">
        <f>"FES1162728843"</f>
        <v>FES1162728843</v>
      </c>
      <c r="F1962" s="3">
        <v>43818</v>
      </c>
      <c r="G1962">
        <v>202006</v>
      </c>
      <c r="H1962" t="s">
        <v>75</v>
      </c>
      <c r="I1962" t="s">
        <v>76</v>
      </c>
      <c r="J1962" t="s">
        <v>77</v>
      </c>
      <c r="K1962" t="s">
        <v>78</v>
      </c>
      <c r="L1962" t="s">
        <v>75</v>
      </c>
      <c r="M1962" t="s">
        <v>76</v>
      </c>
      <c r="N1962" t="s">
        <v>289</v>
      </c>
      <c r="O1962" t="s">
        <v>82</v>
      </c>
      <c r="P1962" t="str">
        <f>"2170721057                    "</f>
        <v xml:space="preserve">2170721057                    </v>
      </c>
      <c r="Q1962">
        <v>0</v>
      </c>
      <c r="R1962">
        <v>0</v>
      </c>
      <c r="S1962">
        <v>0</v>
      </c>
      <c r="T1962">
        <v>0</v>
      </c>
      <c r="U1962">
        <v>0</v>
      </c>
      <c r="V1962">
        <v>0</v>
      </c>
      <c r="W1962">
        <v>0</v>
      </c>
      <c r="X1962">
        <v>0</v>
      </c>
      <c r="Y1962">
        <v>0</v>
      </c>
      <c r="Z1962">
        <v>0</v>
      </c>
      <c r="AA1962">
        <v>0</v>
      </c>
      <c r="AB1962">
        <v>0</v>
      </c>
      <c r="AC1962">
        <v>0</v>
      </c>
      <c r="AD1962">
        <v>0</v>
      </c>
      <c r="AE1962">
        <v>0</v>
      </c>
      <c r="AF1962">
        <v>0</v>
      </c>
      <c r="AG1962">
        <v>0</v>
      </c>
      <c r="AH1962">
        <v>0</v>
      </c>
      <c r="AI1962">
        <v>0</v>
      </c>
      <c r="AJ1962">
        <v>0</v>
      </c>
      <c r="AK1962">
        <v>0</v>
      </c>
      <c r="AL1962">
        <v>0</v>
      </c>
      <c r="AM1962">
        <v>6.71</v>
      </c>
      <c r="AN1962">
        <v>0</v>
      </c>
      <c r="AO1962">
        <v>0</v>
      </c>
      <c r="AP1962">
        <v>0</v>
      </c>
      <c r="AQ1962">
        <v>0</v>
      </c>
      <c r="AR1962">
        <v>0</v>
      </c>
      <c r="AS1962">
        <v>0</v>
      </c>
      <c r="AT1962">
        <v>0</v>
      </c>
      <c r="AU1962">
        <v>0</v>
      </c>
      <c r="AV1962">
        <v>0</v>
      </c>
      <c r="AW1962">
        <v>0</v>
      </c>
      <c r="AX1962">
        <v>0</v>
      </c>
      <c r="AY1962">
        <v>0</v>
      </c>
      <c r="AZ1962">
        <v>0</v>
      </c>
      <c r="BA1962">
        <v>0</v>
      </c>
      <c r="BB1962">
        <v>0</v>
      </c>
      <c r="BC1962">
        <v>0</v>
      </c>
      <c r="BD1962">
        <v>0</v>
      </c>
      <c r="BE1962">
        <v>0</v>
      </c>
      <c r="BF1962">
        <v>0</v>
      </c>
      <c r="BG1962">
        <v>0</v>
      </c>
      <c r="BH1962">
        <v>1</v>
      </c>
      <c r="BI1962">
        <v>1</v>
      </c>
      <c r="BJ1962">
        <v>0.2</v>
      </c>
      <c r="BK1962">
        <v>1</v>
      </c>
      <c r="BL1962" s="4">
        <v>39.42</v>
      </c>
      <c r="BM1962" s="4">
        <v>5.91</v>
      </c>
      <c r="BN1962" s="4">
        <v>45.33</v>
      </c>
      <c r="BO1962" s="4">
        <v>45.33</v>
      </c>
      <c r="BQ1962" t="s">
        <v>290</v>
      </c>
      <c r="BR1962" t="s">
        <v>84</v>
      </c>
      <c r="BS1962" s="3">
        <v>43819</v>
      </c>
      <c r="BT1962" s="5">
        <v>0.31944444444444448</v>
      </c>
      <c r="BU1962" t="s">
        <v>1962</v>
      </c>
      <c r="BV1962" t="s">
        <v>86</v>
      </c>
      <c r="BY1962">
        <v>1200</v>
      </c>
      <c r="CA1962" t="s">
        <v>155</v>
      </c>
      <c r="CC1962" t="s">
        <v>76</v>
      </c>
      <c r="CD1962">
        <v>1601</v>
      </c>
      <c r="CE1962" t="s">
        <v>88</v>
      </c>
      <c r="CF1962" s="3">
        <v>43822</v>
      </c>
      <c r="CI1962">
        <v>1</v>
      </c>
      <c r="CJ1962">
        <v>1</v>
      </c>
      <c r="CK1962">
        <v>22</v>
      </c>
      <c r="CL1962" t="s">
        <v>89</v>
      </c>
    </row>
    <row r="1963" spans="1:90">
      <c r="A1963" t="s">
        <v>72</v>
      </c>
      <c r="B1963" t="s">
        <v>73</v>
      </c>
      <c r="C1963" t="s">
        <v>74</v>
      </c>
      <c r="E1963" t="str">
        <f>"FES1162728905"</f>
        <v>FES1162728905</v>
      </c>
      <c r="F1963" s="3">
        <v>43818</v>
      </c>
      <c r="G1963">
        <v>202006</v>
      </c>
      <c r="H1963" t="s">
        <v>75</v>
      </c>
      <c r="I1963" t="s">
        <v>76</v>
      </c>
      <c r="J1963" t="s">
        <v>77</v>
      </c>
      <c r="K1963" t="s">
        <v>78</v>
      </c>
      <c r="L1963" t="s">
        <v>169</v>
      </c>
      <c r="M1963" t="s">
        <v>170</v>
      </c>
      <c r="N1963" t="s">
        <v>1754</v>
      </c>
      <c r="O1963" t="s">
        <v>82</v>
      </c>
      <c r="P1963" t="str">
        <f>"2170721489                    "</f>
        <v xml:space="preserve">2170721489                    </v>
      </c>
      <c r="Q1963">
        <v>0</v>
      </c>
      <c r="R1963">
        <v>0</v>
      </c>
      <c r="S1963">
        <v>0</v>
      </c>
      <c r="T1963">
        <v>0</v>
      </c>
      <c r="U1963">
        <v>0</v>
      </c>
      <c r="V1963">
        <v>0</v>
      </c>
      <c r="W1963">
        <v>0</v>
      </c>
      <c r="X1963">
        <v>0</v>
      </c>
      <c r="Y1963">
        <v>0</v>
      </c>
      <c r="Z1963">
        <v>0</v>
      </c>
      <c r="AA1963">
        <v>0</v>
      </c>
      <c r="AB1963">
        <v>0</v>
      </c>
      <c r="AC1963">
        <v>0</v>
      </c>
      <c r="AD1963">
        <v>0</v>
      </c>
      <c r="AE1963">
        <v>0</v>
      </c>
      <c r="AF1963">
        <v>0</v>
      </c>
      <c r="AG1963">
        <v>0</v>
      </c>
      <c r="AH1963">
        <v>0</v>
      </c>
      <c r="AI1963">
        <v>0</v>
      </c>
      <c r="AJ1963">
        <v>0</v>
      </c>
      <c r="AK1963">
        <v>0</v>
      </c>
      <c r="AL1963">
        <v>0</v>
      </c>
      <c r="AM1963">
        <v>6.71</v>
      </c>
      <c r="AN1963">
        <v>0</v>
      </c>
      <c r="AO1963">
        <v>0</v>
      </c>
      <c r="AP1963">
        <v>0</v>
      </c>
      <c r="AQ1963">
        <v>0</v>
      </c>
      <c r="AR1963">
        <v>0</v>
      </c>
      <c r="AS1963">
        <v>0</v>
      </c>
      <c r="AT1963">
        <v>0</v>
      </c>
      <c r="AU1963">
        <v>0</v>
      </c>
      <c r="AV1963">
        <v>0</v>
      </c>
      <c r="AW1963">
        <v>0</v>
      </c>
      <c r="AX1963">
        <v>0</v>
      </c>
      <c r="AY1963">
        <v>0</v>
      </c>
      <c r="AZ1963">
        <v>0</v>
      </c>
      <c r="BA1963">
        <v>0</v>
      </c>
      <c r="BB1963">
        <v>0</v>
      </c>
      <c r="BC1963">
        <v>0</v>
      </c>
      <c r="BD1963">
        <v>0</v>
      </c>
      <c r="BE1963">
        <v>0</v>
      </c>
      <c r="BF1963">
        <v>0</v>
      </c>
      <c r="BG1963">
        <v>0</v>
      </c>
      <c r="BH1963">
        <v>1</v>
      </c>
      <c r="BI1963">
        <v>1</v>
      </c>
      <c r="BJ1963">
        <v>0.2</v>
      </c>
      <c r="BK1963">
        <v>1</v>
      </c>
      <c r="BL1963" s="4">
        <v>39.42</v>
      </c>
      <c r="BM1963" s="4">
        <v>5.91</v>
      </c>
      <c r="BN1963" s="4">
        <v>45.33</v>
      </c>
      <c r="BO1963" s="4">
        <v>45.33</v>
      </c>
      <c r="BQ1963" t="s">
        <v>147</v>
      </c>
      <c r="BR1963" t="s">
        <v>84</v>
      </c>
      <c r="BS1963" s="3">
        <v>43819</v>
      </c>
      <c r="BT1963" s="5">
        <v>0.29722222222222222</v>
      </c>
      <c r="BU1963" t="s">
        <v>1154</v>
      </c>
      <c r="BV1963" t="s">
        <v>86</v>
      </c>
      <c r="BY1963">
        <v>1200</v>
      </c>
      <c r="CA1963" t="s">
        <v>174</v>
      </c>
      <c r="CC1963" t="s">
        <v>170</v>
      </c>
      <c r="CD1963">
        <v>1459</v>
      </c>
      <c r="CE1963" t="s">
        <v>88</v>
      </c>
      <c r="CF1963" s="3">
        <v>43822</v>
      </c>
      <c r="CI1963">
        <v>1</v>
      </c>
      <c r="CJ1963">
        <v>1</v>
      </c>
      <c r="CK1963">
        <v>22</v>
      </c>
      <c r="CL1963" t="s">
        <v>89</v>
      </c>
    </row>
    <row r="1964" spans="1:90">
      <c r="A1964" t="s">
        <v>72</v>
      </c>
      <c r="B1964" t="s">
        <v>73</v>
      </c>
      <c r="C1964" t="s">
        <v>74</v>
      </c>
      <c r="E1964" t="str">
        <f>"FES1162728797"</f>
        <v>FES1162728797</v>
      </c>
      <c r="F1964" s="3">
        <v>43818</v>
      </c>
      <c r="G1964">
        <v>202006</v>
      </c>
      <c r="H1964" t="s">
        <v>75</v>
      </c>
      <c r="I1964" t="s">
        <v>76</v>
      </c>
      <c r="J1964" t="s">
        <v>77</v>
      </c>
      <c r="K1964" t="s">
        <v>78</v>
      </c>
      <c r="L1964" t="s">
        <v>75</v>
      </c>
      <c r="M1964" t="s">
        <v>76</v>
      </c>
      <c r="N1964" t="s">
        <v>2004</v>
      </c>
      <c r="O1964" t="s">
        <v>82</v>
      </c>
      <c r="P1964" t="str">
        <f>"2170717717                    "</f>
        <v xml:space="preserve">2170717717                    </v>
      </c>
      <c r="Q1964">
        <v>0</v>
      </c>
      <c r="R1964">
        <v>0</v>
      </c>
      <c r="S1964">
        <v>0</v>
      </c>
      <c r="T1964">
        <v>0</v>
      </c>
      <c r="U1964">
        <v>0</v>
      </c>
      <c r="V1964">
        <v>0</v>
      </c>
      <c r="W1964">
        <v>0</v>
      </c>
      <c r="X1964">
        <v>0</v>
      </c>
      <c r="Y1964">
        <v>0</v>
      </c>
      <c r="Z1964">
        <v>0</v>
      </c>
      <c r="AA1964">
        <v>0</v>
      </c>
      <c r="AB1964">
        <v>0</v>
      </c>
      <c r="AC1964">
        <v>0</v>
      </c>
      <c r="AD1964">
        <v>0</v>
      </c>
      <c r="AE1964">
        <v>0</v>
      </c>
      <c r="AF1964">
        <v>0</v>
      </c>
      <c r="AG1964">
        <v>0</v>
      </c>
      <c r="AH1964">
        <v>0</v>
      </c>
      <c r="AI1964">
        <v>0</v>
      </c>
      <c r="AJ1964">
        <v>0</v>
      </c>
      <c r="AK1964">
        <v>0</v>
      </c>
      <c r="AL1964">
        <v>0</v>
      </c>
      <c r="AM1964">
        <v>6.71</v>
      </c>
      <c r="AN1964">
        <v>0</v>
      </c>
      <c r="AO1964">
        <v>0</v>
      </c>
      <c r="AP1964">
        <v>0</v>
      </c>
      <c r="AQ1964">
        <v>0</v>
      </c>
      <c r="AR1964">
        <v>0</v>
      </c>
      <c r="AS1964">
        <v>0</v>
      </c>
      <c r="AT1964">
        <v>0</v>
      </c>
      <c r="AU1964">
        <v>0</v>
      </c>
      <c r="AV1964">
        <v>0</v>
      </c>
      <c r="AW1964">
        <v>0</v>
      </c>
      <c r="AX1964">
        <v>0</v>
      </c>
      <c r="AY1964">
        <v>0</v>
      </c>
      <c r="AZ1964">
        <v>0</v>
      </c>
      <c r="BA1964">
        <v>0</v>
      </c>
      <c r="BB1964">
        <v>0</v>
      </c>
      <c r="BC1964">
        <v>0</v>
      </c>
      <c r="BD1964">
        <v>0</v>
      </c>
      <c r="BE1964">
        <v>0</v>
      </c>
      <c r="BF1964">
        <v>0</v>
      </c>
      <c r="BG1964">
        <v>0</v>
      </c>
      <c r="BH1964">
        <v>1</v>
      </c>
      <c r="BI1964">
        <v>1</v>
      </c>
      <c r="BJ1964">
        <v>0.2</v>
      </c>
      <c r="BK1964">
        <v>1</v>
      </c>
      <c r="BL1964" s="4">
        <v>39.42</v>
      </c>
      <c r="BM1964" s="4">
        <v>5.91</v>
      </c>
      <c r="BN1964" s="4">
        <v>45.33</v>
      </c>
      <c r="BO1964" s="4">
        <v>45.33</v>
      </c>
      <c r="BQ1964" t="s">
        <v>93</v>
      </c>
      <c r="BR1964" t="s">
        <v>84</v>
      </c>
      <c r="BS1964" s="3">
        <v>43819</v>
      </c>
      <c r="BT1964" s="5">
        <v>0.66041666666666665</v>
      </c>
      <c r="BU1964" t="s">
        <v>617</v>
      </c>
      <c r="BV1964" t="s">
        <v>89</v>
      </c>
      <c r="BY1964">
        <v>1200</v>
      </c>
      <c r="CA1964" t="s">
        <v>620</v>
      </c>
      <c r="CC1964" t="s">
        <v>76</v>
      </c>
      <c r="CD1964">
        <v>1600</v>
      </c>
      <c r="CE1964" t="s">
        <v>88</v>
      </c>
      <c r="CI1964">
        <v>1</v>
      </c>
      <c r="CJ1964">
        <v>1</v>
      </c>
      <c r="CK1964">
        <v>22</v>
      </c>
      <c r="CL1964" t="s">
        <v>89</v>
      </c>
    </row>
    <row r="1965" spans="1:90">
      <c r="A1965" t="s">
        <v>72</v>
      </c>
      <c r="B1965" t="s">
        <v>73</v>
      </c>
      <c r="C1965" t="s">
        <v>74</v>
      </c>
      <c r="E1965" t="str">
        <f>"FES1162729135"</f>
        <v>FES1162729135</v>
      </c>
      <c r="F1965" s="3">
        <v>43818</v>
      </c>
      <c r="G1965">
        <v>202006</v>
      </c>
      <c r="H1965" t="s">
        <v>75</v>
      </c>
      <c r="I1965" t="s">
        <v>76</v>
      </c>
      <c r="J1965" t="s">
        <v>77</v>
      </c>
      <c r="K1965" t="s">
        <v>78</v>
      </c>
      <c r="L1965" t="s">
        <v>201</v>
      </c>
      <c r="M1965" t="s">
        <v>202</v>
      </c>
      <c r="N1965" t="s">
        <v>286</v>
      </c>
      <c r="O1965" t="s">
        <v>82</v>
      </c>
      <c r="P1965" t="str">
        <f>"2170720870                    "</f>
        <v xml:space="preserve">2170720870                    </v>
      </c>
      <c r="Q1965">
        <v>0</v>
      </c>
      <c r="R1965">
        <v>0</v>
      </c>
      <c r="S1965">
        <v>0</v>
      </c>
      <c r="T1965">
        <v>0</v>
      </c>
      <c r="U1965">
        <v>0</v>
      </c>
      <c r="V1965">
        <v>0</v>
      </c>
      <c r="W1965">
        <v>0</v>
      </c>
      <c r="X1965">
        <v>0</v>
      </c>
      <c r="Y1965">
        <v>0</v>
      </c>
      <c r="Z1965">
        <v>0</v>
      </c>
      <c r="AA1965">
        <v>0</v>
      </c>
      <c r="AB1965">
        <v>0</v>
      </c>
      <c r="AC1965">
        <v>0</v>
      </c>
      <c r="AD1965">
        <v>0</v>
      </c>
      <c r="AE1965">
        <v>0</v>
      </c>
      <c r="AF1965">
        <v>0</v>
      </c>
      <c r="AG1965">
        <v>0</v>
      </c>
      <c r="AH1965">
        <v>0</v>
      </c>
      <c r="AI1965">
        <v>0</v>
      </c>
      <c r="AJ1965">
        <v>0</v>
      </c>
      <c r="AK1965">
        <v>0</v>
      </c>
      <c r="AL1965">
        <v>0</v>
      </c>
      <c r="AM1965">
        <v>8.58</v>
      </c>
      <c r="AN1965">
        <v>0</v>
      </c>
      <c r="AO1965">
        <v>0</v>
      </c>
      <c r="AP1965">
        <v>0</v>
      </c>
      <c r="AQ1965">
        <v>0</v>
      </c>
      <c r="AR1965">
        <v>0</v>
      </c>
      <c r="AS1965">
        <v>0</v>
      </c>
      <c r="AT1965">
        <v>0</v>
      </c>
      <c r="AU1965">
        <v>0</v>
      </c>
      <c r="AV1965">
        <v>0</v>
      </c>
      <c r="AW1965">
        <v>0</v>
      </c>
      <c r="AX1965">
        <v>0</v>
      </c>
      <c r="AY1965">
        <v>0</v>
      </c>
      <c r="AZ1965">
        <v>0</v>
      </c>
      <c r="BA1965">
        <v>0</v>
      </c>
      <c r="BB1965">
        <v>0</v>
      </c>
      <c r="BC1965">
        <v>0</v>
      </c>
      <c r="BD1965">
        <v>0</v>
      </c>
      <c r="BE1965">
        <v>0</v>
      </c>
      <c r="BF1965">
        <v>0</v>
      </c>
      <c r="BG1965">
        <v>0</v>
      </c>
      <c r="BH1965">
        <v>1</v>
      </c>
      <c r="BI1965">
        <v>1</v>
      </c>
      <c r="BJ1965">
        <v>0.2</v>
      </c>
      <c r="BK1965">
        <v>1</v>
      </c>
      <c r="BL1965" s="4">
        <v>50.45</v>
      </c>
      <c r="BM1965" s="4">
        <v>7.57</v>
      </c>
      <c r="BN1965" s="4">
        <v>58.02</v>
      </c>
      <c r="BO1965" s="4">
        <v>58.02</v>
      </c>
      <c r="BQ1965" t="s">
        <v>93</v>
      </c>
      <c r="BR1965" t="s">
        <v>84</v>
      </c>
      <c r="BS1965" s="3">
        <v>43819</v>
      </c>
      <c r="BT1965" s="5">
        <v>0.3888888888888889</v>
      </c>
      <c r="BU1965" t="s">
        <v>2264</v>
      </c>
      <c r="BV1965" t="s">
        <v>86</v>
      </c>
      <c r="BY1965">
        <v>1200</v>
      </c>
      <c r="CA1965" t="s">
        <v>2109</v>
      </c>
      <c r="CC1965" t="s">
        <v>202</v>
      </c>
      <c r="CD1965">
        <v>3610</v>
      </c>
      <c r="CE1965" t="s">
        <v>88</v>
      </c>
      <c r="CF1965" s="3">
        <v>43823</v>
      </c>
      <c r="CI1965">
        <v>1</v>
      </c>
      <c r="CJ1965">
        <v>1</v>
      </c>
      <c r="CK1965">
        <v>21</v>
      </c>
      <c r="CL1965" t="s">
        <v>89</v>
      </c>
    </row>
    <row r="1966" spans="1:90">
      <c r="A1966" t="s">
        <v>72</v>
      </c>
      <c r="B1966" t="s">
        <v>73</v>
      </c>
      <c r="C1966" t="s">
        <v>74</v>
      </c>
      <c r="E1966" t="str">
        <f>"RFES1162728249"</f>
        <v>RFES1162728249</v>
      </c>
      <c r="F1966" s="3">
        <v>43817</v>
      </c>
      <c r="G1966">
        <v>202006</v>
      </c>
      <c r="H1966" t="s">
        <v>79</v>
      </c>
      <c r="I1966" t="s">
        <v>80</v>
      </c>
      <c r="J1966" t="s">
        <v>175</v>
      </c>
      <c r="K1966" t="s">
        <v>78</v>
      </c>
      <c r="L1966" t="s">
        <v>75</v>
      </c>
      <c r="M1966" t="s">
        <v>76</v>
      </c>
      <c r="N1966" t="s">
        <v>100</v>
      </c>
      <c r="O1966" t="s">
        <v>82</v>
      </c>
      <c r="P1966" t="str">
        <f>"2170710597                    "</f>
        <v xml:space="preserve">2170710597                    </v>
      </c>
      <c r="Q1966">
        <v>0</v>
      </c>
      <c r="R1966">
        <v>0</v>
      </c>
      <c r="S1966">
        <v>0</v>
      </c>
      <c r="T1966">
        <v>0</v>
      </c>
      <c r="U1966">
        <v>0</v>
      </c>
      <c r="V1966">
        <v>0</v>
      </c>
      <c r="W1966">
        <v>0</v>
      </c>
      <c r="X1966">
        <v>0</v>
      </c>
      <c r="Y1966">
        <v>0</v>
      </c>
      <c r="Z1966">
        <v>0</v>
      </c>
      <c r="AA1966">
        <v>0</v>
      </c>
      <c r="AB1966">
        <v>0</v>
      </c>
      <c r="AC1966">
        <v>0</v>
      </c>
      <c r="AD1966">
        <v>0</v>
      </c>
      <c r="AE1966">
        <v>0</v>
      </c>
      <c r="AF1966">
        <v>0</v>
      </c>
      <c r="AG1966">
        <v>0</v>
      </c>
      <c r="AH1966">
        <v>0</v>
      </c>
      <c r="AI1966">
        <v>0</v>
      </c>
      <c r="AJ1966">
        <v>0</v>
      </c>
      <c r="AK1966">
        <v>0</v>
      </c>
      <c r="AL1966">
        <v>0</v>
      </c>
      <c r="AM1966">
        <v>10.73</v>
      </c>
      <c r="AN1966">
        <v>0</v>
      </c>
      <c r="AO1966">
        <v>0</v>
      </c>
      <c r="AP1966">
        <v>0</v>
      </c>
      <c r="AQ1966">
        <v>0</v>
      </c>
      <c r="AR1966">
        <v>0</v>
      </c>
      <c r="AS1966">
        <v>0</v>
      </c>
      <c r="AT1966">
        <v>0</v>
      </c>
      <c r="AU1966">
        <v>0</v>
      </c>
      <c r="AV1966">
        <v>0</v>
      </c>
      <c r="AW1966">
        <v>0</v>
      </c>
      <c r="AX1966">
        <v>0</v>
      </c>
      <c r="AY1966">
        <v>0</v>
      </c>
      <c r="AZ1966">
        <v>0</v>
      </c>
      <c r="BA1966">
        <v>0</v>
      </c>
      <c r="BB1966">
        <v>0</v>
      </c>
      <c r="BC1966">
        <v>0</v>
      </c>
      <c r="BD1966">
        <v>0</v>
      </c>
      <c r="BE1966">
        <v>0</v>
      </c>
      <c r="BF1966">
        <v>0</v>
      </c>
      <c r="BG1966">
        <v>0</v>
      </c>
      <c r="BH1966">
        <v>1</v>
      </c>
      <c r="BI1966">
        <v>2.2999999999999998</v>
      </c>
      <c r="BJ1966">
        <v>1.5</v>
      </c>
      <c r="BK1966">
        <v>2.5</v>
      </c>
      <c r="BL1966" s="4">
        <v>63.06</v>
      </c>
      <c r="BM1966" s="4">
        <v>9.4600000000000009</v>
      </c>
      <c r="BN1966" s="4">
        <v>72.52</v>
      </c>
      <c r="BO1966" s="4">
        <v>72.52</v>
      </c>
      <c r="BQ1966" t="s">
        <v>105</v>
      </c>
      <c r="BR1966" t="s">
        <v>93</v>
      </c>
      <c r="BS1966" s="3">
        <v>43818</v>
      </c>
      <c r="BT1966" s="5">
        <v>0.36180555555555555</v>
      </c>
      <c r="BU1966" t="s">
        <v>2265</v>
      </c>
      <c r="BV1966" t="s">
        <v>86</v>
      </c>
      <c r="BY1966">
        <v>7391.09</v>
      </c>
      <c r="BZ1966" t="s">
        <v>27</v>
      </c>
      <c r="CA1966" t="s">
        <v>155</v>
      </c>
      <c r="CC1966" t="s">
        <v>76</v>
      </c>
      <c r="CD1966">
        <v>1601</v>
      </c>
      <c r="CE1966" t="s">
        <v>96</v>
      </c>
      <c r="CF1966" s="3">
        <v>43819</v>
      </c>
      <c r="CI1966">
        <v>1</v>
      </c>
      <c r="CJ1966">
        <v>1</v>
      </c>
      <c r="CK1966">
        <v>21</v>
      </c>
      <c r="CL1966" t="s">
        <v>89</v>
      </c>
    </row>
    <row r="1967" spans="1:90">
      <c r="A1967" t="s">
        <v>72</v>
      </c>
      <c r="B1967" t="s">
        <v>73</v>
      </c>
      <c r="C1967" t="s">
        <v>74</v>
      </c>
      <c r="E1967" t="str">
        <f>"FES1162728846"</f>
        <v>FES1162728846</v>
      </c>
      <c r="F1967" s="3">
        <v>43818</v>
      </c>
      <c r="G1967">
        <v>202006</v>
      </c>
      <c r="H1967" t="s">
        <v>75</v>
      </c>
      <c r="I1967" t="s">
        <v>76</v>
      </c>
      <c r="J1967" t="s">
        <v>77</v>
      </c>
      <c r="K1967" t="s">
        <v>78</v>
      </c>
      <c r="L1967" t="s">
        <v>75</v>
      </c>
      <c r="M1967" t="s">
        <v>76</v>
      </c>
      <c r="N1967" t="s">
        <v>305</v>
      </c>
      <c r="O1967" t="s">
        <v>82</v>
      </c>
      <c r="P1967" t="str">
        <f>"2170721284                    "</f>
        <v xml:space="preserve">2170721284                    </v>
      </c>
      <c r="Q1967">
        <v>0</v>
      </c>
      <c r="R1967">
        <v>0</v>
      </c>
      <c r="S1967">
        <v>0</v>
      </c>
      <c r="T1967">
        <v>0</v>
      </c>
      <c r="U1967">
        <v>0</v>
      </c>
      <c r="V1967">
        <v>0</v>
      </c>
      <c r="W1967">
        <v>0</v>
      </c>
      <c r="X1967">
        <v>0</v>
      </c>
      <c r="Y1967">
        <v>0</v>
      </c>
      <c r="Z1967">
        <v>0</v>
      </c>
      <c r="AA1967">
        <v>0</v>
      </c>
      <c r="AB1967">
        <v>0</v>
      </c>
      <c r="AC1967">
        <v>0</v>
      </c>
      <c r="AD1967">
        <v>0</v>
      </c>
      <c r="AE1967">
        <v>0</v>
      </c>
      <c r="AF1967">
        <v>0</v>
      </c>
      <c r="AG1967">
        <v>0</v>
      </c>
      <c r="AH1967">
        <v>0</v>
      </c>
      <c r="AI1967">
        <v>0</v>
      </c>
      <c r="AJ1967">
        <v>0</v>
      </c>
      <c r="AK1967">
        <v>0</v>
      </c>
      <c r="AL1967">
        <v>0</v>
      </c>
      <c r="AM1967">
        <v>6.71</v>
      </c>
      <c r="AN1967">
        <v>0</v>
      </c>
      <c r="AO1967">
        <v>0</v>
      </c>
      <c r="AP1967">
        <v>0</v>
      </c>
      <c r="AQ1967">
        <v>0</v>
      </c>
      <c r="AR1967">
        <v>0</v>
      </c>
      <c r="AS1967">
        <v>0</v>
      </c>
      <c r="AT1967">
        <v>0</v>
      </c>
      <c r="AU1967">
        <v>0</v>
      </c>
      <c r="AV1967">
        <v>0</v>
      </c>
      <c r="AW1967">
        <v>0</v>
      </c>
      <c r="AX1967">
        <v>0</v>
      </c>
      <c r="AY1967">
        <v>0</v>
      </c>
      <c r="AZ1967">
        <v>0</v>
      </c>
      <c r="BA1967">
        <v>0</v>
      </c>
      <c r="BB1967">
        <v>0</v>
      </c>
      <c r="BC1967">
        <v>0</v>
      </c>
      <c r="BD1967">
        <v>0</v>
      </c>
      <c r="BE1967">
        <v>0</v>
      </c>
      <c r="BF1967">
        <v>0</v>
      </c>
      <c r="BG1967">
        <v>0</v>
      </c>
      <c r="BH1967">
        <v>1</v>
      </c>
      <c r="BI1967">
        <v>1</v>
      </c>
      <c r="BJ1967">
        <v>0.2</v>
      </c>
      <c r="BK1967">
        <v>1</v>
      </c>
      <c r="BL1967" s="4">
        <v>39.42</v>
      </c>
      <c r="BM1967" s="4">
        <v>5.91</v>
      </c>
      <c r="BN1967" s="4">
        <v>45.33</v>
      </c>
      <c r="BO1967" s="4">
        <v>45.33</v>
      </c>
      <c r="BQ1967" t="s">
        <v>147</v>
      </c>
      <c r="BR1967" t="s">
        <v>84</v>
      </c>
      <c r="BS1967" s="3">
        <v>43819</v>
      </c>
      <c r="BT1967" s="5">
        <v>0.3354166666666667</v>
      </c>
      <c r="BU1967" t="s">
        <v>1954</v>
      </c>
      <c r="BV1967" t="s">
        <v>86</v>
      </c>
      <c r="BY1967">
        <v>1200</v>
      </c>
      <c r="CA1967" t="s">
        <v>307</v>
      </c>
      <c r="CC1967" t="s">
        <v>76</v>
      </c>
      <c r="CD1967">
        <v>1645</v>
      </c>
      <c r="CE1967" t="s">
        <v>88</v>
      </c>
      <c r="CF1967" s="3">
        <v>43822</v>
      </c>
      <c r="CI1967">
        <v>1</v>
      </c>
      <c r="CJ1967">
        <v>1</v>
      </c>
      <c r="CK1967">
        <v>22</v>
      </c>
      <c r="CL1967" t="s">
        <v>89</v>
      </c>
    </row>
    <row r="1968" spans="1:90">
      <c r="A1968" t="s">
        <v>72</v>
      </c>
      <c r="B1968" t="s">
        <v>73</v>
      </c>
      <c r="C1968" t="s">
        <v>74</v>
      </c>
      <c r="E1968" t="str">
        <f>"FES1162727004"</f>
        <v>FES1162727004</v>
      </c>
      <c r="F1968" s="3">
        <v>43804</v>
      </c>
      <c r="G1968">
        <v>202006</v>
      </c>
      <c r="H1968" t="s">
        <v>75</v>
      </c>
      <c r="I1968" t="s">
        <v>76</v>
      </c>
      <c r="J1968" t="s">
        <v>100</v>
      </c>
      <c r="K1968" t="s">
        <v>78</v>
      </c>
      <c r="L1968" t="s">
        <v>1051</v>
      </c>
      <c r="M1968" t="s">
        <v>1052</v>
      </c>
      <c r="N1968" t="s">
        <v>1572</v>
      </c>
      <c r="O1968" t="s">
        <v>1340</v>
      </c>
      <c r="P1968" t="str">
        <f>"217070460                     "</f>
        <v xml:space="preserve">217070460                     </v>
      </c>
      <c r="Q1968">
        <v>0</v>
      </c>
      <c r="R1968">
        <v>0</v>
      </c>
      <c r="S1968">
        <v>0</v>
      </c>
      <c r="T1968">
        <v>0</v>
      </c>
      <c r="U1968">
        <v>0</v>
      </c>
      <c r="V1968">
        <v>0</v>
      </c>
      <c r="W1968">
        <v>0</v>
      </c>
      <c r="X1968">
        <v>0</v>
      </c>
      <c r="Y1968">
        <v>0</v>
      </c>
      <c r="Z1968">
        <v>0</v>
      </c>
      <c r="AA1968">
        <v>0</v>
      </c>
      <c r="AB1968">
        <v>0</v>
      </c>
      <c r="AC1968">
        <v>0</v>
      </c>
      <c r="AD1968">
        <v>0</v>
      </c>
      <c r="AE1968">
        <v>0</v>
      </c>
      <c r="AF1968">
        <v>0</v>
      </c>
      <c r="AG1968">
        <v>0</v>
      </c>
      <c r="AH1968">
        <v>0</v>
      </c>
      <c r="AI1968">
        <v>0</v>
      </c>
      <c r="AJ1968">
        <v>0</v>
      </c>
      <c r="AK1968">
        <v>0</v>
      </c>
      <c r="AL1968">
        <v>0</v>
      </c>
      <c r="AM1968">
        <v>12.07</v>
      </c>
      <c r="AN1968">
        <v>0</v>
      </c>
      <c r="AO1968">
        <v>0</v>
      </c>
      <c r="AP1968">
        <v>0</v>
      </c>
      <c r="AQ1968">
        <v>0</v>
      </c>
      <c r="AR1968">
        <v>0</v>
      </c>
      <c r="AS1968">
        <v>0</v>
      </c>
      <c r="AT1968">
        <v>0</v>
      </c>
      <c r="AU1968">
        <v>0</v>
      </c>
      <c r="AV1968">
        <v>0</v>
      </c>
      <c r="AW1968">
        <v>0</v>
      </c>
      <c r="AX1968">
        <v>0</v>
      </c>
      <c r="AY1968">
        <v>0</v>
      </c>
      <c r="AZ1968">
        <v>0</v>
      </c>
      <c r="BA1968">
        <v>0</v>
      </c>
      <c r="BB1968">
        <v>0</v>
      </c>
      <c r="BC1968">
        <v>0</v>
      </c>
      <c r="BD1968">
        <v>0</v>
      </c>
      <c r="BE1968">
        <v>0</v>
      </c>
      <c r="BF1968">
        <v>0</v>
      </c>
      <c r="BG1968">
        <v>0</v>
      </c>
      <c r="BH1968">
        <v>1</v>
      </c>
      <c r="BI1968">
        <v>3.8</v>
      </c>
      <c r="BJ1968">
        <v>1</v>
      </c>
      <c r="BK1968">
        <v>4</v>
      </c>
      <c r="BL1968" s="4">
        <v>70.95</v>
      </c>
      <c r="BM1968" s="4">
        <v>10.64</v>
      </c>
      <c r="BN1968" s="4">
        <v>81.59</v>
      </c>
      <c r="BO1968" s="4">
        <v>81.59</v>
      </c>
      <c r="BQ1968" t="s">
        <v>1573</v>
      </c>
      <c r="BR1968" t="s">
        <v>105</v>
      </c>
      <c r="BS1968" s="3">
        <v>43805</v>
      </c>
      <c r="BT1968" s="5">
        <v>0.42777777777777781</v>
      </c>
      <c r="BU1968" t="s">
        <v>2266</v>
      </c>
      <c r="BV1968" t="s">
        <v>86</v>
      </c>
      <c r="BY1968">
        <v>4999.47</v>
      </c>
      <c r="BZ1968" t="s">
        <v>27</v>
      </c>
      <c r="CC1968" t="s">
        <v>1052</v>
      </c>
      <c r="CD1968">
        <v>1739</v>
      </c>
      <c r="CE1968" t="s">
        <v>96</v>
      </c>
      <c r="CF1968" s="3">
        <v>43808</v>
      </c>
      <c r="CI1968">
        <v>1</v>
      </c>
      <c r="CJ1968">
        <v>1</v>
      </c>
      <c r="CK1968">
        <v>34</v>
      </c>
      <c r="CL1968" t="s">
        <v>89</v>
      </c>
    </row>
    <row r="1969" spans="1:90">
      <c r="A1969" t="s">
        <v>72</v>
      </c>
      <c r="B1969" t="s">
        <v>73</v>
      </c>
      <c r="C1969" t="s">
        <v>74</v>
      </c>
      <c r="E1969" t="str">
        <f>"FES1162726346"</f>
        <v>FES1162726346</v>
      </c>
      <c r="F1969" s="3">
        <v>43802</v>
      </c>
      <c r="G1969">
        <v>202006</v>
      </c>
      <c r="H1969" t="s">
        <v>75</v>
      </c>
      <c r="I1969" t="s">
        <v>76</v>
      </c>
      <c r="J1969" t="s">
        <v>100</v>
      </c>
      <c r="K1969" t="s">
        <v>78</v>
      </c>
      <c r="L1969" t="s">
        <v>1679</v>
      </c>
      <c r="M1969" t="s">
        <v>1680</v>
      </c>
      <c r="N1969" t="s">
        <v>1681</v>
      </c>
      <c r="O1969" t="s">
        <v>1340</v>
      </c>
      <c r="P1969" t="str">
        <f>"2170719471                    "</f>
        <v xml:space="preserve">2170719471                    </v>
      </c>
      <c r="Q1969">
        <v>0</v>
      </c>
      <c r="R1969">
        <v>0</v>
      </c>
      <c r="S1969">
        <v>0</v>
      </c>
      <c r="T1969">
        <v>0</v>
      </c>
      <c r="U1969">
        <v>0</v>
      </c>
      <c r="V1969">
        <v>0</v>
      </c>
      <c r="W1969">
        <v>0</v>
      </c>
      <c r="X1969">
        <v>0</v>
      </c>
      <c r="Y1969">
        <v>0</v>
      </c>
      <c r="Z1969">
        <v>0</v>
      </c>
      <c r="AA1969">
        <v>0</v>
      </c>
      <c r="AB1969">
        <v>0</v>
      </c>
      <c r="AC1969">
        <v>0</v>
      </c>
      <c r="AD1969">
        <v>0</v>
      </c>
      <c r="AE1969">
        <v>0</v>
      </c>
      <c r="AF1969">
        <v>0</v>
      </c>
      <c r="AG1969">
        <v>0</v>
      </c>
      <c r="AH1969">
        <v>0</v>
      </c>
      <c r="AI1969">
        <v>0</v>
      </c>
      <c r="AJ1969">
        <v>0</v>
      </c>
      <c r="AK1969">
        <v>0</v>
      </c>
      <c r="AL1969">
        <v>0</v>
      </c>
      <c r="AM1969">
        <v>12.07</v>
      </c>
      <c r="AN1969">
        <v>0</v>
      </c>
      <c r="AO1969">
        <v>0</v>
      </c>
      <c r="AP1969">
        <v>0</v>
      </c>
      <c r="AQ1969">
        <v>0</v>
      </c>
      <c r="AR1969">
        <v>0</v>
      </c>
      <c r="AS1969">
        <v>0</v>
      </c>
      <c r="AT1969">
        <v>0</v>
      </c>
      <c r="AU1969">
        <v>0</v>
      </c>
      <c r="AV1969">
        <v>0</v>
      </c>
      <c r="AW1969">
        <v>0</v>
      </c>
      <c r="AX1969">
        <v>0</v>
      </c>
      <c r="AY1969">
        <v>0</v>
      </c>
      <c r="AZ1969">
        <v>0</v>
      </c>
      <c r="BA1969">
        <v>0</v>
      </c>
      <c r="BB1969">
        <v>0</v>
      </c>
      <c r="BC1969">
        <v>0</v>
      </c>
      <c r="BD1969">
        <v>0</v>
      </c>
      <c r="BE1969">
        <v>0</v>
      </c>
      <c r="BF1969">
        <v>0</v>
      </c>
      <c r="BG1969">
        <v>0</v>
      </c>
      <c r="BH1969">
        <v>1</v>
      </c>
      <c r="BI1969">
        <v>1.2</v>
      </c>
      <c r="BJ1969">
        <v>2.9</v>
      </c>
      <c r="BK1969">
        <v>3</v>
      </c>
      <c r="BL1969" s="4">
        <v>70.95</v>
      </c>
      <c r="BM1969" s="4">
        <v>10.64</v>
      </c>
      <c r="BN1969" s="4">
        <v>81.59</v>
      </c>
      <c r="BO1969" s="4">
        <v>81.59</v>
      </c>
      <c r="BQ1969" t="s">
        <v>93</v>
      </c>
      <c r="BR1969" t="s">
        <v>105</v>
      </c>
      <c r="BS1969" s="3">
        <v>43803</v>
      </c>
      <c r="BT1969" s="5">
        <v>0.41666666666666669</v>
      </c>
      <c r="BU1969" t="s">
        <v>728</v>
      </c>
      <c r="BV1969" t="s">
        <v>86</v>
      </c>
      <c r="BY1969">
        <v>14429.47</v>
      </c>
      <c r="BZ1969" t="s">
        <v>27</v>
      </c>
      <c r="CC1969" t="s">
        <v>1680</v>
      </c>
      <c r="CD1969">
        <v>2210</v>
      </c>
      <c r="CE1969" t="s">
        <v>116</v>
      </c>
      <c r="CF1969" s="3">
        <v>43804</v>
      </c>
      <c r="CI1969">
        <v>1</v>
      </c>
      <c r="CJ1969">
        <v>1</v>
      </c>
      <c r="CK1969">
        <v>34</v>
      </c>
      <c r="CL1969" t="s">
        <v>89</v>
      </c>
    </row>
    <row r="1970" spans="1:90">
      <c r="A1970" t="s">
        <v>72</v>
      </c>
      <c r="B1970" t="s">
        <v>73</v>
      </c>
      <c r="C1970" t="s">
        <v>74</v>
      </c>
      <c r="E1970" t="str">
        <f>"FES1162728128"</f>
        <v>FES1162728128</v>
      </c>
      <c r="F1970" s="3">
        <v>43812</v>
      </c>
      <c r="G1970">
        <v>202006</v>
      </c>
      <c r="H1970" t="s">
        <v>75</v>
      </c>
      <c r="I1970" t="s">
        <v>76</v>
      </c>
      <c r="J1970" t="s">
        <v>100</v>
      </c>
      <c r="K1970" t="s">
        <v>78</v>
      </c>
      <c r="L1970" t="s">
        <v>1497</v>
      </c>
      <c r="M1970" t="s">
        <v>1498</v>
      </c>
      <c r="N1970" t="s">
        <v>2219</v>
      </c>
      <c r="O1970" t="s">
        <v>1340</v>
      </c>
      <c r="P1970" t="str">
        <f>"2170718814                    "</f>
        <v xml:space="preserve">2170718814                    </v>
      </c>
      <c r="Q1970">
        <v>0</v>
      </c>
      <c r="R1970">
        <v>0</v>
      </c>
      <c r="S1970">
        <v>0</v>
      </c>
      <c r="T1970">
        <v>0</v>
      </c>
      <c r="U1970">
        <v>0</v>
      </c>
      <c r="V1970">
        <v>0</v>
      </c>
      <c r="W1970">
        <v>0</v>
      </c>
      <c r="X1970">
        <v>0</v>
      </c>
      <c r="Y1970">
        <v>0</v>
      </c>
      <c r="Z1970">
        <v>0</v>
      </c>
      <c r="AA1970">
        <v>0</v>
      </c>
      <c r="AB1970">
        <v>0</v>
      </c>
      <c r="AC1970">
        <v>0</v>
      </c>
      <c r="AD1970">
        <v>0</v>
      </c>
      <c r="AE1970">
        <v>0</v>
      </c>
      <c r="AF1970">
        <v>0</v>
      </c>
      <c r="AG1970">
        <v>0</v>
      </c>
      <c r="AH1970">
        <v>0</v>
      </c>
      <c r="AI1970">
        <v>0</v>
      </c>
      <c r="AJ1970">
        <v>0</v>
      </c>
      <c r="AK1970">
        <v>0</v>
      </c>
      <c r="AL1970">
        <v>0</v>
      </c>
      <c r="AM1970">
        <v>12.07</v>
      </c>
      <c r="AN1970">
        <v>0</v>
      </c>
      <c r="AO1970">
        <v>0</v>
      </c>
      <c r="AP1970">
        <v>0</v>
      </c>
      <c r="AQ1970">
        <v>0</v>
      </c>
      <c r="AR1970">
        <v>0</v>
      </c>
      <c r="AS1970">
        <v>0</v>
      </c>
      <c r="AT1970">
        <v>0</v>
      </c>
      <c r="AU1970">
        <v>0</v>
      </c>
      <c r="AV1970">
        <v>0</v>
      </c>
      <c r="AW1970">
        <v>0</v>
      </c>
      <c r="AX1970">
        <v>0</v>
      </c>
      <c r="AY1970">
        <v>0</v>
      </c>
      <c r="AZ1970">
        <v>0</v>
      </c>
      <c r="BA1970">
        <v>0</v>
      </c>
      <c r="BB1970">
        <v>0</v>
      </c>
      <c r="BC1970">
        <v>0</v>
      </c>
      <c r="BD1970">
        <v>0</v>
      </c>
      <c r="BE1970">
        <v>0</v>
      </c>
      <c r="BF1970">
        <v>0</v>
      </c>
      <c r="BG1970">
        <v>0</v>
      </c>
      <c r="BH1970">
        <v>1</v>
      </c>
      <c r="BI1970">
        <v>1.9</v>
      </c>
      <c r="BJ1970">
        <v>3.6</v>
      </c>
      <c r="BK1970">
        <v>4</v>
      </c>
      <c r="BL1970" s="4">
        <v>70.95</v>
      </c>
      <c r="BM1970" s="4">
        <v>10.64</v>
      </c>
      <c r="BN1970" s="4">
        <v>81.59</v>
      </c>
      <c r="BO1970" s="4">
        <v>81.59</v>
      </c>
      <c r="BQ1970" t="s">
        <v>2220</v>
      </c>
      <c r="BR1970" t="s">
        <v>105</v>
      </c>
      <c r="BS1970" s="3">
        <v>43816</v>
      </c>
      <c r="BT1970" s="5">
        <v>0.64583333333333337</v>
      </c>
      <c r="BU1970" t="s">
        <v>2267</v>
      </c>
      <c r="BV1970" t="s">
        <v>86</v>
      </c>
      <c r="BY1970">
        <v>17905.54</v>
      </c>
      <c r="BZ1970" t="s">
        <v>27</v>
      </c>
      <c r="CA1970" t="s">
        <v>2020</v>
      </c>
      <c r="CC1970" t="s">
        <v>1498</v>
      </c>
      <c r="CD1970">
        <v>208</v>
      </c>
      <c r="CE1970" t="s">
        <v>116</v>
      </c>
      <c r="CF1970" s="3">
        <v>43818</v>
      </c>
      <c r="CI1970">
        <v>1</v>
      </c>
      <c r="CJ1970">
        <v>2</v>
      </c>
      <c r="CK1970">
        <v>34</v>
      </c>
      <c r="CL1970" t="s">
        <v>89</v>
      </c>
    </row>
    <row r="1971" spans="1:90">
      <c r="A1971" t="s">
        <v>72</v>
      </c>
      <c r="B1971" t="s">
        <v>73</v>
      </c>
      <c r="C1971" t="s">
        <v>74</v>
      </c>
      <c r="E1971" t="str">
        <f>"FES1162728237"</f>
        <v>FES1162728237</v>
      </c>
      <c r="F1971" s="3">
        <v>43812</v>
      </c>
      <c r="G1971">
        <v>202006</v>
      </c>
      <c r="H1971" t="s">
        <v>75</v>
      </c>
      <c r="I1971" t="s">
        <v>76</v>
      </c>
      <c r="J1971" t="s">
        <v>100</v>
      </c>
      <c r="K1971" t="s">
        <v>78</v>
      </c>
      <c r="L1971" t="s">
        <v>1497</v>
      </c>
      <c r="M1971" t="s">
        <v>1498</v>
      </c>
      <c r="N1971" t="s">
        <v>471</v>
      </c>
      <c r="O1971" t="s">
        <v>1340</v>
      </c>
      <c r="P1971" t="str">
        <f>"2170719600                    "</f>
        <v xml:space="preserve">2170719600                    </v>
      </c>
      <c r="Q1971">
        <v>0</v>
      </c>
      <c r="R1971">
        <v>0</v>
      </c>
      <c r="S1971">
        <v>0</v>
      </c>
      <c r="T1971">
        <v>0</v>
      </c>
      <c r="U1971">
        <v>0</v>
      </c>
      <c r="V1971">
        <v>0</v>
      </c>
      <c r="W1971">
        <v>0</v>
      </c>
      <c r="X1971">
        <v>0</v>
      </c>
      <c r="Y1971">
        <v>0</v>
      </c>
      <c r="Z1971">
        <v>0</v>
      </c>
      <c r="AA1971">
        <v>0</v>
      </c>
      <c r="AB1971">
        <v>0</v>
      </c>
      <c r="AC1971">
        <v>0</v>
      </c>
      <c r="AD1971">
        <v>0</v>
      </c>
      <c r="AE1971">
        <v>0</v>
      </c>
      <c r="AF1971">
        <v>0</v>
      </c>
      <c r="AG1971">
        <v>0</v>
      </c>
      <c r="AH1971">
        <v>0</v>
      </c>
      <c r="AI1971">
        <v>0</v>
      </c>
      <c r="AJ1971">
        <v>0</v>
      </c>
      <c r="AK1971">
        <v>0</v>
      </c>
      <c r="AL1971">
        <v>0</v>
      </c>
      <c r="AM1971">
        <v>15.69</v>
      </c>
      <c r="AN1971">
        <v>0</v>
      </c>
      <c r="AO1971">
        <v>0</v>
      </c>
      <c r="AP1971">
        <v>0</v>
      </c>
      <c r="AQ1971">
        <v>0</v>
      </c>
      <c r="AR1971">
        <v>0</v>
      </c>
      <c r="AS1971">
        <v>0</v>
      </c>
      <c r="AT1971">
        <v>0</v>
      </c>
      <c r="AU1971">
        <v>0</v>
      </c>
      <c r="AV1971">
        <v>0</v>
      </c>
      <c r="AW1971">
        <v>0</v>
      </c>
      <c r="AX1971">
        <v>0</v>
      </c>
      <c r="AY1971">
        <v>0</v>
      </c>
      <c r="AZ1971">
        <v>0</v>
      </c>
      <c r="BA1971">
        <v>0</v>
      </c>
      <c r="BB1971">
        <v>0</v>
      </c>
      <c r="BC1971">
        <v>0</v>
      </c>
      <c r="BD1971">
        <v>0</v>
      </c>
      <c r="BE1971">
        <v>0</v>
      </c>
      <c r="BF1971">
        <v>0</v>
      </c>
      <c r="BG1971">
        <v>0</v>
      </c>
      <c r="BH1971">
        <v>1</v>
      </c>
      <c r="BI1971">
        <v>3</v>
      </c>
      <c r="BJ1971">
        <v>4.0999999999999996</v>
      </c>
      <c r="BK1971">
        <v>5</v>
      </c>
      <c r="BL1971" s="4">
        <v>92.24</v>
      </c>
      <c r="BM1971" s="4">
        <v>13.84</v>
      </c>
      <c r="BN1971" s="4">
        <v>106.08</v>
      </c>
      <c r="BO1971" s="4">
        <v>106.08</v>
      </c>
      <c r="BQ1971" t="s">
        <v>93</v>
      </c>
      <c r="BR1971" t="s">
        <v>105</v>
      </c>
      <c r="BS1971" s="3">
        <v>43816</v>
      </c>
      <c r="BT1971" s="5">
        <v>0.57638888888888895</v>
      </c>
      <c r="BU1971" t="s">
        <v>1499</v>
      </c>
      <c r="BV1971" t="s">
        <v>86</v>
      </c>
      <c r="BY1971">
        <v>20595.71</v>
      </c>
      <c r="BZ1971" t="s">
        <v>27</v>
      </c>
      <c r="CA1971" t="s">
        <v>1223</v>
      </c>
      <c r="CC1971" t="s">
        <v>1498</v>
      </c>
      <c r="CD1971">
        <v>407</v>
      </c>
      <c r="CE1971" t="s">
        <v>116</v>
      </c>
      <c r="CI1971">
        <v>1</v>
      </c>
      <c r="CJ1971">
        <v>2</v>
      </c>
      <c r="CK1971">
        <v>34</v>
      </c>
      <c r="CL1971" t="s">
        <v>89</v>
      </c>
    </row>
    <row r="1972" spans="1:90">
      <c r="A1972" t="s">
        <v>72</v>
      </c>
      <c r="B1972" t="s">
        <v>73</v>
      </c>
      <c r="C1972" t="s">
        <v>74</v>
      </c>
      <c r="E1972" t="str">
        <f>"FES1162727940"</f>
        <v>FES1162727940</v>
      </c>
      <c r="F1972" s="3">
        <v>43812</v>
      </c>
      <c r="G1972">
        <v>202006</v>
      </c>
      <c r="H1972" t="s">
        <v>75</v>
      </c>
      <c r="I1972" t="s">
        <v>76</v>
      </c>
      <c r="J1972" t="s">
        <v>100</v>
      </c>
      <c r="K1972" t="s">
        <v>78</v>
      </c>
      <c r="L1972" t="s">
        <v>138</v>
      </c>
      <c r="M1972" t="s">
        <v>139</v>
      </c>
      <c r="N1972" t="s">
        <v>1693</v>
      </c>
      <c r="O1972" t="s">
        <v>1340</v>
      </c>
      <c r="P1972" t="str">
        <f>"2170721422                    "</f>
        <v xml:space="preserve">2170721422                    </v>
      </c>
      <c r="Q1972">
        <v>0</v>
      </c>
      <c r="R1972">
        <v>0</v>
      </c>
      <c r="S1972">
        <v>0</v>
      </c>
      <c r="T1972">
        <v>0</v>
      </c>
      <c r="U1972">
        <v>0</v>
      </c>
      <c r="V1972">
        <v>0</v>
      </c>
      <c r="W1972">
        <v>0</v>
      </c>
      <c r="X1972">
        <v>0</v>
      </c>
      <c r="Y1972">
        <v>0</v>
      </c>
      <c r="Z1972">
        <v>0</v>
      </c>
      <c r="AA1972">
        <v>0</v>
      </c>
      <c r="AB1972">
        <v>0</v>
      </c>
      <c r="AC1972">
        <v>0</v>
      </c>
      <c r="AD1972">
        <v>0</v>
      </c>
      <c r="AE1972">
        <v>0</v>
      </c>
      <c r="AF1972">
        <v>0</v>
      </c>
      <c r="AG1972">
        <v>0</v>
      </c>
      <c r="AH1972">
        <v>0</v>
      </c>
      <c r="AI1972">
        <v>0</v>
      </c>
      <c r="AJ1972">
        <v>0</v>
      </c>
      <c r="AK1972">
        <v>0</v>
      </c>
      <c r="AL1972">
        <v>0</v>
      </c>
      <c r="AM1972">
        <v>14.23</v>
      </c>
      <c r="AN1972">
        <v>0</v>
      </c>
      <c r="AO1972">
        <v>0</v>
      </c>
      <c r="AP1972">
        <v>0</v>
      </c>
      <c r="AQ1972">
        <v>0</v>
      </c>
      <c r="AR1972">
        <v>0</v>
      </c>
      <c r="AS1972">
        <v>0</v>
      </c>
      <c r="AT1972">
        <v>0</v>
      </c>
      <c r="AU1972">
        <v>0</v>
      </c>
      <c r="AV1972">
        <v>0</v>
      </c>
      <c r="AW1972">
        <v>0</v>
      </c>
      <c r="AX1972">
        <v>0</v>
      </c>
      <c r="AY1972">
        <v>0</v>
      </c>
      <c r="AZ1972">
        <v>0</v>
      </c>
      <c r="BA1972">
        <v>0</v>
      </c>
      <c r="BB1972">
        <v>0</v>
      </c>
      <c r="BC1972">
        <v>0</v>
      </c>
      <c r="BD1972">
        <v>0</v>
      </c>
      <c r="BE1972">
        <v>0</v>
      </c>
      <c r="BF1972">
        <v>0</v>
      </c>
      <c r="BG1972">
        <v>0</v>
      </c>
      <c r="BH1972">
        <v>1</v>
      </c>
      <c r="BI1972">
        <v>13.4</v>
      </c>
      <c r="BJ1972">
        <v>11.5</v>
      </c>
      <c r="BK1972">
        <v>14</v>
      </c>
      <c r="BL1972" s="4">
        <v>83.64</v>
      </c>
      <c r="BM1972" s="4">
        <v>12.55</v>
      </c>
      <c r="BN1972" s="4">
        <v>96.19</v>
      </c>
      <c r="BO1972" s="4">
        <v>96.19</v>
      </c>
      <c r="BQ1972" t="s">
        <v>1694</v>
      </c>
      <c r="BR1972" t="s">
        <v>105</v>
      </c>
      <c r="BS1972" s="3">
        <v>43818</v>
      </c>
      <c r="BT1972" s="5">
        <v>0.61805555555555558</v>
      </c>
      <c r="BU1972" t="s">
        <v>617</v>
      </c>
      <c r="BV1972" t="s">
        <v>89</v>
      </c>
      <c r="BY1972">
        <v>57373.97</v>
      </c>
      <c r="BZ1972" t="s">
        <v>27</v>
      </c>
      <c r="CA1972" t="s">
        <v>620</v>
      </c>
      <c r="CC1972" t="s">
        <v>139</v>
      </c>
      <c r="CD1972">
        <v>1428</v>
      </c>
      <c r="CE1972" t="s">
        <v>116</v>
      </c>
      <c r="CF1972" s="3">
        <v>43819</v>
      </c>
      <c r="CI1972">
        <v>1</v>
      </c>
      <c r="CJ1972">
        <v>4</v>
      </c>
      <c r="CK1972">
        <v>32</v>
      </c>
      <c r="CL1972" t="s">
        <v>89</v>
      </c>
    </row>
    <row r="1973" spans="1:90">
      <c r="A1973" t="s">
        <v>72</v>
      </c>
      <c r="B1973" t="s">
        <v>73</v>
      </c>
      <c r="C1973" t="s">
        <v>74</v>
      </c>
      <c r="E1973" t="str">
        <f>"FES1162726476"</f>
        <v>FES1162726476</v>
      </c>
      <c r="F1973" s="3">
        <v>43802</v>
      </c>
      <c r="G1973">
        <v>202006</v>
      </c>
      <c r="H1973" t="s">
        <v>75</v>
      </c>
      <c r="I1973" t="s">
        <v>76</v>
      </c>
      <c r="J1973" t="s">
        <v>100</v>
      </c>
      <c r="K1973" t="s">
        <v>78</v>
      </c>
      <c r="L1973" t="s">
        <v>709</v>
      </c>
      <c r="M1973" t="s">
        <v>710</v>
      </c>
      <c r="N1973" t="s">
        <v>2268</v>
      </c>
      <c r="O1973" t="s">
        <v>1340</v>
      </c>
      <c r="P1973" t="str">
        <f>"2170719770                    "</f>
        <v xml:space="preserve">2170719770                    </v>
      </c>
      <c r="Q1973">
        <v>0</v>
      </c>
      <c r="R1973">
        <v>0</v>
      </c>
      <c r="S1973">
        <v>0</v>
      </c>
      <c r="T1973">
        <v>0</v>
      </c>
      <c r="U1973">
        <v>0</v>
      </c>
      <c r="V1973">
        <v>0</v>
      </c>
      <c r="W1973">
        <v>0</v>
      </c>
      <c r="X1973">
        <v>0</v>
      </c>
      <c r="Y1973">
        <v>0</v>
      </c>
      <c r="Z1973">
        <v>0</v>
      </c>
      <c r="AA1973">
        <v>0</v>
      </c>
      <c r="AB1973">
        <v>0</v>
      </c>
      <c r="AC1973">
        <v>0</v>
      </c>
      <c r="AD1973">
        <v>0</v>
      </c>
      <c r="AE1973">
        <v>0</v>
      </c>
      <c r="AF1973">
        <v>0</v>
      </c>
      <c r="AG1973">
        <v>0</v>
      </c>
      <c r="AH1973">
        <v>0</v>
      </c>
      <c r="AI1973">
        <v>0</v>
      </c>
      <c r="AJ1973">
        <v>0</v>
      </c>
      <c r="AK1973">
        <v>0</v>
      </c>
      <c r="AL1973">
        <v>0</v>
      </c>
      <c r="AM1973">
        <v>22.94</v>
      </c>
      <c r="AN1973">
        <v>0</v>
      </c>
      <c r="AO1973">
        <v>0</v>
      </c>
      <c r="AP1973">
        <v>0</v>
      </c>
      <c r="AQ1973">
        <v>0</v>
      </c>
      <c r="AR1973">
        <v>0</v>
      </c>
      <c r="AS1973">
        <v>0</v>
      </c>
      <c r="AT1973">
        <v>0</v>
      </c>
      <c r="AU1973">
        <v>0</v>
      </c>
      <c r="AV1973">
        <v>0</v>
      </c>
      <c r="AW1973">
        <v>0</v>
      </c>
      <c r="AX1973">
        <v>0</v>
      </c>
      <c r="AY1973">
        <v>0</v>
      </c>
      <c r="AZ1973">
        <v>0</v>
      </c>
      <c r="BA1973">
        <v>0</v>
      </c>
      <c r="BB1973">
        <v>0</v>
      </c>
      <c r="BC1973">
        <v>0</v>
      </c>
      <c r="BD1973">
        <v>0</v>
      </c>
      <c r="BE1973">
        <v>0</v>
      </c>
      <c r="BF1973">
        <v>0</v>
      </c>
      <c r="BG1973">
        <v>0</v>
      </c>
      <c r="BH1973">
        <v>1</v>
      </c>
      <c r="BI1973">
        <v>6.5</v>
      </c>
      <c r="BJ1973">
        <v>1.6</v>
      </c>
      <c r="BK1973">
        <v>7</v>
      </c>
      <c r="BL1973" s="4">
        <v>134.83000000000001</v>
      </c>
      <c r="BM1973" s="4">
        <v>20.22</v>
      </c>
      <c r="BN1973" s="4">
        <v>155.05000000000001</v>
      </c>
      <c r="BO1973" s="4">
        <v>155.05000000000001</v>
      </c>
      <c r="BR1973" t="s">
        <v>105</v>
      </c>
      <c r="BS1973" s="3">
        <v>43803</v>
      </c>
      <c r="BT1973" s="5">
        <v>0.40833333333333338</v>
      </c>
      <c r="BU1973" t="s">
        <v>645</v>
      </c>
      <c r="BV1973" t="s">
        <v>86</v>
      </c>
      <c r="BY1973">
        <v>8149.25</v>
      </c>
      <c r="BZ1973" t="s">
        <v>27</v>
      </c>
      <c r="CA1973" t="s">
        <v>713</v>
      </c>
      <c r="CC1973" t="s">
        <v>710</v>
      </c>
      <c r="CD1973">
        <v>1873</v>
      </c>
      <c r="CE1973" t="s">
        <v>96</v>
      </c>
      <c r="CF1973" s="3">
        <v>43804</v>
      </c>
      <c r="CI1973">
        <v>1</v>
      </c>
      <c r="CJ1973">
        <v>1</v>
      </c>
      <c r="CK1973">
        <v>34</v>
      </c>
      <c r="CL1973" t="s">
        <v>89</v>
      </c>
    </row>
    <row r="1974" spans="1:90">
      <c r="A1974" t="s">
        <v>72</v>
      </c>
      <c r="B1974" t="s">
        <v>73</v>
      </c>
      <c r="C1974" t="s">
        <v>74</v>
      </c>
      <c r="E1974" t="str">
        <f>"FES1162727366"</f>
        <v>FES1162727366</v>
      </c>
      <c r="F1974" s="3">
        <v>43808</v>
      </c>
      <c r="G1974">
        <v>202006</v>
      </c>
      <c r="H1974" t="s">
        <v>75</v>
      </c>
      <c r="I1974" t="s">
        <v>76</v>
      </c>
      <c r="J1974" t="s">
        <v>100</v>
      </c>
      <c r="K1974" t="s">
        <v>78</v>
      </c>
      <c r="L1974" t="s">
        <v>709</v>
      </c>
      <c r="M1974" t="s">
        <v>710</v>
      </c>
      <c r="N1974" t="s">
        <v>2089</v>
      </c>
      <c r="O1974" t="s">
        <v>1340</v>
      </c>
      <c r="P1974" t="str">
        <f>"21707108546                   "</f>
        <v xml:space="preserve">21707108546                   </v>
      </c>
      <c r="Q1974">
        <v>0</v>
      </c>
      <c r="R1974">
        <v>0</v>
      </c>
      <c r="S1974">
        <v>0</v>
      </c>
      <c r="T1974">
        <v>0</v>
      </c>
      <c r="U1974">
        <v>0</v>
      </c>
      <c r="V1974">
        <v>0</v>
      </c>
      <c r="W1974">
        <v>0</v>
      </c>
      <c r="X1974">
        <v>0</v>
      </c>
      <c r="Y1974">
        <v>0</v>
      </c>
      <c r="Z1974">
        <v>0</v>
      </c>
      <c r="AA1974">
        <v>0</v>
      </c>
      <c r="AB1974">
        <v>0</v>
      </c>
      <c r="AC1974">
        <v>0</v>
      </c>
      <c r="AD1974">
        <v>0</v>
      </c>
      <c r="AE1974">
        <v>0</v>
      </c>
      <c r="AF1974">
        <v>0</v>
      </c>
      <c r="AG1974">
        <v>0</v>
      </c>
      <c r="AH1974">
        <v>0</v>
      </c>
      <c r="AI1974">
        <v>0</v>
      </c>
      <c r="AJ1974">
        <v>0</v>
      </c>
      <c r="AK1974">
        <v>0</v>
      </c>
      <c r="AL1974">
        <v>0</v>
      </c>
      <c r="AM1974">
        <v>19.32</v>
      </c>
      <c r="AN1974">
        <v>0</v>
      </c>
      <c r="AO1974">
        <v>0</v>
      </c>
      <c r="AP1974">
        <v>0</v>
      </c>
      <c r="AQ1974">
        <v>0</v>
      </c>
      <c r="AR1974">
        <v>0</v>
      </c>
      <c r="AS1974">
        <v>0</v>
      </c>
      <c r="AT1974">
        <v>0</v>
      </c>
      <c r="AU1974">
        <v>0</v>
      </c>
      <c r="AV1974">
        <v>0</v>
      </c>
      <c r="AW1974">
        <v>0</v>
      </c>
      <c r="AX1974">
        <v>0</v>
      </c>
      <c r="AY1974">
        <v>0</v>
      </c>
      <c r="AZ1974">
        <v>0</v>
      </c>
      <c r="BA1974">
        <v>0</v>
      </c>
      <c r="BB1974">
        <v>0</v>
      </c>
      <c r="BC1974">
        <v>0</v>
      </c>
      <c r="BD1974">
        <v>0</v>
      </c>
      <c r="BE1974">
        <v>0</v>
      </c>
      <c r="BF1974">
        <v>0</v>
      </c>
      <c r="BG1974">
        <v>0</v>
      </c>
      <c r="BH1974">
        <v>1</v>
      </c>
      <c r="BI1974">
        <v>6</v>
      </c>
      <c r="BJ1974">
        <v>1.1000000000000001</v>
      </c>
      <c r="BK1974">
        <v>6</v>
      </c>
      <c r="BL1974" s="4">
        <v>113.54</v>
      </c>
      <c r="BM1974" s="4">
        <v>17.03</v>
      </c>
      <c r="BN1974" s="4">
        <v>130.57</v>
      </c>
      <c r="BO1974" s="4">
        <v>130.57</v>
      </c>
      <c r="BQ1974" t="s">
        <v>93</v>
      </c>
      <c r="BR1974" t="s">
        <v>105</v>
      </c>
      <c r="BS1974" s="3">
        <v>43809</v>
      </c>
      <c r="BT1974" s="5">
        <v>0.40902777777777777</v>
      </c>
      <c r="BU1974" t="s">
        <v>2090</v>
      </c>
      <c r="BV1974" t="s">
        <v>86</v>
      </c>
      <c r="BY1974">
        <v>5320</v>
      </c>
      <c r="BZ1974" t="s">
        <v>27</v>
      </c>
      <c r="CA1974" t="s">
        <v>713</v>
      </c>
      <c r="CC1974" t="s">
        <v>710</v>
      </c>
      <c r="CD1974">
        <v>1871</v>
      </c>
      <c r="CE1974" t="s">
        <v>96</v>
      </c>
      <c r="CF1974" s="3">
        <v>43810</v>
      </c>
      <c r="CI1974">
        <v>1</v>
      </c>
      <c r="CJ1974">
        <v>1</v>
      </c>
      <c r="CK1974">
        <v>34</v>
      </c>
      <c r="CL1974" t="s">
        <v>89</v>
      </c>
    </row>
    <row r="1975" spans="1:90">
      <c r="A1975" t="s">
        <v>72</v>
      </c>
      <c r="B1975" t="s">
        <v>73</v>
      </c>
      <c r="C1975" t="s">
        <v>74</v>
      </c>
      <c r="E1975" t="str">
        <f>"FES1162726477"</f>
        <v>FES1162726477</v>
      </c>
      <c r="F1975" s="3">
        <v>43802</v>
      </c>
      <c r="G1975">
        <v>202006</v>
      </c>
      <c r="H1975" t="s">
        <v>75</v>
      </c>
      <c r="I1975" t="s">
        <v>76</v>
      </c>
      <c r="J1975" t="s">
        <v>100</v>
      </c>
      <c r="K1975" t="s">
        <v>78</v>
      </c>
      <c r="L1975" t="s">
        <v>667</v>
      </c>
      <c r="M1975" t="s">
        <v>668</v>
      </c>
      <c r="N1975" t="s">
        <v>2269</v>
      </c>
      <c r="O1975" t="s">
        <v>1340</v>
      </c>
      <c r="P1975" t="str">
        <f>"2170719806                    "</f>
        <v xml:space="preserve">2170719806                    </v>
      </c>
      <c r="Q1975">
        <v>0</v>
      </c>
      <c r="R1975">
        <v>0</v>
      </c>
      <c r="S1975">
        <v>0</v>
      </c>
      <c r="T1975">
        <v>0</v>
      </c>
      <c r="U1975">
        <v>0</v>
      </c>
      <c r="V1975">
        <v>0</v>
      </c>
      <c r="W1975">
        <v>0</v>
      </c>
      <c r="X1975">
        <v>0</v>
      </c>
      <c r="Y1975">
        <v>0</v>
      </c>
      <c r="Z1975">
        <v>0</v>
      </c>
      <c r="AA1975">
        <v>0</v>
      </c>
      <c r="AB1975">
        <v>0</v>
      </c>
      <c r="AC1975">
        <v>0</v>
      </c>
      <c r="AD1975">
        <v>0</v>
      </c>
      <c r="AE1975">
        <v>0</v>
      </c>
      <c r="AF1975">
        <v>0</v>
      </c>
      <c r="AG1975">
        <v>0</v>
      </c>
      <c r="AH1975">
        <v>0</v>
      </c>
      <c r="AI1975">
        <v>0</v>
      </c>
      <c r="AJ1975">
        <v>0</v>
      </c>
      <c r="AK1975">
        <v>0</v>
      </c>
      <c r="AL1975">
        <v>0</v>
      </c>
      <c r="AM1975">
        <v>26.56</v>
      </c>
      <c r="AN1975">
        <v>0</v>
      </c>
      <c r="AO1975">
        <v>0</v>
      </c>
      <c r="AP1975">
        <v>0</v>
      </c>
      <c r="AQ1975">
        <v>0</v>
      </c>
      <c r="AR1975">
        <v>0</v>
      </c>
      <c r="AS1975">
        <v>0</v>
      </c>
      <c r="AT1975">
        <v>0</v>
      </c>
      <c r="AU1975">
        <v>0</v>
      </c>
      <c r="AV1975">
        <v>0</v>
      </c>
      <c r="AW1975">
        <v>0</v>
      </c>
      <c r="AX1975">
        <v>0</v>
      </c>
      <c r="AY1975">
        <v>0</v>
      </c>
      <c r="AZ1975">
        <v>0</v>
      </c>
      <c r="BA1975">
        <v>0</v>
      </c>
      <c r="BB1975">
        <v>0</v>
      </c>
      <c r="BC1975">
        <v>0</v>
      </c>
      <c r="BD1975">
        <v>0</v>
      </c>
      <c r="BE1975">
        <v>0</v>
      </c>
      <c r="BF1975">
        <v>0</v>
      </c>
      <c r="BG1975">
        <v>0</v>
      </c>
      <c r="BH1975">
        <v>1</v>
      </c>
      <c r="BI1975">
        <v>8</v>
      </c>
      <c r="BJ1975">
        <v>2</v>
      </c>
      <c r="BK1975">
        <v>8</v>
      </c>
      <c r="BL1975" s="4">
        <v>156.12</v>
      </c>
      <c r="BM1975" s="4">
        <v>23.42</v>
      </c>
      <c r="BN1975" s="4">
        <v>179.54</v>
      </c>
      <c r="BO1975" s="4">
        <v>179.54</v>
      </c>
      <c r="BQ1975" t="s">
        <v>93</v>
      </c>
      <c r="BR1975" t="s">
        <v>105</v>
      </c>
      <c r="BS1975" s="3">
        <v>43803</v>
      </c>
      <c r="BT1975" s="5">
        <v>0.43055555555555558</v>
      </c>
      <c r="BU1975" t="s">
        <v>2270</v>
      </c>
      <c r="BV1975" t="s">
        <v>86</v>
      </c>
      <c r="BY1975">
        <v>9918</v>
      </c>
      <c r="BZ1975" t="s">
        <v>27</v>
      </c>
      <c r="CC1975" t="s">
        <v>668</v>
      </c>
      <c r="CD1975">
        <v>1760</v>
      </c>
      <c r="CE1975" t="s">
        <v>96</v>
      </c>
      <c r="CF1975" s="3">
        <v>43804</v>
      </c>
      <c r="CI1975">
        <v>1</v>
      </c>
      <c r="CJ1975">
        <v>1</v>
      </c>
      <c r="CK1975">
        <v>34</v>
      </c>
      <c r="CL1975" t="s">
        <v>89</v>
      </c>
    </row>
    <row r="1976" spans="1:90">
      <c r="A1976" t="s">
        <v>72</v>
      </c>
      <c r="B1976" t="s">
        <v>73</v>
      </c>
      <c r="C1976" t="s">
        <v>74</v>
      </c>
      <c r="E1976" t="str">
        <f>"FES1162727514"</f>
        <v>FES1162727514</v>
      </c>
      <c r="F1976" s="3">
        <v>43809</v>
      </c>
      <c r="G1976">
        <v>202006</v>
      </c>
      <c r="H1976" t="s">
        <v>75</v>
      </c>
      <c r="I1976" t="s">
        <v>76</v>
      </c>
      <c r="J1976" t="s">
        <v>100</v>
      </c>
      <c r="K1976" t="s">
        <v>78</v>
      </c>
      <c r="L1976" t="s">
        <v>75</v>
      </c>
      <c r="M1976" t="s">
        <v>76</v>
      </c>
      <c r="N1976" t="s">
        <v>703</v>
      </c>
      <c r="O1976" t="s">
        <v>1340</v>
      </c>
      <c r="P1976" t="str">
        <f>"2170710521                    "</f>
        <v xml:space="preserve">2170710521                    </v>
      </c>
      <c r="Q1976">
        <v>0</v>
      </c>
      <c r="R1976">
        <v>0</v>
      </c>
      <c r="S1976">
        <v>0</v>
      </c>
      <c r="T1976">
        <v>0</v>
      </c>
      <c r="U1976">
        <v>0</v>
      </c>
      <c r="V1976">
        <v>0</v>
      </c>
      <c r="W1976">
        <v>0</v>
      </c>
      <c r="X1976">
        <v>0</v>
      </c>
      <c r="Y1976">
        <v>0</v>
      </c>
      <c r="Z1976">
        <v>0</v>
      </c>
      <c r="AA1976">
        <v>0</v>
      </c>
      <c r="AB1976">
        <v>0</v>
      </c>
      <c r="AC1976">
        <v>0</v>
      </c>
      <c r="AD1976">
        <v>0</v>
      </c>
      <c r="AE1976">
        <v>0</v>
      </c>
      <c r="AF1976">
        <v>0</v>
      </c>
      <c r="AG1976">
        <v>0</v>
      </c>
      <c r="AH1976">
        <v>0</v>
      </c>
      <c r="AI1976">
        <v>0</v>
      </c>
      <c r="AJ1976">
        <v>0</v>
      </c>
      <c r="AK1976">
        <v>0</v>
      </c>
      <c r="AL1976">
        <v>0</v>
      </c>
      <c r="AM1976">
        <v>14.98</v>
      </c>
      <c r="AN1976">
        <v>0</v>
      </c>
      <c r="AO1976">
        <v>0</v>
      </c>
      <c r="AP1976">
        <v>0</v>
      </c>
      <c r="AQ1976">
        <v>0</v>
      </c>
      <c r="AR1976">
        <v>0</v>
      </c>
      <c r="AS1976">
        <v>0</v>
      </c>
      <c r="AT1976">
        <v>0</v>
      </c>
      <c r="AU1976">
        <v>0</v>
      </c>
      <c r="AV1976">
        <v>0</v>
      </c>
      <c r="AW1976">
        <v>0</v>
      </c>
      <c r="AX1976">
        <v>0</v>
      </c>
      <c r="AY1976">
        <v>0</v>
      </c>
      <c r="AZ1976">
        <v>0</v>
      </c>
      <c r="BA1976">
        <v>0</v>
      </c>
      <c r="BB1976">
        <v>0</v>
      </c>
      <c r="BC1976">
        <v>0</v>
      </c>
      <c r="BD1976">
        <v>0</v>
      </c>
      <c r="BE1976">
        <v>0</v>
      </c>
      <c r="BF1976">
        <v>0</v>
      </c>
      <c r="BG1976">
        <v>0</v>
      </c>
      <c r="BH1976">
        <v>1</v>
      </c>
      <c r="BI1976">
        <v>7.4</v>
      </c>
      <c r="BJ1976">
        <v>14.9</v>
      </c>
      <c r="BK1976">
        <v>15</v>
      </c>
      <c r="BL1976" s="4">
        <v>88.06</v>
      </c>
      <c r="BM1976" s="4">
        <v>13.21</v>
      </c>
      <c r="BN1976" s="4">
        <v>101.27</v>
      </c>
      <c r="BO1976" s="4">
        <v>101.27</v>
      </c>
      <c r="BQ1976" t="s">
        <v>93</v>
      </c>
      <c r="BR1976" t="s">
        <v>105</v>
      </c>
      <c r="BS1976" s="3">
        <v>43810</v>
      </c>
      <c r="BT1976" s="5">
        <v>0.29722222222222222</v>
      </c>
      <c r="BU1976" t="s">
        <v>2271</v>
      </c>
      <c r="BV1976" t="s">
        <v>86</v>
      </c>
      <c r="BY1976">
        <v>74464.17</v>
      </c>
      <c r="BZ1976" t="s">
        <v>27</v>
      </c>
      <c r="CA1976" t="s">
        <v>1403</v>
      </c>
      <c r="CC1976" t="s">
        <v>76</v>
      </c>
      <c r="CD1976">
        <v>1665</v>
      </c>
      <c r="CE1976" t="s">
        <v>116</v>
      </c>
      <c r="CF1976" s="3">
        <v>43811</v>
      </c>
      <c r="CI1976">
        <v>1</v>
      </c>
      <c r="CJ1976">
        <v>1</v>
      </c>
      <c r="CK1976">
        <v>32</v>
      </c>
      <c r="CL1976" t="s">
        <v>89</v>
      </c>
    </row>
    <row r="1977" spans="1:90">
      <c r="A1977" t="s">
        <v>72</v>
      </c>
      <c r="B1977" t="s">
        <v>73</v>
      </c>
      <c r="C1977" t="s">
        <v>74</v>
      </c>
      <c r="E1977" t="str">
        <f>"FES1162727572"</f>
        <v>FES1162727572</v>
      </c>
      <c r="F1977" s="3">
        <v>43809</v>
      </c>
      <c r="G1977">
        <v>202006</v>
      </c>
      <c r="H1977" t="s">
        <v>75</v>
      </c>
      <c r="I1977" t="s">
        <v>76</v>
      </c>
      <c r="J1977" t="s">
        <v>100</v>
      </c>
      <c r="K1977" t="s">
        <v>78</v>
      </c>
      <c r="L1977" t="s">
        <v>75</v>
      </c>
      <c r="M1977" t="s">
        <v>76</v>
      </c>
      <c r="N1977" t="s">
        <v>289</v>
      </c>
      <c r="O1977" t="s">
        <v>1340</v>
      </c>
      <c r="P1977" t="str">
        <f>"217071057                     "</f>
        <v xml:space="preserve">217071057                     </v>
      </c>
      <c r="Q1977">
        <v>0</v>
      </c>
      <c r="R1977">
        <v>0</v>
      </c>
      <c r="S1977">
        <v>0</v>
      </c>
      <c r="T1977">
        <v>0</v>
      </c>
      <c r="U1977">
        <v>0</v>
      </c>
      <c r="V1977">
        <v>0</v>
      </c>
      <c r="W1977">
        <v>0</v>
      </c>
      <c r="X1977">
        <v>0</v>
      </c>
      <c r="Y1977">
        <v>0</v>
      </c>
      <c r="Z1977">
        <v>0</v>
      </c>
      <c r="AA1977">
        <v>0</v>
      </c>
      <c r="AB1977">
        <v>0</v>
      </c>
      <c r="AC1977">
        <v>0</v>
      </c>
      <c r="AD1977">
        <v>0</v>
      </c>
      <c r="AE1977">
        <v>0</v>
      </c>
      <c r="AF1977">
        <v>0</v>
      </c>
      <c r="AG1977">
        <v>0</v>
      </c>
      <c r="AH1977">
        <v>0</v>
      </c>
      <c r="AI1977">
        <v>0</v>
      </c>
      <c r="AJ1977">
        <v>0</v>
      </c>
      <c r="AK1977">
        <v>0</v>
      </c>
      <c r="AL1977">
        <v>0</v>
      </c>
      <c r="AM1977">
        <v>14.23</v>
      </c>
      <c r="AN1977">
        <v>0</v>
      </c>
      <c r="AO1977">
        <v>0</v>
      </c>
      <c r="AP1977">
        <v>0</v>
      </c>
      <c r="AQ1977">
        <v>0</v>
      </c>
      <c r="AR1977">
        <v>0</v>
      </c>
      <c r="AS1977">
        <v>0</v>
      </c>
      <c r="AT1977">
        <v>0</v>
      </c>
      <c r="AU1977">
        <v>0</v>
      </c>
      <c r="AV1977">
        <v>0</v>
      </c>
      <c r="AW1977">
        <v>0</v>
      </c>
      <c r="AX1977">
        <v>0</v>
      </c>
      <c r="AY1977">
        <v>0</v>
      </c>
      <c r="AZ1977">
        <v>0</v>
      </c>
      <c r="BA1977">
        <v>0</v>
      </c>
      <c r="BB1977">
        <v>0</v>
      </c>
      <c r="BC1977">
        <v>0</v>
      </c>
      <c r="BD1977">
        <v>0</v>
      </c>
      <c r="BE1977">
        <v>0</v>
      </c>
      <c r="BF1977">
        <v>0</v>
      </c>
      <c r="BG1977">
        <v>0</v>
      </c>
      <c r="BH1977">
        <v>1</v>
      </c>
      <c r="BI1977">
        <v>13.6</v>
      </c>
      <c r="BJ1977">
        <v>13.9</v>
      </c>
      <c r="BK1977">
        <v>14</v>
      </c>
      <c r="BL1977" s="4">
        <v>83.64</v>
      </c>
      <c r="BM1977" s="4">
        <v>12.55</v>
      </c>
      <c r="BN1977" s="4">
        <v>96.19</v>
      </c>
      <c r="BO1977" s="4">
        <v>96.19</v>
      </c>
      <c r="BQ1977" t="s">
        <v>290</v>
      </c>
      <c r="BR1977" t="s">
        <v>105</v>
      </c>
      <c r="BS1977" s="3">
        <v>43810</v>
      </c>
      <c r="BT1977" s="5">
        <v>0.29722222222222222</v>
      </c>
      <c r="BU1977" t="s">
        <v>291</v>
      </c>
      <c r="BV1977" t="s">
        <v>86</v>
      </c>
      <c r="BY1977">
        <v>69674.09</v>
      </c>
      <c r="BZ1977" t="s">
        <v>27</v>
      </c>
      <c r="CA1977" t="s">
        <v>155</v>
      </c>
      <c r="CC1977" t="s">
        <v>76</v>
      </c>
      <c r="CD1977">
        <v>1601</v>
      </c>
      <c r="CE1977" t="s">
        <v>116</v>
      </c>
      <c r="CF1977" s="3">
        <v>43811</v>
      </c>
      <c r="CI1977">
        <v>1</v>
      </c>
      <c r="CJ1977">
        <v>1</v>
      </c>
      <c r="CK1977">
        <v>32</v>
      </c>
      <c r="CL1977" t="s">
        <v>89</v>
      </c>
    </row>
    <row r="1978" spans="1:90">
      <c r="A1978" t="s">
        <v>72</v>
      </c>
      <c r="B1978" t="s">
        <v>73</v>
      </c>
      <c r="C1978" t="s">
        <v>74</v>
      </c>
      <c r="E1978" t="str">
        <f>"FES1162727502"</f>
        <v>FES1162727502</v>
      </c>
      <c r="F1978" s="3">
        <v>43809</v>
      </c>
      <c r="G1978">
        <v>202006</v>
      </c>
      <c r="H1978" t="s">
        <v>75</v>
      </c>
      <c r="I1978" t="s">
        <v>76</v>
      </c>
      <c r="J1978" t="s">
        <v>100</v>
      </c>
      <c r="K1978" t="s">
        <v>78</v>
      </c>
      <c r="L1978" t="s">
        <v>709</v>
      </c>
      <c r="M1978" t="s">
        <v>710</v>
      </c>
      <c r="N1978" t="s">
        <v>2272</v>
      </c>
      <c r="O1978" t="s">
        <v>1340</v>
      </c>
      <c r="P1978" t="str">
        <f>"21707109877                   "</f>
        <v xml:space="preserve">21707109877                   </v>
      </c>
      <c r="Q1978">
        <v>0</v>
      </c>
      <c r="R1978">
        <v>0</v>
      </c>
      <c r="S1978">
        <v>0</v>
      </c>
      <c r="T1978">
        <v>0</v>
      </c>
      <c r="U1978">
        <v>0</v>
      </c>
      <c r="V1978">
        <v>0</v>
      </c>
      <c r="W1978">
        <v>0</v>
      </c>
      <c r="X1978">
        <v>0</v>
      </c>
      <c r="Y1978">
        <v>0</v>
      </c>
      <c r="Z1978">
        <v>0</v>
      </c>
      <c r="AA1978">
        <v>0</v>
      </c>
      <c r="AB1978">
        <v>0</v>
      </c>
      <c r="AC1978">
        <v>0</v>
      </c>
      <c r="AD1978">
        <v>0</v>
      </c>
      <c r="AE1978">
        <v>0</v>
      </c>
      <c r="AF1978">
        <v>0</v>
      </c>
      <c r="AG1978">
        <v>0</v>
      </c>
      <c r="AH1978">
        <v>0</v>
      </c>
      <c r="AI1978">
        <v>0</v>
      </c>
      <c r="AJ1978">
        <v>0</v>
      </c>
      <c r="AK1978">
        <v>0</v>
      </c>
      <c r="AL1978">
        <v>0</v>
      </c>
      <c r="AM1978">
        <v>30.18</v>
      </c>
      <c r="AN1978">
        <v>0</v>
      </c>
      <c r="AO1978">
        <v>0</v>
      </c>
      <c r="AP1978">
        <v>0</v>
      </c>
      <c r="AQ1978">
        <v>0</v>
      </c>
      <c r="AR1978">
        <v>0</v>
      </c>
      <c r="AS1978">
        <v>0</v>
      </c>
      <c r="AT1978">
        <v>0</v>
      </c>
      <c r="AU1978">
        <v>0</v>
      </c>
      <c r="AV1978">
        <v>0</v>
      </c>
      <c r="AW1978">
        <v>0</v>
      </c>
      <c r="AX1978">
        <v>0</v>
      </c>
      <c r="AY1978">
        <v>0</v>
      </c>
      <c r="AZ1978">
        <v>0</v>
      </c>
      <c r="BA1978">
        <v>0</v>
      </c>
      <c r="BB1978">
        <v>0</v>
      </c>
      <c r="BC1978">
        <v>0</v>
      </c>
      <c r="BD1978">
        <v>0</v>
      </c>
      <c r="BE1978">
        <v>0</v>
      </c>
      <c r="BF1978">
        <v>0</v>
      </c>
      <c r="BG1978">
        <v>0</v>
      </c>
      <c r="BH1978">
        <v>1</v>
      </c>
      <c r="BI1978">
        <v>8.3000000000000007</v>
      </c>
      <c r="BJ1978">
        <v>3.2</v>
      </c>
      <c r="BK1978">
        <v>9</v>
      </c>
      <c r="BL1978" s="4">
        <v>177.41</v>
      </c>
      <c r="BM1978" s="4">
        <v>26.61</v>
      </c>
      <c r="BN1978" s="4">
        <v>204.02</v>
      </c>
      <c r="BO1978" s="4">
        <v>204.02</v>
      </c>
      <c r="BR1978" t="s">
        <v>105</v>
      </c>
      <c r="BS1978" s="3">
        <v>43810</v>
      </c>
      <c r="BT1978" s="5">
        <v>0.42499999999999999</v>
      </c>
      <c r="BU1978" t="s">
        <v>2273</v>
      </c>
      <c r="BV1978" t="s">
        <v>86</v>
      </c>
      <c r="BY1978">
        <v>16027.19</v>
      </c>
      <c r="BZ1978" t="s">
        <v>27</v>
      </c>
      <c r="CA1978" t="s">
        <v>713</v>
      </c>
      <c r="CC1978" t="s">
        <v>710</v>
      </c>
      <c r="CD1978">
        <v>1939</v>
      </c>
      <c r="CE1978" t="s">
        <v>96</v>
      </c>
      <c r="CF1978" s="3">
        <v>43811</v>
      </c>
      <c r="CI1978">
        <v>1</v>
      </c>
      <c r="CJ1978">
        <v>1</v>
      </c>
      <c r="CK1978">
        <v>34</v>
      </c>
      <c r="CL1978" t="s">
        <v>89</v>
      </c>
    </row>
    <row r="1979" spans="1:90">
      <c r="A1979" t="s">
        <v>72</v>
      </c>
      <c r="B1979" t="s">
        <v>73</v>
      </c>
      <c r="C1979" t="s">
        <v>74</v>
      </c>
      <c r="E1979" t="str">
        <f>"FES1162727609"</f>
        <v>FES1162727609</v>
      </c>
      <c r="F1979" s="3">
        <v>43809</v>
      </c>
      <c r="G1979">
        <v>202006</v>
      </c>
      <c r="H1979" t="s">
        <v>75</v>
      </c>
      <c r="I1979" t="s">
        <v>76</v>
      </c>
      <c r="J1979" t="s">
        <v>100</v>
      </c>
      <c r="K1979" t="s">
        <v>78</v>
      </c>
      <c r="L1979" t="s">
        <v>1170</v>
      </c>
      <c r="M1979" t="s">
        <v>1170</v>
      </c>
      <c r="N1979" t="s">
        <v>1171</v>
      </c>
      <c r="O1979" t="s">
        <v>1340</v>
      </c>
      <c r="P1979" t="str">
        <f>"217712076                     "</f>
        <v xml:space="preserve">217712076                     </v>
      </c>
      <c r="Q1979">
        <v>0</v>
      </c>
      <c r="R1979">
        <v>0</v>
      </c>
      <c r="S1979">
        <v>0</v>
      </c>
      <c r="T1979">
        <v>0</v>
      </c>
      <c r="U1979">
        <v>0</v>
      </c>
      <c r="V1979">
        <v>0</v>
      </c>
      <c r="W1979">
        <v>0</v>
      </c>
      <c r="X1979">
        <v>0</v>
      </c>
      <c r="Y1979">
        <v>0</v>
      </c>
      <c r="Z1979">
        <v>0</v>
      </c>
      <c r="AA1979">
        <v>0</v>
      </c>
      <c r="AB1979">
        <v>0</v>
      </c>
      <c r="AC1979">
        <v>0</v>
      </c>
      <c r="AD1979">
        <v>0</v>
      </c>
      <c r="AE1979">
        <v>0</v>
      </c>
      <c r="AF1979">
        <v>0</v>
      </c>
      <c r="AG1979">
        <v>0</v>
      </c>
      <c r="AH1979">
        <v>0</v>
      </c>
      <c r="AI1979">
        <v>0</v>
      </c>
      <c r="AJ1979">
        <v>0</v>
      </c>
      <c r="AK1979">
        <v>0</v>
      </c>
      <c r="AL1979">
        <v>0</v>
      </c>
      <c r="AM1979">
        <v>19.32</v>
      </c>
      <c r="AN1979">
        <v>0</v>
      </c>
      <c r="AO1979">
        <v>0</v>
      </c>
      <c r="AP1979">
        <v>0</v>
      </c>
      <c r="AQ1979">
        <v>0</v>
      </c>
      <c r="AR1979">
        <v>0</v>
      </c>
      <c r="AS1979">
        <v>0</v>
      </c>
      <c r="AT1979">
        <v>0</v>
      </c>
      <c r="AU1979">
        <v>0</v>
      </c>
      <c r="AV1979">
        <v>0</v>
      </c>
      <c r="AW1979">
        <v>0</v>
      </c>
      <c r="AX1979">
        <v>0</v>
      </c>
      <c r="AY1979">
        <v>0</v>
      </c>
      <c r="AZ1979">
        <v>0</v>
      </c>
      <c r="BA1979">
        <v>0</v>
      </c>
      <c r="BB1979">
        <v>0</v>
      </c>
      <c r="BC1979">
        <v>0</v>
      </c>
      <c r="BD1979">
        <v>0</v>
      </c>
      <c r="BE1979">
        <v>0</v>
      </c>
      <c r="BF1979">
        <v>0</v>
      </c>
      <c r="BG1979">
        <v>0</v>
      </c>
      <c r="BH1979">
        <v>1</v>
      </c>
      <c r="BI1979">
        <v>5.9</v>
      </c>
      <c r="BJ1979">
        <v>2.2000000000000002</v>
      </c>
      <c r="BK1979">
        <v>6</v>
      </c>
      <c r="BL1979" s="4">
        <v>113.54</v>
      </c>
      <c r="BM1979" s="4">
        <v>17.03</v>
      </c>
      <c r="BN1979" s="4">
        <v>130.57</v>
      </c>
      <c r="BO1979" s="4">
        <v>130.57</v>
      </c>
      <c r="BQ1979" t="s">
        <v>1172</v>
      </c>
      <c r="BR1979" t="s">
        <v>105</v>
      </c>
      <c r="BS1979" s="3">
        <v>43810</v>
      </c>
      <c r="BT1979" s="5">
        <v>0.33333333333333331</v>
      </c>
      <c r="BU1979" t="s">
        <v>1173</v>
      </c>
      <c r="BV1979" t="s">
        <v>86</v>
      </c>
      <c r="BY1979">
        <v>11102.26</v>
      </c>
      <c r="BZ1979" t="s">
        <v>27</v>
      </c>
      <c r="CC1979" t="s">
        <v>1170</v>
      </c>
      <c r="CD1979">
        <v>1490</v>
      </c>
      <c r="CE1979" t="s">
        <v>116</v>
      </c>
      <c r="CF1979" s="3">
        <v>43811</v>
      </c>
      <c r="CI1979">
        <v>1</v>
      </c>
      <c r="CJ1979">
        <v>1</v>
      </c>
      <c r="CK1979">
        <v>34</v>
      </c>
      <c r="CL1979" t="s">
        <v>89</v>
      </c>
    </row>
    <row r="1980" spans="1:90">
      <c r="A1980" t="s">
        <v>72</v>
      </c>
      <c r="B1980" t="s">
        <v>73</v>
      </c>
      <c r="C1980" t="s">
        <v>74</v>
      </c>
      <c r="E1980" t="str">
        <f>"019911311462"</f>
        <v>019911311462</v>
      </c>
      <c r="F1980" s="3">
        <v>43811</v>
      </c>
      <c r="G1980">
        <v>202006</v>
      </c>
      <c r="H1980" t="s">
        <v>90</v>
      </c>
      <c r="I1980" t="s">
        <v>91</v>
      </c>
      <c r="J1980" t="s">
        <v>100</v>
      </c>
      <c r="K1980" t="s">
        <v>78</v>
      </c>
      <c r="L1980" t="s">
        <v>75</v>
      </c>
      <c r="M1980" t="s">
        <v>76</v>
      </c>
      <c r="N1980" t="s">
        <v>125</v>
      </c>
      <c r="O1980" t="s">
        <v>82</v>
      </c>
      <c r="P1980" t="str">
        <f>"1703                          "</f>
        <v xml:space="preserve">1703                          </v>
      </c>
      <c r="Q1980">
        <v>0</v>
      </c>
      <c r="R1980">
        <v>0</v>
      </c>
      <c r="S1980">
        <v>0</v>
      </c>
      <c r="T1980">
        <v>0</v>
      </c>
      <c r="U1980">
        <v>0</v>
      </c>
      <c r="V1980">
        <v>0</v>
      </c>
      <c r="W1980">
        <v>0</v>
      </c>
      <c r="X1980">
        <v>0</v>
      </c>
      <c r="Y1980">
        <v>0</v>
      </c>
      <c r="Z1980">
        <v>0</v>
      </c>
      <c r="AA1980">
        <v>0</v>
      </c>
      <c r="AB1980">
        <v>0</v>
      </c>
      <c r="AC1980">
        <v>0</v>
      </c>
      <c r="AD1980">
        <v>0</v>
      </c>
      <c r="AE1980">
        <v>0</v>
      </c>
      <c r="AF1980">
        <v>0</v>
      </c>
      <c r="AG1980">
        <v>0</v>
      </c>
      <c r="AH1980">
        <v>0</v>
      </c>
      <c r="AI1980">
        <v>0</v>
      </c>
      <c r="AJ1980">
        <v>0</v>
      </c>
      <c r="AK1980">
        <v>0</v>
      </c>
      <c r="AL1980">
        <v>0</v>
      </c>
      <c r="AM1980">
        <v>8.58</v>
      </c>
      <c r="AN1980">
        <v>0</v>
      </c>
      <c r="AO1980">
        <v>0</v>
      </c>
      <c r="AP1980">
        <v>0</v>
      </c>
      <c r="AQ1980">
        <v>0</v>
      </c>
      <c r="AR1980">
        <v>0</v>
      </c>
      <c r="AS1980">
        <v>0</v>
      </c>
      <c r="AT1980">
        <v>0</v>
      </c>
      <c r="AU1980">
        <v>0</v>
      </c>
      <c r="AV1980">
        <v>0</v>
      </c>
      <c r="AW1980">
        <v>0</v>
      </c>
      <c r="AX1980">
        <v>0</v>
      </c>
      <c r="AY1980">
        <v>0</v>
      </c>
      <c r="AZ1980">
        <v>0</v>
      </c>
      <c r="BA1980">
        <v>0</v>
      </c>
      <c r="BB1980">
        <v>0</v>
      </c>
      <c r="BC1980">
        <v>0</v>
      </c>
      <c r="BD1980">
        <v>0</v>
      </c>
      <c r="BE1980">
        <v>0</v>
      </c>
      <c r="BF1980">
        <v>0</v>
      </c>
      <c r="BG1980">
        <v>0</v>
      </c>
      <c r="BH1980">
        <v>1</v>
      </c>
      <c r="BI1980">
        <v>0.7</v>
      </c>
      <c r="BJ1980">
        <v>1.2</v>
      </c>
      <c r="BK1980">
        <v>1.5</v>
      </c>
      <c r="BL1980" s="4">
        <v>50.45</v>
      </c>
      <c r="BM1980" s="4">
        <v>7.57</v>
      </c>
      <c r="BN1980" s="4">
        <v>58.02</v>
      </c>
      <c r="BO1980" s="4">
        <v>58.02</v>
      </c>
      <c r="BQ1980" t="s">
        <v>126</v>
      </c>
      <c r="BR1980" t="s">
        <v>127</v>
      </c>
      <c r="BS1980" s="3">
        <v>43816</v>
      </c>
      <c r="BT1980" s="5">
        <v>0.36874999999999997</v>
      </c>
      <c r="BU1980" t="s">
        <v>154</v>
      </c>
      <c r="BV1980" t="s">
        <v>89</v>
      </c>
      <c r="BY1980">
        <v>5836.05</v>
      </c>
      <c r="BZ1980" t="s">
        <v>27</v>
      </c>
      <c r="CA1980" t="s">
        <v>155</v>
      </c>
      <c r="CC1980" t="s">
        <v>76</v>
      </c>
      <c r="CD1980">
        <v>1600</v>
      </c>
      <c r="CE1980" t="s">
        <v>116</v>
      </c>
      <c r="CF1980" s="3">
        <v>43817</v>
      </c>
      <c r="CI1980">
        <v>1</v>
      </c>
      <c r="CJ1980">
        <v>3</v>
      </c>
      <c r="CK1980">
        <v>21</v>
      </c>
      <c r="CL1980" t="s">
        <v>89</v>
      </c>
    </row>
    <row r="1981" spans="1:90">
      <c r="A1981" t="s">
        <v>72</v>
      </c>
      <c r="B1981" t="s">
        <v>73</v>
      </c>
      <c r="C1981" t="s">
        <v>74</v>
      </c>
      <c r="E1981" t="str">
        <f>"019911311461"</f>
        <v>019911311461</v>
      </c>
      <c r="F1981" s="3">
        <v>43811</v>
      </c>
      <c r="G1981">
        <v>202006</v>
      </c>
      <c r="H1981" t="s">
        <v>90</v>
      </c>
      <c r="I1981" t="s">
        <v>91</v>
      </c>
      <c r="J1981" t="s">
        <v>100</v>
      </c>
      <c r="K1981" t="s">
        <v>78</v>
      </c>
      <c r="L1981" t="s">
        <v>75</v>
      </c>
      <c r="M1981" t="s">
        <v>76</v>
      </c>
      <c r="N1981" t="s">
        <v>125</v>
      </c>
      <c r="O1981" t="s">
        <v>82</v>
      </c>
      <c r="P1981" t="str">
        <f>"1703                          "</f>
        <v xml:space="preserve">1703                          </v>
      </c>
      <c r="Q1981">
        <v>0</v>
      </c>
      <c r="R1981">
        <v>0</v>
      </c>
      <c r="S1981">
        <v>0</v>
      </c>
      <c r="T1981">
        <v>0</v>
      </c>
      <c r="U1981">
        <v>0</v>
      </c>
      <c r="V1981">
        <v>0</v>
      </c>
      <c r="W1981">
        <v>0</v>
      </c>
      <c r="X1981">
        <v>0</v>
      </c>
      <c r="Y1981">
        <v>0</v>
      </c>
      <c r="Z1981">
        <v>0</v>
      </c>
      <c r="AA1981">
        <v>0</v>
      </c>
      <c r="AB1981">
        <v>0</v>
      </c>
      <c r="AC1981">
        <v>0</v>
      </c>
      <c r="AD1981">
        <v>0</v>
      </c>
      <c r="AE1981">
        <v>0</v>
      </c>
      <c r="AF1981">
        <v>0</v>
      </c>
      <c r="AG1981">
        <v>0</v>
      </c>
      <c r="AH1981">
        <v>0</v>
      </c>
      <c r="AI1981">
        <v>0</v>
      </c>
      <c r="AJ1981">
        <v>0</v>
      </c>
      <c r="AK1981">
        <v>0</v>
      </c>
      <c r="AL1981">
        <v>0</v>
      </c>
      <c r="AM1981">
        <v>8.58</v>
      </c>
      <c r="AN1981">
        <v>0</v>
      </c>
      <c r="AO1981">
        <v>0</v>
      </c>
      <c r="AP1981">
        <v>0</v>
      </c>
      <c r="AQ1981">
        <v>0</v>
      </c>
      <c r="AR1981">
        <v>0</v>
      </c>
      <c r="AS1981">
        <v>0</v>
      </c>
      <c r="AT1981">
        <v>0</v>
      </c>
      <c r="AU1981">
        <v>0</v>
      </c>
      <c r="AV1981">
        <v>0</v>
      </c>
      <c r="AW1981">
        <v>0</v>
      </c>
      <c r="AX1981">
        <v>0</v>
      </c>
      <c r="AY1981">
        <v>0</v>
      </c>
      <c r="AZ1981">
        <v>0</v>
      </c>
      <c r="BA1981">
        <v>0</v>
      </c>
      <c r="BB1981">
        <v>0</v>
      </c>
      <c r="BC1981">
        <v>0</v>
      </c>
      <c r="BD1981">
        <v>0</v>
      </c>
      <c r="BE1981">
        <v>0</v>
      </c>
      <c r="BF1981">
        <v>0</v>
      </c>
      <c r="BG1981">
        <v>0</v>
      </c>
      <c r="BH1981">
        <v>1</v>
      </c>
      <c r="BI1981">
        <v>1</v>
      </c>
      <c r="BJ1981">
        <v>0.2</v>
      </c>
      <c r="BK1981">
        <v>1</v>
      </c>
      <c r="BL1981" s="4">
        <v>50.45</v>
      </c>
      <c r="BM1981" s="4">
        <v>7.57</v>
      </c>
      <c r="BN1981" s="4">
        <v>58.02</v>
      </c>
      <c r="BO1981" s="4">
        <v>58.02</v>
      </c>
      <c r="BQ1981" t="s">
        <v>126</v>
      </c>
      <c r="BR1981" t="s">
        <v>127</v>
      </c>
      <c r="BS1981" s="3">
        <v>43816</v>
      </c>
      <c r="BT1981" s="5">
        <v>0.36874999999999997</v>
      </c>
      <c r="BU1981" t="s">
        <v>154</v>
      </c>
      <c r="BV1981" t="s">
        <v>89</v>
      </c>
      <c r="BY1981">
        <v>1200</v>
      </c>
      <c r="BZ1981" t="s">
        <v>27</v>
      </c>
      <c r="CA1981" t="s">
        <v>155</v>
      </c>
      <c r="CC1981" t="s">
        <v>76</v>
      </c>
      <c r="CD1981">
        <v>1600</v>
      </c>
      <c r="CE1981" t="s">
        <v>2274</v>
      </c>
      <c r="CF1981" s="3">
        <v>43817</v>
      </c>
      <c r="CI1981">
        <v>1</v>
      </c>
      <c r="CJ1981">
        <v>3</v>
      </c>
      <c r="CK1981">
        <v>21</v>
      </c>
      <c r="CL1981" t="s">
        <v>89</v>
      </c>
    </row>
    <row r="1982" spans="1:90">
      <c r="A1982" t="s">
        <v>72</v>
      </c>
      <c r="B1982" t="s">
        <v>73</v>
      </c>
      <c r="C1982" t="s">
        <v>74</v>
      </c>
      <c r="E1982" t="str">
        <f>"FES1162727342"</f>
        <v>FES1162727342</v>
      </c>
      <c r="F1982" s="3">
        <v>43808</v>
      </c>
      <c r="G1982">
        <v>202006</v>
      </c>
      <c r="H1982" t="s">
        <v>75</v>
      </c>
      <c r="I1982" t="s">
        <v>76</v>
      </c>
      <c r="J1982" t="s">
        <v>100</v>
      </c>
      <c r="K1982" t="s">
        <v>78</v>
      </c>
      <c r="L1982" t="s">
        <v>2275</v>
      </c>
      <c r="M1982" t="s">
        <v>2276</v>
      </c>
      <c r="N1982" t="s">
        <v>2277</v>
      </c>
      <c r="O1982" t="s">
        <v>1340</v>
      </c>
      <c r="P1982" t="str">
        <f>"2170710560                    "</f>
        <v xml:space="preserve">2170710560                    </v>
      </c>
      <c r="Q1982">
        <v>0</v>
      </c>
      <c r="R1982">
        <v>0</v>
      </c>
      <c r="S1982">
        <v>0</v>
      </c>
      <c r="T1982">
        <v>0</v>
      </c>
      <c r="U1982">
        <v>0</v>
      </c>
      <c r="V1982">
        <v>0</v>
      </c>
      <c r="W1982">
        <v>0</v>
      </c>
      <c r="X1982">
        <v>0</v>
      </c>
      <c r="Y1982">
        <v>0</v>
      </c>
      <c r="Z1982">
        <v>0</v>
      </c>
      <c r="AA1982">
        <v>0</v>
      </c>
      <c r="AB1982">
        <v>0</v>
      </c>
      <c r="AC1982">
        <v>0</v>
      </c>
      <c r="AD1982">
        <v>0</v>
      </c>
      <c r="AE1982">
        <v>0</v>
      </c>
      <c r="AF1982">
        <v>0</v>
      </c>
      <c r="AG1982">
        <v>0</v>
      </c>
      <c r="AH1982">
        <v>0</v>
      </c>
      <c r="AI1982">
        <v>0</v>
      </c>
      <c r="AJ1982">
        <v>0</v>
      </c>
      <c r="AK1982">
        <v>0</v>
      </c>
      <c r="AL1982">
        <v>0</v>
      </c>
      <c r="AM1982">
        <v>16.63</v>
      </c>
      <c r="AN1982">
        <v>0</v>
      </c>
      <c r="AO1982">
        <v>0</v>
      </c>
      <c r="AP1982">
        <v>0</v>
      </c>
      <c r="AQ1982">
        <v>0</v>
      </c>
      <c r="AR1982">
        <v>0</v>
      </c>
      <c r="AS1982">
        <v>0</v>
      </c>
      <c r="AT1982">
        <v>0</v>
      </c>
      <c r="AU1982">
        <v>0</v>
      </c>
      <c r="AV1982">
        <v>0</v>
      </c>
      <c r="AW1982">
        <v>0</v>
      </c>
      <c r="AX1982">
        <v>0</v>
      </c>
      <c r="AY1982">
        <v>0</v>
      </c>
      <c r="AZ1982">
        <v>0</v>
      </c>
      <c r="BA1982">
        <v>0</v>
      </c>
      <c r="BB1982">
        <v>0</v>
      </c>
      <c r="BC1982">
        <v>0</v>
      </c>
      <c r="BD1982">
        <v>0</v>
      </c>
      <c r="BE1982">
        <v>0</v>
      </c>
      <c r="BF1982">
        <v>0</v>
      </c>
      <c r="BG1982">
        <v>0</v>
      </c>
      <c r="BH1982">
        <v>1</v>
      </c>
      <c r="BI1982">
        <v>2.1</v>
      </c>
      <c r="BJ1982">
        <v>1.9</v>
      </c>
      <c r="BK1982">
        <v>3</v>
      </c>
      <c r="BL1982" s="4">
        <v>97.75</v>
      </c>
      <c r="BM1982" s="4">
        <v>14.66</v>
      </c>
      <c r="BN1982" s="4">
        <v>112.41</v>
      </c>
      <c r="BO1982" s="4">
        <v>112.41</v>
      </c>
      <c r="BQ1982" t="s">
        <v>135</v>
      </c>
      <c r="BR1982" t="s">
        <v>105</v>
      </c>
      <c r="BS1982" s="3">
        <v>43809</v>
      </c>
      <c r="BT1982" s="5">
        <v>0.40833333333333338</v>
      </c>
      <c r="BU1982" t="s">
        <v>2278</v>
      </c>
      <c r="BV1982" t="s">
        <v>86</v>
      </c>
      <c r="BY1982">
        <v>9385.31</v>
      </c>
      <c r="BZ1982" t="s">
        <v>27</v>
      </c>
      <c r="CC1982" t="s">
        <v>2276</v>
      </c>
      <c r="CD1982">
        <v>2499</v>
      </c>
      <c r="CE1982" t="s">
        <v>116</v>
      </c>
      <c r="CF1982" s="3">
        <v>43810</v>
      </c>
      <c r="CI1982">
        <v>1</v>
      </c>
      <c r="CJ1982">
        <v>1</v>
      </c>
      <c r="CK1982">
        <v>33</v>
      </c>
      <c r="CL1982" t="s">
        <v>89</v>
      </c>
    </row>
    <row r="1983" spans="1:90">
      <c r="A1983" t="s">
        <v>72</v>
      </c>
      <c r="B1983" t="s">
        <v>73</v>
      </c>
      <c r="C1983" t="s">
        <v>74</v>
      </c>
      <c r="E1983" t="str">
        <f>"FES1162728100"</f>
        <v>FES1162728100</v>
      </c>
      <c r="F1983" s="3">
        <v>43811</v>
      </c>
      <c r="G1983">
        <v>202006</v>
      </c>
      <c r="H1983" t="s">
        <v>75</v>
      </c>
      <c r="I1983" t="s">
        <v>76</v>
      </c>
      <c r="J1983" t="s">
        <v>100</v>
      </c>
      <c r="K1983" t="s">
        <v>78</v>
      </c>
      <c r="L1983" t="s">
        <v>646</v>
      </c>
      <c r="M1983" t="s">
        <v>647</v>
      </c>
      <c r="N1983" t="s">
        <v>2279</v>
      </c>
      <c r="O1983" t="s">
        <v>1340</v>
      </c>
      <c r="P1983" t="str">
        <f>"2170718572                    "</f>
        <v xml:space="preserve">2170718572                    </v>
      </c>
      <c r="Q1983">
        <v>0</v>
      </c>
      <c r="R1983">
        <v>0</v>
      </c>
      <c r="S1983">
        <v>0</v>
      </c>
      <c r="T1983">
        <v>0</v>
      </c>
      <c r="U1983">
        <v>0</v>
      </c>
      <c r="V1983">
        <v>0</v>
      </c>
      <c r="W1983">
        <v>0</v>
      </c>
      <c r="X1983">
        <v>0</v>
      </c>
      <c r="Y1983">
        <v>0</v>
      </c>
      <c r="Z1983">
        <v>0</v>
      </c>
      <c r="AA1983">
        <v>0</v>
      </c>
      <c r="AB1983">
        <v>0</v>
      </c>
      <c r="AC1983">
        <v>0</v>
      </c>
      <c r="AD1983">
        <v>0</v>
      </c>
      <c r="AE1983">
        <v>0</v>
      </c>
      <c r="AF1983">
        <v>0</v>
      </c>
      <c r="AG1983">
        <v>0</v>
      </c>
      <c r="AH1983">
        <v>0</v>
      </c>
      <c r="AI1983">
        <v>0</v>
      </c>
      <c r="AJ1983">
        <v>0</v>
      </c>
      <c r="AK1983">
        <v>0</v>
      </c>
      <c r="AL1983">
        <v>0</v>
      </c>
      <c r="AM1983">
        <v>12.07</v>
      </c>
      <c r="AN1983">
        <v>0</v>
      </c>
      <c r="AO1983">
        <v>0</v>
      </c>
      <c r="AP1983">
        <v>0</v>
      </c>
      <c r="AQ1983">
        <v>0</v>
      </c>
      <c r="AR1983">
        <v>0</v>
      </c>
      <c r="AS1983">
        <v>0</v>
      </c>
      <c r="AT1983">
        <v>0</v>
      </c>
      <c r="AU1983">
        <v>0</v>
      </c>
      <c r="AV1983">
        <v>0</v>
      </c>
      <c r="AW1983">
        <v>0</v>
      </c>
      <c r="AX1983">
        <v>0</v>
      </c>
      <c r="AY1983">
        <v>0</v>
      </c>
      <c r="AZ1983">
        <v>0</v>
      </c>
      <c r="BA1983">
        <v>0</v>
      </c>
      <c r="BB1983">
        <v>0</v>
      </c>
      <c r="BC1983">
        <v>0</v>
      </c>
      <c r="BD1983">
        <v>0</v>
      </c>
      <c r="BE1983">
        <v>0</v>
      </c>
      <c r="BF1983">
        <v>0</v>
      </c>
      <c r="BG1983">
        <v>0</v>
      </c>
      <c r="BH1983">
        <v>1</v>
      </c>
      <c r="BI1983">
        <v>0.2</v>
      </c>
      <c r="BJ1983">
        <v>2.5</v>
      </c>
      <c r="BK1983">
        <v>3</v>
      </c>
      <c r="BL1983" s="4">
        <v>70.95</v>
      </c>
      <c r="BM1983" s="4">
        <v>10.64</v>
      </c>
      <c r="BN1983" s="4">
        <v>81.59</v>
      </c>
      <c r="BO1983" s="4">
        <v>81.59</v>
      </c>
      <c r="BR1983" t="s">
        <v>105</v>
      </c>
      <c r="BS1983" s="3">
        <v>43812</v>
      </c>
      <c r="BT1983" s="5">
        <v>0.39930555555555558</v>
      </c>
      <c r="BU1983" t="s">
        <v>2280</v>
      </c>
      <c r="BV1983" t="s">
        <v>86</v>
      </c>
      <c r="BY1983">
        <v>12549.26</v>
      </c>
      <c r="BZ1983" t="s">
        <v>27</v>
      </c>
      <c r="CA1983" t="s">
        <v>650</v>
      </c>
      <c r="CC1983" t="s">
        <v>647</v>
      </c>
      <c r="CD1983">
        <v>314</v>
      </c>
      <c r="CE1983" t="s">
        <v>88</v>
      </c>
      <c r="CF1983" s="3">
        <v>43818</v>
      </c>
      <c r="CI1983">
        <v>1</v>
      </c>
      <c r="CJ1983">
        <v>1</v>
      </c>
      <c r="CK1983">
        <v>34</v>
      </c>
      <c r="CL1983" t="s">
        <v>89</v>
      </c>
    </row>
    <row r="1984" spans="1:90">
      <c r="A1984" t="s">
        <v>72</v>
      </c>
      <c r="B1984" t="s">
        <v>73</v>
      </c>
      <c r="C1984" t="s">
        <v>74</v>
      </c>
      <c r="E1984" t="str">
        <f>"FES1162728347"</f>
        <v>FES1162728347</v>
      </c>
      <c r="F1984" s="3">
        <v>43816</v>
      </c>
      <c r="G1984">
        <v>202006</v>
      </c>
      <c r="H1984" t="s">
        <v>75</v>
      </c>
      <c r="I1984" t="s">
        <v>76</v>
      </c>
      <c r="J1984" t="s">
        <v>100</v>
      </c>
      <c r="K1984" t="s">
        <v>78</v>
      </c>
      <c r="L1984" t="s">
        <v>75</v>
      </c>
      <c r="M1984" t="s">
        <v>76</v>
      </c>
      <c r="N1984" t="s">
        <v>1819</v>
      </c>
      <c r="O1984" t="s">
        <v>1340</v>
      </c>
      <c r="P1984" t="str">
        <f>"2170717258                    "</f>
        <v xml:space="preserve">2170717258                    </v>
      </c>
      <c r="Q1984">
        <v>0</v>
      </c>
      <c r="R1984">
        <v>0</v>
      </c>
      <c r="S1984">
        <v>0</v>
      </c>
      <c r="T1984">
        <v>0</v>
      </c>
      <c r="U1984">
        <v>0</v>
      </c>
      <c r="V1984">
        <v>0</v>
      </c>
      <c r="W1984">
        <v>0</v>
      </c>
      <c r="X1984">
        <v>0</v>
      </c>
      <c r="Y1984">
        <v>0</v>
      </c>
      <c r="Z1984">
        <v>0</v>
      </c>
      <c r="AA1984">
        <v>0</v>
      </c>
      <c r="AB1984">
        <v>0</v>
      </c>
      <c r="AC1984">
        <v>0</v>
      </c>
      <c r="AD1984">
        <v>0</v>
      </c>
      <c r="AE1984">
        <v>0</v>
      </c>
      <c r="AF1984">
        <v>0</v>
      </c>
      <c r="AG1984">
        <v>0</v>
      </c>
      <c r="AH1984">
        <v>0</v>
      </c>
      <c r="AI1984">
        <v>0</v>
      </c>
      <c r="AJ1984">
        <v>0</v>
      </c>
      <c r="AK1984">
        <v>0</v>
      </c>
      <c r="AL1984">
        <v>0</v>
      </c>
      <c r="AM1984">
        <v>16.489999999999998</v>
      </c>
      <c r="AN1984">
        <v>0</v>
      </c>
      <c r="AO1984">
        <v>0</v>
      </c>
      <c r="AP1984">
        <v>0</v>
      </c>
      <c r="AQ1984">
        <v>0</v>
      </c>
      <c r="AR1984">
        <v>0</v>
      </c>
      <c r="AS1984">
        <v>0</v>
      </c>
      <c r="AT1984">
        <v>0</v>
      </c>
      <c r="AU1984">
        <v>0</v>
      </c>
      <c r="AV1984">
        <v>0</v>
      </c>
      <c r="AW1984">
        <v>0</v>
      </c>
      <c r="AX1984">
        <v>0</v>
      </c>
      <c r="AY1984">
        <v>0</v>
      </c>
      <c r="AZ1984">
        <v>0</v>
      </c>
      <c r="BA1984">
        <v>0</v>
      </c>
      <c r="BB1984">
        <v>0</v>
      </c>
      <c r="BC1984">
        <v>0</v>
      </c>
      <c r="BD1984">
        <v>0</v>
      </c>
      <c r="BE1984">
        <v>0</v>
      </c>
      <c r="BF1984">
        <v>0</v>
      </c>
      <c r="BG1984">
        <v>0</v>
      </c>
      <c r="BH1984">
        <v>1</v>
      </c>
      <c r="BI1984">
        <v>10.7</v>
      </c>
      <c r="BJ1984">
        <v>16.8</v>
      </c>
      <c r="BK1984">
        <v>17</v>
      </c>
      <c r="BL1984" s="4">
        <v>96.91</v>
      </c>
      <c r="BM1984" s="4">
        <v>14.54</v>
      </c>
      <c r="BN1984" s="4">
        <v>111.45</v>
      </c>
      <c r="BO1984" s="4">
        <v>111.45</v>
      </c>
      <c r="BR1984" t="s">
        <v>105</v>
      </c>
      <c r="BS1984" s="3">
        <v>43817</v>
      </c>
      <c r="BT1984" s="5">
        <v>0.40972222222222227</v>
      </c>
      <c r="BU1984" t="s">
        <v>2281</v>
      </c>
      <c r="BV1984" t="s">
        <v>86</v>
      </c>
      <c r="BY1984">
        <v>83874.25</v>
      </c>
      <c r="BZ1984" t="s">
        <v>27</v>
      </c>
      <c r="CA1984" t="s">
        <v>588</v>
      </c>
      <c r="CC1984" t="s">
        <v>76</v>
      </c>
      <c r="CD1984">
        <v>1624</v>
      </c>
      <c r="CE1984" t="s">
        <v>116</v>
      </c>
      <c r="CF1984" s="3">
        <v>43818</v>
      </c>
      <c r="CI1984">
        <v>1</v>
      </c>
      <c r="CJ1984">
        <v>1</v>
      </c>
      <c r="CK1984">
        <v>32</v>
      </c>
      <c r="CL1984" t="s">
        <v>89</v>
      </c>
    </row>
    <row r="1985" spans="1:90">
      <c r="A1985" t="s">
        <v>72</v>
      </c>
      <c r="B1985" t="s">
        <v>73</v>
      </c>
      <c r="C1985" t="s">
        <v>74</v>
      </c>
      <c r="E1985" t="str">
        <f>"FES1162726503"</f>
        <v>FES1162726503</v>
      </c>
      <c r="F1985" s="3">
        <v>43803</v>
      </c>
      <c r="G1985">
        <v>202006</v>
      </c>
      <c r="H1985" t="s">
        <v>75</v>
      </c>
      <c r="I1985" t="s">
        <v>76</v>
      </c>
      <c r="J1985" t="s">
        <v>100</v>
      </c>
      <c r="K1985" t="s">
        <v>78</v>
      </c>
      <c r="L1985" t="s">
        <v>138</v>
      </c>
      <c r="M1985" t="s">
        <v>139</v>
      </c>
      <c r="N1985" t="s">
        <v>2282</v>
      </c>
      <c r="O1985" t="s">
        <v>1340</v>
      </c>
      <c r="P1985" t="str">
        <f>"2170719949                    "</f>
        <v xml:space="preserve">2170719949                    </v>
      </c>
      <c r="Q1985">
        <v>0</v>
      </c>
      <c r="R1985">
        <v>0</v>
      </c>
      <c r="S1985">
        <v>0</v>
      </c>
      <c r="T1985">
        <v>0</v>
      </c>
      <c r="U1985">
        <v>0</v>
      </c>
      <c r="V1985">
        <v>0</v>
      </c>
      <c r="W1985">
        <v>0</v>
      </c>
      <c r="X1985">
        <v>0</v>
      </c>
      <c r="Y1985">
        <v>0</v>
      </c>
      <c r="Z1985">
        <v>0</v>
      </c>
      <c r="AA1985">
        <v>0</v>
      </c>
      <c r="AB1985">
        <v>0</v>
      </c>
      <c r="AC1985">
        <v>0</v>
      </c>
      <c r="AD1985">
        <v>0</v>
      </c>
      <c r="AE1985">
        <v>0</v>
      </c>
      <c r="AF1985">
        <v>0</v>
      </c>
      <c r="AG1985">
        <v>0</v>
      </c>
      <c r="AH1985">
        <v>0</v>
      </c>
      <c r="AI1985">
        <v>0</v>
      </c>
      <c r="AJ1985">
        <v>0</v>
      </c>
      <c r="AK1985">
        <v>0</v>
      </c>
      <c r="AL1985">
        <v>0</v>
      </c>
      <c r="AM1985">
        <v>14.23</v>
      </c>
      <c r="AN1985">
        <v>0</v>
      </c>
      <c r="AO1985">
        <v>0</v>
      </c>
      <c r="AP1985">
        <v>0</v>
      </c>
      <c r="AQ1985">
        <v>0</v>
      </c>
      <c r="AR1985">
        <v>0</v>
      </c>
      <c r="AS1985">
        <v>0</v>
      </c>
      <c r="AT1985">
        <v>0</v>
      </c>
      <c r="AU1985">
        <v>0</v>
      </c>
      <c r="AV1985">
        <v>0</v>
      </c>
      <c r="AW1985">
        <v>0</v>
      </c>
      <c r="AX1985">
        <v>0</v>
      </c>
      <c r="AY1985">
        <v>0</v>
      </c>
      <c r="AZ1985">
        <v>0</v>
      </c>
      <c r="BA1985">
        <v>0</v>
      </c>
      <c r="BB1985">
        <v>0</v>
      </c>
      <c r="BC1985">
        <v>0</v>
      </c>
      <c r="BD1985">
        <v>0</v>
      </c>
      <c r="BE1985">
        <v>0</v>
      </c>
      <c r="BF1985">
        <v>0</v>
      </c>
      <c r="BG1985">
        <v>0</v>
      </c>
      <c r="BH1985">
        <v>1</v>
      </c>
      <c r="BI1985">
        <v>11.5</v>
      </c>
      <c r="BJ1985">
        <v>13.5</v>
      </c>
      <c r="BK1985">
        <v>14</v>
      </c>
      <c r="BL1985" s="4">
        <v>83.64</v>
      </c>
      <c r="BM1985" s="4">
        <v>12.55</v>
      </c>
      <c r="BN1985" s="4">
        <v>96.19</v>
      </c>
      <c r="BO1985" s="4">
        <v>96.19</v>
      </c>
      <c r="BQ1985" t="s">
        <v>93</v>
      </c>
      <c r="BR1985" t="s">
        <v>105</v>
      </c>
      <c r="BS1985" s="3">
        <v>43804</v>
      </c>
      <c r="BT1985" s="5">
        <v>0.33333333333333331</v>
      </c>
      <c r="BU1985" t="s">
        <v>2283</v>
      </c>
      <c r="BV1985" t="s">
        <v>86</v>
      </c>
      <c r="BY1985">
        <v>67267.850000000006</v>
      </c>
      <c r="BZ1985" t="s">
        <v>27</v>
      </c>
      <c r="CA1985" t="s">
        <v>314</v>
      </c>
      <c r="CC1985" t="s">
        <v>139</v>
      </c>
      <c r="CD1985">
        <v>1406</v>
      </c>
      <c r="CE1985" t="s">
        <v>116</v>
      </c>
      <c r="CF1985" s="3">
        <v>43805</v>
      </c>
      <c r="CI1985">
        <v>1</v>
      </c>
      <c r="CJ1985">
        <v>1</v>
      </c>
      <c r="CK1985">
        <v>32</v>
      </c>
      <c r="CL1985" t="s">
        <v>89</v>
      </c>
    </row>
    <row r="1986" spans="1:90">
      <c r="A1986" t="s">
        <v>72</v>
      </c>
      <c r="B1986" t="s">
        <v>73</v>
      </c>
      <c r="C1986" t="s">
        <v>74</v>
      </c>
      <c r="E1986" t="str">
        <f>"FES1162727911"</f>
        <v>FES1162727911</v>
      </c>
      <c r="F1986" s="3">
        <v>43811</v>
      </c>
      <c r="G1986">
        <v>202006</v>
      </c>
      <c r="H1986" t="s">
        <v>75</v>
      </c>
      <c r="I1986" t="s">
        <v>76</v>
      </c>
      <c r="J1986" t="s">
        <v>100</v>
      </c>
      <c r="K1986" t="s">
        <v>78</v>
      </c>
      <c r="L1986" t="s">
        <v>1497</v>
      </c>
      <c r="M1986" t="s">
        <v>1498</v>
      </c>
      <c r="N1986" t="s">
        <v>2284</v>
      </c>
      <c r="O1986" t="s">
        <v>1340</v>
      </c>
      <c r="P1986" t="str">
        <f>"217071512                     "</f>
        <v xml:space="preserve">217071512                     </v>
      </c>
      <c r="Q1986">
        <v>0</v>
      </c>
      <c r="R1986">
        <v>0</v>
      </c>
      <c r="S1986">
        <v>0</v>
      </c>
      <c r="T1986">
        <v>0</v>
      </c>
      <c r="U1986">
        <v>0</v>
      </c>
      <c r="V1986">
        <v>0</v>
      </c>
      <c r="W1986">
        <v>0</v>
      </c>
      <c r="X1986">
        <v>0</v>
      </c>
      <c r="Y1986">
        <v>0</v>
      </c>
      <c r="Z1986">
        <v>0</v>
      </c>
      <c r="AA1986">
        <v>0</v>
      </c>
      <c r="AB1986">
        <v>0</v>
      </c>
      <c r="AC1986">
        <v>0</v>
      </c>
      <c r="AD1986">
        <v>0</v>
      </c>
      <c r="AE1986">
        <v>0</v>
      </c>
      <c r="AF1986">
        <v>0</v>
      </c>
      <c r="AG1986">
        <v>0</v>
      </c>
      <c r="AH1986">
        <v>0</v>
      </c>
      <c r="AI1986">
        <v>0</v>
      </c>
      <c r="AJ1986">
        <v>0</v>
      </c>
      <c r="AK1986">
        <v>0</v>
      </c>
      <c r="AL1986">
        <v>0</v>
      </c>
      <c r="AM1986">
        <v>12.07</v>
      </c>
      <c r="AN1986">
        <v>0</v>
      </c>
      <c r="AO1986">
        <v>0</v>
      </c>
      <c r="AP1986">
        <v>0</v>
      </c>
      <c r="AQ1986">
        <v>0</v>
      </c>
      <c r="AR1986">
        <v>0</v>
      </c>
      <c r="AS1986">
        <v>0</v>
      </c>
      <c r="AT1986">
        <v>0</v>
      </c>
      <c r="AU1986">
        <v>0</v>
      </c>
      <c r="AV1986">
        <v>0</v>
      </c>
      <c r="AW1986">
        <v>0</v>
      </c>
      <c r="AX1986">
        <v>0</v>
      </c>
      <c r="AY1986">
        <v>0</v>
      </c>
      <c r="AZ1986">
        <v>0</v>
      </c>
      <c r="BA1986">
        <v>0</v>
      </c>
      <c r="BB1986">
        <v>0</v>
      </c>
      <c r="BC1986">
        <v>0</v>
      </c>
      <c r="BD1986">
        <v>0</v>
      </c>
      <c r="BE1986">
        <v>0</v>
      </c>
      <c r="BF1986">
        <v>0</v>
      </c>
      <c r="BG1986">
        <v>0</v>
      </c>
      <c r="BH1986">
        <v>1</v>
      </c>
      <c r="BI1986">
        <v>3.7</v>
      </c>
      <c r="BJ1986">
        <v>3.7</v>
      </c>
      <c r="BK1986">
        <v>4</v>
      </c>
      <c r="BL1986" s="4">
        <v>70.95</v>
      </c>
      <c r="BM1986" s="4">
        <v>10.64</v>
      </c>
      <c r="BN1986" s="4">
        <v>81.59</v>
      </c>
      <c r="BO1986" s="4">
        <v>81.59</v>
      </c>
      <c r="BQ1986" t="s">
        <v>2285</v>
      </c>
      <c r="BR1986" t="s">
        <v>105</v>
      </c>
      <c r="BS1986" s="3">
        <v>43812</v>
      </c>
      <c r="BT1986" s="5">
        <v>0.47916666666666669</v>
      </c>
      <c r="BU1986" t="s">
        <v>2286</v>
      </c>
      <c r="BV1986" t="s">
        <v>86</v>
      </c>
      <c r="BY1986">
        <v>18420.48</v>
      </c>
      <c r="BZ1986" t="s">
        <v>27</v>
      </c>
      <c r="CA1986" t="s">
        <v>2020</v>
      </c>
      <c r="CC1986" t="s">
        <v>1498</v>
      </c>
      <c r="CD1986">
        <v>208</v>
      </c>
      <c r="CE1986" t="s">
        <v>96</v>
      </c>
      <c r="CF1986" s="3">
        <v>43816</v>
      </c>
      <c r="CI1986">
        <v>1</v>
      </c>
      <c r="CJ1986">
        <v>1</v>
      </c>
      <c r="CK1986">
        <v>34</v>
      </c>
      <c r="CL1986" t="s">
        <v>89</v>
      </c>
    </row>
    <row r="1987" spans="1:90">
      <c r="A1987" t="s">
        <v>72</v>
      </c>
      <c r="B1987" t="s">
        <v>73</v>
      </c>
      <c r="C1987" t="s">
        <v>74</v>
      </c>
      <c r="E1987" t="str">
        <f>"FES1162726331"</f>
        <v>FES1162726331</v>
      </c>
      <c r="F1987" s="3">
        <v>43801</v>
      </c>
      <c r="G1987">
        <v>202006</v>
      </c>
      <c r="H1987" t="s">
        <v>75</v>
      </c>
      <c r="I1987" t="s">
        <v>76</v>
      </c>
      <c r="J1987" t="s">
        <v>100</v>
      </c>
      <c r="K1987" t="s">
        <v>78</v>
      </c>
      <c r="L1987" t="s">
        <v>1174</v>
      </c>
      <c r="M1987" t="s">
        <v>1175</v>
      </c>
      <c r="N1987" t="s">
        <v>1176</v>
      </c>
      <c r="O1987" t="s">
        <v>82</v>
      </c>
      <c r="P1987" t="str">
        <f>"2170719829                    "</f>
        <v xml:space="preserve">2170719829                    </v>
      </c>
      <c r="Q1987">
        <v>0</v>
      </c>
      <c r="R1987">
        <v>0</v>
      </c>
      <c r="S1987">
        <v>0</v>
      </c>
      <c r="T1987">
        <v>0</v>
      </c>
      <c r="U1987">
        <v>0</v>
      </c>
      <c r="V1987">
        <v>0</v>
      </c>
      <c r="W1987">
        <v>0</v>
      </c>
      <c r="X1987">
        <v>0</v>
      </c>
      <c r="Y1987">
        <v>0</v>
      </c>
      <c r="Z1987">
        <v>0</v>
      </c>
      <c r="AA1987">
        <v>0</v>
      </c>
      <c r="AB1987">
        <v>0</v>
      </c>
      <c r="AC1987">
        <v>0</v>
      </c>
      <c r="AD1987">
        <v>0</v>
      </c>
      <c r="AE1987">
        <v>0</v>
      </c>
      <c r="AF1987">
        <v>0</v>
      </c>
      <c r="AG1987">
        <v>0</v>
      </c>
      <c r="AH1987">
        <v>0</v>
      </c>
      <c r="AI1987">
        <v>0</v>
      </c>
      <c r="AJ1987">
        <v>0</v>
      </c>
      <c r="AK1987">
        <v>0</v>
      </c>
      <c r="AL1987">
        <v>0</v>
      </c>
      <c r="AM1987">
        <v>69.209999999999994</v>
      </c>
      <c r="AN1987">
        <v>0</v>
      </c>
      <c r="AO1987">
        <v>0</v>
      </c>
      <c r="AP1987">
        <v>0</v>
      </c>
      <c r="AQ1987">
        <v>0</v>
      </c>
      <c r="AR1987">
        <v>0</v>
      </c>
      <c r="AS1987">
        <v>0</v>
      </c>
      <c r="AT1987">
        <v>0</v>
      </c>
      <c r="AU1987">
        <v>0</v>
      </c>
      <c r="AV1987">
        <v>0</v>
      </c>
      <c r="AW1987">
        <v>0</v>
      </c>
      <c r="AX1987">
        <v>0</v>
      </c>
      <c r="AY1987">
        <v>0</v>
      </c>
      <c r="AZ1987">
        <v>0</v>
      </c>
      <c r="BA1987">
        <v>0</v>
      </c>
      <c r="BB1987">
        <v>0</v>
      </c>
      <c r="BC1987">
        <v>0</v>
      </c>
      <c r="BD1987">
        <v>0</v>
      </c>
      <c r="BE1987">
        <v>0</v>
      </c>
      <c r="BF1987">
        <v>0</v>
      </c>
      <c r="BG1987">
        <v>0</v>
      </c>
      <c r="BH1987">
        <v>1</v>
      </c>
      <c r="BI1987">
        <v>9</v>
      </c>
      <c r="BJ1987">
        <v>7.7</v>
      </c>
      <c r="BK1987">
        <v>9</v>
      </c>
      <c r="BL1987" s="4">
        <v>406.81</v>
      </c>
      <c r="BM1987" s="4">
        <v>61.02</v>
      </c>
      <c r="BN1987" s="4">
        <v>467.83</v>
      </c>
      <c r="BO1987" s="4">
        <v>467.83</v>
      </c>
      <c r="BQ1987" t="s">
        <v>2287</v>
      </c>
      <c r="BR1987" t="s">
        <v>105</v>
      </c>
      <c r="BS1987" s="3">
        <v>43802</v>
      </c>
      <c r="BT1987" s="5">
        <v>0.64097222222222217</v>
      </c>
      <c r="BU1987" t="s">
        <v>2288</v>
      </c>
      <c r="BV1987" t="s">
        <v>86</v>
      </c>
      <c r="BY1987">
        <v>38475</v>
      </c>
      <c r="BZ1987" t="s">
        <v>27</v>
      </c>
      <c r="CA1987" t="s">
        <v>569</v>
      </c>
      <c r="CC1987" t="s">
        <v>1175</v>
      </c>
      <c r="CD1987">
        <v>4252</v>
      </c>
      <c r="CE1987" t="s">
        <v>116</v>
      </c>
      <c r="CF1987" s="3">
        <v>43804</v>
      </c>
      <c r="CI1987">
        <v>1</v>
      </c>
      <c r="CJ1987">
        <v>1</v>
      </c>
      <c r="CK1987">
        <v>23</v>
      </c>
      <c r="CL1987" t="s">
        <v>89</v>
      </c>
    </row>
    <row r="1988" spans="1:90">
      <c r="A1988" t="s">
        <v>72</v>
      </c>
      <c r="B1988" t="s">
        <v>73</v>
      </c>
      <c r="C1988" t="s">
        <v>74</v>
      </c>
      <c r="E1988" t="str">
        <f>"FES1162726601"</f>
        <v>FES1162726601</v>
      </c>
      <c r="F1988" s="3">
        <v>43803</v>
      </c>
      <c r="G1988">
        <v>202006</v>
      </c>
      <c r="H1988" t="s">
        <v>75</v>
      </c>
      <c r="I1988" t="s">
        <v>76</v>
      </c>
      <c r="J1988" t="s">
        <v>100</v>
      </c>
      <c r="K1988" t="s">
        <v>78</v>
      </c>
      <c r="L1988" t="s">
        <v>714</v>
      </c>
      <c r="M1988" t="s">
        <v>715</v>
      </c>
      <c r="N1988" t="s">
        <v>1018</v>
      </c>
      <c r="O1988" t="s">
        <v>1340</v>
      </c>
      <c r="P1988" t="str">
        <f>"2170720081                    "</f>
        <v xml:space="preserve">2170720081                    </v>
      </c>
      <c r="Q1988">
        <v>0</v>
      </c>
      <c r="R1988">
        <v>0</v>
      </c>
      <c r="S1988">
        <v>0</v>
      </c>
      <c r="T1988">
        <v>0</v>
      </c>
      <c r="U1988">
        <v>0</v>
      </c>
      <c r="V1988">
        <v>0</v>
      </c>
      <c r="W1988">
        <v>0</v>
      </c>
      <c r="X1988">
        <v>0</v>
      </c>
      <c r="Y1988">
        <v>0</v>
      </c>
      <c r="Z1988">
        <v>0</v>
      </c>
      <c r="AA1988">
        <v>0</v>
      </c>
      <c r="AB1988">
        <v>0</v>
      </c>
      <c r="AC1988">
        <v>0</v>
      </c>
      <c r="AD1988">
        <v>0</v>
      </c>
      <c r="AE1988">
        <v>0</v>
      </c>
      <c r="AF1988">
        <v>0</v>
      </c>
      <c r="AG1988">
        <v>0</v>
      </c>
      <c r="AH1988">
        <v>0</v>
      </c>
      <c r="AI1988">
        <v>0</v>
      </c>
      <c r="AJ1988">
        <v>0</v>
      </c>
      <c r="AK1988">
        <v>0</v>
      </c>
      <c r="AL1988">
        <v>0</v>
      </c>
      <c r="AM1988">
        <v>14.98</v>
      </c>
      <c r="AN1988">
        <v>0</v>
      </c>
      <c r="AO1988">
        <v>0</v>
      </c>
      <c r="AP1988">
        <v>0</v>
      </c>
      <c r="AQ1988">
        <v>0</v>
      </c>
      <c r="AR1988">
        <v>0</v>
      </c>
      <c r="AS1988">
        <v>0</v>
      </c>
      <c r="AT1988">
        <v>0</v>
      </c>
      <c r="AU1988">
        <v>0</v>
      </c>
      <c r="AV1988">
        <v>0</v>
      </c>
      <c r="AW1988">
        <v>0</v>
      </c>
      <c r="AX1988">
        <v>0</v>
      </c>
      <c r="AY1988">
        <v>0</v>
      </c>
      <c r="AZ1988">
        <v>0</v>
      </c>
      <c r="BA1988">
        <v>0</v>
      </c>
      <c r="BB1988">
        <v>0</v>
      </c>
      <c r="BC1988">
        <v>0</v>
      </c>
      <c r="BD1988">
        <v>0</v>
      </c>
      <c r="BE1988">
        <v>0</v>
      </c>
      <c r="BF1988">
        <v>0</v>
      </c>
      <c r="BG1988">
        <v>0</v>
      </c>
      <c r="BH1988">
        <v>1</v>
      </c>
      <c r="BI1988">
        <v>14.8</v>
      </c>
      <c r="BJ1988">
        <v>8.3000000000000007</v>
      </c>
      <c r="BK1988">
        <v>15</v>
      </c>
      <c r="BL1988" s="4">
        <v>88.06</v>
      </c>
      <c r="BM1988" s="4">
        <v>13.21</v>
      </c>
      <c r="BN1988" s="4">
        <v>101.27</v>
      </c>
      <c r="BO1988" s="4">
        <v>101.27</v>
      </c>
      <c r="BQ1988" t="s">
        <v>93</v>
      </c>
      <c r="BR1988" t="s">
        <v>105</v>
      </c>
      <c r="BS1988" s="3">
        <v>43804</v>
      </c>
      <c r="BT1988" s="5">
        <v>0.33333333333333331</v>
      </c>
      <c r="BU1988" t="s">
        <v>625</v>
      </c>
      <c r="BV1988" t="s">
        <v>86</v>
      </c>
      <c r="BY1988">
        <v>41538.18</v>
      </c>
      <c r="BZ1988" t="s">
        <v>27</v>
      </c>
      <c r="CC1988" t="s">
        <v>715</v>
      </c>
      <c r="CD1988">
        <v>1559</v>
      </c>
      <c r="CE1988" t="s">
        <v>96</v>
      </c>
      <c r="CF1988" s="3">
        <v>43805</v>
      </c>
      <c r="CI1988">
        <v>1</v>
      </c>
      <c r="CJ1988">
        <v>1</v>
      </c>
      <c r="CK1988">
        <v>32</v>
      </c>
      <c r="CL1988" t="s">
        <v>89</v>
      </c>
    </row>
    <row r="1989" spans="1:90">
      <c r="A1989" t="s">
        <v>72</v>
      </c>
      <c r="B1989" t="s">
        <v>73</v>
      </c>
      <c r="C1989" t="s">
        <v>74</v>
      </c>
      <c r="E1989" t="str">
        <f>"FES1162726279"</f>
        <v>FES1162726279</v>
      </c>
      <c r="F1989" s="3">
        <v>43801</v>
      </c>
      <c r="G1989">
        <v>202006</v>
      </c>
      <c r="H1989" t="s">
        <v>75</v>
      </c>
      <c r="I1989" t="s">
        <v>76</v>
      </c>
      <c r="J1989" t="s">
        <v>100</v>
      </c>
      <c r="K1989" t="s">
        <v>78</v>
      </c>
      <c r="L1989" t="s">
        <v>667</v>
      </c>
      <c r="M1989" t="s">
        <v>668</v>
      </c>
      <c r="N1989" t="s">
        <v>2269</v>
      </c>
      <c r="O1989" t="s">
        <v>1340</v>
      </c>
      <c r="P1989" t="str">
        <f>"2170719779                    "</f>
        <v xml:space="preserve">2170719779                    </v>
      </c>
      <c r="Q1989">
        <v>0</v>
      </c>
      <c r="R1989">
        <v>0</v>
      </c>
      <c r="S1989">
        <v>0</v>
      </c>
      <c r="T1989">
        <v>0</v>
      </c>
      <c r="U1989">
        <v>0</v>
      </c>
      <c r="V1989">
        <v>0</v>
      </c>
      <c r="W1989">
        <v>0</v>
      </c>
      <c r="X1989">
        <v>0</v>
      </c>
      <c r="Y1989">
        <v>0</v>
      </c>
      <c r="Z1989">
        <v>0</v>
      </c>
      <c r="AA1989">
        <v>0</v>
      </c>
      <c r="AB1989">
        <v>0</v>
      </c>
      <c r="AC1989">
        <v>0</v>
      </c>
      <c r="AD1989">
        <v>0</v>
      </c>
      <c r="AE1989">
        <v>0</v>
      </c>
      <c r="AF1989">
        <v>0</v>
      </c>
      <c r="AG1989">
        <v>0</v>
      </c>
      <c r="AH1989">
        <v>0</v>
      </c>
      <c r="AI1989">
        <v>0</v>
      </c>
      <c r="AJ1989">
        <v>0</v>
      </c>
      <c r="AK1989">
        <v>0</v>
      </c>
      <c r="AL1989">
        <v>0</v>
      </c>
      <c r="AM1989">
        <v>12.07</v>
      </c>
      <c r="AN1989">
        <v>0</v>
      </c>
      <c r="AO1989">
        <v>0</v>
      </c>
      <c r="AP1989">
        <v>0</v>
      </c>
      <c r="AQ1989">
        <v>0</v>
      </c>
      <c r="AR1989">
        <v>0</v>
      </c>
      <c r="AS1989">
        <v>0</v>
      </c>
      <c r="AT1989">
        <v>0</v>
      </c>
      <c r="AU1989">
        <v>0</v>
      </c>
      <c r="AV1989">
        <v>0</v>
      </c>
      <c r="AW1989">
        <v>0</v>
      </c>
      <c r="AX1989">
        <v>0</v>
      </c>
      <c r="AY1989">
        <v>0</v>
      </c>
      <c r="AZ1989">
        <v>0</v>
      </c>
      <c r="BA1989">
        <v>0</v>
      </c>
      <c r="BB1989">
        <v>0</v>
      </c>
      <c r="BC1989">
        <v>0</v>
      </c>
      <c r="BD1989">
        <v>0</v>
      </c>
      <c r="BE1989">
        <v>0</v>
      </c>
      <c r="BF1989">
        <v>0</v>
      </c>
      <c r="BG1989">
        <v>0</v>
      </c>
      <c r="BH1989">
        <v>1</v>
      </c>
      <c r="BI1989">
        <v>3.6</v>
      </c>
      <c r="BJ1989">
        <v>3.2</v>
      </c>
      <c r="BK1989">
        <v>4</v>
      </c>
      <c r="BL1989" s="4">
        <v>70.95</v>
      </c>
      <c r="BM1989" s="4">
        <v>10.64</v>
      </c>
      <c r="BN1989" s="4">
        <v>81.59</v>
      </c>
      <c r="BO1989" s="4">
        <v>81.59</v>
      </c>
      <c r="BQ1989" t="s">
        <v>93</v>
      </c>
      <c r="BR1989" t="s">
        <v>105</v>
      </c>
      <c r="BS1989" s="3">
        <v>43802</v>
      </c>
      <c r="BT1989" s="5">
        <v>0.50694444444444442</v>
      </c>
      <c r="BU1989" t="s">
        <v>1390</v>
      </c>
      <c r="BV1989" t="s">
        <v>86</v>
      </c>
      <c r="BY1989">
        <v>15880.71</v>
      </c>
      <c r="BZ1989" t="s">
        <v>27</v>
      </c>
      <c r="CC1989" t="s">
        <v>668</v>
      </c>
      <c r="CD1989">
        <v>1760</v>
      </c>
      <c r="CE1989" t="s">
        <v>96</v>
      </c>
      <c r="CF1989" s="3">
        <v>43803</v>
      </c>
      <c r="CI1989">
        <v>1</v>
      </c>
      <c r="CJ1989">
        <v>1</v>
      </c>
      <c r="CK1989">
        <v>34</v>
      </c>
      <c r="CL1989" t="s">
        <v>89</v>
      </c>
    </row>
    <row r="1990" spans="1:90">
      <c r="A1990" t="s">
        <v>72</v>
      </c>
      <c r="B1990" t="s">
        <v>73</v>
      </c>
      <c r="C1990" t="s">
        <v>74</v>
      </c>
      <c r="E1990" t="str">
        <f>"FES1162726138"</f>
        <v>FES1162726138</v>
      </c>
      <c r="F1990" s="3">
        <v>43801</v>
      </c>
      <c r="G1990">
        <v>202006</v>
      </c>
      <c r="H1990" t="s">
        <v>75</v>
      </c>
      <c r="I1990" t="s">
        <v>76</v>
      </c>
      <c r="J1990" t="s">
        <v>100</v>
      </c>
      <c r="K1990" t="s">
        <v>78</v>
      </c>
      <c r="L1990" t="s">
        <v>332</v>
      </c>
      <c r="M1990" t="s">
        <v>333</v>
      </c>
      <c r="N1990" t="s">
        <v>1655</v>
      </c>
      <c r="O1990" t="s">
        <v>1340</v>
      </c>
      <c r="P1990" t="str">
        <f>"217071620                     "</f>
        <v xml:space="preserve">217071620                     </v>
      </c>
      <c r="Q1990">
        <v>0</v>
      </c>
      <c r="R1990">
        <v>0</v>
      </c>
      <c r="S1990">
        <v>0</v>
      </c>
      <c r="T1990">
        <v>0</v>
      </c>
      <c r="U1990">
        <v>0</v>
      </c>
      <c r="V1990">
        <v>0</v>
      </c>
      <c r="W1990">
        <v>0</v>
      </c>
      <c r="X1990">
        <v>0</v>
      </c>
      <c r="Y1990">
        <v>0</v>
      </c>
      <c r="Z1990">
        <v>0</v>
      </c>
      <c r="AA1990">
        <v>0</v>
      </c>
      <c r="AB1990">
        <v>0</v>
      </c>
      <c r="AC1990">
        <v>0</v>
      </c>
      <c r="AD1990">
        <v>0</v>
      </c>
      <c r="AE1990">
        <v>0</v>
      </c>
      <c r="AF1990">
        <v>0</v>
      </c>
      <c r="AG1990">
        <v>0</v>
      </c>
      <c r="AH1990">
        <v>0</v>
      </c>
      <c r="AI1990">
        <v>0</v>
      </c>
      <c r="AJ1990">
        <v>0</v>
      </c>
      <c r="AK1990">
        <v>0</v>
      </c>
      <c r="AL1990">
        <v>0</v>
      </c>
      <c r="AM1990">
        <v>16.489999999999998</v>
      </c>
      <c r="AN1990">
        <v>0</v>
      </c>
      <c r="AO1990">
        <v>0</v>
      </c>
      <c r="AP1990">
        <v>0</v>
      </c>
      <c r="AQ1990">
        <v>0</v>
      </c>
      <c r="AR1990">
        <v>0</v>
      </c>
      <c r="AS1990">
        <v>0</v>
      </c>
      <c r="AT1990">
        <v>0</v>
      </c>
      <c r="AU1990">
        <v>0</v>
      </c>
      <c r="AV1990">
        <v>0</v>
      </c>
      <c r="AW1990">
        <v>0</v>
      </c>
      <c r="AX1990">
        <v>0</v>
      </c>
      <c r="AY1990">
        <v>0</v>
      </c>
      <c r="AZ1990">
        <v>0</v>
      </c>
      <c r="BA1990">
        <v>0</v>
      </c>
      <c r="BB1990">
        <v>0</v>
      </c>
      <c r="BC1990">
        <v>0</v>
      </c>
      <c r="BD1990">
        <v>0</v>
      </c>
      <c r="BE1990">
        <v>0</v>
      </c>
      <c r="BF1990">
        <v>0</v>
      </c>
      <c r="BG1990">
        <v>0</v>
      </c>
      <c r="BH1990">
        <v>1</v>
      </c>
      <c r="BI1990">
        <v>14.2</v>
      </c>
      <c r="BJ1990">
        <v>16.600000000000001</v>
      </c>
      <c r="BK1990">
        <v>17</v>
      </c>
      <c r="BL1990" s="4">
        <v>96.91</v>
      </c>
      <c r="BM1990" s="4">
        <v>14.54</v>
      </c>
      <c r="BN1990" s="4">
        <v>111.45</v>
      </c>
      <c r="BO1990" s="4">
        <v>111.45</v>
      </c>
      <c r="BQ1990" t="s">
        <v>1656</v>
      </c>
      <c r="BR1990" t="s">
        <v>105</v>
      </c>
      <c r="BS1990" s="3">
        <v>43802</v>
      </c>
      <c r="BT1990" s="5">
        <v>0.35416666666666669</v>
      </c>
      <c r="BU1990" t="s">
        <v>1698</v>
      </c>
      <c r="BV1990" t="s">
        <v>86</v>
      </c>
      <c r="BY1990">
        <v>82929.17</v>
      </c>
      <c r="BZ1990" t="s">
        <v>27</v>
      </c>
      <c r="CC1990" t="s">
        <v>333</v>
      </c>
      <c r="CD1990">
        <v>2042</v>
      </c>
      <c r="CE1990" t="s">
        <v>96</v>
      </c>
      <c r="CF1990" s="3">
        <v>43803</v>
      </c>
      <c r="CI1990">
        <v>1</v>
      </c>
      <c r="CJ1990">
        <v>1</v>
      </c>
      <c r="CK1990">
        <v>32</v>
      </c>
      <c r="CL1990" t="s">
        <v>89</v>
      </c>
    </row>
    <row r="1991" spans="1:90">
      <c r="A1991" t="s">
        <v>72</v>
      </c>
      <c r="B1991" t="s">
        <v>73</v>
      </c>
      <c r="C1991" t="s">
        <v>74</v>
      </c>
      <c r="E1991" t="str">
        <f>"FES1162726228"</f>
        <v>FES1162726228</v>
      </c>
      <c r="F1991" s="3">
        <v>43801</v>
      </c>
      <c r="G1991">
        <v>202006</v>
      </c>
      <c r="H1991" t="s">
        <v>75</v>
      </c>
      <c r="I1991" t="s">
        <v>76</v>
      </c>
      <c r="J1991" t="s">
        <v>100</v>
      </c>
      <c r="K1991" t="s">
        <v>78</v>
      </c>
      <c r="L1991" t="s">
        <v>164</v>
      </c>
      <c r="M1991" t="s">
        <v>165</v>
      </c>
      <c r="N1991" t="s">
        <v>369</v>
      </c>
      <c r="O1991" t="s">
        <v>82</v>
      </c>
      <c r="P1991" t="str">
        <f>"2170719723                    "</f>
        <v xml:space="preserve">2170719723                    </v>
      </c>
      <c r="Q1991">
        <v>0</v>
      </c>
      <c r="R1991">
        <v>0</v>
      </c>
      <c r="S1991">
        <v>0</v>
      </c>
      <c r="T1991">
        <v>0</v>
      </c>
      <c r="U1991">
        <v>0</v>
      </c>
      <c r="V1991">
        <v>0</v>
      </c>
      <c r="W1991">
        <v>0</v>
      </c>
      <c r="X1991">
        <v>0</v>
      </c>
      <c r="Y1991">
        <v>0</v>
      </c>
      <c r="Z1991">
        <v>0</v>
      </c>
      <c r="AA1991">
        <v>0</v>
      </c>
      <c r="AB1991">
        <v>0</v>
      </c>
      <c r="AC1991">
        <v>0</v>
      </c>
      <c r="AD1991">
        <v>0</v>
      </c>
      <c r="AE1991">
        <v>0</v>
      </c>
      <c r="AF1991">
        <v>0</v>
      </c>
      <c r="AG1991">
        <v>0</v>
      </c>
      <c r="AH1991">
        <v>0</v>
      </c>
      <c r="AI1991">
        <v>0</v>
      </c>
      <c r="AJ1991">
        <v>0</v>
      </c>
      <c r="AK1991">
        <v>0</v>
      </c>
      <c r="AL1991">
        <v>0</v>
      </c>
      <c r="AM1991">
        <v>40.75</v>
      </c>
      <c r="AN1991">
        <v>0</v>
      </c>
      <c r="AO1991">
        <v>0</v>
      </c>
      <c r="AP1991">
        <v>0</v>
      </c>
      <c r="AQ1991">
        <v>0</v>
      </c>
      <c r="AR1991">
        <v>0</v>
      </c>
      <c r="AS1991">
        <v>0</v>
      </c>
      <c r="AT1991">
        <v>0</v>
      </c>
      <c r="AU1991">
        <v>0</v>
      </c>
      <c r="AV1991">
        <v>0</v>
      </c>
      <c r="AW1991">
        <v>0</v>
      </c>
      <c r="AX1991">
        <v>0</v>
      </c>
      <c r="AY1991">
        <v>0</v>
      </c>
      <c r="AZ1991">
        <v>0</v>
      </c>
      <c r="BA1991">
        <v>0</v>
      </c>
      <c r="BB1991">
        <v>0</v>
      </c>
      <c r="BC1991">
        <v>0</v>
      </c>
      <c r="BD1991">
        <v>0</v>
      </c>
      <c r="BE1991">
        <v>0</v>
      </c>
      <c r="BF1991">
        <v>0</v>
      </c>
      <c r="BG1991">
        <v>0</v>
      </c>
      <c r="BH1991">
        <v>1</v>
      </c>
      <c r="BI1991">
        <v>7</v>
      </c>
      <c r="BJ1991">
        <v>9.1</v>
      </c>
      <c r="BK1991">
        <v>9.5</v>
      </c>
      <c r="BL1991" s="4">
        <v>239.52</v>
      </c>
      <c r="BM1991" s="4">
        <v>35.93</v>
      </c>
      <c r="BN1991" s="4">
        <v>275.45</v>
      </c>
      <c r="BO1991" s="4">
        <v>275.45</v>
      </c>
      <c r="BQ1991" t="s">
        <v>93</v>
      </c>
      <c r="BR1991" t="s">
        <v>105</v>
      </c>
      <c r="BS1991" s="3">
        <v>43802</v>
      </c>
      <c r="BT1991" s="5">
        <v>0.36805555555555558</v>
      </c>
      <c r="BU1991" t="s">
        <v>590</v>
      </c>
      <c r="BV1991" t="s">
        <v>86</v>
      </c>
      <c r="BY1991">
        <v>45632</v>
      </c>
      <c r="BZ1991" t="s">
        <v>27</v>
      </c>
      <c r="CA1991" t="s">
        <v>265</v>
      </c>
      <c r="CC1991" t="s">
        <v>165</v>
      </c>
      <c r="CD1991">
        <v>5201</v>
      </c>
      <c r="CE1991" t="s">
        <v>96</v>
      </c>
      <c r="CF1991" s="3">
        <v>43803</v>
      </c>
      <c r="CI1991">
        <v>1</v>
      </c>
      <c r="CJ1991">
        <v>1</v>
      </c>
      <c r="CK1991">
        <v>21</v>
      </c>
      <c r="CL1991" t="s">
        <v>89</v>
      </c>
    </row>
    <row r="1992" spans="1:90">
      <c r="A1992" t="s">
        <v>72</v>
      </c>
      <c r="B1992" t="s">
        <v>73</v>
      </c>
      <c r="C1992" t="s">
        <v>74</v>
      </c>
      <c r="E1992" t="str">
        <f>"FES1162726494"</f>
        <v>FES1162726494</v>
      </c>
      <c r="F1992" s="3">
        <v>43802</v>
      </c>
      <c r="G1992">
        <v>202006</v>
      </c>
      <c r="H1992" t="s">
        <v>75</v>
      </c>
      <c r="I1992" t="s">
        <v>76</v>
      </c>
      <c r="J1992" t="s">
        <v>100</v>
      </c>
      <c r="K1992" t="s">
        <v>78</v>
      </c>
      <c r="L1992" t="s">
        <v>430</v>
      </c>
      <c r="M1992" t="s">
        <v>431</v>
      </c>
      <c r="N1992" t="s">
        <v>1600</v>
      </c>
      <c r="O1992" t="s">
        <v>1340</v>
      </c>
      <c r="P1992" t="str">
        <f>"2170719930                    "</f>
        <v xml:space="preserve">2170719930                    </v>
      </c>
      <c r="Q1992">
        <v>0</v>
      </c>
      <c r="R1992">
        <v>0</v>
      </c>
      <c r="S1992">
        <v>0</v>
      </c>
      <c r="T1992">
        <v>0</v>
      </c>
      <c r="U1992">
        <v>0</v>
      </c>
      <c r="V1992">
        <v>0</v>
      </c>
      <c r="W1992">
        <v>0</v>
      </c>
      <c r="X1992">
        <v>0</v>
      </c>
      <c r="Y1992">
        <v>0</v>
      </c>
      <c r="Z1992">
        <v>0</v>
      </c>
      <c r="AA1992">
        <v>0</v>
      </c>
      <c r="AB1992">
        <v>0</v>
      </c>
      <c r="AC1992">
        <v>0</v>
      </c>
      <c r="AD1992">
        <v>0</v>
      </c>
      <c r="AE1992">
        <v>0</v>
      </c>
      <c r="AF1992">
        <v>0</v>
      </c>
      <c r="AG1992">
        <v>0</v>
      </c>
      <c r="AH1992">
        <v>0</v>
      </c>
      <c r="AI1992">
        <v>0</v>
      </c>
      <c r="AJ1992">
        <v>0</v>
      </c>
      <c r="AK1992">
        <v>0</v>
      </c>
      <c r="AL1992">
        <v>0</v>
      </c>
      <c r="AM1992">
        <v>12.07</v>
      </c>
      <c r="AN1992">
        <v>0</v>
      </c>
      <c r="AO1992">
        <v>0</v>
      </c>
      <c r="AP1992">
        <v>0</v>
      </c>
      <c r="AQ1992">
        <v>0</v>
      </c>
      <c r="AR1992">
        <v>0</v>
      </c>
      <c r="AS1992">
        <v>0</v>
      </c>
      <c r="AT1992">
        <v>0</v>
      </c>
      <c r="AU1992">
        <v>0</v>
      </c>
      <c r="AV1992">
        <v>0</v>
      </c>
      <c r="AW1992">
        <v>0</v>
      </c>
      <c r="AX1992">
        <v>0</v>
      </c>
      <c r="AY1992">
        <v>0</v>
      </c>
      <c r="AZ1992">
        <v>0</v>
      </c>
      <c r="BA1992">
        <v>0</v>
      </c>
      <c r="BB1992">
        <v>0</v>
      </c>
      <c r="BC1992">
        <v>0</v>
      </c>
      <c r="BD1992">
        <v>0</v>
      </c>
      <c r="BE1992">
        <v>0</v>
      </c>
      <c r="BF1992">
        <v>0</v>
      </c>
      <c r="BG1992">
        <v>0</v>
      </c>
      <c r="BH1992">
        <v>1</v>
      </c>
      <c r="BI1992">
        <v>2.7</v>
      </c>
      <c r="BJ1992">
        <v>3.3</v>
      </c>
      <c r="BK1992">
        <v>4</v>
      </c>
      <c r="BL1992" s="4">
        <v>70.95</v>
      </c>
      <c r="BM1992" s="4">
        <v>10.64</v>
      </c>
      <c r="BN1992" s="4">
        <v>81.59</v>
      </c>
      <c r="BO1992" s="4">
        <v>81.59</v>
      </c>
      <c r="BQ1992" t="s">
        <v>1601</v>
      </c>
      <c r="BR1992" t="s">
        <v>105</v>
      </c>
      <c r="BS1992" s="3">
        <v>43803</v>
      </c>
      <c r="BT1992" s="5">
        <v>0.39027777777777778</v>
      </c>
      <c r="BU1992" t="s">
        <v>2289</v>
      </c>
      <c r="BV1992" t="s">
        <v>86</v>
      </c>
      <c r="BY1992">
        <v>16551.95</v>
      </c>
      <c r="BZ1992" t="s">
        <v>27</v>
      </c>
      <c r="CA1992" t="s">
        <v>434</v>
      </c>
      <c r="CC1992" t="s">
        <v>431</v>
      </c>
      <c r="CD1992">
        <v>250</v>
      </c>
      <c r="CE1992" t="s">
        <v>116</v>
      </c>
      <c r="CF1992" s="3">
        <v>43805</v>
      </c>
      <c r="CI1992">
        <v>1</v>
      </c>
      <c r="CJ1992">
        <v>1</v>
      </c>
      <c r="CK1992">
        <v>34</v>
      </c>
      <c r="CL1992" t="s">
        <v>89</v>
      </c>
    </row>
    <row r="1993" spans="1:90">
      <c r="A1993" t="s">
        <v>72</v>
      </c>
      <c r="B1993" t="s">
        <v>73</v>
      </c>
      <c r="C1993" t="s">
        <v>74</v>
      </c>
      <c r="E1993" t="str">
        <f>"FES1162728602"</f>
        <v>FES1162728602</v>
      </c>
      <c r="F1993" s="3">
        <v>43816</v>
      </c>
      <c r="G1993">
        <v>202006</v>
      </c>
      <c r="H1993" t="s">
        <v>75</v>
      </c>
      <c r="I1993" t="s">
        <v>76</v>
      </c>
      <c r="J1993" t="s">
        <v>100</v>
      </c>
      <c r="K1993" t="s">
        <v>78</v>
      </c>
      <c r="L1993" t="s">
        <v>332</v>
      </c>
      <c r="M1993" t="s">
        <v>333</v>
      </c>
      <c r="N1993" t="s">
        <v>701</v>
      </c>
      <c r="O1993" t="s">
        <v>1340</v>
      </c>
      <c r="P1993" t="str">
        <f>"2170721824                    "</f>
        <v xml:space="preserve">2170721824                    </v>
      </c>
      <c r="Q1993">
        <v>0</v>
      </c>
      <c r="R1993">
        <v>0</v>
      </c>
      <c r="S1993">
        <v>0</v>
      </c>
      <c r="T1993">
        <v>0</v>
      </c>
      <c r="U1993">
        <v>0</v>
      </c>
      <c r="V1993">
        <v>0</v>
      </c>
      <c r="W1993">
        <v>0</v>
      </c>
      <c r="X1993">
        <v>0</v>
      </c>
      <c r="Y1993">
        <v>0</v>
      </c>
      <c r="Z1993">
        <v>0</v>
      </c>
      <c r="AA1993">
        <v>0</v>
      </c>
      <c r="AB1993">
        <v>0</v>
      </c>
      <c r="AC1993">
        <v>0</v>
      </c>
      <c r="AD1993">
        <v>0</v>
      </c>
      <c r="AE1993">
        <v>0</v>
      </c>
      <c r="AF1993">
        <v>0</v>
      </c>
      <c r="AG1993">
        <v>0</v>
      </c>
      <c r="AH1993">
        <v>0</v>
      </c>
      <c r="AI1993">
        <v>0</v>
      </c>
      <c r="AJ1993">
        <v>0</v>
      </c>
      <c r="AK1993">
        <v>0</v>
      </c>
      <c r="AL1993">
        <v>0</v>
      </c>
      <c r="AM1993">
        <v>16.489999999999998</v>
      </c>
      <c r="AN1993">
        <v>0</v>
      </c>
      <c r="AO1993">
        <v>0</v>
      </c>
      <c r="AP1993">
        <v>0</v>
      </c>
      <c r="AQ1993">
        <v>0</v>
      </c>
      <c r="AR1993">
        <v>0</v>
      </c>
      <c r="AS1993">
        <v>0</v>
      </c>
      <c r="AT1993">
        <v>0</v>
      </c>
      <c r="AU1993">
        <v>0</v>
      </c>
      <c r="AV1993">
        <v>0</v>
      </c>
      <c r="AW1993">
        <v>0</v>
      </c>
      <c r="AX1993">
        <v>0</v>
      </c>
      <c r="AY1993">
        <v>0</v>
      </c>
      <c r="AZ1993">
        <v>0</v>
      </c>
      <c r="BA1993">
        <v>0</v>
      </c>
      <c r="BB1993">
        <v>0</v>
      </c>
      <c r="BC1993">
        <v>0</v>
      </c>
      <c r="BD1993">
        <v>0</v>
      </c>
      <c r="BE1993">
        <v>0</v>
      </c>
      <c r="BF1993">
        <v>0</v>
      </c>
      <c r="BG1993">
        <v>0</v>
      </c>
      <c r="BH1993">
        <v>1</v>
      </c>
      <c r="BI1993">
        <v>7.2</v>
      </c>
      <c r="BJ1993">
        <v>16.5</v>
      </c>
      <c r="BK1993">
        <v>17</v>
      </c>
      <c r="BL1993" s="4">
        <v>96.91</v>
      </c>
      <c r="BM1993" s="4">
        <v>14.54</v>
      </c>
      <c r="BN1993" s="4">
        <v>111.45</v>
      </c>
      <c r="BO1993" s="4">
        <v>111.45</v>
      </c>
      <c r="BQ1993" t="s">
        <v>93</v>
      </c>
      <c r="BR1993" t="s">
        <v>105</v>
      </c>
      <c r="BS1993" s="3">
        <v>43817</v>
      </c>
      <c r="BT1993" s="5">
        <v>0.3347222222222222</v>
      </c>
      <c r="BU1993" t="s">
        <v>2084</v>
      </c>
      <c r="BV1993" t="s">
        <v>86</v>
      </c>
      <c r="BY1993">
        <v>82731</v>
      </c>
      <c r="BZ1993" t="s">
        <v>27</v>
      </c>
      <c r="CA1993" t="s">
        <v>700</v>
      </c>
      <c r="CC1993" t="s">
        <v>333</v>
      </c>
      <c r="CD1993">
        <v>2094</v>
      </c>
      <c r="CE1993" t="s">
        <v>96</v>
      </c>
      <c r="CF1993" s="3">
        <v>43818</v>
      </c>
      <c r="CI1993">
        <v>1</v>
      </c>
      <c r="CJ1993">
        <v>1</v>
      </c>
      <c r="CK1993">
        <v>32</v>
      </c>
      <c r="CL1993" t="s">
        <v>89</v>
      </c>
    </row>
    <row r="1994" spans="1:90">
      <c r="A1994" t="s">
        <v>72</v>
      </c>
      <c r="B1994" t="s">
        <v>73</v>
      </c>
      <c r="C1994" t="s">
        <v>74</v>
      </c>
      <c r="E1994" t="str">
        <f>"FES1162727670"</f>
        <v>FES1162727670</v>
      </c>
      <c r="F1994" s="3">
        <v>43809</v>
      </c>
      <c r="G1994">
        <v>202006</v>
      </c>
      <c r="H1994" t="s">
        <v>75</v>
      </c>
      <c r="I1994" t="s">
        <v>76</v>
      </c>
      <c r="J1994" t="s">
        <v>100</v>
      </c>
      <c r="K1994" t="s">
        <v>78</v>
      </c>
      <c r="L1994" t="s">
        <v>1170</v>
      </c>
      <c r="M1994" t="s">
        <v>1170</v>
      </c>
      <c r="N1994" t="s">
        <v>2290</v>
      </c>
      <c r="O1994" t="s">
        <v>1340</v>
      </c>
      <c r="P1994" t="str">
        <f>"217071174                     "</f>
        <v xml:space="preserve">217071174                     </v>
      </c>
      <c r="Q1994">
        <v>0</v>
      </c>
      <c r="R1994">
        <v>0</v>
      </c>
      <c r="S1994">
        <v>0</v>
      </c>
      <c r="T1994">
        <v>0</v>
      </c>
      <c r="U1994">
        <v>0</v>
      </c>
      <c r="V1994">
        <v>0</v>
      </c>
      <c r="W1994">
        <v>0</v>
      </c>
      <c r="X1994">
        <v>0</v>
      </c>
      <c r="Y1994">
        <v>0</v>
      </c>
      <c r="Z1994">
        <v>0</v>
      </c>
      <c r="AA1994">
        <v>0</v>
      </c>
      <c r="AB1994">
        <v>0</v>
      </c>
      <c r="AC1994">
        <v>0</v>
      </c>
      <c r="AD1994">
        <v>0</v>
      </c>
      <c r="AE1994">
        <v>0</v>
      </c>
      <c r="AF1994">
        <v>0</v>
      </c>
      <c r="AG1994">
        <v>0</v>
      </c>
      <c r="AH1994">
        <v>0</v>
      </c>
      <c r="AI1994">
        <v>0</v>
      </c>
      <c r="AJ1994">
        <v>0</v>
      </c>
      <c r="AK1994">
        <v>0</v>
      </c>
      <c r="AL1994">
        <v>0</v>
      </c>
      <c r="AM1994">
        <v>12.07</v>
      </c>
      <c r="AN1994">
        <v>0</v>
      </c>
      <c r="AO1994">
        <v>0</v>
      </c>
      <c r="AP1994">
        <v>0</v>
      </c>
      <c r="AQ1994">
        <v>0</v>
      </c>
      <c r="AR1994">
        <v>0</v>
      </c>
      <c r="AS1994">
        <v>0</v>
      </c>
      <c r="AT1994">
        <v>0</v>
      </c>
      <c r="AU1994">
        <v>0</v>
      </c>
      <c r="AV1994">
        <v>0</v>
      </c>
      <c r="AW1994">
        <v>0</v>
      </c>
      <c r="AX1994">
        <v>0</v>
      </c>
      <c r="AY1994">
        <v>0</v>
      </c>
      <c r="AZ1994">
        <v>0</v>
      </c>
      <c r="BA1994">
        <v>0</v>
      </c>
      <c r="BB1994">
        <v>0</v>
      </c>
      <c r="BC1994">
        <v>0</v>
      </c>
      <c r="BD1994">
        <v>0</v>
      </c>
      <c r="BE1994">
        <v>0</v>
      </c>
      <c r="BF1994">
        <v>0</v>
      </c>
      <c r="BG1994">
        <v>0</v>
      </c>
      <c r="BH1994">
        <v>1</v>
      </c>
      <c r="BI1994">
        <v>2.4</v>
      </c>
      <c r="BJ1994">
        <v>3.5</v>
      </c>
      <c r="BK1994">
        <v>4</v>
      </c>
      <c r="BL1994" s="4">
        <v>70.95</v>
      </c>
      <c r="BM1994" s="4">
        <v>10.64</v>
      </c>
      <c r="BN1994" s="4">
        <v>81.59</v>
      </c>
      <c r="BO1994" s="4">
        <v>81.59</v>
      </c>
      <c r="BQ1994" t="s">
        <v>135</v>
      </c>
      <c r="BR1994" t="s">
        <v>105</v>
      </c>
      <c r="BS1994" s="3">
        <v>43810</v>
      </c>
      <c r="BT1994" s="5">
        <v>0.33333333333333331</v>
      </c>
      <c r="BU1994" t="s">
        <v>2291</v>
      </c>
      <c r="BV1994" t="s">
        <v>86</v>
      </c>
      <c r="BY1994">
        <v>17264.52</v>
      </c>
      <c r="BZ1994" t="s">
        <v>27</v>
      </c>
      <c r="CC1994" t="s">
        <v>1170</v>
      </c>
      <c r="CD1994">
        <v>1490</v>
      </c>
      <c r="CE1994" t="s">
        <v>116</v>
      </c>
      <c r="CF1994" s="3">
        <v>43811</v>
      </c>
      <c r="CI1994">
        <v>1</v>
      </c>
      <c r="CJ1994">
        <v>1</v>
      </c>
      <c r="CK1994">
        <v>34</v>
      </c>
      <c r="CL1994" t="s">
        <v>89</v>
      </c>
    </row>
    <row r="1995" spans="1:90">
      <c r="A1995" t="s">
        <v>72</v>
      </c>
      <c r="B1995" t="s">
        <v>73</v>
      </c>
      <c r="C1995" t="s">
        <v>74</v>
      </c>
      <c r="E1995" t="str">
        <f>"FES1162728181"</f>
        <v>FES1162728181</v>
      </c>
      <c r="F1995" s="3">
        <v>43811</v>
      </c>
      <c r="G1995">
        <v>202006</v>
      </c>
      <c r="H1995" t="s">
        <v>75</v>
      </c>
      <c r="I1995" t="s">
        <v>76</v>
      </c>
      <c r="J1995" t="s">
        <v>100</v>
      </c>
      <c r="K1995" t="s">
        <v>78</v>
      </c>
      <c r="L1995" t="s">
        <v>1051</v>
      </c>
      <c r="M1995" t="s">
        <v>1052</v>
      </c>
      <c r="N1995" t="s">
        <v>634</v>
      </c>
      <c r="O1995" t="s">
        <v>1340</v>
      </c>
      <c r="P1995" t="str">
        <f>"217071510                     "</f>
        <v xml:space="preserve">217071510                     </v>
      </c>
      <c r="Q1995">
        <v>0</v>
      </c>
      <c r="R1995">
        <v>0</v>
      </c>
      <c r="S1995">
        <v>0</v>
      </c>
      <c r="T1995">
        <v>0</v>
      </c>
      <c r="U1995">
        <v>0</v>
      </c>
      <c r="V1995">
        <v>0</v>
      </c>
      <c r="W1995">
        <v>0</v>
      </c>
      <c r="X1995">
        <v>0</v>
      </c>
      <c r="Y1995">
        <v>0</v>
      </c>
      <c r="Z1995">
        <v>0</v>
      </c>
      <c r="AA1995">
        <v>0</v>
      </c>
      <c r="AB1995">
        <v>0</v>
      </c>
      <c r="AC1995">
        <v>0</v>
      </c>
      <c r="AD1995">
        <v>0</v>
      </c>
      <c r="AE1995">
        <v>0</v>
      </c>
      <c r="AF1995">
        <v>0</v>
      </c>
      <c r="AG1995">
        <v>0</v>
      </c>
      <c r="AH1995">
        <v>0</v>
      </c>
      <c r="AI1995">
        <v>0</v>
      </c>
      <c r="AJ1995">
        <v>0</v>
      </c>
      <c r="AK1995">
        <v>0</v>
      </c>
      <c r="AL1995">
        <v>0</v>
      </c>
      <c r="AM1995">
        <v>26.56</v>
      </c>
      <c r="AN1995">
        <v>0</v>
      </c>
      <c r="AO1995">
        <v>0</v>
      </c>
      <c r="AP1995">
        <v>0</v>
      </c>
      <c r="AQ1995">
        <v>0</v>
      </c>
      <c r="AR1995">
        <v>0</v>
      </c>
      <c r="AS1995">
        <v>0</v>
      </c>
      <c r="AT1995">
        <v>0</v>
      </c>
      <c r="AU1995">
        <v>0</v>
      </c>
      <c r="AV1995">
        <v>0</v>
      </c>
      <c r="AW1995">
        <v>0</v>
      </c>
      <c r="AX1995">
        <v>0</v>
      </c>
      <c r="AY1995">
        <v>0</v>
      </c>
      <c r="AZ1995">
        <v>0</v>
      </c>
      <c r="BA1995">
        <v>0</v>
      </c>
      <c r="BB1995">
        <v>0</v>
      </c>
      <c r="BC1995">
        <v>0</v>
      </c>
      <c r="BD1995">
        <v>0</v>
      </c>
      <c r="BE1995">
        <v>0</v>
      </c>
      <c r="BF1995">
        <v>0</v>
      </c>
      <c r="BG1995">
        <v>0</v>
      </c>
      <c r="BH1995">
        <v>1</v>
      </c>
      <c r="BI1995">
        <v>5.7</v>
      </c>
      <c r="BJ1995">
        <v>7.3</v>
      </c>
      <c r="BK1995">
        <v>8</v>
      </c>
      <c r="BL1995" s="4">
        <v>156.12</v>
      </c>
      <c r="BM1995" s="4">
        <v>23.42</v>
      </c>
      <c r="BN1995" s="4">
        <v>179.54</v>
      </c>
      <c r="BO1995" s="4">
        <v>179.54</v>
      </c>
      <c r="BQ1995" t="s">
        <v>93</v>
      </c>
      <c r="BR1995" t="s">
        <v>105</v>
      </c>
      <c r="BS1995" s="3">
        <v>43812</v>
      </c>
      <c r="BT1995" s="5">
        <v>0.37708333333333338</v>
      </c>
      <c r="BU1995" t="s">
        <v>2292</v>
      </c>
      <c r="BV1995" t="s">
        <v>86</v>
      </c>
      <c r="BY1995">
        <v>36674.25</v>
      </c>
      <c r="BZ1995" t="s">
        <v>27</v>
      </c>
      <c r="CA1995" t="s">
        <v>344</v>
      </c>
      <c r="CC1995" t="s">
        <v>1052</v>
      </c>
      <c r="CD1995">
        <v>1754</v>
      </c>
      <c r="CE1995" t="s">
        <v>116</v>
      </c>
      <c r="CF1995" s="3">
        <v>43816</v>
      </c>
      <c r="CI1995">
        <v>1</v>
      </c>
      <c r="CJ1995">
        <v>1</v>
      </c>
      <c r="CK1995">
        <v>34</v>
      </c>
      <c r="CL1995" t="s">
        <v>89</v>
      </c>
    </row>
    <row r="1996" spans="1:90">
      <c r="A1996" t="s">
        <v>72</v>
      </c>
      <c r="B1996" t="s">
        <v>73</v>
      </c>
      <c r="C1996" t="s">
        <v>74</v>
      </c>
      <c r="E1996" t="str">
        <f>"FES1162728259"</f>
        <v>FES1162728259</v>
      </c>
      <c r="F1996" s="3">
        <v>43811</v>
      </c>
      <c r="G1996">
        <v>202006</v>
      </c>
      <c r="H1996" t="s">
        <v>75</v>
      </c>
      <c r="I1996" t="s">
        <v>76</v>
      </c>
      <c r="J1996" t="s">
        <v>100</v>
      </c>
      <c r="K1996" t="s">
        <v>78</v>
      </c>
      <c r="L1996" t="s">
        <v>667</v>
      </c>
      <c r="M1996" t="s">
        <v>668</v>
      </c>
      <c r="N1996" t="s">
        <v>2293</v>
      </c>
      <c r="O1996" t="s">
        <v>1340</v>
      </c>
      <c r="P1996" t="str">
        <f>"217071601                     "</f>
        <v xml:space="preserve">217071601                     </v>
      </c>
      <c r="Q1996">
        <v>0</v>
      </c>
      <c r="R1996">
        <v>0</v>
      </c>
      <c r="S1996">
        <v>0</v>
      </c>
      <c r="T1996">
        <v>0</v>
      </c>
      <c r="U1996">
        <v>0</v>
      </c>
      <c r="V1996">
        <v>0</v>
      </c>
      <c r="W1996">
        <v>0</v>
      </c>
      <c r="X1996">
        <v>0</v>
      </c>
      <c r="Y1996">
        <v>0</v>
      </c>
      <c r="Z1996">
        <v>0</v>
      </c>
      <c r="AA1996">
        <v>0</v>
      </c>
      <c r="AB1996">
        <v>0</v>
      </c>
      <c r="AC1996">
        <v>0</v>
      </c>
      <c r="AD1996">
        <v>0</v>
      </c>
      <c r="AE1996">
        <v>0</v>
      </c>
      <c r="AF1996">
        <v>0</v>
      </c>
      <c r="AG1996">
        <v>0</v>
      </c>
      <c r="AH1996">
        <v>0</v>
      </c>
      <c r="AI1996">
        <v>0</v>
      </c>
      <c r="AJ1996">
        <v>0</v>
      </c>
      <c r="AK1996">
        <v>0</v>
      </c>
      <c r="AL1996">
        <v>0</v>
      </c>
      <c r="AM1996">
        <v>12.07</v>
      </c>
      <c r="AN1996">
        <v>0</v>
      </c>
      <c r="AO1996">
        <v>0</v>
      </c>
      <c r="AP1996">
        <v>0</v>
      </c>
      <c r="AQ1996">
        <v>0</v>
      </c>
      <c r="AR1996">
        <v>0</v>
      </c>
      <c r="AS1996">
        <v>0</v>
      </c>
      <c r="AT1996">
        <v>0</v>
      </c>
      <c r="AU1996">
        <v>0</v>
      </c>
      <c r="AV1996">
        <v>0</v>
      </c>
      <c r="AW1996">
        <v>0</v>
      </c>
      <c r="AX1996">
        <v>0</v>
      </c>
      <c r="AY1996">
        <v>0</v>
      </c>
      <c r="AZ1996">
        <v>0</v>
      </c>
      <c r="BA1996">
        <v>0</v>
      </c>
      <c r="BB1996">
        <v>0</v>
      </c>
      <c r="BC1996">
        <v>0</v>
      </c>
      <c r="BD1996">
        <v>0</v>
      </c>
      <c r="BE1996">
        <v>0</v>
      </c>
      <c r="BF1996">
        <v>0</v>
      </c>
      <c r="BG1996">
        <v>0</v>
      </c>
      <c r="BH1996">
        <v>1</v>
      </c>
      <c r="BI1996">
        <v>1.9</v>
      </c>
      <c r="BJ1996">
        <v>2.8</v>
      </c>
      <c r="BK1996">
        <v>3</v>
      </c>
      <c r="BL1996" s="4">
        <v>70.95</v>
      </c>
      <c r="BM1996" s="4">
        <v>10.64</v>
      </c>
      <c r="BN1996" s="4">
        <v>81.59</v>
      </c>
      <c r="BO1996" s="4">
        <v>81.59</v>
      </c>
      <c r="BQ1996" t="s">
        <v>93</v>
      </c>
      <c r="BR1996" t="s">
        <v>105</v>
      </c>
      <c r="BS1996" s="3">
        <v>43812</v>
      </c>
      <c r="BT1996" s="5">
        <v>0.375</v>
      </c>
      <c r="BU1996" t="s">
        <v>2294</v>
      </c>
      <c r="BV1996" t="s">
        <v>86</v>
      </c>
      <c r="BY1996">
        <v>14223.89</v>
      </c>
      <c r="BZ1996" t="s">
        <v>27</v>
      </c>
      <c r="CC1996" t="s">
        <v>668</v>
      </c>
      <c r="CD1996">
        <v>1759</v>
      </c>
      <c r="CE1996" t="s">
        <v>116</v>
      </c>
      <c r="CF1996" s="3">
        <v>43816</v>
      </c>
      <c r="CI1996">
        <v>1</v>
      </c>
      <c r="CJ1996">
        <v>1</v>
      </c>
      <c r="CK1996">
        <v>34</v>
      </c>
      <c r="CL1996" t="s">
        <v>89</v>
      </c>
    </row>
    <row r="1997" spans="1:90">
      <c r="A1997" t="s">
        <v>72</v>
      </c>
      <c r="B1997" t="s">
        <v>73</v>
      </c>
      <c r="C1997" t="s">
        <v>74</v>
      </c>
      <c r="E1997" t="str">
        <f>"FES1162726799"</f>
        <v>FES1162726799</v>
      </c>
      <c r="F1997" s="3">
        <v>43805</v>
      </c>
      <c r="G1997">
        <v>202006</v>
      </c>
      <c r="H1997" t="s">
        <v>75</v>
      </c>
      <c r="I1997" t="s">
        <v>76</v>
      </c>
      <c r="J1997" t="s">
        <v>100</v>
      </c>
      <c r="K1997" t="s">
        <v>78</v>
      </c>
      <c r="L1997" t="s">
        <v>430</v>
      </c>
      <c r="M1997" t="s">
        <v>431</v>
      </c>
      <c r="N1997" t="s">
        <v>1600</v>
      </c>
      <c r="O1997" t="s">
        <v>1340</v>
      </c>
      <c r="P1997" t="str">
        <f>"2170720245                    "</f>
        <v xml:space="preserve">2170720245                    </v>
      </c>
      <c r="Q1997">
        <v>0</v>
      </c>
      <c r="R1997">
        <v>0</v>
      </c>
      <c r="S1997">
        <v>0</v>
      </c>
      <c r="T1997">
        <v>0</v>
      </c>
      <c r="U1997">
        <v>0</v>
      </c>
      <c r="V1997">
        <v>0</v>
      </c>
      <c r="W1997">
        <v>0</v>
      </c>
      <c r="X1997">
        <v>0</v>
      </c>
      <c r="Y1997">
        <v>0</v>
      </c>
      <c r="Z1997">
        <v>0</v>
      </c>
      <c r="AA1997">
        <v>0</v>
      </c>
      <c r="AB1997">
        <v>0</v>
      </c>
      <c r="AC1997">
        <v>0</v>
      </c>
      <c r="AD1997">
        <v>0</v>
      </c>
      <c r="AE1997">
        <v>0</v>
      </c>
      <c r="AF1997">
        <v>0</v>
      </c>
      <c r="AG1997">
        <v>0</v>
      </c>
      <c r="AH1997">
        <v>0</v>
      </c>
      <c r="AI1997">
        <v>0</v>
      </c>
      <c r="AJ1997">
        <v>0</v>
      </c>
      <c r="AK1997">
        <v>0</v>
      </c>
      <c r="AL1997">
        <v>0</v>
      </c>
      <c r="AM1997">
        <v>12.07</v>
      </c>
      <c r="AN1997">
        <v>0</v>
      </c>
      <c r="AO1997">
        <v>0</v>
      </c>
      <c r="AP1997">
        <v>0</v>
      </c>
      <c r="AQ1997">
        <v>0</v>
      </c>
      <c r="AR1997">
        <v>0</v>
      </c>
      <c r="AS1997">
        <v>0</v>
      </c>
      <c r="AT1997">
        <v>0</v>
      </c>
      <c r="AU1997">
        <v>0</v>
      </c>
      <c r="AV1997">
        <v>0</v>
      </c>
      <c r="AW1997">
        <v>0</v>
      </c>
      <c r="AX1997">
        <v>0</v>
      </c>
      <c r="AY1997">
        <v>0</v>
      </c>
      <c r="AZ1997">
        <v>0</v>
      </c>
      <c r="BA1997">
        <v>0</v>
      </c>
      <c r="BB1997">
        <v>0</v>
      </c>
      <c r="BC1997">
        <v>0</v>
      </c>
      <c r="BD1997">
        <v>0</v>
      </c>
      <c r="BE1997">
        <v>0</v>
      </c>
      <c r="BF1997">
        <v>0</v>
      </c>
      <c r="BG1997">
        <v>0</v>
      </c>
      <c r="BH1997">
        <v>1</v>
      </c>
      <c r="BI1997">
        <v>1</v>
      </c>
      <c r="BJ1997">
        <v>3.6</v>
      </c>
      <c r="BK1997">
        <v>4</v>
      </c>
      <c r="BL1997" s="4">
        <v>70.95</v>
      </c>
      <c r="BM1997" s="4">
        <v>10.64</v>
      </c>
      <c r="BN1997" s="4">
        <v>81.59</v>
      </c>
      <c r="BO1997" s="4">
        <v>81.59</v>
      </c>
      <c r="BQ1997" t="s">
        <v>1601</v>
      </c>
      <c r="BR1997" t="s">
        <v>105</v>
      </c>
      <c r="BS1997" s="3">
        <v>43808</v>
      </c>
      <c r="BT1997" s="5">
        <v>0.38263888888888892</v>
      </c>
      <c r="BU1997" t="s">
        <v>1602</v>
      </c>
      <c r="BV1997" t="s">
        <v>86</v>
      </c>
      <c r="BY1997">
        <v>17777.759999999998</v>
      </c>
      <c r="BZ1997" t="s">
        <v>27</v>
      </c>
      <c r="CA1997" t="s">
        <v>434</v>
      </c>
      <c r="CC1997" t="s">
        <v>431</v>
      </c>
      <c r="CD1997">
        <v>250</v>
      </c>
      <c r="CE1997" t="s">
        <v>116</v>
      </c>
      <c r="CF1997" s="3">
        <v>43810</v>
      </c>
      <c r="CI1997">
        <v>1</v>
      </c>
      <c r="CJ1997">
        <v>1</v>
      </c>
      <c r="CK1997">
        <v>34</v>
      </c>
      <c r="CL1997" t="s">
        <v>89</v>
      </c>
    </row>
    <row r="1998" spans="1:90">
      <c r="A1998" t="s">
        <v>72</v>
      </c>
      <c r="B1998" t="s">
        <v>73</v>
      </c>
      <c r="C1998" t="s">
        <v>74</v>
      </c>
      <c r="E1998" t="str">
        <f>"FES1162728487"</f>
        <v>FES1162728487</v>
      </c>
      <c r="F1998" s="3">
        <v>43816</v>
      </c>
      <c r="G1998">
        <v>202006</v>
      </c>
      <c r="H1998" t="s">
        <v>75</v>
      </c>
      <c r="I1998" t="s">
        <v>76</v>
      </c>
      <c r="J1998" t="s">
        <v>100</v>
      </c>
      <c r="K1998" t="s">
        <v>78</v>
      </c>
      <c r="L1998" t="s">
        <v>1497</v>
      </c>
      <c r="M1998" t="s">
        <v>1498</v>
      </c>
      <c r="N1998" t="s">
        <v>2219</v>
      </c>
      <c r="O1998" t="s">
        <v>1340</v>
      </c>
      <c r="P1998" t="str">
        <f>"217071464                     "</f>
        <v xml:space="preserve">217071464                     </v>
      </c>
      <c r="Q1998">
        <v>0</v>
      </c>
      <c r="R1998">
        <v>0</v>
      </c>
      <c r="S1998">
        <v>0</v>
      </c>
      <c r="T1998">
        <v>0</v>
      </c>
      <c r="U1998">
        <v>0</v>
      </c>
      <c r="V1998">
        <v>0</v>
      </c>
      <c r="W1998">
        <v>0</v>
      </c>
      <c r="X1998">
        <v>0</v>
      </c>
      <c r="Y1998">
        <v>0</v>
      </c>
      <c r="Z1998">
        <v>0</v>
      </c>
      <c r="AA1998">
        <v>0</v>
      </c>
      <c r="AB1998">
        <v>0</v>
      </c>
      <c r="AC1998">
        <v>0</v>
      </c>
      <c r="AD1998">
        <v>0</v>
      </c>
      <c r="AE1998">
        <v>0</v>
      </c>
      <c r="AF1998">
        <v>0</v>
      </c>
      <c r="AG1998">
        <v>0</v>
      </c>
      <c r="AH1998">
        <v>0</v>
      </c>
      <c r="AI1998">
        <v>0</v>
      </c>
      <c r="AJ1998">
        <v>0</v>
      </c>
      <c r="AK1998">
        <v>0</v>
      </c>
      <c r="AL1998">
        <v>0</v>
      </c>
      <c r="AM1998">
        <v>15.69</v>
      </c>
      <c r="AN1998">
        <v>0</v>
      </c>
      <c r="AO1998">
        <v>0</v>
      </c>
      <c r="AP1998">
        <v>0</v>
      </c>
      <c r="AQ1998">
        <v>0</v>
      </c>
      <c r="AR1998">
        <v>0</v>
      </c>
      <c r="AS1998">
        <v>0</v>
      </c>
      <c r="AT1998">
        <v>0</v>
      </c>
      <c r="AU1998">
        <v>0</v>
      </c>
      <c r="AV1998">
        <v>0</v>
      </c>
      <c r="AW1998">
        <v>0</v>
      </c>
      <c r="AX1998">
        <v>0</v>
      </c>
      <c r="AY1998">
        <v>0</v>
      </c>
      <c r="AZ1998">
        <v>0</v>
      </c>
      <c r="BA1998">
        <v>0</v>
      </c>
      <c r="BB1998">
        <v>0</v>
      </c>
      <c r="BC1998">
        <v>0</v>
      </c>
      <c r="BD1998">
        <v>0</v>
      </c>
      <c r="BE1998">
        <v>0</v>
      </c>
      <c r="BF1998">
        <v>0</v>
      </c>
      <c r="BG1998">
        <v>0</v>
      </c>
      <c r="BH1998">
        <v>1</v>
      </c>
      <c r="BI1998">
        <v>5</v>
      </c>
      <c r="BJ1998">
        <v>3.7</v>
      </c>
      <c r="BK1998">
        <v>5</v>
      </c>
      <c r="BL1998" s="4">
        <v>92.24</v>
      </c>
      <c r="BM1998" s="4">
        <v>13.84</v>
      </c>
      <c r="BN1998" s="4">
        <v>106.08</v>
      </c>
      <c r="BO1998" s="4">
        <v>106.08</v>
      </c>
      <c r="BQ1998" t="s">
        <v>2220</v>
      </c>
      <c r="BR1998" t="s">
        <v>105</v>
      </c>
      <c r="BS1998" s="3">
        <v>43817</v>
      </c>
      <c r="BT1998" s="5">
        <v>0.54027777777777775</v>
      </c>
      <c r="BU1998" t="s">
        <v>2267</v>
      </c>
      <c r="BV1998" t="s">
        <v>86</v>
      </c>
      <c r="BY1998">
        <v>18720</v>
      </c>
      <c r="BZ1998" t="s">
        <v>27</v>
      </c>
      <c r="CA1998" t="s">
        <v>2020</v>
      </c>
      <c r="CC1998" t="s">
        <v>1498</v>
      </c>
      <c r="CD1998">
        <v>208</v>
      </c>
      <c r="CE1998" t="s">
        <v>116</v>
      </c>
      <c r="CF1998" s="3">
        <v>43818</v>
      </c>
      <c r="CI1998">
        <v>1</v>
      </c>
      <c r="CJ1998">
        <v>1</v>
      </c>
      <c r="CK1998">
        <v>34</v>
      </c>
      <c r="CL1998" t="s">
        <v>89</v>
      </c>
    </row>
    <row r="1999" spans="1:90">
      <c r="A1999" t="s">
        <v>72</v>
      </c>
      <c r="B1999" t="s">
        <v>73</v>
      </c>
      <c r="C1999" t="s">
        <v>74</v>
      </c>
      <c r="E1999" t="str">
        <f>"FES1162727524"</f>
        <v>FES1162727524</v>
      </c>
      <c r="F1999" s="3">
        <v>43809</v>
      </c>
      <c r="G1999">
        <v>202006</v>
      </c>
      <c r="H1999" t="s">
        <v>75</v>
      </c>
      <c r="I1999" t="s">
        <v>76</v>
      </c>
      <c r="J1999" t="s">
        <v>100</v>
      </c>
      <c r="K1999" t="s">
        <v>78</v>
      </c>
      <c r="L1999" t="s">
        <v>709</v>
      </c>
      <c r="M1999" t="s">
        <v>710</v>
      </c>
      <c r="N1999" t="s">
        <v>2272</v>
      </c>
      <c r="O1999" t="s">
        <v>1340</v>
      </c>
      <c r="P1999" t="str">
        <f>"2170710992                    "</f>
        <v xml:space="preserve">2170710992                    </v>
      </c>
      <c r="Q1999">
        <v>0</v>
      </c>
      <c r="R1999">
        <v>0</v>
      </c>
      <c r="S1999">
        <v>0</v>
      </c>
      <c r="T1999">
        <v>0</v>
      </c>
      <c r="U1999">
        <v>0</v>
      </c>
      <c r="V1999">
        <v>0</v>
      </c>
      <c r="W1999">
        <v>0</v>
      </c>
      <c r="X1999">
        <v>0</v>
      </c>
      <c r="Y1999">
        <v>0</v>
      </c>
      <c r="Z1999">
        <v>0</v>
      </c>
      <c r="AA1999">
        <v>0</v>
      </c>
      <c r="AB1999">
        <v>0</v>
      </c>
      <c r="AC1999">
        <v>0</v>
      </c>
      <c r="AD1999">
        <v>0</v>
      </c>
      <c r="AE1999">
        <v>0</v>
      </c>
      <c r="AF1999">
        <v>0</v>
      </c>
      <c r="AG1999">
        <v>0</v>
      </c>
      <c r="AH1999">
        <v>0</v>
      </c>
      <c r="AI1999">
        <v>0</v>
      </c>
      <c r="AJ1999">
        <v>0</v>
      </c>
      <c r="AK1999">
        <v>0</v>
      </c>
      <c r="AL1999">
        <v>0</v>
      </c>
      <c r="AM1999">
        <v>12.07</v>
      </c>
      <c r="AN1999">
        <v>0</v>
      </c>
      <c r="AO1999">
        <v>0</v>
      </c>
      <c r="AP1999">
        <v>0</v>
      </c>
      <c r="AQ1999">
        <v>0</v>
      </c>
      <c r="AR1999">
        <v>0</v>
      </c>
      <c r="AS1999">
        <v>0</v>
      </c>
      <c r="AT1999">
        <v>0</v>
      </c>
      <c r="AU1999">
        <v>0</v>
      </c>
      <c r="AV1999">
        <v>0</v>
      </c>
      <c r="AW1999">
        <v>0</v>
      </c>
      <c r="AX1999">
        <v>0</v>
      </c>
      <c r="AY1999">
        <v>0</v>
      </c>
      <c r="AZ1999">
        <v>0</v>
      </c>
      <c r="BA1999">
        <v>0</v>
      </c>
      <c r="BB1999">
        <v>0</v>
      </c>
      <c r="BC1999">
        <v>0</v>
      </c>
      <c r="BD1999">
        <v>0</v>
      </c>
      <c r="BE1999">
        <v>0</v>
      </c>
      <c r="BF1999">
        <v>0</v>
      </c>
      <c r="BG1999">
        <v>0</v>
      </c>
      <c r="BH1999">
        <v>1</v>
      </c>
      <c r="BI1999">
        <v>3.1</v>
      </c>
      <c r="BJ1999">
        <v>1.5</v>
      </c>
      <c r="BK1999">
        <v>4</v>
      </c>
      <c r="BL1999" s="4">
        <v>70.95</v>
      </c>
      <c r="BM1999" s="4">
        <v>10.64</v>
      </c>
      <c r="BN1999" s="4">
        <v>81.59</v>
      </c>
      <c r="BO1999" s="4">
        <v>81.59</v>
      </c>
      <c r="BR1999" t="s">
        <v>105</v>
      </c>
      <c r="BS1999" s="3">
        <v>43810</v>
      </c>
      <c r="BT1999" s="5">
        <v>0.42499999999999999</v>
      </c>
      <c r="BU1999" t="s">
        <v>2273</v>
      </c>
      <c r="BV1999" t="s">
        <v>86</v>
      </c>
      <c r="BY1999">
        <v>7539.84</v>
      </c>
      <c r="BZ1999" t="s">
        <v>27</v>
      </c>
      <c r="CA1999" t="s">
        <v>713</v>
      </c>
      <c r="CC1999" t="s">
        <v>710</v>
      </c>
      <c r="CD1999">
        <v>1939</v>
      </c>
      <c r="CE1999" t="s">
        <v>116</v>
      </c>
      <c r="CF1999" s="3">
        <v>43811</v>
      </c>
      <c r="CI1999">
        <v>1</v>
      </c>
      <c r="CJ1999">
        <v>1</v>
      </c>
      <c r="CK1999">
        <v>34</v>
      </c>
      <c r="CL1999" t="s">
        <v>89</v>
      </c>
    </row>
    <row r="2000" spans="1:90">
      <c r="A2000" t="s">
        <v>72</v>
      </c>
      <c r="B2000" t="s">
        <v>73</v>
      </c>
      <c r="C2000" t="s">
        <v>74</v>
      </c>
      <c r="E2000" t="str">
        <f>"FES1162728494"</f>
        <v>FES1162728494</v>
      </c>
      <c r="F2000" s="3">
        <v>43816</v>
      </c>
      <c r="G2000">
        <v>202006</v>
      </c>
      <c r="H2000" t="s">
        <v>75</v>
      </c>
      <c r="I2000" t="s">
        <v>76</v>
      </c>
      <c r="J2000" t="s">
        <v>100</v>
      </c>
      <c r="K2000" t="s">
        <v>78</v>
      </c>
      <c r="L2000" t="s">
        <v>646</v>
      </c>
      <c r="M2000" t="s">
        <v>647</v>
      </c>
      <c r="N2000" t="s">
        <v>2295</v>
      </c>
      <c r="O2000" t="s">
        <v>1340</v>
      </c>
      <c r="P2000" t="str">
        <f>"217719193                     "</f>
        <v xml:space="preserve">217719193                     </v>
      </c>
      <c r="Q2000">
        <v>0</v>
      </c>
      <c r="R2000">
        <v>0</v>
      </c>
      <c r="S2000">
        <v>0</v>
      </c>
      <c r="T2000">
        <v>0</v>
      </c>
      <c r="U2000">
        <v>0</v>
      </c>
      <c r="V2000">
        <v>0</v>
      </c>
      <c r="W2000">
        <v>0</v>
      </c>
      <c r="X2000">
        <v>0</v>
      </c>
      <c r="Y2000">
        <v>0</v>
      </c>
      <c r="Z2000">
        <v>0</v>
      </c>
      <c r="AA2000">
        <v>0</v>
      </c>
      <c r="AB2000">
        <v>0</v>
      </c>
      <c r="AC2000">
        <v>0</v>
      </c>
      <c r="AD2000">
        <v>0</v>
      </c>
      <c r="AE2000">
        <v>0</v>
      </c>
      <c r="AF2000">
        <v>0</v>
      </c>
      <c r="AG2000">
        <v>0</v>
      </c>
      <c r="AH2000">
        <v>0</v>
      </c>
      <c r="AI2000">
        <v>0</v>
      </c>
      <c r="AJ2000">
        <v>0</v>
      </c>
      <c r="AK2000">
        <v>0</v>
      </c>
      <c r="AL2000">
        <v>0</v>
      </c>
      <c r="AM2000">
        <v>12.07</v>
      </c>
      <c r="AN2000">
        <v>0</v>
      </c>
      <c r="AO2000">
        <v>0</v>
      </c>
      <c r="AP2000">
        <v>0</v>
      </c>
      <c r="AQ2000">
        <v>0</v>
      </c>
      <c r="AR2000">
        <v>0</v>
      </c>
      <c r="AS2000">
        <v>0</v>
      </c>
      <c r="AT2000">
        <v>0</v>
      </c>
      <c r="AU2000">
        <v>0</v>
      </c>
      <c r="AV2000">
        <v>0</v>
      </c>
      <c r="AW2000">
        <v>0</v>
      </c>
      <c r="AX2000">
        <v>0</v>
      </c>
      <c r="AY2000">
        <v>0</v>
      </c>
      <c r="AZ2000">
        <v>0</v>
      </c>
      <c r="BA2000">
        <v>0</v>
      </c>
      <c r="BB2000">
        <v>0</v>
      </c>
      <c r="BC2000">
        <v>0</v>
      </c>
      <c r="BD2000">
        <v>0</v>
      </c>
      <c r="BE2000">
        <v>0</v>
      </c>
      <c r="BF2000">
        <v>0</v>
      </c>
      <c r="BG2000">
        <v>0</v>
      </c>
      <c r="BH2000">
        <v>1</v>
      </c>
      <c r="BI2000">
        <v>3.6</v>
      </c>
      <c r="BJ2000">
        <v>1.2</v>
      </c>
      <c r="BK2000">
        <v>4</v>
      </c>
      <c r="BL2000" s="4">
        <v>70.95</v>
      </c>
      <c r="BM2000" s="4">
        <v>10.64</v>
      </c>
      <c r="BN2000" s="4">
        <v>81.59</v>
      </c>
      <c r="BO2000" s="4">
        <v>81.59</v>
      </c>
      <c r="BQ2000" t="s">
        <v>93</v>
      </c>
      <c r="BR2000" t="s">
        <v>105</v>
      </c>
      <c r="BS2000" t="s">
        <v>717</v>
      </c>
      <c r="BW2000" t="s">
        <v>1707</v>
      </c>
      <c r="BX2000" t="s">
        <v>619</v>
      </c>
      <c r="BY2000">
        <v>6060.95</v>
      </c>
      <c r="BZ2000" t="s">
        <v>27</v>
      </c>
      <c r="CC2000" t="s">
        <v>647</v>
      </c>
      <c r="CD2000">
        <v>324</v>
      </c>
      <c r="CE2000" t="s">
        <v>116</v>
      </c>
      <c r="CI2000">
        <v>1</v>
      </c>
      <c r="CJ2000" t="s">
        <v>717</v>
      </c>
      <c r="CK2000">
        <v>34</v>
      </c>
      <c r="CL2000" t="s">
        <v>89</v>
      </c>
    </row>
    <row r="2001" spans="1:90">
      <c r="A2001" t="s">
        <v>72</v>
      </c>
      <c r="B2001" t="s">
        <v>73</v>
      </c>
      <c r="C2001" t="s">
        <v>74</v>
      </c>
      <c r="E2001" t="str">
        <f>"FES1162727289"</f>
        <v>FES1162727289</v>
      </c>
      <c r="F2001" s="3">
        <v>43808</v>
      </c>
      <c r="G2001">
        <v>202006</v>
      </c>
      <c r="H2001" t="s">
        <v>75</v>
      </c>
      <c r="I2001" t="s">
        <v>76</v>
      </c>
      <c r="J2001" t="s">
        <v>100</v>
      </c>
      <c r="K2001" t="s">
        <v>78</v>
      </c>
      <c r="L2001" t="s">
        <v>213</v>
      </c>
      <c r="M2001" t="s">
        <v>214</v>
      </c>
      <c r="N2001" t="s">
        <v>303</v>
      </c>
      <c r="O2001" t="s">
        <v>82</v>
      </c>
      <c r="P2001" t="str">
        <f>"2170717835                    "</f>
        <v xml:space="preserve">2170717835                    </v>
      </c>
      <c r="Q2001">
        <v>0</v>
      </c>
      <c r="R2001">
        <v>0</v>
      </c>
      <c r="S2001">
        <v>0</v>
      </c>
      <c r="T2001">
        <v>0</v>
      </c>
      <c r="U2001">
        <v>0</v>
      </c>
      <c r="V2001">
        <v>0</v>
      </c>
      <c r="W2001">
        <v>0</v>
      </c>
      <c r="X2001">
        <v>0</v>
      </c>
      <c r="Y2001">
        <v>0</v>
      </c>
      <c r="Z2001">
        <v>0</v>
      </c>
      <c r="AA2001">
        <v>0</v>
      </c>
      <c r="AB2001">
        <v>0</v>
      </c>
      <c r="AC2001">
        <v>0</v>
      </c>
      <c r="AD2001">
        <v>0</v>
      </c>
      <c r="AE2001">
        <v>0</v>
      </c>
      <c r="AF2001">
        <v>0</v>
      </c>
      <c r="AG2001">
        <v>0</v>
      </c>
      <c r="AH2001">
        <v>0</v>
      </c>
      <c r="AI2001">
        <v>0</v>
      </c>
      <c r="AJ2001">
        <v>0</v>
      </c>
      <c r="AK2001">
        <v>0</v>
      </c>
      <c r="AL2001">
        <v>0</v>
      </c>
      <c r="AM2001">
        <v>10.73</v>
      </c>
      <c r="AN2001">
        <v>0</v>
      </c>
      <c r="AO2001">
        <v>0</v>
      </c>
      <c r="AP2001">
        <v>0</v>
      </c>
      <c r="AQ2001">
        <v>0</v>
      </c>
      <c r="AR2001">
        <v>0</v>
      </c>
      <c r="AS2001">
        <v>0</v>
      </c>
      <c r="AT2001">
        <v>0</v>
      </c>
      <c r="AU2001">
        <v>0</v>
      </c>
      <c r="AV2001">
        <v>0</v>
      </c>
      <c r="AW2001">
        <v>0</v>
      </c>
      <c r="AX2001">
        <v>0</v>
      </c>
      <c r="AY2001">
        <v>0</v>
      </c>
      <c r="AZ2001">
        <v>0</v>
      </c>
      <c r="BA2001">
        <v>0</v>
      </c>
      <c r="BB2001">
        <v>0</v>
      </c>
      <c r="BC2001">
        <v>0</v>
      </c>
      <c r="BD2001">
        <v>0</v>
      </c>
      <c r="BE2001">
        <v>0</v>
      </c>
      <c r="BF2001">
        <v>0</v>
      </c>
      <c r="BG2001">
        <v>0</v>
      </c>
      <c r="BH2001">
        <v>1</v>
      </c>
      <c r="BI2001">
        <v>2.4</v>
      </c>
      <c r="BJ2001">
        <v>2.4</v>
      </c>
      <c r="BK2001">
        <v>2.5</v>
      </c>
      <c r="BL2001" s="4">
        <v>63.06</v>
      </c>
      <c r="BM2001" s="4">
        <v>9.4600000000000009</v>
      </c>
      <c r="BN2001" s="4">
        <v>72.52</v>
      </c>
      <c r="BO2001" s="4">
        <v>72.52</v>
      </c>
      <c r="BQ2001" t="s">
        <v>93</v>
      </c>
      <c r="BR2001" t="s">
        <v>105</v>
      </c>
      <c r="BS2001" s="3">
        <v>43809</v>
      </c>
      <c r="BT2001" s="5">
        <v>0.3298611111111111</v>
      </c>
      <c r="BU2001" t="s">
        <v>2296</v>
      </c>
      <c r="BV2001" t="s">
        <v>86</v>
      </c>
      <c r="BY2001">
        <v>12103</v>
      </c>
      <c r="BZ2001" t="s">
        <v>27</v>
      </c>
      <c r="CA2001" t="s">
        <v>99</v>
      </c>
      <c r="CC2001" t="s">
        <v>214</v>
      </c>
      <c r="CD2001">
        <v>6230</v>
      </c>
      <c r="CE2001" t="s">
        <v>116</v>
      </c>
      <c r="CF2001" s="3">
        <v>43810</v>
      </c>
      <c r="CI2001">
        <v>1</v>
      </c>
      <c r="CJ2001">
        <v>1</v>
      </c>
      <c r="CK2001">
        <v>21</v>
      </c>
      <c r="CL2001" t="s">
        <v>89</v>
      </c>
    </row>
    <row r="2002" spans="1:90">
      <c r="A2002" t="s">
        <v>72</v>
      </c>
      <c r="B2002" t="s">
        <v>73</v>
      </c>
      <c r="C2002" t="s">
        <v>74</v>
      </c>
      <c r="E2002" t="str">
        <f>"FES1162728308"</f>
        <v>FES1162728308</v>
      </c>
      <c r="F2002" s="3">
        <v>43812</v>
      </c>
      <c r="G2002">
        <v>202006</v>
      </c>
      <c r="H2002" t="s">
        <v>75</v>
      </c>
      <c r="I2002" t="s">
        <v>76</v>
      </c>
      <c r="J2002" t="s">
        <v>100</v>
      </c>
      <c r="K2002" t="s">
        <v>78</v>
      </c>
      <c r="L2002" t="s">
        <v>709</v>
      </c>
      <c r="M2002" t="s">
        <v>710</v>
      </c>
      <c r="N2002" t="s">
        <v>2297</v>
      </c>
      <c r="O2002" t="s">
        <v>1340</v>
      </c>
      <c r="P2002" t="str">
        <f>"2170719144                    "</f>
        <v xml:space="preserve">2170719144                    </v>
      </c>
      <c r="Q2002">
        <v>0</v>
      </c>
      <c r="R2002">
        <v>0</v>
      </c>
      <c r="S2002">
        <v>0</v>
      </c>
      <c r="T2002">
        <v>0</v>
      </c>
      <c r="U2002">
        <v>0</v>
      </c>
      <c r="V2002">
        <v>0</v>
      </c>
      <c r="W2002">
        <v>0</v>
      </c>
      <c r="X2002">
        <v>0</v>
      </c>
      <c r="Y2002">
        <v>0</v>
      </c>
      <c r="Z2002">
        <v>0</v>
      </c>
      <c r="AA2002">
        <v>0</v>
      </c>
      <c r="AB2002">
        <v>0</v>
      </c>
      <c r="AC2002">
        <v>0</v>
      </c>
      <c r="AD2002">
        <v>0</v>
      </c>
      <c r="AE2002">
        <v>0</v>
      </c>
      <c r="AF2002">
        <v>0</v>
      </c>
      <c r="AG2002">
        <v>0</v>
      </c>
      <c r="AH2002">
        <v>0</v>
      </c>
      <c r="AI2002">
        <v>0</v>
      </c>
      <c r="AJ2002">
        <v>0</v>
      </c>
      <c r="AK2002">
        <v>0</v>
      </c>
      <c r="AL2002">
        <v>0</v>
      </c>
      <c r="AM2002">
        <v>12.07</v>
      </c>
      <c r="AN2002">
        <v>0</v>
      </c>
      <c r="AO2002">
        <v>0</v>
      </c>
      <c r="AP2002">
        <v>0</v>
      </c>
      <c r="AQ2002">
        <v>0</v>
      </c>
      <c r="AR2002">
        <v>0</v>
      </c>
      <c r="AS2002">
        <v>0</v>
      </c>
      <c r="AT2002">
        <v>0</v>
      </c>
      <c r="AU2002">
        <v>0</v>
      </c>
      <c r="AV2002">
        <v>0</v>
      </c>
      <c r="AW2002">
        <v>0</v>
      </c>
      <c r="AX2002">
        <v>0</v>
      </c>
      <c r="AY2002">
        <v>0</v>
      </c>
      <c r="AZ2002">
        <v>0</v>
      </c>
      <c r="BA2002">
        <v>0</v>
      </c>
      <c r="BB2002">
        <v>0</v>
      </c>
      <c r="BC2002">
        <v>0</v>
      </c>
      <c r="BD2002">
        <v>0</v>
      </c>
      <c r="BE2002">
        <v>0</v>
      </c>
      <c r="BF2002">
        <v>0</v>
      </c>
      <c r="BG2002">
        <v>0</v>
      </c>
      <c r="BH2002">
        <v>1</v>
      </c>
      <c r="BI2002">
        <v>1.9</v>
      </c>
      <c r="BJ2002">
        <v>3.2</v>
      </c>
      <c r="BK2002">
        <v>4</v>
      </c>
      <c r="BL2002" s="4">
        <v>70.95</v>
      </c>
      <c r="BM2002" s="4">
        <v>10.64</v>
      </c>
      <c r="BN2002" s="4">
        <v>81.59</v>
      </c>
      <c r="BO2002" s="4">
        <v>81.59</v>
      </c>
      <c r="BR2002" t="s">
        <v>105</v>
      </c>
      <c r="BS2002" s="3">
        <v>43816</v>
      </c>
      <c r="BT2002" s="5">
        <v>0.42291666666666666</v>
      </c>
      <c r="BU2002" t="s">
        <v>2298</v>
      </c>
      <c r="BV2002" t="s">
        <v>86</v>
      </c>
      <c r="BY2002">
        <v>15903.2</v>
      </c>
      <c r="BZ2002" t="s">
        <v>27</v>
      </c>
      <c r="CA2002" t="s">
        <v>713</v>
      </c>
      <c r="CC2002" t="s">
        <v>710</v>
      </c>
      <c r="CD2002">
        <v>1872</v>
      </c>
      <c r="CE2002" t="s">
        <v>96</v>
      </c>
      <c r="CF2002" s="3">
        <v>43817</v>
      </c>
      <c r="CI2002">
        <v>1</v>
      </c>
      <c r="CJ2002">
        <v>2</v>
      </c>
      <c r="CK2002">
        <v>34</v>
      </c>
      <c r="CL2002" t="s">
        <v>89</v>
      </c>
    </row>
    <row r="2003" spans="1:90">
      <c r="A2003" t="s">
        <v>72</v>
      </c>
      <c r="B2003" t="s">
        <v>73</v>
      </c>
      <c r="C2003" t="s">
        <v>74</v>
      </c>
      <c r="E2003" t="str">
        <f>"FES1162728395"</f>
        <v>FES1162728395</v>
      </c>
      <c r="F2003" s="3">
        <v>43812</v>
      </c>
      <c r="G2003">
        <v>202006</v>
      </c>
      <c r="H2003" t="s">
        <v>75</v>
      </c>
      <c r="I2003" t="s">
        <v>76</v>
      </c>
      <c r="J2003" t="s">
        <v>100</v>
      </c>
      <c r="K2003" t="s">
        <v>78</v>
      </c>
      <c r="L2003" t="s">
        <v>860</v>
      </c>
      <c r="M2003" t="s">
        <v>861</v>
      </c>
      <c r="N2003" t="s">
        <v>2299</v>
      </c>
      <c r="O2003" t="s">
        <v>1340</v>
      </c>
      <c r="P2003" t="str">
        <f>"2170711827                    "</f>
        <v xml:space="preserve">2170711827                    </v>
      </c>
      <c r="Q2003">
        <v>0</v>
      </c>
      <c r="R2003">
        <v>0</v>
      </c>
      <c r="S2003">
        <v>0</v>
      </c>
      <c r="T2003">
        <v>0</v>
      </c>
      <c r="U2003">
        <v>0</v>
      </c>
      <c r="V2003">
        <v>0</v>
      </c>
      <c r="W2003">
        <v>0</v>
      </c>
      <c r="X2003">
        <v>0</v>
      </c>
      <c r="Y2003">
        <v>0</v>
      </c>
      <c r="Z2003">
        <v>0</v>
      </c>
      <c r="AA2003">
        <v>0</v>
      </c>
      <c r="AB2003">
        <v>0</v>
      </c>
      <c r="AC2003">
        <v>0</v>
      </c>
      <c r="AD2003">
        <v>0</v>
      </c>
      <c r="AE2003">
        <v>0</v>
      </c>
      <c r="AF2003">
        <v>0</v>
      </c>
      <c r="AG2003">
        <v>0</v>
      </c>
      <c r="AH2003">
        <v>0</v>
      </c>
      <c r="AI2003">
        <v>0</v>
      </c>
      <c r="AJ2003">
        <v>0</v>
      </c>
      <c r="AK2003">
        <v>0</v>
      </c>
      <c r="AL2003">
        <v>0</v>
      </c>
      <c r="AM2003">
        <v>16.489999999999998</v>
      </c>
      <c r="AN2003">
        <v>0</v>
      </c>
      <c r="AO2003">
        <v>0</v>
      </c>
      <c r="AP2003">
        <v>0</v>
      </c>
      <c r="AQ2003">
        <v>0</v>
      </c>
      <c r="AR2003">
        <v>0</v>
      </c>
      <c r="AS2003">
        <v>0</v>
      </c>
      <c r="AT2003">
        <v>0</v>
      </c>
      <c r="AU2003">
        <v>0</v>
      </c>
      <c r="AV2003">
        <v>0</v>
      </c>
      <c r="AW2003">
        <v>0</v>
      </c>
      <c r="AX2003">
        <v>0</v>
      </c>
      <c r="AY2003">
        <v>0</v>
      </c>
      <c r="AZ2003">
        <v>0</v>
      </c>
      <c r="BA2003">
        <v>0</v>
      </c>
      <c r="BB2003">
        <v>0</v>
      </c>
      <c r="BC2003">
        <v>0</v>
      </c>
      <c r="BD2003">
        <v>0</v>
      </c>
      <c r="BE2003">
        <v>0</v>
      </c>
      <c r="BF2003">
        <v>0</v>
      </c>
      <c r="BG2003">
        <v>0</v>
      </c>
      <c r="BH2003">
        <v>1</v>
      </c>
      <c r="BI2003">
        <v>8.4</v>
      </c>
      <c r="BJ2003">
        <v>16.7</v>
      </c>
      <c r="BK2003">
        <v>17</v>
      </c>
      <c r="BL2003" s="4">
        <v>96.91</v>
      </c>
      <c r="BM2003" s="4">
        <v>14.54</v>
      </c>
      <c r="BN2003" s="4">
        <v>111.45</v>
      </c>
      <c r="BO2003" s="4">
        <v>111.45</v>
      </c>
      <c r="BR2003" t="s">
        <v>105</v>
      </c>
      <c r="BS2003" s="3">
        <v>43816</v>
      </c>
      <c r="BT2003" s="5">
        <v>0.32569444444444445</v>
      </c>
      <c r="BU2003" t="s">
        <v>2300</v>
      </c>
      <c r="BV2003" t="s">
        <v>86</v>
      </c>
      <c r="BY2003">
        <v>83518.42</v>
      </c>
      <c r="BZ2003" t="s">
        <v>27</v>
      </c>
      <c r="CC2003" t="s">
        <v>861</v>
      </c>
      <c r="CD2003">
        <v>2125</v>
      </c>
      <c r="CE2003" t="s">
        <v>96</v>
      </c>
      <c r="CF2003" s="3">
        <v>43817</v>
      </c>
      <c r="CI2003">
        <v>1</v>
      </c>
      <c r="CJ2003">
        <v>2</v>
      </c>
      <c r="CK2003">
        <v>32</v>
      </c>
      <c r="CL2003" t="s">
        <v>89</v>
      </c>
    </row>
    <row r="2004" spans="1:90">
      <c r="A2004" t="s">
        <v>72</v>
      </c>
      <c r="B2004" t="s">
        <v>73</v>
      </c>
      <c r="C2004" t="s">
        <v>74</v>
      </c>
      <c r="E2004" t="str">
        <f>"FES1162728354"</f>
        <v>FES1162728354</v>
      </c>
      <c r="F2004" s="3">
        <v>43812</v>
      </c>
      <c r="G2004">
        <v>202006</v>
      </c>
      <c r="H2004" t="s">
        <v>75</v>
      </c>
      <c r="I2004" t="s">
        <v>76</v>
      </c>
      <c r="J2004" t="s">
        <v>100</v>
      </c>
      <c r="K2004" t="s">
        <v>78</v>
      </c>
      <c r="L2004" t="s">
        <v>709</v>
      </c>
      <c r="M2004" t="s">
        <v>710</v>
      </c>
      <c r="N2004" t="s">
        <v>2301</v>
      </c>
      <c r="O2004" t="s">
        <v>1340</v>
      </c>
      <c r="P2004" t="str">
        <f>"217071554                     "</f>
        <v xml:space="preserve">217071554                     </v>
      </c>
      <c r="Q2004">
        <v>0</v>
      </c>
      <c r="R2004">
        <v>0</v>
      </c>
      <c r="S2004">
        <v>0</v>
      </c>
      <c r="T2004">
        <v>0</v>
      </c>
      <c r="U2004">
        <v>0</v>
      </c>
      <c r="V2004">
        <v>0</v>
      </c>
      <c r="W2004">
        <v>0</v>
      </c>
      <c r="X2004">
        <v>0</v>
      </c>
      <c r="Y2004">
        <v>0</v>
      </c>
      <c r="Z2004">
        <v>0</v>
      </c>
      <c r="AA2004">
        <v>0</v>
      </c>
      <c r="AB2004">
        <v>0</v>
      </c>
      <c r="AC2004">
        <v>0</v>
      </c>
      <c r="AD2004">
        <v>0</v>
      </c>
      <c r="AE2004">
        <v>0</v>
      </c>
      <c r="AF2004">
        <v>0</v>
      </c>
      <c r="AG2004">
        <v>0</v>
      </c>
      <c r="AH2004">
        <v>0</v>
      </c>
      <c r="AI2004">
        <v>0</v>
      </c>
      <c r="AJ2004">
        <v>0</v>
      </c>
      <c r="AK2004">
        <v>0</v>
      </c>
      <c r="AL2004">
        <v>0</v>
      </c>
      <c r="AM2004">
        <v>12.07</v>
      </c>
      <c r="AN2004">
        <v>0</v>
      </c>
      <c r="AO2004">
        <v>0</v>
      </c>
      <c r="AP2004">
        <v>0</v>
      </c>
      <c r="AQ2004">
        <v>0</v>
      </c>
      <c r="AR2004">
        <v>0</v>
      </c>
      <c r="AS2004">
        <v>0</v>
      </c>
      <c r="AT2004">
        <v>0</v>
      </c>
      <c r="AU2004">
        <v>0</v>
      </c>
      <c r="AV2004">
        <v>0</v>
      </c>
      <c r="AW2004">
        <v>0</v>
      </c>
      <c r="AX2004">
        <v>0</v>
      </c>
      <c r="AY2004">
        <v>0</v>
      </c>
      <c r="AZ2004">
        <v>0</v>
      </c>
      <c r="BA2004">
        <v>0</v>
      </c>
      <c r="BB2004">
        <v>0</v>
      </c>
      <c r="BC2004">
        <v>0</v>
      </c>
      <c r="BD2004">
        <v>0</v>
      </c>
      <c r="BE2004">
        <v>0</v>
      </c>
      <c r="BF2004">
        <v>0</v>
      </c>
      <c r="BG2004">
        <v>0</v>
      </c>
      <c r="BH2004">
        <v>1</v>
      </c>
      <c r="BI2004">
        <v>2.1</v>
      </c>
      <c r="BJ2004">
        <v>0.9</v>
      </c>
      <c r="BK2004">
        <v>3</v>
      </c>
      <c r="BL2004" s="4">
        <v>70.95</v>
      </c>
      <c r="BM2004" s="4">
        <v>10.64</v>
      </c>
      <c r="BN2004" s="4">
        <v>81.59</v>
      </c>
      <c r="BO2004" s="4">
        <v>81.59</v>
      </c>
      <c r="BQ2004" t="s">
        <v>93</v>
      </c>
      <c r="BR2004" t="s">
        <v>105</v>
      </c>
      <c r="BS2004" s="3">
        <v>43816</v>
      </c>
      <c r="BT2004" s="5">
        <v>0.41666666666666669</v>
      </c>
      <c r="BU2004" t="s">
        <v>2302</v>
      </c>
      <c r="BV2004" t="s">
        <v>86</v>
      </c>
      <c r="BY2004">
        <v>4645.1400000000003</v>
      </c>
      <c r="BZ2004" t="s">
        <v>27</v>
      </c>
      <c r="CA2004" t="s">
        <v>946</v>
      </c>
      <c r="CC2004" t="s">
        <v>710</v>
      </c>
      <c r="CD2004">
        <v>1939</v>
      </c>
      <c r="CE2004" t="s">
        <v>96</v>
      </c>
      <c r="CF2004" s="3">
        <v>43817</v>
      </c>
      <c r="CI2004">
        <v>1</v>
      </c>
      <c r="CJ2004">
        <v>2</v>
      </c>
      <c r="CK2004">
        <v>34</v>
      </c>
      <c r="CL2004" t="s">
        <v>89</v>
      </c>
    </row>
    <row r="2005" spans="1:90">
      <c r="A2005" t="s">
        <v>72</v>
      </c>
      <c r="B2005" t="s">
        <v>73</v>
      </c>
      <c r="C2005" t="s">
        <v>74</v>
      </c>
      <c r="E2005" t="str">
        <f>"FES1162728477"</f>
        <v>FES1162728477</v>
      </c>
      <c r="F2005" s="3">
        <v>43816</v>
      </c>
      <c r="G2005">
        <v>202006</v>
      </c>
      <c r="H2005" t="s">
        <v>75</v>
      </c>
      <c r="I2005" t="s">
        <v>76</v>
      </c>
      <c r="J2005" t="s">
        <v>100</v>
      </c>
      <c r="K2005" t="s">
        <v>78</v>
      </c>
      <c r="L2005" t="s">
        <v>75</v>
      </c>
      <c r="M2005" t="s">
        <v>76</v>
      </c>
      <c r="N2005" t="s">
        <v>305</v>
      </c>
      <c r="O2005" t="s">
        <v>1340</v>
      </c>
      <c r="P2005" t="str">
        <f>"217071716                     "</f>
        <v xml:space="preserve">217071716                     </v>
      </c>
      <c r="Q2005">
        <v>0</v>
      </c>
      <c r="R2005">
        <v>0</v>
      </c>
      <c r="S2005">
        <v>0</v>
      </c>
      <c r="T2005">
        <v>0</v>
      </c>
      <c r="U2005">
        <v>0</v>
      </c>
      <c r="V2005">
        <v>0</v>
      </c>
      <c r="W2005">
        <v>0</v>
      </c>
      <c r="X2005">
        <v>0</v>
      </c>
      <c r="Y2005">
        <v>0</v>
      </c>
      <c r="Z2005">
        <v>0</v>
      </c>
      <c r="AA2005">
        <v>0</v>
      </c>
      <c r="AB2005">
        <v>0</v>
      </c>
      <c r="AC2005">
        <v>0</v>
      </c>
      <c r="AD2005">
        <v>0</v>
      </c>
      <c r="AE2005">
        <v>0</v>
      </c>
      <c r="AF2005">
        <v>0</v>
      </c>
      <c r="AG2005">
        <v>0</v>
      </c>
      <c r="AH2005">
        <v>0</v>
      </c>
      <c r="AI2005">
        <v>0</v>
      </c>
      <c r="AJ2005">
        <v>0</v>
      </c>
      <c r="AK2005">
        <v>0</v>
      </c>
      <c r="AL2005">
        <v>0</v>
      </c>
      <c r="AM2005">
        <v>14.98</v>
      </c>
      <c r="AN2005">
        <v>0</v>
      </c>
      <c r="AO2005">
        <v>0</v>
      </c>
      <c r="AP2005">
        <v>0</v>
      </c>
      <c r="AQ2005">
        <v>0</v>
      </c>
      <c r="AR2005">
        <v>0</v>
      </c>
      <c r="AS2005">
        <v>0</v>
      </c>
      <c r="AT2005">
        <v>0</v>
      </c>
      <c r="AU2005">
        <v>0</v>
      </c>
      <c r="AV2005">
        <v>0</v>
      </c>
      <c r="AW2005">
        <v>0</v>
      </c>
      <c r="AX2005">
        <v>0</v>
      </c>
      <c r="AY2005">
        <v>0</v>
      </c>
      <c r="AZ2005">
        <v>0</v>
      </c>
      <c r="BA2005">
        <v>0</v>
      </c>
      <c r="BB2005">
        <v>0</v>
      </c>
      <c r="BC2005">
        <v>0</v>
      </c>
      <c r="BD2005">
        <v>0</v>
      </c>
      <c r="BE2005">
        <v>0</v>
      </c>
      <c r="BF2005">
        <v>0</v>
      </c>
      <c r="BG2005">
        <v>0</v>
      </c>
      <c r="BH2005">
        <v>3</v>
      </c>
      <c r="BI2005">
        <v>14.2</v>
      </c>
      <c r="BJ2005">
        <v>11.3</v>
      </c>
      <c r="BK2005">
        <v>15</v>
      </c>
      <c r="BL2005" s="4">
        <v>88.06</v>
      </c>
      <c r="BM2005" s="4">
        <v>13.21</v>
      </c>
      <c r="BN2005" s="4">
        <v>101.27</v>
      </c>
      <c r="BO2005" s="4">
        <v>101.27</v>
      </c>
      <c r="BQ2005" t="s">
        <v>93</v>
      </c>
      <c r="BR2005" t="s">
        <v>105</v>
      </c>
      <c r="BS2005" s="3">
        <v>43817</v>
      </c>
      <c r="BT2005" s="5">
        <v>0.4375</v>
      </c>
      <c r="BU2005" t="s">
        <v>2303</v>
      </c>
      <c r="BV2005" t="s">
        <v>86</v>
      </c>
      <c r="BY2005">
        <v>35968.199999999997</v>
      </c>
      <c r="BZ2005" t="s">
        <v>27</v>
      </c>
      <c r="CA2005" t="s">
        <v>307</v>
      </c>
      <c r="CC2005" t="s">
        <v>76</v>
      </c>
      <c r="CD2005">
        <v>1645</v>
      </c>
      <c r="CE2005" t="s">
        <v>1787</v>
      </c>
      <c r="CF2005" s="3">
        <v>43818</v>
      </c>
      <c r="CI2005">
        <v>1</v>
      </c>
      <c r="CJ2005">
        <v>1</v>
      </c>
      <c r="CK2005">
        <v>32</v>
      </c>
      <c r="CL2005" t="s">
        <v>89</v>
      </c>
    </row>
    <row r="2006" spans="1:90">
      <c r="A2006" t="s">
        <v>72</v>
      </c>
      <c r="B2006" t="s">
        <v>73</v>
      </c>
      <c r="C2006" t="s">
        <v>74</v>
      </c>
      <c r="E2006" t="str">
        <f>"FES1162727381"</f>
        <v>FES1162727381</v>
      </c>
      <c r="F2006" s="3">
        <v>43808</v>
      </c>
      <c r="G2006">
        <v>202006</v>
      </c>
      <c r="H2006" t="s">
        <v>75</v>
      </c>
      <c r="I2006" t="s">
        <v>76</v>
      </c>
      <c r="J2006" t="s">
        <v>100</v>
      </c>
      <c r="K2006" t="s">
        <v>78</v>
      </c>
      <c r="L2006" t="s">
        <v>1497</v>
      </c>
      <c r="M2006" t="s">
        <v>1498</v>
      </c>
      <c r="N2006" t="s">
        <v>471</v>
      </c>
      <c r="O2006" t="s">
        <v>1340</v>
      </c>
      <c r="P2006" t="str">
        <f>"2170718066                    "</f>
        <v xml:space="preserve">2170718066                    </v>
      </c>
      <c r="Q2006">
        <v>0</v>
      </c>
      <c r="R2006">
        <v>0</v>
      </c>
      <c r="S2006">
        <v>0</v>
      </c>
      <c r="T2006">
        <v>0</v>
      </c>
      <c r="U2006">
        <v>0</v>
      </c>
      <c r="V2006">
        <v>0</v>
      </c>
      <c r="W2006">
        <v>0</v>
      </c>
      <c r="X2006">
        <v>0</v>
      </c>
      <c r="Y2006">
        <v>0</v>
      </c>
      <c r="Z2006">
        <v>0</v>
      </c>
      <c r="AA2006">
        <v>0</v>
      </c>
      <c r="AB2006">
        <v>0</v>
      </c>
      <c r="AC2006">
        <v>0</v>
      </c>
      <c r="AD2006">
        <v>0</v>
      </c>
      <c r="AE2006">
        <v>0</v>
      </c>
      <c r="AF2006">
        <v>0</v>
      </c>
      <c r="AG2006">
        <v>0</v>
      </c>
      <c r="AH2006">
        <v>0</v>
      </c>
      <c r="AI2006">
        <v>0</v>
      </c>
      <c r="AJ2006">
        <v>0</v>
      </c>
      <c r="AK2006">
        <v>0</v>
      </c>
      <c r="AL2006">
        <v>0</v>
      </c>
      <c r="AM2006">
        <v>12.07</v>
      </c>
      <c r="AN2006">
        <v>0</v>
      </c>
      <c r="AO2006">
        <v>0</v>
      </c>
      <c r="AP2006">
        <v>0</v>
      </c>
      <c r="AQ2006">
        <v>0</v>
      </c>
      <c r="AR2006">
        <v>0</v>
      </c>
      <c r="AS2006">
        <v>0</v>
      </c>
      <c r="AT2006">
        <v>0</v>
      </c>
      <c r="AU2006">
        <v>0</v>
      </c>
      <c r="AV2006">
        <v>0</v>
      </c>
      <c r="AW2006">
        <v>0</v>
      </c>
      <c r="AX2006">
        <v>0</v>
      </c>
      <c r="AY2006">
        <v>0</v>
      </c>
      <c r="AZ2006">
        <v>0</v>
      </c>
      <c r="BA2006">
        <v>0</v>
      </c>
      <c r="BB2006">
        <v>0</v>
      </c>
      <c r="BC2006">
        <v>0</v>
      </c>
      <c r="BD2006">
        <v>0</v>
      </c>
      <c r="BE2006">
        <v>0</v>
      </c>
      <c r="BF2006">
        <v>0</v>
      </c>
      <c r="BG2006">
        <v>0</v>
      </c>
      <c r="BH2006">
        <v>1</v>
      </c>
      <c r="BI2006">
        <v>2.9</v>
      </c>
      <c r="BJ2006">
        <v>1.3</v>
      </c>
      <c r="BK2006">
        <v>3</v>
      </c>
      <c r="BL2006" s="4">
        <v>70.95</v>
      </c>
      <c r="BM2006" s="4">
        <v>10.64</v>
      </c>
      <c r="BN2006" s="4">
        <v>81.59</v>
      </c>
      <c r="BO2006" s="4">
        <v>81.59</v>
      </c>
      <c r="BQ2006" t="s">
        <v>93</v>
      </c>
      <c r="BR2006" t="s">
        <v>105</v>
      </c>
      <c r="BS2006" s="3">
        <v>43809</v>
      </c>
      <c r="BT2006" s="5">
        <v>0.56944444444444442</v>
      </c>
      <c r="BU2006" t="s">
        <v>949</v>
      </c>
      <c r="BV2006" t="s">
        <v>86</v>
      </c>
      <c r="BY2006">
        <v>6654.48</v>
      </c>
      <c r="BZ2006" t="s">
        <v>27</v>
      </c>
      <c r="CA2006" t="s">
        <v>1477</v>
      </c>
      <c r="CC2006" t="s">
        <v>1498</v>
      </c>
      <c r="CD2006">
        <v>407</v>
      </c>
      <c r="CE2006" t="s">
        <v>96</v>
      </c>
      <c r="CF2006" s="3">
        <v>43810</v>
      </c>
      <c r="CI2006">
        <v>1</v>
      </c>
      <c r="CJ2006">
        <v>1</v>
      </c>
      <c r="CK2006">
        <v>34</v>
      </c>
      <c r="CL2006" t="s">
        <v>89</v>
      </c>
    </row>
    <row r="2007" spans="1:90">
      <c r="A2007" t="s">
        <v>72</v>
      </c>
      <c r="B2007" t="s">
        <v>73</v>
      </c>
      <c r="C2007" t="s">
        <v>74</v>
      </c>
      <c r="E2007" t="str">
        <f>"FES1162727370"</f>
        <v>FES1162727370</v>
      </c>
      <c r="F2007" s="3">
        <v>43808</v>
      </c>
      <c r="G2007">
        <v>202006</v>
      </c>
      <c r="H2007" t="s">
        <v>75</v>
      </c>
      <c r="I2007" t="s">
        <v>76</v>
      </c>
      <c r="J2007" t="s">
        <v>100</v>
      </c>
      <c r="K2007" t="s">
        <v>78</v>
      </c>
      <c r="L2007" t="s">
        <v>430</v>
      </c>
      <c r="M2007" t="s">
        <v>431</v>
      </c>
      <c r="N2007" t="s">
        <v>1600</v>
      </c>
      <c r="O2007" t="s">
        <v>1340</v>
      </c>
      <c r="P2007" t="str">
        <f>"217020853                     "</f>
        <v xml:space="preserve">217020853                     </v>
      </c>
      <c r="Q2007">
        <v>0</v>
      </c>
      <c r="R2007">
        <v>0</v>
      </c>
      <c r="S2007">
        <v>0</v>
      </c>
      <c r="T2007">
        <v>0</v>
      </c>
      <c r="U2007">
        <v>0</v>
      </c>
      <c r="V2007">
        <v>0</v>
      </c>
      <c r="W2007">
        <v>0</v>
      </c>
      <c r="X2007">
        <v>0</v>
      </c>
      <c r="Y2007">
        <v>0</v>
      </c>
      <c r="Z2007">
        <v>0</v>
      </c>
      <c r="AA2007">
        <v>0</v>
      </c>
      <c r="AB2007">
        <v>0</v>
      </c>
      <c r="AC2007">
        <v>0</v>
      </c>
      <c r="AD2007">
        <v>0</v>
      </c>
      <c r="AE2007">
        <v>0</v>
      </c>
      <c r="AF2007">
        <v>0</v>
      </c>
      <c r="AG2007">
        <v>0</v>
      </c>
      <c r="AH2007">
        <v>0</v>
      </c>
      <c r="AI2007">
        <v>0</v>
      </c>
      <c r="AJ2007">
        <v>0</v>
      </c>
      <c r="AK2007">
        <v>0</v>
      </c>
      <c r="AL2007">
        <v>0</v>
      </c>
      <c r="AM2007">
        <v>12.07</v>
      </c>
      <c r="AN2007">
        <v>0</v>
      </c>
      <c r="AO2007">
        <v>0</v>
      </c>
      <c r="AP2007">
        <v>0</v>
      </c>
      <c r="AQ2007">
        <v>0</v>
      </c>
      <c r="AR2007">
        <v>0</v>
      </c>
      <c r="AS2007">
        <v>0</v>
      </c>
      <c r="AT2007">
        <v>0</v>
      </c>
      <c r="AU2007">
        <v>0</v>
      </c>
      <c r="AV2007">
        <v>0</v>
      </c>
      <c r="AW2007">
        <v>0</v>
      </c>
      <c r="AX2007">
        <v>0</v>
      </c>
      <c r="AY2007">
        <v>0</v>
      </c>
      <c r="AZ2007">
        <v>0</v>
      </c>
      <c r="BA2007">
        <v>0</v>
      </c>
      <c r="BB2007">
        <v>0</v>
      </c>
      <c r="BC2007">
        <v>0</v>
      </c>
      <c r="BD2007">
        <v>0</v>
      </c>
      <c r="BE2007">
        <v>0</v>
      </c>
      <c r="BF2007">
        <v>0</v>
      </c>
      <c r="BG2007">
        <v>0</v>
      </c>
      <c r="BH2007">
        <v>1</v>
      </c>
      <c r="BI2007">
        <v>2.2000000000000002</v>
      </c>
      <c r="BJ2007">
        <v>2.2999999999999998</v>
      </c>
      <c r="BK2007">
        <v>3</v>
      </c>
      <c r="BL2007" s="4">
        <v>70.95</v>
      </c>
      <c r="BM2007" s="4">
        <v>10.64</v>
      </c>
      <c r="BN2007" s="4">
        <v>81.59</v>
      </c>
      <c r="BO2007" s="4">
        <v>81.59</v>
      </c>
      <c r="BQ2007" t="s">
        <v>1601</v>
      </c>
      <c r="BR2007" t="s">
        <v>105</v>
      </c>
      <c r="BS2007" s="3">
        <v>43809</v>
      </c>
      <c r="BT2007" s="5">
        <v>0.3923611111111111</v>
      </c>
      <c r="BU2007" t="s">
        <v>1602</v>
      </c>
      <c r="BV2007" t="s">
        <v>86</v>
      </c>
      <c r="BY2007">
        <v>11449.26</v>
      </c>
      <c r="BZ2007" t="s">
        <v>27</v>
      </c>
      <c r="CA2007" t="s">
        <v>434</v>
      </c>
      <c r="CC2007" t="s">
        <v>431</v>
      </c>
      <c r="CD2007">
        <v>250</v>
      </c>
      <c r="CE2007" t="s">
        <v>116</v>
      </c>
      <c r="CF2007" s="3">
        <v>43811</v>
      </c>
      <c r="CI2007">
        <v>1</v>
      </c>
      <c r="CJ2007">
        <v>1</v>
      </c>
      <c r="CK2007">
        <v>34</v>
      </c>
      <c r="CL2007" t="s">
        <v>89</v>
      </c>
    </row>
    <row r="2008" spans="1:90">
      <c r="A2008" t="s">
        <v>72</v>
      </c>
      <c r="B2008" t="s">
        <v>73</v>
      </c>
      <c r="C2008" t="s">
        <v>74</v>
      </c>
      <c r="E2008" t="str">
        <f>"FES1162727358"</f>
        <v>FES1162727358</v>
      </c>
      <c r="F2008" s="3">
        <v>43808</v>
      </c>
      <c r="G2008">
        <v>202006</v>
      </c>
      <c r="H2008" t="s">
        <v>75</v>
      </c>
      <c r="I2008" t="s">
        <v>76</v>
      </c>
      <c r="J2008" t="s">
        <v>100</v>
      </c>
      <c r="K2008" t="s">
        <v>78</v>
      </c>
      <c r="L2008" t="s">
        <v>430</v>
      </c>
      <c r="M2008" t="s">
        <v>431</v>
      </c>
      <c r="N2008" t="s">
        <v>1600</v>
      </c>
      <c r="O2008" t="s">
        <v>1340</v>
      </c>
      <c r="P2008" t="str">
        <f>"217071720839                  "</f>
        <v xml:space="preserve">217071720839                  </v>
      </c>
      <c r="Q2008">
        <v>0</v>
      </c>
      <c r="R2008">
        <v>0</v>
      </c>
      <c r="S2008">
        <v>0</v>
      </c>
      <c r="T2008">
        <v>0</v>
      </c>
      <c r="U2008">
        <v>0</v>
      </c>
      <c r="V2008">
        <v>0</v>
      </c>
      <c r="W2008">
        <v>0</v>
      </c>
      <c r="X2008">
        <v>0</v>
      </c>
      <c r="Y2008">
        <v>0</v>
      </c>
      <c r="Z2008">
        <v>0</v>
      </c>
      <c r="AA2008">
        <v>0</v>
      </c>
      <c r="AB2008">
        <v>0</v>
      </c>
      <c r="AC2008">
        <v>0</v>
      </c>
      <c r="AD2008">
        <v>0</v>
      </c>
      <c r="AE2008">
        <v>0</v>
      </c>
      <c r="AF2008">
        <v>0</v>
      </c>
      <c r="AG2008">
        <v>0</v>
      </c>
      <c r="AH2008">
        <v>0</v>
      </c>
      <c r="AI2008">
        <v>0</v>
      </c>
      <c r="AJ2008">
        <v>0</v>
      </c>
      <c r="AK2008">
        <v>0</v>
      </c>
      <c r="AL2008">
        <v>0</v>
      </c>
      <c r="AM2008">
        <v>19.32</v>
      </c>
      <c r="AN2008">
        <v>0</v>
      </c>
      <c r="AO2008">
        <v>0</v>
      </c>
      <c r="AP2008">
        <v>0</v>
      </c>
      <c r="AQ2008">
        <v>0</v>
      </c>
      <c r="AR2008">
        <v>0</v>
      </c>
      <c r="AS2008">
        <v>0</v>
      </c>
      <c r="AT2008">
        <v>0</v>
      </c>
      <c r="AU2008">
        <v>0</v>
      </c>
      <c r="AV2008">
        <v>0</v>
      </c>
      <c r="AW2008">
        <v>0</v>
      </c>
      <c r="AX2008">
        <v>0</v>
      </c>
      <c r="AY2008">
        <v>0</v>
      </c>
      <c r="AZ2008">
        <v>0</v>
      </c>
      <c r="BA2008">
        <v>0</v>
      </c>
      <c r="BB2008">
        <v>0</v>
      </c>
      <c r="BC2008">
        <v>0</v>
      </c>
      <c r="BD2008">
        <v>0</v>
      </c>
      <c r="BE2008">
        <v>0</v>
      </c>
      <c r="BF2008">
        <v>0</v>
      </c>
      <c r="BG2008">
        <v>0</v>
      </c>
      <c r="BH2008">
        <v>1</v>
      </c>
      <c r="BI2008">
        <v>3.2</v>
      </c>
      <c r="BJ2008">
        <v>5.3</v>
      </c>
      <c r="BK2008">
        <v>6</v>
      </c>
      <c r="BL2008" s="4">
        <v>113.54</v>
      </c>
      <c r="BM2008" s="4">
        <v>17.03</v>
      </c>
      <c r="BN2008" s="4">
        <v>130.57</v>
      </c>
      <c r="BO2008" s="4">
        <v>130.57</v>
      </c>
      <c r="BQ2008" t="s">
        <v>1601</v>
      </c>
      <c r="BR2008" t="s">
        <v>105</v>
      </c>
      <c r="BS2008" s="3">
        <v>43809</v>
      </c>
      <c r="BT2008" s="5">
        <v>0.3923611111111111</v>
      </c>
      <c r="BU2008" t="s">
        <v>1602</v>
      </c>
      <c r="BV2008" t="s">
        <v>86</v>
      </c>
      <c r="BY2008">
        <v>26535.97</v>
      </c>
      <c r="BZ2008" t="s">
        <v>27</v>
      </c>
      <c r="CA2008" t="s">
        <v>434</v>
      </c>
      <c r="CC2008" t="s">
        <v>431</v>
      </c>
      <c r="CD2008">
        <v>250</v>
      </c>
      <c r="CE2008" t="s">
        <v>116</v>
      </c>
      <c r="CF2008" s="3">
        <v>43811</v>
      </c>
      <c r="CI2008">
        <v>1</v>
      </c>
      <c r="CJ2008">
        <v>1</v>
      </c>
      <c r="CK2008">
        <v>34</v>
      </c>
      <c r="CL2008" t="s">
        <v>89</v>
      </c>
    </row>
    <row r="2009" spans="1:90">
      <c r="A2009" t="s">
        <v>72</v>
      </c>
      <c r="B2009" t="s">
        <v>73</v>
      </c>
      <c r="C2009" t="s">
        <v>74</v>
      </c>
      <c r="E2009" t="str">
        <f>"FES1162727212"</f>
        <v>FES1162727212</v>
      </c>
      <c r="F2009" s="3">
        <v>43808</v>
      </c>
      <c r="G2009">
        <v>202006</v>
      </c>
      <c r="H2009" t="s">
        <v>75</v>
      </c>
      <c r="I2009" t="s">
        <v>76</v>
      </c>
      <c r="J2009" t="s">
        <v>100</v>
      </c>
      <c r="K2009" t="s">
        <v>78</v>
      </c>
      <c r="L2009" t="s">
        <v>1679</v>
      </c>
      <c r="M2009" t="s">
        <v>1680</v>
      </c>
      <c r="N2009" t="s">
        <v>2304</v>
      </c>
      <c r="O2009" t="s">
        <v>1340</v>
      </c>
      <c r="P2009" t="str">
        <f>"2170720691                    "</f>
        <v xml:space="preserve">2170720691                    </v>
      </c>
      <c r="Q2009">
        <v>0</v>
      </c>
      <c r="R2009">
        <v>0</v>
      </c>
      <c r="S2009">
        <v>0</v>
      </c>
      <c r="T2009">
        <v>0</v>
      </c>
      <c r="U2009">
        <v>0</v>
      </c>
      <c r="V2009">
        <v>0</v>
      </c>
      <c r="W2009">
        <v>0</v>
      </c>
      <c r="X2009">
        <v>0</v>
      </c>
      <c r="Y2009">
        <v>0</v>
      </c>
      <c r="Z2009">
        <v>0</v>
      </c>
      <c r="AA2009">
        <v>0</v>
      </c>
      <c r="AB2009">
        <v>0</v>
      </c>
      <c r="AC2009">
        <v>0</v>
      </c>
      <c r="AD2009">
        <v>0</v>
      </c>
      <c r="AE2009">
        <v>0</v>
      </c>
      <c r="AF2009">
        <v>0</v>
      </c>
      <c r="AG2009">
        <v>0</v>
      </c>
      <c r="AH2009">
        <v>0</v>
      </c>
      <c r="AI2009">
        <v>0</v>
      </c>
      <c r="AJ2009">
        <v>0</v>
      </c>
      <c r="AK2009">
        <v>0</v>
      </c>
      <c r="AL2009">
        <v>0</v>
      </c>
      <c r="AM2009">
        <v>15.69</v>
      </c>
      <c r="AN2009">
        <v>0</v>
      </c>
      <c r="AO2009">
        <v>0</v>
      </c>
      <c r="AP2009">
        <v>0</v>
      </c>
      <c r="AQ2009">
        <v>0</v>
      </c>
      <c r="AR2009">
        <v>0</v>
      </c>
      <c r="AS2009">
        <v>0</v>
      </c>
      <c r="AT2009">
        <v>0</v>
      </c>
      <c r="AU2009">
        <v>0</v>
      </c>
      <c r="AV2009">
        <v>0</v>
      </c>
      <c r="AW2009">
        <v>0</v>
      </c>
      <c r="AX2009">
        <v>0</v>
      </c>
      <c r="AY2009">
        <v>0</v>
      </c>
      <c r="AZ2009">
        <v>0</v>
      </c>
      <c r="BA2009">
        <v>0</v>
      </c>
      <c r="BB2009">
        <v>0</v>
      </c>
      <c r="BC2009">
        <v>0</v>
      </c>
      <c r="BD2009">
        <v>0</v>
      </c>
      <c r="BE2009">
        <v>0</v>
      </c>
      <c r="BF2009">
        <v>0</v>
      </c>
      <c r="BG2009">
        <v>0</v>
      </c>
      <c r="BH2009">
        <v>1</v>
      </c>
      <c r="BI2009">
        <v>4.4000000000000004</v>
      </c>
      <c r="BJ2009">
        <v>3</v>
      </c>
      <c r="BK2009">
        <v>5</v>
      </c>
      <c r="BL2009" s="4">
        <v>92.24</v>
      </c>
      <c r="BM2009" s="4">
        <v>13.84</v>
      </c>
      <c r="BN2009" s="4">
        <v>106.08</v>
      </c>
      <c r="BO2009" s="4">
        <v>106.08</v>
      </c>
      <c r="BQ2009" t="s">
        <v>93</v>
      </c>
      <c r="BR2009" t="s">
        <v>105</v>
      </c>
      <c r="BS2009" s="3">
        <v>43809</v>
      </c>
      <c r="BT2009" s="5">
        <v>0.43472222222222223</v>
      </c>
      <c r="BU2009" t="s">
        <v>2305</v>
      </c>
      <c r="BV2009" t="s">
        <v>86</v>
      </c>
      <c r="BY2009">
        <v>15173.25</v>
      </c>
      <c r="BZ2009" t="s">
        <v>27</v>
      </c>
      <c r="CA2009" t="s">
        <v>1683</v>
      </c>
      <c r="CC2009" t="s">
        <v>1680</v>
      </c>
      <c r="CD2009">
        <v>2200</v>
      </c>
      <c r="CE2009" t="s">
        <v>96</v>
      </c>
      <c r="CF2009" s="3">
        <v>43810</v>
      </c>
      <c r="CI2009">
        <v>1</v>
      </c>
      <c r="CJ2009">
        <v>1</v>
      </c>
      <c r="CK2009">
        <v>34</v>
      </c>
      <c r="CL2009" t="s">
        <v>89</v>
      </c>
    </row>
    <row r="2010" spans="1:90">
      <c r="A2010" t="s">
        <v>72</v>
      </c>
      <c r="B2010" t="s">
        <v>73</v>
      </c>
      <c r="C2010" t="s">
        <v>74</v>
      </c>
      <c r="E2010" t="str">
        <f>"FES1162726295"</f>
        <v>FES1162726295</v>
      </c>
      <c r="F2010" s="3">
        <v>43801</v>
      </c>
      <c r="G2010">
        <v>202006</v>
      </c>
      <c r="H2010" t="s">
        <v>75</v>
      </c>
      <c r="I2010" t="s">
        <v>76</v>
      </c>
      <c r="J2010" t="s">
        <v>100</v>
      </c>
      <c r="K2010" t="s">
        <v>78</v>
      </c>
      <c r="L2010" t="s">
        <v>2306</v>
      </c>
      <c r="M2010" t="s">
        <v>2307</v>
      </c>
      <c r="N2010" t="s">
        <v>2308</v>
      </c>
      <c r="O2010" t="s">
        <v>1340</v>
      </c>
      <c r="P2010" t="str">
        <f>"2170719174                    "</f>
        <v xml:space="preserve">2170719174                    </v>
      </c>
      <c r="Q2010">
        <v>0</v>
      </c>
      <c r="R2010">
        <v>0</v>
      </c>
      <c r="S2010">
        <v>0</v>
      </c>
      <c r="T2010">
        <v>0</v>
      </c>
      <c r="U2010">
        <v>0</v>
      </c>
      <c r="V2010">
        <v>0</v>
      </c>
      <c r="W2010">
        <v>0</v>
      </c>
      <c r="X2010">
        <v>0</v>
      </c>
      <c r="Y2010">
        <v>0</v>
      </c>
      <c r="Z2010">
        <v>0</v>
      </c>
      <c r="AA2010">
        <v>0</v>
      </c>
      <c r="AB2010">
        <v>0</v>
      </c>
      <c r="AC2010">
        <v>0</v>
      </c>
      <c r="AD2010">
        <v>0</v>
      </c>
      <c r="AE2010">
        <v>0</v>
      </c>
      <c r="AF2010">
        <v>0</v>
      </c>
      <c r="AG2010">
        <v>0</v>
      </c>
      <c r="AH2010">
        <v>0</v>
      </c>
      <c r="AI2010">
        <v>0</v>
      </c>
      <c r="AJ2010">
        <v>0</v>
      </c>
      <c r="AK2010">
        <v>0</v>
      </c>
      <c r="AL2010">
        <v>0</v>
      </c>
      <c r="AM2010">
        <v>12.07</v>
      </c>
      <c r="AN2010">
        <v>0</v>
      </c>
      <c r="AO2010">
        <v>0</v>
      </c>
      <c r="AP2010">
        <v>0</v>
      </c>
      <c r="AQ2010">
        <v>0</v>
      </c>
      <c r="AR2010">
        <v>0</v>
      </c>
      <c r="AS2010">
        <v>0</v>
      </c>
      <c r="AT2010">
        <v>0</v>
      </c>
      <c r="AU2010">
        <v>0</v>
      </c>
      <c r="AV2010">
        <v>0</v>
      </c>
      <c r="AW2010">
        <v>0</v>
      </c>
      <c r="AX2010">
        <v>0</v>
      </c>
      <c r="AY2010">
        <v>0</v>
      </c>
      <c r="AZ2010">
        <v>0</v>
      </c>
      <c r="BA2010">
        <v>0</v>
      </c>
      <c r="BB2010">
        <v>0</v>
      </c>
      <c r="BC2010">
        <v>0</v>
      </c>
      <c r="BD2010">
        <v>0</v>
      </c>
      <c r="BE2010">
        <v>0</v>
      </c>
      <c r="BF2010">
        <v>0</v>
      </c>
      <c r="BG2010">
        <v>0</v>
      </c>
      <c r="BH2010">
        <v>1</v>
      </c>
      <c r="BI2010">
        <v>2.6</v>
      </c>
      <c r="BJ2010">
        <v>1.8</v>
      </c>
      <c r="BK2010">
        <v>3</v>
      </c>
      <c r="BL2010" s="4">
        <v>70.95</v>
      </c>
      <c r="BM2010" s="4">
        <v>10.64</v>
      </c>
      <c r="BN2010" s="4">
        <v>81.59</v>
      </c>
      <c r="BO2010" s="4">
        <v>81.59</v>
      </c>
      <c r="BR2010" t="s">
        <v>105</v>
      </c>
      <c r="BS2010" s="3">
        <v>43802</v>
      </c>
      <c r="BT2010" s="5">
        <v>0.43611111111111112</v>
      </c>
      <c r="BU2010" t="s">
        <v>2309</v>
      </c>
      <c r="BV2010" t="s">
        <v>86</v>
      </c>
      <c r="BY2010">
        <v>9152.35</v>
      </c>
      <c r="BZ2010" t="s">
        <v>27</v>
      </c>
      <c r="CA2010" t="s">
        <v>2310</v>
      </c>
      <c r="CC2010" t="s">
        <v>2307</v>
      </c>
      <c r="CD2010">
        <v>1133</v>
      </c>
      <c r="CE2010" t="s">
        <v>96</v>
      </c>
      <c r="CF2010" s="3">
        <v>43804</v>
      </c>
      <c r="CI2010">
        <v>3</v>
      </c>
      <c r="CJ2010">
        <v>1</v>
      </c>
      <c r="CK2010">
        <v>34</v>
      </c>
      <c r="CL2010" t="s">
        <v>89</v>
      </c>
    </row>
    <row r="2011" spans="1:90">
      <c r="A2011" t="s">
        <v>72</v>
      </c>
      <c r="B2011" t="s">
        <v>73</v>
      </c>
      <c r="C2011" t="s">
        <v>74</v>
      </c>
      <c r="E2011" t="str">
        <f>"FES1162726849"</f>
        <v>FES1162726849</v>
      </c>
      <c r="F2011" s="3">
        <v>43804</v>
      </c>
      <c r="G2011">
        <v>202006</v>
      </c>
      <c r="H2011" t="s">
        <v>75</v>
      </c>
      <c r="I2011" t="s">
        <v>76</v>
      </c>
      <c r="J2011" t="s">
        <v>100</v>
      </c>
      <c r="K2011" t="s">
        <v>78</v>
      </c>
      <c r="L2011" t="s">
        <v>90</v>
      </c>
      <c r="M2011" t="s">
        <v>91</v>
      </c>
      <c r="N2011" t="s">
        <v>219</v>
      </c>
      <c r="O2011" t="s">
        <v>82</v>
      </c>
      <c r="P2011" t="str">
        <f>"217071298                     "</f>
        <v xml:space="preserve">217071298                     </v>
      </c>
      <c r="Q2011">
        <v>0</v>
      </c>
      <c r="R2011">
        <v>0</v>
      </c>
      <c r="S2011">
        <v>0</v>
      </c>
      <c r="T2011">
        <v>0</v>
      </c>
      <c r="U2011">
        <v>0</v>
      </c>
      <c r="V2011">
        <v>0</v>
      </c>
      <c r="W2011">
        <v>0</v>
      </c>
      <c r="X2011">
        <v>0</v>
      </c>
      <c r="Y2011">
        <v>0</v>
      </c>
      <c r="Z2011">
        <v>0</v>
      </c>
      <c r="AA2011">
        <v>0</v>
      </c>
      <c r="AB2011">
        <v>0</v>
      </c>
      <c r="AC2011">
        <v>0</v>
      </c>
      <c r="AD2011">
        <v>0</v>
      </c>
      <c r="AE2011">
        <v>0</v>
      </c>
      <c r="AF2011">
        <v>0</v>
      </c>
      <c r="AG2011">
        <v>0</v>
      </c>
      <c r="AH2011">
        <v>0</v>
      </c>
      <c r="AI2011">
        <v>0</v>
      </c>
      <c r="AJ2011">
        <v>0</v>
      </c>
      <c r="AK2011">
        <v>0</v>
      </c>
      <c r="AL2011">
        <v>0</v>
      </c>
      <c r="AM2011">
        <v>42.89</v>
      </c>
      <c r="AN2011">
        <v>0</v>
      </c>
      <c r="AO2011">
        <v>0</v>
      </c>
      <c r="AP2011">
        <v>0</v>
      </c>
      <c r="AQ2011">
        <v>0</v>
      </c>
      <c r="AR2011">
        <v>0</v>
      </c>
      <c r="AS2011">
        <v>0</v>
      </c>
      <c r="AT2011">
        <v>0</v>
      </c>
      <c r="AU2011">
        <v>0</v>
      </c>
      <c r="AV2011">
        <v>0</v>
      </c>
      <c r="AW2011">
        <v>0</v>
      </c>
      <c r="AX2011">
        <v>0</v>
      </c>
      <c r="AY2011">
        <v>0</v>
      </c>
      <c r="AZ2011">
        <v>0</v>
      </c>
      <c r="BA2011">
        <v>0</v>
      </c>
      <c r="BB2011">
        <v>0</v>
      </c>
      <c r="BC2011">
        <v>0</v>
      </c>
      <c r="BD2011">
        <v>0</v>
      </c>
      <c r="BE2011">
        <v>0</v>
      </c>
      <c r="BF2011">
        <v>0</v>
      </c>
      <c r="BG2011">
        <v>0</v>
      </c>
      <c r="BH2011">
        <v>1</v>
      </c>
      <c r="BI2011">
        <v>10</v>
      </c>
      <c r="BJ2011">
        <v>9.1</v>
      </c>
      <c r="BK2011">
        <v>10</v>
      </c>
      <c r="BL2011" s="4">
        <v>252.12</v>
      </c>
      <c r="BM2011" s="4">
        <v>37.82</v>
      </c>
      <c r="BN2011" s="4">
        <v>289.94</v>
      </c>
      <c r="BO2011" s="4">
        <v>289.94</v>
      </c>
      <c r="BQ2011" t="s">
        <v>93</v>
      </c>
      <c r="BR2011" t="s">
        <v>105</v>
      </c>
      <c r="BS2011" s="3">
        <v>43805</v>
      </c>
      <c r="BT2011" s="5">
        <v>0.3659722222222222</v>
      </c>
      <c r="BU2011" t="s">
        <v>976</v>
      </c>
      <c r="BV2011" t="s">
        <v>86</v>
      </c>
      <c r="BY2011">
        <v>45632</v>
      </c>
      <c r="BZ2011" t="s">
        <v>27</v>
      </c>
      <c r="CA2011" t="s">
        <v>112</v>
      </c>
      <c r="CC2011" t="s">
        <v>91</v>
      </c>
      <c r="CD2011">
        <v>7441</v>
      </c>
      <c r="CE2011" t="s">
        <v>96</v>
      </c>
      <c r="CF2011" s="3">
        <v>43808</v>
      </c>
      <c r="CI2011">
        <v>1</v>
      </c>
      <c r="CJ2011">
        <v>1</v>
      </c>
      <c r="CK2011">
        <v>21</v>
      </c>
      <c r="CL2011" t="s">
        <v>89</v>
      </c>
    </row>
    <row r="2012" spans="1:90">
      <c r="A2012" t="s">
        <v>72</v>
      </c>
      <c r="B2012" t="s">
        <v>73</v>
      </c>
      <c r="C2012" t="s">
        <v>74</v>
      </c>
      <c r="E2012" t="str">
        <f>"FES1162726576"</f>
        <v>FES1162726576</v>
      </c>
      <c r="F2012" s="3">
        <v>43803</v>
      </c>
      <c r="G2012">
        <v>202006</v>
      </c>
      <c r="H2012" t="s">
        <v>75</v>
      </c>
      <c r="I2012" t="s">
        <v>76</v>
      </c>
      <c r="J2012" t="s">
        <v>100</v>
      </c>
      <c r="K2012" t="s">
        <v>78</v>
      </c>
      <c r="L2012" t="s">
        <v>2100</v>
      </c>
      <c r="M2012" t="s">
        <v>2101</v>
      </c>
      <c r="N2012" t="s">
        <v>2248</v>
      </c>
      <c r="O2012" t="s">
        <v>1340</v>
      </c>
      <c r="P2012" t="str">
        <f>"217079793                     "</f>
        <v xml:space="preserve">217079793                     </v>
      </c>
      <c r="Q2012">
        <v>0</v>
      </c>
      <c r="R2012">
        <v>0</v>
      </c>
      <c r="S2012">
        <v>0</v>
      </c>
      <c r="T2012">
        <v>0</v>
      </c>
      <c r="U2012">
        <v>0</v>
      </c>
      <c r="V2012">
        <v>0</v>
      </c>
      <c r="W2012">
        <v>0</v>
      </c>
      <c r="X2012">
        <v>0</v>
      </c>
      <c r="Y2012">
        <v>0</v>
      </c>
      <c r="Z2012">
        <v>0</v>
      </c>
      <c r="AA2012">
        <v>0</v>
      </c>
      <c r="AB2012">
        <v>0</v>
      </c>
      <c r="AC2012">
        <v>0</v>
      </c>
      <c r="AD2012">
        <v>0</v>
      </c>
      <c r="AE2012">
        <v>0</v>
      </c>
      <c r="AF2012">
        <v>0</v>
      </c>
      <c r="AG2012">
        <v>0</v>
      </c>
      <c r="AH2012">
        <v>0</v>
      </c>
      <c r="AI2012">
        <v>0</v>
      </c>
      <c r="AJ2012">
        <v>0</v>
      </c>
      <c r="AK2012">
        <v>0</v>
      </c>
      <c r="AL2012">
        <v>0</v>
      </c>
      <c r="AM2012">
        <v>22.94</v>
      </c>
      <c r="AN2012">
        <v>0</v>
      </c>
      <c r="AO2012">
        <v>0</v>
      </c>
      <c r="AP2012">
        <v>0</v>
      </c>
      <c r="AQ2012">
        <v>0</v>
      </c>
      <c r="AR2012">
        <v>0</v>
      </c>
      <c r="AS2012">
        <v>0</v>
      </c>
      <c r="AT2012">
        <v>0</v>
      </c>
      <c r="AU2012">
        <v>0</v>
      </c>
      <c r="AV2012">
        <v>0</v>
      </c>
      <c r="AW2012">
        <v>0</v>
      </c>
      <c r="AX2012">
        <v>0</v>
      </c>
      <c r="AY2012">
        <v>0</v>
      </c>
      <c r="AZ2012">
        <v>0</v>
      </c>
      <c r="BA2012">
        <v>0</v>
      </c>
      <c r="BB2012">
        <v>0</v>
      </c>
      <c r="BC2012">
        <v>0</v>
      </c>
      <c r="BD2012">
        <v>0</v>
      </c>
      <c r="BE2012">
        <v>0</v>
      </c>
      <c r="BF2012">
        <v>0</v>
      </c>
      <c r="BG2012">
        <v>0</v>
      </c>
      <c r="BH2012">
        <v>1</v>
      </c>
      <c r="BI2012">
        <v>6.6</v>
      </c>
      <c r="BJ2012">
        <v>2.7</v>
      </c>
      <c r="BK2012">
        <v>7</v>
      </c>
      <c r="BL2012" s="4">
        <v>134.83000000000001</v>
      </c>
      <c r="BM2012" s="4">
        <v>20.22</v>
      </c>
      <c r="BN2012" s="4">
        <v>155.05000000000001</v>
      </c>
      <c r="BO2012" s="4">
        <v>155.05000000000001</v>
      </c>
      <c r="BQ2012" t="s">
        <v>93</v>
      </c>
      <c r="BR2012" t="s">
        <v>105</v>
      </c>
      <c r="BS2012" s="3">
        <v>43804</v>
      </c>
      <c r="BT2012" s="5">
        <v>0.4375</v>
      </c>
      <c r="BU2012" t="s">
        <v>2311</v>
      </c>
      <c r="BV2012" t="s">
        <v>86</v>
      </c>
      <c r="BY2012">
        <v>13508.18</v>
      </c>
      <c r="BZ2012" t="s">
        <v>27</v>
      </c>
      <c r="CA2012" t="s">
        <v>344</v>
      </c>
      <c r="CC2012" t="s">
        <v>2101</v>
      </c>
      <c r="CD2012">
        <v>1438</v>
      </c>
      <c r="CE2012" t="s">
        <v>116</v>
      </c>
      <c r="CF2012" s="3">
        <v>43805</v>
      </c>
      <c r="CI2012">
        <v>1</v>
      </c>
      <c r="CJ2012">
        <v>1</v>
      </c>
      <c r="CK2012">
        <v>34</v>
      </c>
      <c r="CL2012" t="s">
        <v>89</v>
      </c>
    </row>
    <row r="2013" spans="1:90">
      <c r="A2013" t="s">
        <v>72</v>
      </c>
      <c r="B2013" t="s">
        <v>73</v>
      </c>
      <c r="C2013" t="s">
        <v>74</v>
      </c>
      <c r="E2013" t="str">
        <f>"FES1162727130"</f>
        <v>FES1162727130</v>
      </c>
      <c r="F2013" s="3">
        <v>43804</v>
      </c>
      <c r="G2013">
        <v>202006</v>
      </c>
      <c r="H2013" t="s">
        <v>75</v>
      </c>
      <c r="I2013" t="s">
        <v>76</v>
      </c>
      <c r="J2013" t="s">
        <v>100</v>
      </c>
      <c r="K2013" t="s">
        <v>78</v>
      </c>
      <c r="L2013" t="s">
        <v>221</v>
      </c>
      <c r="M2013" t="s">
        <v>222</v>
      </c>
      <c r="N2013" t="s">
        <v>236</v>
      </c>
      <c r="O2013" t="s">
        <v>82</v>
      </c>
      <c r="P2013" t="str">
        <f>"2170720596                    "</f>
        <v xml:space="preserve">2170720596                    </v>
      </c>
      <c r="Q2013">
        <v>0</v>
      </c>
      <c r="R2013">
        <v>0</v>
      </c>
      <c r="S2013">
        <v>0</v>
      </c>
      <c r="T2013">
        <v>0</v>
      </c>
      <c r="U2013">
        <v>0</v>
      </c>
      <c r="V2013">
        <v>0</v>
      </c>
      <c r="W2013">
        <v>0</v>
      </c>
      <c r="X2013">
        <v>0</v>
      </c>
      <c r="Y2013">
        <v>0</v>
      </c>
      <c r="Z2013">
        <v>0</v>
      </c>
      <c r="AA2013">
        <v>0</v>
      </c>
      <c r="AB2013">
        <v>0</v>
      </c>
      <c r="AC2013">
        <v>0</v>
      </c>
      <c r="AD2013">
        <v>0</v>
      </c>
      <c r="AE2013">
        <v>0</v>
      </c>
      <c r="AF2013">
        <v>0</v>
      </c>
      <c r="AG2013">
        <v>0</v>
      </c>
      <c r="AH2013">
        <v>0</v>
      </c>
      <c r="AI2013">
        <v>0</v>
      </c>
      <c r="AJ2013">
        <v>0</v>
      </c>
      <c r="AK2013">
        <v>0</v>
      </c>
      <c r="AL2013">
        <v>0</v>
      </c>
      <c r="AM2013">
        <v>8.58</v>
      </c>
      <c r="AN2013">
        <v>0</v>
      </c>
      <c r="AO2013">
        <v>0</v>
      </c>
      <c r="AP2013">
        <v>0</v>
      </c>
      <c r="AQ2013">
        <v>0</v>
      </c>
      <c r="AR2013">
        <v>0</v>
      </c>
      <c r="AS2013">
        <v>0</v>
      </c>
      <c r="AT2013">
        <v>0</v>
      </c>
      <c r="AU2013">
        <v>0</v>
      </c>
      <c r="AV2013">
        <v>0</v>
      </c>
      <c r="AW2013">
        <v>0</v>
      </c>
      <c r="AX2013">
        <v>0</v>
      </c>
      <c r="AY2013">
        <v>0</v>
      </c>
      <c r="AZ2013">
        <v>0</v>
      </c>
      <c r="BA2013">
        <v>0</v>
      </c>
      <c r="BB2013">
        <v>0</v>
      </c>
      <c r="BC2013">
        <v>0</v>
      </c>
      <c r="BD2013">
        <v>0</v>
      </c>
      <c r="BE2013">
        <v>0</v>
      </c>
      <c r="BF2013">
        <v>0</v>
      </c>
      <c r="BG2013">
        <v>0</v>
      </c>
      <c r="BH2013">
        <v>1</v>
      </c>
      <c r="BI2013">
        <v>1</v>
      </c>
      <c r="BJ2013">
        <v>1.1000000000000001</v>
      </c>
      <c r="BK2013">
        <v>1.5</v>
      </c>
      <c r="BL2013" s="4">
        <v>50.45</v>
      </c>
      <c r="BM2013" s="4">
        <v>7.57</v>
      </c>
      <c r="BN2013" s="4">
        <v>58.02</v>
      </c>
      <c r="BO2013" s="4">
        <v>58.02</v>
      </c>
      <c r="BQ2013" t="s">
        <v>93</v>
      </c>
      <c r="BR2013" t="s">
        <v>105</v>
      </c>
      <c r="BS2013" s="3">
        <v>43805</v>
      </c>
      <c r="BT2013" s="5">
        <v>0.38194444444444442</v>
      </c>
      <c r="BU2013" t="s">
        <v>2312</v>
      </c>
      <c r="BV2013" t="s">
        <v>86</v>
      </c>
      <c r="BY2013">
        <v>5320</v>
      </c>
      <c r="BZ2013" t="s">
        <v>27</v>
      </c>
      <c r="CA2013" t="s">
        <v>225</v>
      </c>
      <c r="CC2013" t="s">
        <v>222</v>
      </c>
      <c r="CD2013">
        <v>3212</v>
      </c>
      <c r="CE2013" t="s">
        <v>96</v>
      </c>
      <c r="CF2013" s="3">
        <v>43808</v>
      </c>
      <c r="CI2013">
        <v>1</v>
      </c>
      <c r="CJ2013">
        <v>1</v>
      </c>
      <c r="CK2013">
        <v>21</v>
      </c>
      <c r="CL2013" t="s">
        <v>89</v>
      </c>
    </row>
    <row r="2014" spans="1:90">
      <c r="A2014" t="s">
        <v>72</v>
      </c>
      <c r="B2014" t="s">
        <v>73</v>
      </c>
      <c r="C2014" t="s">
        <v>74</v>
      </c>
      <c r="E2014" t="str">
        <f>"FES1162726942"</f>
        <v>FES1162726942</v>
      </c>
      <c r="F2014" s="3">
        <v>43804</v>
      </c>
      <c r="G2014">
        <v>202006</v>
      </c>
      <c r="H2014" t="s">
        <v>75</v>
      </c>
      <c r="I2014" t="s">
        <v>76</v>
      </c>
      <c r="J2014" t="s">
        <v>100</v>
      </c>
      <c r="K2014" t="s">
        <v>78</v>
      </c>
      <c r="L2014" t="s">
        <v>1497</v>
      </c>
      <c r="M2014" t="s">
        <v>1498</v>
      </c>
      <c r="N2014" t="s">
        <v>2313</v>
      </c>
      <c r="O2014" t="s">
        <v>1340</v>
      </c>
      <c r="P2014" t="str">
        <f>"2170720397                    "</f>
        <v xml:space="preserve">2170720397                    </v>
      </c>
      <c r="Q2014">
        <v>0</v>
      </c>
      <c r="R2014">
        <v>0</v>
      </c>
      <c r="S2014">
        <v>0</v>
      </c>
      <c r="T2014">
        <v>0</v>
      </c>
      <c r="U2014">
        <v>0</v>
      </c>
      <c r="V2014">
        <v>0</v>
      </c>
      <c r="W2014">
        <v>0</v>
      </c>
      <c r="X2014">
        <v>0</v>
      </c>
      <c r="Y2014">
        <v>0</v>
      </c>
      <c r="Z2014">
        <v>0</v>
      </c>
      <c r="AA2014">
        <v>0</v>
      </c>
      <c r="AB2014">
        <v>0</v>
      </c>
      <c r="AC2014">
        <v>0</v>
      </c>
      <c r="AD2014">
        <v>0</v>
      </c>
      <c r="AE2014">
        <v>0</v>
      </c>
      <c r="AF2014">
        <v>0</v>
      </c>
      <c r="AG2014">
        <v>0</v>
      </c>
      <c r="AH2014">
        <v>0</v>
      </c>
      <c r="AI2014">
        <v>0</v>
      </c>
      <c r="AJ2014">
        <v>0</v>
      </c>
      <c r="AK2014">
        <v>0</v>
      </c>
      <c r="AL2014">
        <v>0</v>
      </c>
      <c r="AM2014">
        <v>15.69</v>
      </c>
      <c r="AN2014">
        <v>0</v>
      </c>
      <c r="AO2014">
        <v>0</v>
      </c>
      <c r="AP2014">
        <v>0</v>
      </c>
      <c r="AQ2014">
        <v>0</v>
      </c>
      <c r="AR2014">
        <v>0</v>
      </c>
      <c r="AS2014">
        <v>0</v>
      </c>
      <c r="AT2014">
        <v>0</v>
      </c>
      <c r="AU2014">
        <v>0</v>
      </c>
      <c r="AV2014">
        <v>0</v>
      </c>
      <c r="AW2014">
        <v>0</v>
      </c>
      <c r="AX2014">
        <v>0</v>
      </c>
      <c r="AY2014">
        <v>0</v>
      </c>
      <c r="AZ2014">
        <v>0</v>
      </c>
      <c r="BA2014">
        <v>0</v>
      </c>
      <c r="BB2014">
        <v>0</v>
      </c>
      <c r="BC2014">
        <v>0</v>
      </c>
      <c r="BD2014">
        <v>0</v>
      </c>
      <c r="BE2014">
        <v>0</v>
      </c>
      <c r="BF2014">
        <v>0</v>
      </c>
      <c r="BG2014">
        <v>0</v>
      </c>
      <c r="BH2014">
        <v>1</v>
      </c>
      <c r="BI2014">
        <v>4.5999999999999996</v>
      </c>
      <c r="BJ2014">
        <v>3.4</v>
      </c>
      <c r="BK2014">
        <v>5</v>
      </c>
      <c r="BL2014" s="4">
        <v>92.24</v>
      </c>
      <c r="BM2014" s="4">
        <v>13.84</v>
      </c>
      <c r="BN2014" s="4">
        <v>106.08</v>
      </c>
      <c r="BO2014" s="4">
        <v>106.08</v>
      </c>
      <c r="BR2014" t="s">
        <v>105</v>
      </c>
      <c r="BS2014" s="3">
        <v>43805</v>
      </c>
      <c r="BT2014" s="5">
        <v>0.50694444444444442</v>
      </c>
      <c r="BU2014" t="s">
        <v>2314</v>
      </c>
      <c r="BV2014" t="s">
        <v>86</v>
      </c>
      <c r="BY2014">
        <v>17022.599999999999</v>
      </c>
      <c r="BZ2014" t="s">
        <v>27</v>
      </c>
      <c r="CA2014" t="s">
        <v>1223</v>
      </c>
      <c r="CC2014" t="s">
        <v>1498</v>
      </c>
      <c r="CD2014">
        <v>407</v>
      </c>
      <c r="CE2014" t="s">
        <v>96</v>
      </c>
      <c r="CF2014" s="3">
        <v>43808</v>
      </c>
      <c r="CI2014">
        <v>1</v>
      </c>
      <c r="CJ2014">
        <v>1</v>
      </c>
      <c r="CK2014">
        <v>34</v>
      </c>
      <c r="CL2014" t="s">
        <v>89</v>
      </c>
    </row>
    <row r="2015" spans="1:90">
      <c r="A2015" t="s">
        <v>72</v>
      </c>
      <c r="B2015" t="s">
        <v>73</v>
      </c>
      <c r="C2015" t="s">
        <v>74</v>
      </c>
      <c r="E2015" t="str">
        <f>"FES1162726858"</f>
        <v>FES1162726858</v>
      </c>
      <c r="F2015" s="3">
        <v>43804</v>
      </c>
      <c r="G2015">
        <v>202006</v>
      </c>
      <c r="H2015" t="s">
        <v>75</v>
      </c>
      <c r="I2015" t="s">
        <v>76</v>
      </c>
      <c r="J2015" t="s">
        <v>100</v>
      </c>
      <c r="K2015" t="s">
        <v>78</v>
      </c>
      <c r="L2015" t="s">
        <v>138</v>
      </c>
      <c r="M2015" t="s">
        <v>139</v>
      </c>
      <c r="N2015" t="s">
        <v>2315</v>
      </c>
      <c r="O2015" t="s">
        <v>1340</v>
      </c>
      <c r="P2015" t="str">
        <f>"2170718958                    "</f>
        <v xml:space="preserve">2170718958                    </v>
      </c>
      <c r="Q2015">
        <v>0</v>
      </c>
      <c r="R2015">
        <v>0</v>
      </c>
      <c r="S2015">
        <v>0</v>
      </c>
      <c r="T2015">
        <v>0</v>
      </c>
      <c r="U2015">
        <v>0</v>
      </c>
      <c r="V2015">
        <v>0</v>
      </c>
      <c r="W2015">
        <v>0</v>
      </c>
      <c r="X2015">
        <v>0</v>
      </c>
      <c r="Y2015">
        <v>0</v>
      </c>
      <c r="Z2015">
        <v>0</v>
      </c>
      <c r="AA2015">
        <v>0</v>
      </c>
      <c r="AB2015">
        <v>0</v>
      </c>
      <c r="AC2015">
        <v>0</v>
      </c>
      <c r="AD2015">
        <v>0</v>
      </c>
      <c r="AE2015">
        <v>0</v>
      </c>
      <c r="AF2015">
        <v>0</v>
      </c>
      <c r="AG2015">
        <v>0</v>
      </c>
      <c r="AH2015">
        <v>0</v>
      </c>
      <c r="AI2015">
        <v>0</v>
      </c>
      <c r="AJ2015">
        <v>0</v>
      </c>
      <c r="AK2015">
        <v>0</v>
      </c>
      <c r="AL2015">
        <v>0</v>
      </c>
      <c r="AM2015">
        <v>17.239999999999998</v>
      </c>
      <c r="AN2015">
        <v>0</v>
      </c>
      <c r="AO2015">
        <v>0</v>
      </c>
      <c r="AP2015">
        <v>0</v>
      </c>
      <c r="AQ2015">
        <v>0</v>
      </c>
      <c r="AR2015">
        <v>0</v>
      </c>
      <c r="AS2015">
        <v>0</v>
      </c>
      <c r="AT2015">
        <v>0</v>
      </c>
      <c r="AU2015">
        <v>0</v>
      </c>
      <c r="AV2015">
        <v>0</v>
      </c>
      <c r="AW2015">
        <v>0</v>
      </c>
      <c r="AX2015">
        <v>0</v>
      </c>
      <c r="AY2015">
        <v>0</v>
      </c>
      <c r="AZ2015">
        <v>0</v>
      </c>
      <c r="BA2015">
        <v>0</v>
      </c>
      <c r="BB2015">
        <v>0</v>
      </c>
      <c r="BC2015">
        <v>0</v>
      </c>
      <c r="BD2015">
        <v>0</v>
      </c>
      <c r="BE2015">
        <v>0</v>
      </c>
      <c r="BF2015">
        <v>0</v>
      </c>
      <c r="BG2015">
        <v>0</v>
      </c>
      <c r="BH2015">
        <v>1</v>
      </c>
      <c r="BI2015">
        <v>17.7</v>
      </c>
      <c r="BJ2015">
        <v>6.7</v>
      </c>
      <c r="BK2015">
        <v>18</v>
      </c>
      <c r="BL2015" s="4">
        <v>101.33</v>
      </c>
      <c r="BM2015" s="4">
        <v>15.2</v>
      </c>
      <c r="BN2015" s="4">
        <v>116.53</v>
      </c>
      <c r="BO2015" s="4">
        <v>116.53</v>
      </c>
      <c r="BR2015" t="s">
        <v>105</v>
      </c>
      <c r="BS2015" s="3">
        <v>43805</v>
      </c>
      <c r="BT2015" s="5">
        <v>0.35416666666666669</v>
      </c>
      <c r="BU2015" t="s">
        <v>2316</v>
      </c>
      <c r="BV2015" t="s">
        <v>86</v>
      </c>
      <c r="BY2015">
        <v>33470.82</v>
      </c>
      <c r="BZ2015" t="s">
        <v>27</v>
      </c>
      <c r="CA2015" t="s">
        <v>230</v>
      </c>
      <c r="CC2015" t="s">
        <v>139</v>
      </c>
      <c r="CD2015">
        <v>1401</v>
      </c>
      <c r="CE2015" t="s">
        <v>116</v>
      </c>
      <c r="CF2015" s="3">
        <v>43808</v>
      </c>
      <c r="CI2015">
        <v>1</v>
      </c>
      <c r="CJ2015">
        <v>1</v>
      </c>
      <c r="CK2015">
        <v>32</v>
      </c>
      <c r="CL2015" t="s">
        <v>89</v>
      </c>
    </row>
    <row r="2016" spans="1:90">
      <c r="A2016" t="s">
        <v>72</v>
      </c>
      <c r="B2016" t="s">
        <v>73</v>
      </c>
      <c r="C2016" t="s">
        <v>74</v>
      </c>
      <c r="E2016" t="str">
        <f>"FES1162729025"</f>
        <v>FES1162729025</v>
      </c>
      <c r="F2016" s="3">
        <v>43818</v>
      </c>
      <c r="G2016">
        <v>202006</v>
      </c>
      <c r="H2016" t="s">
        <v>75</v>
      </c>
      <c r="I2016" t="s">
        <v>76</v>
      </c>
      <c r="J2016" t="s">
        <v>77</v>
      </c>
      <c r="K2016" t="s">
        <v>78</v>
      </c>
      <c r="L2016" t="s">
        <v>90</v>
      </c>
      <c r="M2016" t="s">
        <v>91</v>
      </c>
      <c r="N2016" t="s">
        <v>219</v>
      </c>
      <c r="O2016" t="s">
        <v>82</v>
      </c>
      <c r="P2016" t="str">
        <f>"2170719800                    "</f>
        <v xml:space="preserve">2170719800                    </v>
      </c>
      <c r="Q2016">
        <v>0</v>
      </c>
      <c r="R2016">
        <v>0</v>
      </c>
      <c r="S2016">
        <v>0</v>
      </c>
      <c r="T2016">
        <v>0</v>
      </c>
      <c r="U2016">
        <v>0</v>
      </c>
      <c r="V2016">
        <v>0</v>
      </c>
      <c r="W2016">
        <v>0</v>
      </c>
      <c r="X2016">
        <v>0</v>
      </c>
      <c r="Y2016">
        <v>0</v>
      </c>
      <c r="Z2016">
        <v>0</v>
      </c>
      <c r="AA2016">
        <v>0</v>
      </c>
      <c r="AB2016">
        <v>0</v>
      </c>
      <c r="AC2016">
        <v>0</v>
      </c>
      <c r="AD2016">
        <v>0</v>
      </c>
      <c r="AE2016">
        <v>0</v>
      </c>
      <c r="AF2016">
        <v>0</v>
      </c>
      <c r="AG2016">
        <v>0</v>
      </c>
      <c r="AH2016">
        <v>0</v>
      </c>
      <c r="AI2016">
        <v>0</v>
      </c>
      <c r="AJ2016">
        <v>0</v>
      </c>
      <c r="AK2016">
        <v>0</v>
      </c>
      <c r="AL2016">
        <v>0</v>
      </c>
      <c r="AM2016">
        <v>8.58</v>
      </c>
      <c r="AN2016">
        <v>0</v>
      </c>
      <c r="AO2016">
        <v>0</v>
      </c>
      <c r="AP2016">
        <v>0</v>
      </c>
      <c r="AQ2016">
        <v>0</v>
      </c>
      <c r="AR2016">
        <v>0</v>
      </c>
      <c r="AS2016">
        <v>0</v>
      </c>
      <c r="AT2016">
        <v>0</v>
      </c>
      <c r="AU2016">
        <v>0</v>
      </c>
      <c r="AV2016">
        <v>0</v>
      </c>
      <c r="AW2016">
        <v>0</v>
      </c>
      <c r="AX2016">
        <v>0</v>
      </c>
      <c r="AY2016">
        <v>0</v>
      </c>
      <c r="AZ2016">
        <v>0</v>
      </c>
      <c r="BA2016">
        <v>0</v>
      </c>
      <c r="BB2016">
        <v>0</v>
      </c>
      <c r="BC2016">
        <v>0</v>
      </c>
      <c r="BD2016">
        <v>0</v>
      </c>
      <c r="BE2016">
        <v>0</v>
      </c>
      <c r="BF2016">
        <v>0</v>
      </c>
      <c r="BG2016">
        <v>0</v>
      </c>
      <c r="BH2016">
        <v>1</v>
      </c>
      <c r="BI2016">
        <v>1</v>
      </c>
      <c r="BJ2016">
        <v>0.2</v>
      </c>
      <c r="BK2016">
        <v>1</v>
      </c>
      <c r="BL2016" s="4">
        <v>50.45</v>
      </c>
      <c r="BM2016" s="4">
        <v>7.57</v>
      </c>
      <c r="BN2016" s="4">
        <v>58.02</v>
      </c>
      <c r="BO2016" s="4">
        <v>58.02</v>
      </c>
      <c r="BQ2016" t="s">
        <v>147</v>
      </c>
      <c r="BR2016" t="s">
        <v>84</v>
      </c>
      <c r="BS2016" s="3">
        <v>43819</v>
      </c>
      <c r="BT2016" s="5">
        <v>0.33263888888888887</v>
      </c>
      <c r="BU2016" t="s">
        <v>220</v>
      </c>
      <c r="BV2016" t="s">
        <v>86</v>
      </c>
      <c r="BY2016">
        <v>1200</v>
      </c>
      <c r="CA2016" t="s">
        <v>112</v>
      </c>
      <c r="CC2016" t="s">
        <v>91</v>
      </c>
      <c r="CD2016">
        <v>7441</v>
      </c>
      <c r="CE2016" t="s">
        <v>88</v>
      </c>
      <c r="CF2016" s="3">
        <v>43822</v>
      </c>
      <c r="CI2016">
        <v>1</v>
      </c>
      <c r="CJ2016">
        <v>1</v>
      </c>
      <c r="CK2016">
        <v>21</v>
      </c>
      <c r="CL2016" t="s">
        <v>89</v>
      </c>
    </row>
    <row r="2017" spans="1:90">
      <c r="A2017" t="s">
        <v>72</v>
      </c>
      <c r="B2017" t="s">
        <v>73</v>
      </c>
      <c r="C2017" t="s">
        <v>74</v>
      </c>
      <c r="E2017" t="str">
        <f>"RFES1162728156"</f>
        <v>RFES1162728156</v>
      </c>
      <c r="F2017" s="3">
        <v>43818</v>
      </c>
      <c r="G2017">
        <v>202006</v>
      </c>
      <c r="H2017" t="s">
        <v>151</v>
      </c>
      <c r="I2017" t="s">
        <v>102</v>
      </c>
      <c r="J2017" t="s">
        <v>1859</v>
      </c>
      <c r="K2017" t="s">
        <v>78</v>
      </c>
      <c r="L2017" t="s">
        <v>75</v>
      </c>
      <c r="M2017" t="s">
        <v>76</v>
      </c>
      <c r="N2017" t="s">
        <v>77</v>
      </c>
      <c r="O2017" t="s">
        <v>82</v>
      </c>
      <c r="P2017" t="str">
        <f>"2170719036                    "</f>
        <v xml:space="preserve">2170719036                    </v>
      </c>
      <c r="Q2017">
        <v>0</v>
      </c>
      <c r="R2017">
        <v>0</v>
      </c>
      <c r="S2017">
        <v>0</v>
      </c>
      <c r="T2017">
        <v>0</v>
      </c>
      <c r="U2017">
        <v>0</v>
      </c>
      <c r="V2017">
        <v>0</v>
      </c>
      <c r="W2017">
        <v>0</v>
      </c>
      <c r="X2017">
        <v>0</v>
      </c>
      <c r="Y2017">
        <v>0</v>
      </c>
      <c r="Z2017">
        <v>0</v>
      </c>
      <c r="AA2017">
        <v>0</v>
      </c>
      <c r="AB2017">
        <v>0</v>
      </c>
      <c r="AC2017">
        <v>0</v>
      </c>
      <c r="AD2017">
        <v>0</v>
      </c>
      <c r="AE2017">
        <v>0</v>
      </c>
      <c r="AF2017">
        <v>0</v>
      </c>
      <c r="AG2017">
        <v>0</v>
      </c>
      <c r="AH2017">
        <v>0</v>
      </c>
      <c r="AI2017">
        <v>0</v>
      </c>
      <c r="AJ2017">
        <v>0</v>
      </c>
      <c r="AK2017">
        <v>0</v>
      </c>
      <c r="AL2017">
        <v>0</v>
      </c>
      <c r="AM2017">
        <v>8.58</v>
      </c>
      <c r="AN2017">
        <v>0</v>
      </c>
      <c r="AO2017">
        <v>0</v>
      </c>
      <c r="AP2017">
        <v>0</v>
      </c>
      <c r="AQ2017">
        <v>0</v>
      </c>
      <c r="AR2017">
        <v>0</v>
      </c>
      <c r="AS2017">
        <v>0</v>
      </c>
      <c r="AT2017">
        <v>0</v>
      </c>
      <c r="AU2017">
        <v>0</v>
      </c>
      <c r="AV2017">
        <v>0</v>
      </c>
      <c r="AW2017">
        <v>0</v>
      </c>
      <c r="AX2017">
        <v>0</v>
      </c>
      <c r="AY2017">
        <v>0</v>
      </c>
      <c r="AZ2017">
        <v>0</v>
      </c>
      <c r="BA2017">
        <v>0</v>
      </c>
      <c r="BB2017">
        <v>0</v>
      </c>
      <c r="BC2017">
        <v>0</v>
      </c>
      <c r="BD2017">
        <v>0</v>
      </c>
      <c r="BE2017">
        <v>0</v>
      </c>
      <c r="BF2017">
        <v>0</v>
      </c>
      <c r="BG2017">
        <v>0</v>
      </c>
      <c r="BH2017">
        <v>1</v>
      </c>
      <c r="BI2017">
        <v>1</v>
      </c>
      <c r="BJ2017">
        <v>0.2</v>
      </c>
      <c r="BK2017">
        <v>1</v>
      </c>
      <c r="BL2017" s="4">
        <v>50.45</v>
      </c>
      <c r="BM2017" s="4">
        <v>7.57</v>
      </c>
      <c r="BN2017" s="4">
        <v>58.02</v>
      </c>
      <c r="BO2017" s="4">
        <v>58.02</v>
      </c>
      <c r="BQ2017" t="s">
        <v>84</v>
      </c>
      <c r="BR2017" t="s">
        <v>1860</v>
      </c>
      <c r="BS2017" s="3">
        <v>43819</v>
      </c>
      <c r="BT2017" s="5">
        <v>0.39374999999999999</v>
      </c>
      <c r="BU2017" t="s">
        <v>154</v>
      </c>
      <c r="BV2017" t="s">
        <v>86</v>
      </c>
      <c r="BY2017">
        <v>1200</v>
      </c>
      <c r="CA2017" t="s">
        <v>155</v>
      </c>
      <c r="CC2017" t="s">
        <v>76</v>
      </c>
      <c r="CD2017">
        <v>1601</v>
      </c>
      <c r="CE2017" t="s">
        <v>88</v>
      </c>
      <c r="CF2017" s="3">
        <v>43822</v>
      </c>
      <c r="CI2017">
        <v>1</v>
      </c>
      <c r="CJ2017">
        <v>1</v>
      </c>
      <c r="CK2017">
        <v>21</v>
      </c>
      <c r="CL2017" t="s">
        <v>89</v>
      </c>
    </row>
    <row r="2018" spans="1:90">
      <c r="A2018" t="s">
        <v>72</v>
      </c>
      <c r="B2018" t="s">
        <v>73</v>
      </c>
      <c r="C2018" t="s">
        <v>74</v>
      </c>
      <c r="E2018" t="str">
        <f>"FES1162728939"</f>
        <v>FES1162728939</v>
      </c>
      <c r="F2018" s="3">
        <v>43818</v>
      </c>
      <c r="G2018">
        <v>202006</v>
      </c>
      <c r="H2018" t="s">
        <v>75</v>
      </c>
      <c r="I2018" t="s">
        <v>76</v>
      </c>
      <c r="J2018" t="s">
        <v>77</v>
      </c>
      <c r="K2018" t="s">
        <v>78</v>
      </c>
      <c r="L2018" t="s">
        <v>75</v>
      </c>
      <c r="M2018" t="s">
        <v>76</v>
      </c>
      <c r="N2018" t="s">
        <v>305</v>
      </c>
      <c r="O2018" t="s">
        <v>82</v>
      </c>
      <c r="P2018" t="str">
        <f>"2170722050                    "</f>
        <v xml:space="preserve">2170722050                    </v>
      </c>
      <c r="Q2018">
        <v>0</v>
      </c>
      <c r="R2018">
        <v>0</v>
      </c>
      <c r="S2018">
        <v>0</v>
      </c>
      <c r="T2018">
        <v>0</v>
      </c>
      <c r="U2018">
        <v>0</v>
      </c>
      <c r="V2018">
        <v>0</v>
      </c>
      <c r="W2018">
        <v>0</v>
      </c>
      <c r="X2018">
        <v>0</v>
      </c>
      <c r="Y2018">
        <v>0</v>
      </c>
      <c r="Z2018">
        <v>0</v>
      </c>
      <c r="AA2018">
        <v>0</v>
      </c>
      <c r="AB2018">
        <v>0</v>
      </c>
      <c r="AC2018">
        <v>0</v>
      </c>
      <c r="AD2018">
        <v>0</v>
      </c>
      <c r="AE2018">
        <v>0</v>
      </c>
      <c r="AF2018">
        <v>0</v>
      </c>
      <c r="AG2018">
        <v>0</v>
      </c>
      <c r="AH2018">
        <v>0</v>
      </c>
      <c r="AI2018">
        <v>0</v>
      </c>
      <c r="AJ2018">
        <v>0</v>
      </c>
      <c r="AK2018">
        <v>0</v>
      </c>
      <c r="AL2018">
        <v>0</v>
      </c>
      <c r="AM2018">
        <v>18.760000000000002</v>
      </c>
      <c r="AN2018">
        <v>0</v>
      </c>
      <c r="AO2018">
        <v>0</v>
      </c>
      <c r="AP2018">
        <v>0</v>
      </c>
      <c r="AQ2018">
        <v>0</v>
      </c>
      <c r="AR2018">
        <v>0</v>
      </c>
      <c r="AS2018">
        <v>0</v>
      </c>
      <c r="AT2018">
        <v>0</v>
      </c>
      <c r="AU2018">
        <v>0</v>
      </c>
      <c r="AV2018">
        <v>0</v>
      </c>
      <c r="AW2018">
        <v>0</v>
      </c>
      <c r="AX2018">
        <v>0</v>
      </c>
      <c r="AY2018">
        <v>0</v>
      </c>
      <c r="AZ2018">
        <v>0</v>
      </c>
      <c r="BA2018">
        <v>0</v>
      </c>
      <c r="BB2018">
        <v>0</v>
      </c>
      <c r="BC2018">
        <v>0</v>
      </c>
      <c r="BD2018">
        <v>0</v>
      </c>
      <c r="BE2018">
        <v>0</v>
      </c>
      <c r="BF2018">
        <v>0</v>
      </c>
      <c r="BG2018">
        <v>0</v>
      </c>
      <c r="BH2018">
        <v>1</v>
      </c>
      <c r="BI2018">
        <v>5.4</v>
      </c>
      <c r="BJ2018">
        <v>9.4</v>
      </c>
      <c r="BK2018">
        <v>9.5</v>
      </c>
      <c r="BL2018" s="4">
        <v>110.27</v>
      </c>
      <c r="BM2018" s="4">
        <v>16.54</v>
      </c>
      <c r="BN2018" s="4">
        <v>126.81</v>
      </c>
      <c r="BO2018" s="4">
        <v>126.81</v>
      </c>
      <c r="BQ2018" t="s">
        <v>147</v>
      </c>
      <c r="BR2018" t="s">
        <v>84</v>
      </c>
      <c r="BS2018" s="3">
        <v>43819</v>
      </c>
      <c r="BT2018" s="5">
        <v>0.33611111111111108</v>
      </c>
      <c r="BU2018" t="s">
        <v>1954</v>
      </c>
      <c r="BV2018" t="s">
        <v>86</v>
      </c>
      <c r="BY2018">
        <v>46791.4</v>
      </c>
      <c r="CA2018" t="s">
        <v>307</v>
      </c>
      <c r="CC2018" t="s">
        <v>76</v>
      </c>
      <c r="CD2018">
        <v>1645</v>
      </c>
      <c r="CE2018" t="s">
        <v>116</v>
      </c>
      <c r="CF2018" s="3">
        <v>43822</v>
      </c>
      <c r="CI2018">
        <v>1</v>
      </c>
      <c r="CJ2018">
        <v>1</v>
      </c>
      <c r="CK2018">
        <v>22</v>
      </c>
      <c r="CL2018" t="s">
        <v>89</v>
      </c>
    </row>
    <row r="2019" spans="1:90">
      <c r="A2019" t="s">
        <v>72</v>
      </c>
      <c r="B2019" t="s">
        <v>73</v>
      </c>
      <c r="C2019" t="s">
        <v>74</v>
      </c>
      <c r="E2019" t="str">
        <f>"FES1162729073"</f>
        <v>FES1162729073</v>
      </c>
      <c r="F2019" s="3">
        <v>43818</v>
      </c>
      <c r="G2019">
        <v>202006</v>
      </c>
      <c r="H2019" t="s">
        <v>75</v>
      </c>
      <c r="I2019" t="s">
        <v>76</v>
      </c>
      <c r="J2019" t="s">
        <v>77</v>
      </c>
      <c r="K2019" t="s">
        <v>78</v>
      </c>
      <c r="L2019" t="s">
        <v>90</v>
      </c>
      <c r="M2019" t="s">
        <v>91</v>
      </c>
      <c r="N2019" t="s">
        <v>965</v>
      </c>
      <c r="O2019" t="s">
        <v>82</v>
      </c>
      <c r="P2019" t="str">
        <f>"2170720339                    "</f>
        <v xml:space="preserve">2170720339                    </v>
      </c>
      <c r="Q2019">
        <v>0</v>
      </c>
      <c r="R2019">
        <v>0</v>
      </c>
      <c r="S2019">
        <v>0</v>
      </c>
      <c r="T2019">
        <v>0</v>
      </c>
      <c r="U2019">
        <v>0</v>
      </c>
      <c r="V2019">
        <v>0</v>
      </c>
      <c r="W2019">
        <v>0</v>
      </c>
      <c r="X2019">
        <v>0</v>
      </c>
      <c r="Y2019">
        <v>0</v>
      </c>
      <c r="Z2019">
        <v>0</v>
      </c>
      <c r="AA2019">
        <v>0</v>
      </c>
      <c r="AB2019">
        <v>0</v>
      </c>
      <c r="AC2019">
        <v>0</v>
      </c>
      <c r="AD2019">
        <v>0</v>
      </c>
      <c r="AE2019">
        <v>0</v>
      </c>
      <c r="AF2019">
        <v>0</v>
      </c>
      <c r="AG2019">
        <v>0</v>
      </c>
      <c r="AH2019">
        <v>0</v>
      </c>
      <c r="AI2019">
        <v>0</v>
      </c>
      <c r="AJ2019">
        <v>0</v>
      </c>
      <c r="AK2019">
        <v>0</v>
      </c>
      <c r="AL2019">
        <v>0</v>
      </c>
      <c r="AM2019">
        <v>8.58</v>
      </c>
      <c r="AN2019">
        <v>0</v>
      </c>
      <c r="AO2019">
        <v>0</v>
      </c>
      <c r="AP2019">
        <v>0</v>
      </c>
      <c r="AQ2019">
        <v>0</v>
      </c>
      <c r="AR2019">
        <v>0</v>
      </c>
      <c r="AS2019">
        <v>0</v>
      </c>
      <c r="AT2019">
        <v>0</v>
      </c>
      <c r="AU2019">
        <v>0</v>
      </c>
      <c r="AV2019">
        <v>0</v>
      </c>
      <c r="AW2019">
        <v>0</v>
      </c>
      <c r="AX2019">
        <v>0</v>
      </c>
      <c r="AY2019">
        <v>0</v>
      </c>
      <c r="AZ2019">
        <v>0</v>
      </c>
      <c r="BA2019">
        <v>0</v>
      </c>
      <c r="BB2019">
        <v>0</v>
      </c>
      <c r="BC2019">
        <v>0</v>
      </c>
      <c r="BD2019">
        <v>0</v>
      </c>
      <c r="BE2019">
        <v>0</v>
      </c>
      <c r="BF2019">
        <v>0</v>
      </c>
      <c r="BG2019">
        <v>0</v>
      </c>
      <c r="BH2019">
        <v>1</v>
      </c>
      <c r="BI2019">
        <v>1</v>
      </c>
      <c r="BJ2019">
        <v>0.2</v>
      </c>
      <c r="BK2019">
        <v>1</v>
      </c>
      <c r="BL2019" s="4">
        <v>50.45</v>
      </c>
      <c r="BM2019" s="4">
        <v>7.57</v>
      </c>
      <c r="BN2019" s="4">
        <v>58.02</v>
      </c>
      <c r="BO2019" s="4">
        <v>58.02</v>
      </c>
      <c r="BQ2019" t="s">
        <v>966</v>
      </c>
      <c r="BR2019" t="s">
        <v>84</v>
      </c>
      <c r="BS2019" s="3">
        <v>43819</v>
      </c>
      <c r="BT2019" s="5">
        <v>0.41111111111111115</v>
      </c>
      <c r="BU2019" t="s">
        <v>2317</v>
      </c>
      <c r="BV2019" t="s">
        <v>86</v>
      </c>
      <c r="BY2019">
        <v>1200</v>
      </c>
      <c r="CA2019" t="s">
        <v>2318</v>
      </c>
      <c r="CC2019" t="s">
        <v>91</v>
      </c>
      <c r="CD2019">
        <v>7925</v>
      </c>
      <c r="CE2019" t="s">
        <v>88</v>
      </c>
      <c r="CF2019" s="3">
        <v>43822</v>
      </c>
      <c r="CI2019">
        <v>1</v>
      </c>
      <c r="CJ2019">
        <v>1</v>
      </c>
      <c r="CK2019">
        <v>21</v>
      </c>
      <c r="CL2019" t="s">
        <v>89</v>
      </c>
    </row>
    <row r="2020" spans="1:90">
      <c r="A2020" t="s">
        <v>72</v>
      </c>
      <c r="B2020" t="s">
        <v>73</v>
      </c>
      <c r="C2020" t="s">
        <v>74</v>
      </c>
      <c r="E2020" t="str">
        <f>"RFES1162728188"</f>
        <v>RFES1162728188</v>
      </c>
      <c r="F2020" s="3">
        <v>43818</v>
      </c>
      <c r="G2020">
        <v>202006</v>
      </c>
      <c r="H2020" t="s">
        <v>151</v>
      </c>
      <c r="I2020" t="s">
        <v>102</v>
      </c>
      <c r="J2020" t="s">
        <v>1862</v>
      </c>
      <c r="K2020" t="s">
        <v>78</v>
      </c>
      <c r="L2020" t="s">
        <v>75</v>
      </c>
      <c r="M2020" t="s">
        <v>76</v>
      </c>
      <c r="N2020" t="s">
        <v>77</v>
      </c>
      <c r="O2020" t="s">
        <v>82</v>
      </c>
      <c r="P2020" t="str">
        <f>"2170718931                    "</f>
        <v xml:space="preserve">2170718931                    </v>
      </c>
      <c r="Q2020">
        <v>0</v>
      </c>
      <c r="R2020">
        <v>0</v>
      </c>
      <c r="S2020">
        <v>0</v>
      </c>
      <c r="T2020">
        <v>0</v>
      </c>
      <c r="U2020">
        <v>0</v>
      </c>
      <c r="V2020">
        <v>0</v>
      </c>
      <c r="W2020">
        <v>0</v>
      </c>
      <c r="X2020">
        <v>0</v>
      </c>
      <c r="Y2020">
        <v>0</v>
      </c>
      <c r="Z2020">
        <v>0</v>
      </c>
      <c r="AA2020">
        <v>0</v>
      </c>
      <c r="AB2020">
        <v>0</v>
      </c>
      <c r="AC2020">
        <v>0</v>
      </c>
      <c r="AD2020">
        <v>0</v>
      </c>
      <c r="AE2020">
        <v>0</v>
      </c>
      <c r="AF2020">
        <v>0</v>
      </c>
      <c r="AG2020">
        <v>0</v>
      </c>
      <c r="AH2020">
        <v>0</v>
      </c>
      <c r="AI2020">
        <v>0</v>
      </c>
      <c r="AJ2020">
        <v>0</v>
      </c>
      <c r="AK2020">
        <v>0</v>
      </c>
      <c r="AL2020">
        <v>0</v>
      </c>
      <c r="AM2020">
        <v>8.58</v>
      </c>
      <c r="AN2020">
        <v>0</v>
      </c>
      <c r="AO2020">
        <v>0</v>
      </c>
      <c r="AP2020">
        <v>0</v>
      </c>
      <c r="AQ2020">
        <v>0</v>
      </c>
      <c r="AR2020">
        <v>0</v>
      </c>
      <c r="AS2020">
        <v>0</v>
      </c>
      <c r="AT2020">
        <v>0</v>
      </c>
      <c r="AU2020">
        <v>0</v>
      </c>
      <c r="AV2020">
        <v>0</v>
      </c>
      <c r="AW2020">
        <v>0</v>
      </c>
      <c r="AX2020">
        <v>0</v>
      </c>
      <c r="AY2020">
        <v>0</v>
      </c>
      <c r="AZ2020">
        <v>0</v>
      </c>
      <c r="BA2020">
        <v>0</v>
      </c>
      <c r="BB2020">
        <v>0</v>
      </c>
      <c r="BC2020">
        <v>0</v>
      </c>
      <c r="BD2020">
        <v>0</v>
      </c>
      <c r="BE2020">
        <v>0</v>
      </c>
      <c r="BF2020">
        <v>0</v>
      </c>
      <c r="BG2020">
        <v>0</v>
      </c>
      <c r="BH2020">
        <v>1</v>
      </c>
      <c r="BI2020">
        <v>1</v>
      </c>
      <c r="BJ2020">
        <v>0.2</v>
      </c>
      <c r="BK2020">
        <v>1</v>
      </c>
      <c r="BL2020" s="4">
        <v>50.45</v>
      </c>
      <c r="BM2020" s="4">
        <v>7.57</v>
      </c>
      <c r="BN2020" s="4">
        <v>58.02</v>
      </c>
      <c r="BO2020" s="4">
        <v>58.02</v>
      </c>
      <c r="BQ2020" t="s">
        <v>84</v>
      </c>
      <c r="BR2020" t="s">
        <v>93</v>
      </c>
      <c r="BS2020" s="3">
        <v>43819</v>
      </c>
      <c r="BT2020" s="5">
        <v>0.3923611111111111</v>
      </c>
      <c r="BU2020" t="s">
        <v>154</v>
      </c>
      <c r="BV2020" t="s">
        <v>86</v>
      </c>
      <c r="BY2020">
        <v>1200</v>
      </c>
      <c r="BZ2020" t="s">
        <v>27</v>
      </c>
      <c r="CA2020" t="s">
        <v>155</v>
      </c>
      <c r="CC2020" t="s">
        <v>76</v>
      </c>
      <c r="CD2020">
        <v>1601</v>
      </c>
      <c r="CE2020" t="s">
        <v>88</v>
      </c>
      <c r="CF2020" s="3">
        <v>43822</v>
      </c>
      <c r="CI2020">
        <v>1</v>
      </c>
      <c r="CJ2020">
        <v>1</v>
      </c>
      <c r="CK2020">
        <v>21</v>
      </c>
      <c r="CL2020" t="s">
        <v>89</v>
      </c>
    </row>
    <row r="2021" spans="1:90">
      <c r="A2021" t="s">
        <v>72</v>
      </c>
      <c r="B2021" t="s">
        <v>73</v>
      </c>
      <c r="C2021" t="s">
        <v>74</v>
      </c>
      <c r="E2021" t="str">
        <f>"FES1162728973"</f>
        <v>FES1162728973</v>
      </c>
      <c r="F2021" s="3">
        <v>43818</v>
      </c>
      <c r="G2021">
        <v>202006</v>
      </c>
      <c r="H2021" t="s">
        <v>75</v>
      </c>
      <c r="I2021" t="s">
        <v>76</v>
      </c>
      <c r="J2021" t="s">
        <v>77</v>
      </c>
      <c r="K2021" t="s">
        <v>78</v>
      </c>
      <c r="L2021" t="s">
        <v>350</v>
      </c>
      <c r="M2021" t="s">
        <v>351</v>
      </c>
      <c r="N2021" t="s">
        <v>727</v>
      </c>
      <c r="O2021" t="s">
        <v>82</v>
      </c>
      <c r="P2021" t="str">
        <f>"2170722084                    "</f>
        <v xml:space="preserve">2170722084                    </v>
      </c>
      <c r="Q2021">
        <v>0</v>
      </c>
      <c r="R2021">
        <v>0</v>
      </c>
      <c r="S2021">
        <v>0</v>
      </c>
      <c r="T2021">
        <v>0</v>
      </c>
      <c r="U2021">
        <v>0</v>
      </c>
      <c r="V2021">
        <v>0</v>
      </c>
      <c r="W2021">
        <v>0</v>
      </c>
      <c r="X2021">
        <v>0</v>
      </c>
      <c r="Y2021">
        <v>0</v>
      </c>
      <c r="Z2021">
        <v>0</v>
      </c>
      <c r="AA2021">
        <v>0</v>
      </c>
      <c r="AB2021">
        <v>0</v>
      </c>
      <c r="AC2021">
        <v>0</v>
      </c>
      <c r="AD2021">
        <v>0</v>
      </c>
      <c r="AE2021">
        <v>0</v>
      </c>
      <c r="AF2021">
        <v>0</v>
      </c>
      <c r="AG2021">
        <v>0</v>
      </c>
      <c r="AH2021">
        <v>0</v>
      </c>
      <c r="AI2021">
        <v>0</v>
      </c>
      <c r="AJ2021">
        <v>0</v>
      </c>
      <c r="AK2021">
        <v>0</v>
      </c>
      <c r="AL2021">
        <v>0</v>
      </c>
      <c r="AM2021">
        <v>13.94</v>
      </c>
      <c r="AN2021">
        <v>0</v>
      </c>
      <c r="AO2021">
        <v>0</v>
      </c>
      <c r="AP2021">
        <v>0</v>
      </c>
      <c r="AQ2021">
        <v>0</v>
      </c>
      <c r="AR2021">
        <v>0</v>
      </c>
      <c r="AS2021">
        <v>0</v>
      </c>
      <c r="AT2021">
        <v>0</v>
      </c>
      <c r="AU2021">
        <v>0</v>
      </c>
      <c r="AV2021">
        <v>0</v>
      </c>
      <c r="AW2021">
        <v>0</v>
      </c>
      <c r="AX2021">
        <v>0</v>
      </c>
      <c r="AY2021">
        <v>0</v>
      </c>
      <c r="AZ2021">
        <v>0</v>
      </c>
      <c r="BA2021">
        <v>0</v>
      </c>
      <c r="BB2021">
        <v>0</v>
      </c>
      <c r="BC2021">
        <v>0</v>
      </c>
      <c r="BD2021">
        <v>0</v>
      </c>
      <c r="BE2021">
        <v>0</v>
      </c>
      <c r="BF2021">
        <v>0</v>
      </c>
      <c r="BG2021">
        <v>0</v>
      </c>
      <c r="BH2021">
        <v>1</v>
      </c>
      <c r="BI2021">
        <v>3.6</v>
      </c>
      <c r="BJ2021">
        <v>6.4</v>
      </c>
      <c r="BK2021">
        <v>6.5</v>
      </c>
      <c r="BL2021" s="4">
        <v>81.93</v>
      </c>
      <c r="BM2021" s="4">
        <v>12.29</v>
      </c>
      <c r="BN2021" s="4">
        <v>94.22</v>
      </c>
      <c r="BO2021" s="4">
        <v>94.22</v>
      </c>
      <c r="BQ2021" t="s">
        <v>147</v>
      </c>
      <c r="BR2021" t="s">
        <v>84</v>
      </c>
      <c r="BS2021" s="3">
        <v>43819</v>
      </c>
      <c r="BT2021" s="5">
        <v>0.4375</v>
      </c>
      <c r="BU2021" t="s">
        <v>2319</v>
      </c>
      <c r="BV2021" t="s">
        <v>86</v>
      </c>
      <c r="BY2021">
        <v>32092.1</v>
      </c>
      <c r="CA2021" t="s">
        <v>729</v>
      </c>
      <c r="CC2021" t="s">
        <v>351</v>
      </c>
      <c r="CD2021">
        <v>1501</v>
      </c>
      <c r="CE2021" t="s">
        <v>116</v>
      </c>
      <c r="CF2021" s="3">
        <v>43822</v>
      </c>
      <c r="CI2021">
        <v>1</v>
      </c>
      <c r="CJ2021">
        <v>1</v>
      </c>
      <c r="CK2021">
        <v>22</v>
      </c>
      <c r="CL2021" t="s">
        <v>89</v>
      </c>
    </row>
    <row r="2022" spans="1:90">
      <c r="A2022" t="s">
        <v>72</v>
      </c>
      <c r="B2022" t="s">
        <v>73</v>
      </c>
      <c r="C2022" t="s">
        <v>74</v>
      </c>
      <c r="E2022" t="str">
        <f>"FES1162729095"</f>
        <v>FES1162729095</v>
      </c>
      <c r="F2022" s="3">
        <v>43818</v>
      </c>
      <c r="G2022">
        <v>202006</v>
      </c>
      <c r="H2022" t="s">
        <v>75</v>
      </c>
      <c r="I2022" t="s">
        <v>76</v>
      </c>
      <c r="J2022" t="s">
        <v>77</v>
      </c>
      <c r="K2022" t="s">
        <v>78</v>
      </c>
      <c r="L2022" t="s">
        <v>90</v>
      </c>
      <c r="M2022" t="s">
        <v>91</v>
      </c>
      <c r="N2022" t="s">
        <v>219</v>
      </c>
      <c r="O2022" t="s">
        <v>82</v>
      </c>
      <c r="P2022" t="str">
        <f>"2170720482                    "</f>
        <v xml:space="preserve">2170720482                    </v>
      </c>
      <c r="Q2022">
        <v>0</v>
      </c>
      <c r="R2022">
        <v>0</v>
      </c>
      <c r="S2022">
        <v>0</v>
      </c>
      <c r="T2022">
        <v>0</v>
      </c>
      <c r="U2022">
        <v>0</v>
      </c>
      <c r="V2022">
        <v>0</v>
      </c>
      <c r="W2022">
        <v>0</v>
      </c>
      <c r="X2022">
        <v>0</v>
      </c>
      <c r="Y2022">
        <v>0</v>
      </c>
      <c r="Z2022">
        <v>0</v>
      </c>
      <c r="AA2022">
        <v>0</v>
      </c>
      <c r="AB2022">
        <v>0</v>
      </c>
      <c r="AC2022">
        <v>0</v>
      </c>
      <c r="AD2022">
        <v>0</v>
      </c>
      <c r="AE2022">
        <v>0</v>
      </c>
      <c r="AF2022">
        <v>0</v>
      </c>
      <c r="AG2022">
        <v>0</v>
      </c>
      <c r="AH2022">
        <v>0</v>
      </c>
      <c r="AI2022">
        <v>0</v>
      </c>
      <c r="AJ2022">
        <v>0</v>
      </c>
      <c r="AK2022">
        <v>0</v>
      </c>
      <c r="AL2022">
        <v>0</v>
      </c>
      <c r="AM2022">
        <v>66.48</v>
      </c>
      <c r="AN2022">
        <v>0</v>
      </c>
      <c r="AO2022">
        <v>0</v>
      </c>
      <c r="AP2022">
        <v>0</v>
      </c>
      <c r="AQ2022">
        <v>0</v>
      </c>
      <c r="AR2022">
        <v>0</v>
      </c>
      <c r="AS2022">
        <v>0</v>
      </c>
      <c r="AT2022">
        <v>0</v>
      </c>
      <c r="AU2022">
        <v>0</v>
      </c>
      <c r="AV2022">
        <v>0</v>
      </c>
      <c r="AW2022">
        <v>0</v>
      </c>
      <c r="AX2022">
        <v>0</v>
      </c>
      <c r="AY2022">
        <v>0</v>
      </c>
      <c r="AZ2022">
        <v>0</v>
      </c>
      <c r="BA2022">
        <v>0</v>
      </c>
      <c r="BB2022">
        <v>0</v>
      </c>
      <c r="BC2022">
        <v>0</v>
      </c>
      <c r="BD2022">
        <v>0</v>
      </c>
      <c r="BE2022">
        <v>0</v>
      </c>
      <c r="BF2022">
        <v>0</v>
      </c>
      <c r="BG2022">
        <v>0</v>
      </c>
      <c r="BH2022">
        <v>3</v>
      </c>
      <c r="BI2022">
        <v>15.4</v>
      </c>
      <c r="BJ2022">
        <v>4.9000000000000004</v>
      </c>
      <c r="BK2022">
        <v>15.5</v>
      </c>
      <c r="BL2022" s="4">
        <v>390.77</v>
      </c>
      <c r="BM2022" s="4">
        <v>58.62</v>
      </c>
      <c r="BN2022" s="4">
        <v>449.39</v>
      </c>
      <c r="BO2022" s="4">
        <v>449.39</v>
      </c>
      <c r="BQ2022" t="s">
        <v>147</v>
      </c>
      <c r="BR2022" t="s">
        <v>84</v>
      </c>
      <c r="BS2022" s="3">
        <v>43819</v>
      </c>
      <c r="BT2022" s="5">
        <v>0.33263888888888887</v>
      </c>
      <c r="BU2022" t="s">
        <v>220</v>
      </c>
      <c r="BV2022" t="s">
        <v>86</v>
      </c>
      <c r="BY2022">
        <v>24342.19</v>
      </c>
      <c r="CA2022" t="s">
        <v>112</v>
      </c>
      <c r="CC2022" t="s">
        <v>91</v>
      </c>
      <c r="CD2022">
        <v>7441</v>
      </c>
      <c r="CE2022" t="s">
        <v>2099</v>
      </c>
      <c r="CF2022" s="3">
        <v>43822</v>
      </c>
      <c r="CI2022">
        <v>1</v>
      </c>
      <c r="CJ2022">
        <v>1</v>
      </c>
      <c r="CK2022">
        <v>21</v>
      </c>
      <c r="CL2022" t="s">
        <v>89</v>
      </c>
    </row>
    <row r="2023" spans="1:90">
      <c r="A2023" t="s">
        <v>72</v>
      </c>
      <c r="B2023" t="s">
        <v>73</v>
      </c>
      <c r="C2023" t="s">
        <v>74</v>
      </c>
      <c r="E2023" t="str">
        <f>"RFES1162728242"</f>
        <v>RFES1162728242</v>
      </c>
      <c r="F2023" s="3">
        <v>43818</v>
      </c>
      <c r="G2023">
        <v>202006</v>
      </c>
      <c r="H2023" t="s">
        <v>151</v>
      </c>
      <c r="I2023" t="s">
        <v>102</v>
      </c>
      <c r="J2023" t="s">
        <v>1871</v>
      </c>
      <c r="K2023" t="s">
        <v>78</v>
      </c>
      <c r="L2023" t="s">
        <v>75</v>
      </c>
      <c r="M2023" t="s">
        <v>76</v>
      </c>
      <c r="N2023" t="s">
        <v>77</v>
      </c>
      <c r="O2023" t="s">
        <v>82</v>
      </c>
      <c r="P2023" t="str">
        <f>"217071540                     "</f>
        <v xml:space="preserve">217071540                     </v>
      </c>
      <c r="Q2023">
        <v>0</v>
      </c>
      <c r="R2023">
        <v>0</v>
      </c>
      <c r="S2023">
        <v>0</v>
      </c>
      <c r="T2023">
        <v>0</v>
      </c>
      <c r="U2023">
        <v>0</v>
      </c>
      <c r="V2023">
        <v>0</v>
      </c>
      <c r="W2023">
        <v>0</v>
      </c>
      <c r="X2023">
        <v>0</v>
      </c>
      <c r="Y2023">
        <v>0</v>
      </c>
      <c r="Z2023">
        <v>0</v>
      </c>
      <c r="AA2023">
        <v>0</v>
      </c>
      <c r="AB2023">
        <v>0</v>
      </c>
      <c r="AC2023">
        <v>0</v>
      </c>
      <c r="AD2023">
        <v>0</v>
      </c>
      <c r="AE2023">
        <v>0</v>
      </c>
      <c r="AF2023">
        <v>0</v>
      </c>
      <c r="AG2023">
        <v>0</v>
      </c>
      <c r="AH2023">
        <v>0</v>
      </c>
      <c r="AI2023">
        <v>0</v>
      </c>
      <c r="AJ2023">
        <v>0</v>
      </c>
      <c r="AK2023">
        <v>0</v>
      </c>
      <c r="AL2023">
        <v>0</v>
      </c>
      <c r="AM2023">
        <v>8.58</v>
      </c>
      <c r="AN2023">
        <v>0</v>
      </c>
      <c r="AO2023">
        <v>0</v>
      </c>
      <c r="AP2023">
        <v>0</v>
      </c>
      <c r="AQ2023">
        <v>0</v>
      </c>
      <c r="AR2023">
        <v>0</v>
      </c>
      <c r="AS2023">
        <v>0</v>
      </c>
      <c r="AT2023">
        <v>0</v>
      </c>
      <c r="AU2023">
        <v>0</v>
      </c>
      <c r="AV2023">
        <v>0</v>
      </c>
      <c r="AW2023">
        <v>0</v>
      </c>
      <c r="AX2023">
        <v>0</v>
      </c>
      <c r="AY2023">
        <v>0</v>
      </c>
      <c r="AZ2023">
        <v>0</v>
      </c>
      <c r="BA2023">
        <v>0</v>
      </c>
      <c r="BB2023">
        <v>0</v>
      </c>
      <c r="BC2023">
        <v>0</v>
      </c>
      <c r="BD2023">
        <v>0</v>
      </c>
      <c r="BE2023">
        <v>0</v>
      </c>
      <c r="BF2023">
        <v>0</v>
      </c>
      <c r="BG2023">
        <v>0</v>
      </c>
      <c r="BH2023">
        <v>1</v>
      </c>
      <c r="BI2023">
        <v>0.7</v>
      </c>
      <c r="BJ2023">
        <v>1.4</v>
      </c>
      <c r="BK2023">
        <v>1.5</v>
      </c>
      <c r="BL2023" s="4">
        <v>50.45</v>
      </c>
      <c r="BM2023" s="4">
        <v>7.57</v>
      </c>
      <c r="BN2023" s="4">
        <v>58.02</v>
      </c>
      <c r="BO2023" s="4">
        <v>58.02</v>
      </c>
      <c r="BQ2023" t="s">
        <v>84</v>
      </c>
      <c r="BR2023" t="s">
        <v>147</v>
      </c>
      <c r="BS2023" s="3">
        <v>43819</v>
      </c>
      <c r="BT2023" s="5">
        <v>0.39097222222222222</v>
      </c>
      <c r="BU2023" t="s">
        <v>2254</v>
      </c>
      <c r="BV2023" t="s">
        <v>86</v>
      </c>
      <c r="BY2023">
        <v>6786.5</v>
      </c>
      <c r="CA2023" t="s">
        <v>155</v>
      </c>
      <c r="CC2023" t="s">
        <v>76</v>
      </c>
      <c r="CD2023">
        <v>1601</v>
      </c>
      <c r="CE2023" t="s">
        <v>96</v>
      </c>
      <c r="CF2023" s="3">
        <v>43822</v>
      </c>
      <c r="CI2023">
        <v>1</v>
      </c>
      <c r="CJ2023">
        <v>1</v>
      </c>
      <c r="CK2023">
        <v>21</v>
      </c>
      <c r="CL2023" t="s">
        <v>89</v>
      </c>
    </row>
    <row r="2024" spans="1:90">
      <c r="A2024" t="s">
        <v>72</v>
      </c>
      <c r="B2024" t="s">
        <v>73</v>
      </c>
      <c r="C2024" t="s">
        <v>74</v>
      </c>
      <c r="E2024" t="str">
        <f>"FES1162729090"</f>
        <v>FES1162729090</v>
      </c>
      <c r="F2024" s="3">
        <v>43818</v>
      </c>
      <c r="G2024">
        <v>202006</v>
      </c>
      <c r="H2024" t="s">
        <v>75</v>
      </c>
      <c r="I2024" t="s">
        <v>76</v>
      </c>
      <c r="J2024" t="s">
        <v>77</v>
      </c>
      <c r="K2024" t="s">
        <v>78</v>
      </c>
      <c r="L2024" t="s">
        <v>151</v>
      </c>
      <c r="M2024" t="s">
        <v>102</v>
      </c>
      <c r="N2024" t="s">
        <v>103</v>
      </c>
      <c r="O2024" t="s">
        <v>82</v>
      </c>
      <c r="P2024" t="str">
        <f>"2170720453                    "</f>
        <v xml:space="preserve">2170720453                    </v>
      </c>
      <c r="Q2024">
        <v>0</v>
      </c>
      <c r="R2024">
        <v>0</v>
      </c>
      <c r="S2024">
        <v>0</v>
      </c>
      <c r="T2024">
        <v>0</v>
      </c>
      <c r="U2024">
        <v>0</v>
      </c>
      <c r="V2024">
        <v>0</v>
      </c>
      <c r="W2024">
        <v>0</v>
      </c>
      <c r="X2024">
        <v>0</v>
      </c>
      <c r="Y2024">
        <v>0</v>
      </c>
      <c r="Z2024">
        <v>0</v>
      </c>
      <c r="AA2024">
        <v>0</v>
      </c>
      <c r="AB2024">
        <v>0</v>
      </c>
      <c r="AC2024">
        <v>0</v>
      </c>
      <c r="AD2024">
        <v>0</v>
      </c>
      <c r="AE2024">
        <v>0</v>
      </c>
      <c r="AF2024">
        <v>0</v>
      </c>
      <c r="AG2024">
        <v>0</v>
      </c>
      <c r="AH2024">
        <v>0</v>
      </c>
      <c r="AI2024">
        <v>0</v>
      </c>
      <c r="AJ2024">
        <v>0</v>
      </c>
      <c r="AK2024">
        <v>0</v>
      </c>
      <c r="AL2024">
        <v>0</v>
      </c>
      <c r="AM2024">
        <v>8.58</v>
      </c>
      <c r="AN2024">
        <v>0</v>
      </c>
      <c r="AO2024">
        <v>0</v>
      </c>
      <c r="AP2024">
        <v>0</v>
      </c>
      <c r="AQ2024">
        <v>0</v>
      </c>
      <c r="AR2024">
        <v>0</v>
      </c>
      <c r="AS2024">
        <v>0</v>
      </c>
      <c r="AT2024">
        <v>0</v>
      </c>
      <c r="AU2024">
        <v>0</v>
      </c>
      <c r="AV2024">
        <v>0</v>
      </c>
      <c r="AW2024">
        <v>0</v>
      </c>
      <c r="AX2024">
        <v>0</v>
      </c>
      <c r="AY2024">
        <v>0</v>
      </c>
      <c r="AZ2024">
        <v>0</v>
      </c>
      <c r="BA2024">
        <v>0</v>
      </c>
      <c r="BB2024">
        <v>0</v>
      </c>
      <c r="BC2024">
        <v>0</v>
      </c>
      <c r="BD2024">
        <v>0</v>
      </c>
      <c r="BE2024">
        <v>0</v>
      </c>
      <c r="BF2024">
        <v>0</v>
      </c>
      <c r="BG2024">
        <v>0</v>
      </c>
      <c r="BH2024">
        <v>1</v>
      </c>
      <c r="BI2024">
        <v>1</v>
      </c>
      <c r="BJ2024">
        <v>0.2</v>
      </c>
      <c r="BK2024">
        <v>1</v>
      </c>
      <c r="BL2024" s="4">
        <v>50.45</v>
      </c>
      <c r="BM2024" s="4">
        <v>7.57</v>
      </c>
      <c r="BN2024" s="4">
        <v>58.02</v>
      </c>
      <c r="BO2024" s="4">
        <v>58.02</v>
      </c>
      <c r="BQ2024" t="s">
        <v>93</v>
      </c>
      <c r="BR2024" t="s">
        <v>84</v>
      </c>
      <c r="BS2024" t="s">
        <v>717</v>
      </c>
      <c r="BY2024">
        <v>1200</v>
      </c>
      <c r="CC2024" t="s">
        <v>102</v>
      </c>
      <c r="CD2024">
        <v>1</v>
      </c>
      <c r="CE2024" t="s">
        <v>88</v>
      </c>
      <c r="CI2024">
        <v>1</v>
      </c>
      <c r="CJ2024" t="s">
        <v>717</v>
      </c>
      <c r="CK2024">
        <v>21</v>
      </c>
      <c r="CL2024" t="s">
        <v>89</v>
      </c>
    </row>
    <row r="2025" spans="1:90">
      <c r="A2025" t="s">
        <v>72</v>
      </c>
      <c r="B2025" t="s">
        <v>73</v>
      </c>
      <c r="C2025" t="s">
        <v>74</v>
      </c>
      <c r="E2025" t="str">
        <f>"FES1162729196"</f>
        <v>FES1162729196</v>
      </c>
      <c r="F2025" s="3">
        <v>43818</v>
      </c>
      <c r="G2025">
        <v>202006</v>
      </c>
      <c r="H2025" t="s">
        <v>75</v>
      </c>
      <c r="I2025" t="s">
        <v>76</v>
      </c>
      <c r="J2025" t="s">
        <v>77</v>
      </c>
      <c r="K2025" t="s">
        <v>78</v>
      </c>
      <c r="L2025" t="s">
        <v>90</v>
      </c>
      <c r="M2025" t="s">
        <v>91</v>
      </c>
      <c r="N2025" t="s">
        <v>219</v>
      </c>
      <c r="O2025" t="s">
        <v>82</v>
      </c>
      <c r="P2025" t="str">
        <f>"2170722183                    "</f>
        <v xml:space="preserve">2170722183                    </v>
      </c>
      <c r="Q2025">
        <v>0</v>
      </c>
      <c r="R2025">
        <v>0</v>
      </c>
      <c r="S2025">
        <v>0</v>
      </c>
      <c r="T2025">
        <v>0</v>
      </c>
      <c r="U2025">
        <v>0</v>
      </c>
      <c r="V2025">
        <v>0</v>
      </c>
      <c r="W2025">
        <v>0</v>
      </c>
      <c r="X2025">
        <v>0</v>
      </c>
      <c r="Y2025">
        <v>0</v>
      </c>
      <c r="Z2025">
        <v>0</v>
      </c>
      <c r="AA2025">
        <v>0</v>
      </c>
      <c r="AB2025">
        <v>0</v>
      </c>
      <c r="AC2025">
        <v>0</v>
      </c>
      <c r="AD2025">
        <v>0</v>
      </c>
      <c r="AE2025">
        <v>0</v>
      </c>
      <c r="AF2025">
        <v>0</v>
      </c>
      <c r="AG2025">
        <v>0</v>
      </c>
      <c r="AH2025">
        <v>0</v>
      </c>
      <c r="AI2025">
        <v>0</v>
      </c>
      <c r="AJ2025">
        <v>0</v>
      </c>
      <c r="AK2025">
        <v>0</v>
      </c>
      <c r="AL2025">
        <v>0</v>
      </c>
      <c r="AM2025">
        <v>8.58</v>
      </c>
      <c r="AN2025">
        <v>0</v>
      </c>
      <c r="AO2025">
        <v>0</v>
      </c>
      <c r="AP2025">
        <v>0</v>
      </c>
      <c r="AQ2025">
        <v>0</v>
      </c>
      <c r="AR2025">
        <v>0</v>
      </c>
      <c r="AS2025">
        <v>0</v>
      </c>
      <c r="AT2025">
        <v>0</v>
      </c>
      <c r="AU2025">
        <v>0</v>
      </c>
      <c r="AV2025">
        <v>0</v>
      </c>
      <c r="AW2025">
        <v>0</v>
      </c>
      <c r="AX2025">
        <v>0</v>
      </c>
      <c r="AY2025">
        <v>0</v>
      </c>
      <c r="AZ2025">
        <v>0</v>
      </c>
      <c r="BA2025">
        <v>0</v>
      </c>
      <c r="BB2025">
        <v>0</v>
      </c>
      <c r="BC2025">
        <v>0</v>
      </c>
      <c r="BD2025">
        <v>0</v>
      </c>
      <c r="BE2025">
        <v>0</v>
      </c>
      <c r="BF2025">
        <v>0</v>
      </c>
      <c r="BG2025">
        <v>0</v>
      </c>
      <c r="BH2025">
        <v>1</v>
      </c>
      <c r="BI2025">
        <v>1</v>
      </c>
      <c r="BJ2025">
        <v>0.2</v>
      </c>
      <c r="BK2025">
        <v>1</v>
      </c>
      <c r="BL2025" s="4">
        <v>50.45</v>
      </c>
      <c r="BM2025" s="4">
        <v>7.57</v>
      </c>
      <c r="BN2025" s="4">
        <v>58.02</v>
      </c>
      <c r="BO2025" s="4">
        <v>58.02</v>
      </c>
      <c r="BQ2025" t="s">
        <v>147</v>
      </c>
      <c r="BR2025" t="s">
        <v>84</v>
      </c>
      <c r="BS2025" s="3">
        <v>43819</v>
      </c>
      <c r="BT2025" s="5">
        <v>0.33333333333333331</v>
      </c>
      <c r="BU2025" t="s">
        <v>220</v>
      </c>
      <c r="BV2025" t="s">
        <v>86</v>
      </c>
      <c r="BY2025">
        <v>1200</v>
      </c>
      <c r="CA2025" t="s">
        <v>112</v>
      </c>
      <c r="CC2025" t="s">
        <v>91</v>
      </c>
      <c r="CD2025">
        <v>7441</v>
      </c>
      <c r="CE2025" t="s">
        <v>88</v>
      </c>
      <c r="CF2025" s="3">
        <v>43822</v>
      </c>
      <c r="CI2025">
        <v>1</v>
      </c>
      <c r="CJ2025">
        <v>1</v>
      </c>
      <c r="CK2025">
        <v>21</v>
      </c>
      <c r="CL2025" t="s">
        <v>89</v>
      </c>
    </row>
    <row r="2026" spans="1:90">
      <c r="A2026" t="s">
        <v>72</v>
      </c>
      <c r="B2026" t="s">
        <v>73</v>
      </c>
      <c r="C2026" t="s">
        <v>74</v>
      </c>
      <c r="E2026" t="str">
        <f>"FES1162728933"</f>
        <v>FES1162728933</v>
      </c>
      <c r="F2026" s="3">
        <v>43818</v>
      </c>
      <c r="G2026">
        <v>202006</v>
      </c>
      <c r="H2026" t="s">
        <v>75</v>
      </c>
      <c r="I2026" t="s">
        <v>76</v>
      </c>
      <c r="J2026" t="s">
        <v>77</v>
      </c>
      <c r="K2026" t="s">
        <v>78</v>
      </c>
      <c r="L2026" t="s">
        <v>75</v>
      </c>
      <c r="M2026" t="s">
        <v>76</v>
      </c>
      <c r="N2026" t="s">
        <v>422</v>
      </c>
      <c r="O2026" t="s">
        <v>82</v>
      </c>
      <c r="P2026" t="str">
        <f>"2170722043                    "</f>
        <v xml:space="preserve">2170722043                    </v>
      </c>
      <c r="Q2026">
        <v>0</v>
      </c>
      <c r="R2026">
        <v>0</v>
      </c>
      <c r="S2026">
        <v>0</v>
      </c>
      <c r="T2026">
        <v>0</v>
      </c>
      <c r="U2026">
        <v>0</v>
      </c>
      <c r="V2026">
        <v>0</v>
      </c>
      <c r="W2026">
        <v>0</v>
      </c>
      <c r="X2026">
        <v>0</v>
      </c>
      <c r="Y2026">
        <v>0</v>
      </c>
      <c r="Z2026">
        <v>0</v>
      </c>
      <c r="AA2026">
        <v>0</v>
      </c>
      <c r="AB2026">
        <v>0</v>
      </c>
      <c r="AC2026">
        <v>0</v>
      </c>
      <c r="AD2026">
        <v>0</v>
      </c>
      <c r="AE2026">
        <v>0</v>
      </c>
      <c r="AF2026">
        <v>0</v>
      </c>
      <c r="AG2026">
        <v>0</v>
      </c>
      <c r="AH2026">
        <v>0</v>
      </c>
      <c r="AI2026">
        <v>0</v>
      </c>
      <c r="AJ2026">
        <v>0</v>
      </c>
      <c r="AK2026">
        <v>0</v>
      </c>
      <c r="AL2026">
        <v>0</v>
      </c>
      <c r="AM2026">
        <v>17.149999999999999</v>
      </c>
      <c r="AN2026">
        <v>0</v>
      </c>
      <c r="AO2026">
        <v>0</v>
      </c>
      <c r="AP2026">
        <v>0</v>
      </c>
      <c r="AQ2026">
        <v>0</v>
      </c>
      <c r="AR2026">
        <v>0</v>
      </c>
      <c r="AS2026">
        <v>0</v>
      </c>
      <c r="AT2026">
        <v>0</v>
      </c>
      <c r="AU2026">
        <v>0</v>
      </c>
      <c r="AV2026">
        <v>0</v>
      </c>
      <c r="AW2026">
        <v>0</v>
      </c>
      <c r="AX2026">
        <v>0</v>
      </c>
      <c r="AY2026">
        <v>0</v>
      </c>
      <c r="AZ2026">
        <v>0</v>
      </c>
      <c r="BA2026">
        <v>0</v>
      </c>
      <c r="BB2026">
        <v>0</v>
      </c>
      <c r="BC2026">
        <v>0</v>
      </c>
      <c r="BD2026">
        <v>0</v>
      </c>
      <c r="BE2026">
        <v>0</v>
      </c>
      <c r="BF2026">
        <v>0</v>
      </c>
      <c r="BG2026">
        <v>0</v>
      </c>
      <c r="BH2026">
        <v>1</v>
      </c>
      <c r="BI2026">
        <v>3.8</v>
      </c>
      <c r="BJ2026">
        <v>8.3000000000000007</v>
      </c>
      <c r="BK2026">
        <v>8.5</v>
      </c>
      <c r="BL2026" s="4">
        <v>100.82</v>
      </c>
      <c r="BM2026" s="4">
        <v>15.12</v>
      </c>
      <c r="BN2026" s="4">
        <v>115.94</v>
      </c>
      <c r="BO2026" s="4">
        <v>115.94</v>
      </c>
      <c r="BQ2026" t="s">
        <v>147</v>
      </c>
      <c r="BR2026" t="s">
        <v>84</v>
      </c>
      <c r="BS2026" s="3">
        <v>43819</v>
      </c>
      <c r="BT2026" s="5">
        <v>0.31944444444444448</v>
      </c>
      <c r="BU2026" t="s">
        <v>1962</v>
      </c>
      <c r="BV2026" t="s">
        <v>86</v>
      </c>
      <c r="BY2026">
        <v>41558.93</v>
      </c>
      <c r="CA2026" t="s">
        <v>155</v>
      </c>
      <c r="CC2026" t="s">
        <v>76</v>
      </c>
      <c r="CD2026">
        <v>1601</v>
      </c>
      <c r="CE2026" t="s">
        <v>96</v>
      </c>
      <c r="CF2026" s="3">
        <v>43822</v>
      </c>
      <c r="CI2026">
        <v>1</v>
      </c>
      <c r="CJ2026">
        <v>1</v>
      </c>
      <c r="CK2026">
        <v>22</v>
      </c>
      <c r="CL2026" t="s">
        <v>89</v>
      </c>
    </row>
    <row r="2027" spans="1:90">
      <c r="A2027" t="s">
        <v>72</v>
      </c>
      <c r="B2027" t="s">
        <v>73</v>
      </c>
      <c r="C2027" t="s">
        <v>74</v>
      </c>
      <c r="E2027" t="str">
        <f>"FES1162729100"</f>
        <v>FES1162729100</v>
      </c>
      <c r="F2027" s="3">
        <v>43818</v>
      </c>
      <c r="G2027">
        <v>202006</v>
      </c>
      <c r="H2027" t="s">
        <v>75</v>
      </c>
      <c r="I2027" t="s">
        <v>76</v>
      </c>
      <c r="J2027" t="s">
        <v>77</v>
      </c>
      <c r="K2027" t="s">
        <v>78</v>
      </c>
      <c r="L2027" t="s">
        <v>75</v>
      </c>
      <c r="M2027" t="s">
        <v>76</v>
      </c>
      <c r="N2027" t="s">
        <v>1131</v>
      </c>
      <c r="O2027" t="s">
        <v>82</v>
      </c>
      <c r="P2027" t="str">
        <f>"2170720524                    "</f>
        <v xml:space="preserve">2170720524                    </v>
      </c>
      <c r="Q2027">
        <v>0</v>
      </c>
      <c r="R2027">
        <v>0</v>
      </c>
      <c r="S2027">
        <v>0</v>
      </c>
      <c r="T2027">
        <v>0</v>
      </c>
      <c r="U2027">
        <v>0</v>
      </c>
      <c r="V2027">
        <v>0</v>
      </c>
      <c r="W2027">
        <v>0</v>
      </c>
      <c r="X2027">
        <v>0</v>
      </c>
      <c r="Y2027">
        <v>0</v>
      </c>
      <c r="Z2027">
        <v>0</v>
      </c>
      <c r="AA2027">
        <v>0</v>
      </c>
      <c r="AB2027">
        <v>0</v>
      </c>
      <c r="AC2027">
        <v>0</v>
      </c>
      <c r="AD2027">
        <v>0</v>
      </c>
      <c r="AE2027">
        <v>0</v>
      </c>
      <c r="AF2027">
        <v>0</v>
      </c>
      <c r="AG2027">
        <v>0</v>
      </c>
      <c r="AH2027">
        <v>0</v>
      </c>
      <c r="AI2027">
        <v>0</v>
      </c>
      <c r="AJ2027">
        <v>0</v>
      </c>
      <c r="AK2027">
        <v>0</v>
      </c>
      <c r="AL2027">
        <v>0</v>
      </c>
      <c r="AM2027">
        <v>6.71</v>
      </c>
      <c r="AN2027">
        <v>0</v>
      </c>
      <c r="AO2027">
        <v>0</v>
      </c>
      <c r="AP2027">
        <v>0</v>
      </c>
      <c r="AQ2027">
        <v>0</v>
      </c>
      <c r="AR2027">
        <v>0</v>
      </c>
      <c r="AS2027">
        <v>0</v>
      </c>
      <c r="AT2027">
        <v>0</v>
      </c>
      <c r="AU2027">
        <v>0</v>
      </c>
      <c r="AV2027">
        <v>0</v>
      </c>
      <c r="AW2027">
        <v>0</v>
      </c>
      <c r="AX2027">
        <v>0</v>
      </c>
      <c r="AY2027">
        <v>0</v>
      </c>
      <c r="AZ2027">
        <v>0</v>
      </c>
      <c r="BA2027">
        <v>0</v>
      </c>
      <c r="BB2027">
        <v>0</v>
      </c>
      <c r="BC2027">
        <v>0</v>
      </c>
      <c r="BD2027">
        <v>0</v>
      </c>
      <c r="BE2027">
        <v>0</v>
      </c>
      <c r="BF2027">
        <v>0</v>
      </c>
      <c r="BG2027">
        <v>0</v>
      </c>
      <c r="BH2027">
        <v>1</v>
      </c>
      <c r="BI2027">
        <v>1</v>
      </c>
      <c r="BJ2027">
        <v>0.2</v>
      </c>
      <c r="BK2027">
        <v>1</v>
      </c>
      <c r="BL2027" s="4">
        <v>39.42</v>
      </c>
      <c r="BM2027" s="4">
        <v>5.91</v>
      </c>
      <c r="BN2027" s="4">
        <v>45.33</v>
      </c>
      <c r="BO2027" s="4">
        <v>45.33</v>
      </c>
      <c r="BQ2027" t="s">
        <v>1132</v>
      </c>
      <c r="BR2027" t="s">
        <v>84</v>
      </c>
      <c r="BS2027" s="3">
        <v>43819</v>
      </c>
      <c r="BT2027" s="5">
        <v>0.3520833333333333</v>
      </c>
      <c r="BU2027" t="s">
        <v>705</v>
      </c>
      <c r="BV2027" t="s">
        <v>86</v>
      </c>
      <c r="BY2027">
        <v>1200</v>
      </c>
      <c r="CA2027" t="s">
        <v>307</v>
      </c>
      <c r="CC2027" t="s">
        <v>76</v>
      </c>
      <c r="CD2027">
        <v>1609</v>
      </c>
      <c r="CE2027" t="s">
        <v>88</v>
      </c>
      <c r="CF2027" s="3">
        <v>43822</v>
      </c>
      <c r="CI2027">
        <v>1</v>
      </c>
      <c r="CJ2027">
        <v>1</v>
      </c>
      <c r="CK2027">
        <v>22</v>
      </c>
      <c r="CL2027" t="s">
        <v>89</v>
      </c>
    </row>
    <row r="2028" spans="1:90">
      <c r="A2028" t="s">
        <v>72</v>
      </c>
      <c r="B2028" t="s">
        <v>73</v>
      </c>
      <c r="C2028" t="s">
        <v>74</v>
      </c>
      <c r="E2028" t="str">
        <f>"FES1162729078"</f>
        <v>FES1162729078</v>
      </c>
      <c r="F2028" s="3">
        <v>43818</v>
      </c>
      <c r="G2028">
        <v>202006</v>
      </c>
      <c r="H2028" t="s">
        <v>75</v>
      </c>
      <c r="I2028" t="s">
        <v>76</v>
      </c>
      <c r="J2028" t="s">
        <v>77</v>
      </c>
      <c r="K2028" t="s">
        <v>78</v>
      </c>
      <c r="L2028" t="s">
        <v>132</v>
      </c>
      <c r="M2028" t="s">
        <v>133</v>
      </c>
      <c r="N2028" t="s">
        <v>1045</v>
      </c>
      <c r="O2028" t="s">
        <v>82</v>
      </c>
      <c r="P2028" t="str">
        <f>"2170720391                    "</f>
        <v xml:space="preserve">2170720391                    </v>
      </c>
      <c r="Q2028">
        <v>0</v>
      </c>
      <c r="R2028">
        <v>0</v>
      </c>
      <c r="S2028">
        <v>0</v>
      </c>
      <c r="T2028">
        <v>0</v>
      </c>
      <c r="U2028">
        <v>0</v>
      </c>
      <c r="V2028">
        <v>0</v>
      </c>
      <c r="W2028">
        <v>0</v>
      </c>
      <c r="X2028">
        <v>0</v>
      </c>
      <c r="Y2028">
        <v>0</v>
      </c>
      <c r="Z2028">
        <v>0</v>
      </c>
      <c r="AA2028">
        <v>0</v>
      </c>
      <c r="AB2028">
        <v>0</v>
      </c>
      <c r="AC2028">
        <v>0</v>
      </c>
      <c r="AD2028">
        <v>0</v>
      </c>
      <c r="AE2028">
        <v>0</v>
      </c>
      <c r="AF2028">
        <v>0</v>
      </c>
      <c r="AG2028">
        <v>0</v>
      </c>
      <c r="AH2028">
        <v>0</v>
      </c>
      <c r="AI2028">
        <v>0</v>
      </c>
      <c r="AJ2028">
        <v>0</v>
      </c>
      <c r="AK2028">
        <v>0</v>
      </c>
      <c r="AL2028">
        <v>0</v>
      </c>
      <c r="AM2028">
        <v>8.58</v>
      </c>
      <c r="AN2028">
        <v>0</v>
      </c>
      <c r="AO2028">
        <v>0</v>
      </c>
      <c r="AP2028">
        <v>0</v>
      </c>
      <c r="AQ2028">
        <v>0</v>
      </c>
      <c r="AR2028">
        <v>0</v>
      </c>
      <c r="AS2028">
        <v>0</v>
      </c>
      <c r="AT2028">
        <v>0</v>
      </c>
      <c r="AU2028">
        <v>0</v>
      </c>
      <c r="AV2028">
        <v>0</v>
      </c>
      <c r="AW2028">
        <v>0</v>
      </c>
      <c r="AX2028">
        <v>0</v>
      </c>
      <c r="AY2028">
        <v>0</v>
      </c>
      <c r="AZ2028">
        <v>0</v>
      </c>
      <c r="BA2028">
        <v>0</v>
      </c>
      <c r="BB2028">
        <v>0</v>
      </c>
      <c r="BC2028">
        <v>0</v>
      </c>
      <c r="BD2028">
        <v>0</v>
      </c>
      <c r="BE2028">
        <v>0</v>
      </c>
      <c r="BF2028">
        <v>0</v>
      </c>
      <c r="BG2028">
        <v>0</v>
      </c>
      <c r="BH2028">
        <v>1</v>
      </c>
      <c r="BI2028">
        <v>1</v>
      </c>
      <c r="BJ2028">
        <v>0.2</v>
      </c>
      <c r="BK2028">
        <v>1</v>
      </c>
      <c r="BL2028" s="4">
        <v>50.45</v>
      </c>
      <c r="BM2028" s="4">
        <v>7.57</v>
      </c>
      <c r="BN2028" s="4">
        <v>58.02</v>
      </c>
      <c r="BO2028" s="4">
        <v>58.02</v>
      </c>
      <c r="BR2028" t="s">
        <v>84</v>
      </c>
      <c r="BS2028" s="3">
        <v>43836</v>
      </c>
      <c r="BT2028" s="5">
        <v>0.39652777777777781</v>
      </c>
      <c r="BU2028" t="s">
        <v>2320</v>
      </c>
      <c r="BV2028" t="s">
        <v>89</v>
      </c>
      <c r="BY2028">
        <v>1200</v>
      </c>
      <c r="CA2028" t="s">
        <v>137</v>
      </c>
      <c r="CC2028" t="s">
        <v>133</v>
      </c>
      <c r="CD2028">
        <v>157</v>
      </c>
      <c r="CE2028" t="s">
        <v>88</v>
      </c>
      <c r="CI2028">
        <v>1</v>
      </c>
      <c r="CJ2028">
        <v>12</v>
      </c>
      <c r="CK2028">
        <v>21</v>
      </c>
      <c r="CL2028" t="s">
        <v>89</v>
      </c>
    </row>
    <row r="2029" spans="1:90">
      <c r="A2029" t="s">
        <v>72</v>
      </c>
      <c r="B2029" t="s">
        <v>73</v>
      </c>
      <c r="C2029" t="s">
        <v>74</v>
      </c>
      <c r="E2029" t="str">
        <f>"FES1162728880"</f>
        <v>FES1162728880</v>
      </c>
      <c r="F2029" s="3">
        <v>43818</v>
      </c>
      <c r="G2029">
        <v>202006</v>
      </c>
      <c r="H2029" t="s">
        <v>75</v>
      </c>
      <c r="I2029" t="s">
        <v>76</v>
      </c>
      <c r="J2029" t="s">
        <v>77</v>
      </c>
      <c r="K2029" t="s">
        <v>78</v>
      </c>
      <c r="L2029" t="s">
        <v>79</v>
      </c>
      <c r="M2029" t="s">
        <v>80</v>
      </c>
      <c r="N2029" t="s">
        <v>129</v>
      </c>
      <c r="O2029" t="s">
        <v>82</v>
      </c>
      <c r="P2029" t="str">
        <f>"2170717910                    "</f>
        <v xml:space="preserve">2170717910                    </v>
      </c>
      <c r="Q2029">
        <v>0</v>
      </c>
      <c r="R2029">
        <v>0</v>
      </c>
      <c r="S2029">
        <v>0</v>
      </c>
      <c r="T2029">
        <v>0</v>
      </c>
      <c r="U2029">
        <v>0</v>
      </c>
      <c r="V2029">
        <v>0</v>
      </c>
      <c r="W2029">
        <v>0</v>
      </c>
      <c r="X2029">
        <v>0</v>
      </c>
      <c r="Y2029">
        <v>0</v>
      </c>
      <c r="Z2029">
        <v>0</v>
      </c>
      <c r="AA2029">
        <v>0</v>
      </c>
      <c r="AB2029">
        <v>0</v>
      </c>
      <c r="AC2029">
        <v>0</v>
      </c>
      <c r="AD2029">
        <v>0</v>
      </c>
      <c r="AE2029">
        <v>0</v>
      </c>
      <c r="AF2029">
        <v>0</v>
      </c>
      <c r="AG2029">
        <v>0</v>
      </c>
      <c r="AH2029">
        <v>0</v>
      </c>
      <c r="AI2029">
        <v>0</v>
      </c>
      <c r="AJ2029">
        <v>0</v>
      </c>
      <c r="AK2029">
        <v>0</v>
      </c>
      <c r="AL2029">
        <v>0</v>
      </c>
      <c r="AM2029">
        <v>8.58</v>
      </c>
      <c r="AN2029">
        <v>0</v>
      </c>
      <c r="AO2029">
        <v>0</v>
      </c>
      <c r="AP2029">
        <v>0</v>
      </c>
      <c r="AQ2029">
        <v>0</v>
      </c>
      <c r="AR2029">
        <v>0</v>
      </c>
      <c r="AS2029">
        <v>0</v>
      </c>
      <c r="AT2029">
        <v>0</v>
      </c>
      <c r="AU2029">
        <v>0</v>
      </c>
      <c r="AV2029">
        <v>0</v>
      </c>
      <c r="AW2029">
        <v>0</v>
      </c>
      <c r="AX2029">
        <v>0</v>
      </c>
      <c r="AY2029">
        <v>0</v>
      </c>
      <c r="AZ2029">
        <v>0</v>
      </c>
      <c r="BA2029">
        <v>0</v>
      </c>
      <c r="BB2029">
        <v>0</v>
      </c>
      <c r="BC2029">
        <v>0</v>
      </c>
      <c r="BD2029">
        <v>0</v>
      </c>
      <c r="BE2029">
        <v>0</v>
      </c>
      <c r="BF2029">
        <v>0</v>
      </c>
      <c r="BG2029">
        <v>0</v>
      </c>
      <c r="BH2029">
        <v>1</v>
      </c>
      <c r="BI2029">
        <v>1</v>
      </c>
      <c r="BJ2029">
        <v>0.2</v>
      </c>
      <c r="BK2029">
        <v>1</v>
      </c>
      <c r="BL2029" s="4">
        <v>50.45</v>
      </c>
      <c r="BM2029" s="4">
        <v>7.57</v>
      </c>
      <c r="BN2029" s="4">
        <v>58.02</v>
      </c>
      <c r="BO2029" s="4">
        <v>58.02</v>
      </c>
      <c r="BQ2029" t="s">
        <v>147</v>
      </c>
      <c r="BR2029" t="s">
        <v>84</v>
      </c>
      <c r="BS2029" s="3">
        <v>43819</v>
      </c>
      <c r="BT2029" s="5">
        <v>0.37777777777777777</v>
      </c>
      <c r="BU2029" t="s">
        <v>130</v>
      </c>
      <c r="BV2029" t="s">
        <v>86</v>
      </c>
      <c r="BY2029">
        <v>1200</v>
      </c>
      <c r="CA2029" t="s">
        <v>131</v>
      </c>
      <c r="CC2029" t="s">
        <v>80</v>
      </c>
      <c r="CD2029">
        <v>6001</v>
      </c>
      <c r="CE2029" t="s">
        <v>88</v>
      </c>
      <c r="CF2029" s="3">
        <v>43822</v>
      </c>
      <c r="CI2029">
        <v>1</v>
      </c>
      <c r="CJ2029">
        <v>1</v>
      </c>
      <c r="CK2029">
        <v>21</v>
      </c>
      <c r="CL2029" t="s">
        <v>89</v>
      </c>
    </row>
    <row r="2030" spans="1:90">
      <c r="A2030" t="s">
        <v>72</v>
      </c>
      <c r="B2030" t="s">
        <v>73</v>
      </c>
      <c r="C2030" t="s">
        <v>74</v>
      </c>
      <c r="E2030" t="str">
        <f>"FES1162729118"</f>
        <v>FES1162729118</v>
      </c>
      <c r="F2030" s="3">
        <v>43818</v>
      </c>
      <c r="G2030">
        <v>202006</v>
      </c>
      <c r="H2030" t="s">
        <v>75</v>
      </c>
      <c r="I2030" t="s">
        <v>76</v>
      </c>
      <c r="J2030" t="s">
        <v>77</v>
      </c>
      <c r="K2030" t="s">
        <v>78</v>
      </c>
      <c r="L2030" t="s">
        <v>75</v>
      </c>
      <c r="M2030" t="s">
        <v>76</v>
      </c>
      <c r="N2030" t="s">
        <v>312</v>
      </c>
      <c r="O2030" t="s">
        <v>82</v>
      </c>
      <c r="P2030" t="str">
        <f>"2170720684                    "</f>
        <v xml:space="preserve">2170720684                    </v>
      </c>
      <c r="Q2030">
        <v>0</v>
      </c>
      <c r="R2030">
        <v>0</v>
      </c>
      <c r="S2030">
        <v>0</v>
      </c>
      <c r="T2030">
        <v>0</v>
      </c>
      <c r="U2030">
        <v>0</v>
      </c>
      <c r="V2030">
        <v>0</v>
      </c>
      <c r="W2030">
        <v>0</v>
      </c>
      <c r="X2030">
        <v>0</v>
      </c>
      <c r="Y2030">
        <v>0</v>
      </c>
      <c r="Z2030">
        <v>0</v>
      </c>
      <c r="AA2030">
        <v>0</v>
      </c>
      <c r="AB2030">
        <v>0</v>
      </c>
      <c r="AC2030">
        <v>0</v>
      </c>
      <c r="AD2030">
        <v>0</v>
      </c>
      <c r="AE2030">
        <v>0</v>
      </c>
      <c r="AF2030">
        <v>0</v>
      </c>
      <c r="AG2030">
        <v>0</v>
      </c>
      <c r="AH2030">
        <v>0</v>
      </c>
      <c r="AI2030">
        <v>0</v>
      </c>
      <c r="AJ2030">
        <v>0</v>
      </c>
      <c r="AK2030">
        <v>0</v>
      </c>
      <c r="AL2030">
        <v>0</v>
      </c>
      <c r="AM2030">
        <v>6.71</v>
      </c>
      <c r="AN2030">
        <v>0</v>
      </c>
      <c r="AO2030">
        <v>0</v>
      </c>
      <c r="AP2030">
        <v>0</v>
      </c>
      <c r="AQ2030">
        <v>0</v>
      </c>
      <c r="AR2030">
        <v>0</v>
      </c>
      <c r="AS2030">
        <v>0</v>
      </c>
      <c r="AT2030">
        <v>0</v>
      </c>
      <c r="AU2030">
        <v>0</v>
      </c>
      <c r="AV2030">
        <v>0</v>
      </c>
      <c r="AW2030">
        <v>0</v>
      </c>
      <c r="AX2030">
        <v>0</v>
      </c>
      <c r="AY2030">
        <v>0</v>
      </c>
      <c r="AZ2030">
        <v>0</v>
      </c>
      <c r="BA2030">
        <v>0</v>
      </c>
      <c r="BB2030">
        <v>0</v>
      </c>
      <c r="BC2030">
        <v>0</v>
      </c>
      <c r="BD2030">
        <v>0</v>
      </c>
      <c r="BE2030">
        <v>0</v>
      </c>
      <c r="BF2030">
        <v>0</v>
      </c>
      <c r="BG2030">
        <v>0</v>
      </c>
      <c r="BH2030">
        <v>1</v>
      </c>
      <c r="BI2030">
        <v>1</v>
      </c>
      <c r="BJ2030">
        <v>0.2</v>
      </c>
      <c r="BK2030">
        <v>1</v>
      </c>
      <c r="BL2030" s="4">
        <v>39.42</v>
      </c>
      <c r="BM2030" s="4">
        <v>5.91</v>
      </c>
      <c r="BN2030" s="4">
        <v>45.33</v>
      </c>
      <c r="BO2030" s="4">
        <v>45.33</v>
      </c>
      <c r="BQ2030" t="s">
        <v>147</v>
      </c>
      <c r="BR2030" t="s">
        <v>84</v>
      </c>
      <c r="BS2030" s="3">
        <v>43832</v>
      </c>
      <c r="BT2030" s="5">
        <v>0.78541666666666676</v>
      </c>
      <c r="BU2030" t="s">
        <v>617</v>
      </c>
      <c r="BV2030" t="s">
        <v>89</v>
      </c>
      <c r="BY2030">
        <v>1200</v>
      </c>
      <c r="CA2030" t="s">
        <v>620</v>
      </c>
      <c r="CC2030" t="s">
        <v>76</v>
      </c>
      <c r="CD2030">
        <v>1609</v>
      </c>
      <c r="CE2030" t="s">
        <v>88</v>
      </c>
      <c r="CI2030">
        <v>1</v>
      </c>
      <c r="CJ2030">
        <v>10</v>
      </c>
      <c r="CK2030">
        <v>22</v>
      </c>
      <c r="CL2030" t="s">
        <v>89</v>
      </c>
    </row>
    <row r="2031" spans="1:90">
      <c r="A2031" t="s">
        <v>72</v>
      </c>
      <c r="B2031" t="s">
        <v>73</v>
      </c>
      <c r="C2031" t="s">
        <v>74</v>
      </c>
      <c r="E2031" t="str">
        <f>"FES1162729066"</f>
        <v>FES1162729066</v>
      </c>
      <c r="F2031" s="3">
        <v>43818</v>
      </c>
      <c r="G2031">
        <v>202006</v>
      </c>
      <c r="H2031" t="s">
        <v>75</v>
      </c>
      <c r="I2031" t="s">
        <v>76</v>
      </c>
      <c r="J2031" t="s">
        <v>77</v>
      </c>
      <c r="K2031" t="s">
        <v>78</v>
      </c>
      <c r="L2031" t="s">
        <v>90</v>
      </c>
      <c r="M2031" t="s">
        <v>91</v>
      </c>
      <c r="N2031" t="s">
        <v>2321</v>
      </c>
      <c r="O2031" t="s">
        <v>82</v>
      </c>
      <c r="P2031" t="str">
        <f>"217072074                     "</f>
        <v xml:space="preserve">217072074                     </v>
      </c>
      <c r="Q2031">
        <v>0</v>
      </c>
      <c r="R2031">
        <v>0</v>
      </c>
      <c r="S2031">
        <v>0</v>
      </c>
      <c r="T2031">
        <v>0</v>
      </c>
      <c r="U2031">
        <v>0</v>
      </c>
      <c r="V2031">
        <v>0</v>
      </c>
      <c r="W2031">
        <v>0</v>
      </c>
      <c r="X2031">
        <v>0</v>
      </c>
      <c r="Y2031">
        <v>0</v>
      </c>
      <c r="Z2031">
        <v>0</v>
      </c>
      <c r="AA2031">
        <v>0</v>
      </c>
      <c r="AB2031">
        <v>0</v>
      </c>
      <c r="AC2031">
        <v>0</v>
      </c>
      <c r="AD2031">
        <v>0</v>
      </c>
      <c r="AE2031">
        <v>0</v>
      </c>
      <c r="AF2031">
        <v>0</v>
      </c>
      <c r="AG2031">
        <v>0</v>
      </c>
      <c r="AH2031">
        <v>0</v>
      </c>
      <c r="AI2031">
        <v>0</v>
      </c>
      <c r="AJ2031">
        <v>0</v>
      </c>
      <c r="AK2031">
        <v>0</v>
      </c>
      <c r="AL2031">
        <v>0</v>
      </c>
      <c r="AM2031">
        <v>8.58</v>
      </c>
      <c r="AN2031">
        <v>0</v>
      </c>
      <c r="AO2031">
        <v>0</v>
      </c>
      <c r="AP2031">
        <v>0</v>
      </c>
      <c r="AQ2031">
        <v>0</v>
      </c>
      <c r="AR2031">
        <v>0</v>
      </c>
      <c r="AS2031">
        <v>0</v>
      </c>
      <c r="AT2031">
        <v>0</v>
      </c>
      <c r="AU2031">
        <v>0</v>
      </c>
      <c r="AV2031">
        <v>0</v>
      </c>
      <c r="AW2031">
        <v>0</v>
      </c>
      <c r="AX2031">
        <v>0</v>
      </c>
      <c r="AY2031">
        <v>0</v>
      </c>
      <c r="AZ2031">
        <v>0</v>
      </c>
      <c r="BA2031">
        <v>0</v>
      </c>
      <c r="BB2031">
        <v>0</v>
      </c>
      <c r="BC2031">
        <v>0</v>
      </c>
      <c r="BD2031">
        <v>0</v>
      </c>
      <c r="BE2031">
        <v>0</v>
      </c>
      <c r="BF2031">
        <v>0</v>
      </c>
      <c r="BG2031">
        <v>0</v>
      </c>
      <c r="BH2031">
        <v>1</v>
      </c>
      <c r="BI2031">
        <v>1.1000000000000001</v>
      </c>
      <c r="BJ2031">
        <v>0.6</v>
      </c>
      <c r="BK2031">
        <v>1.5</v>
      </c>
      <c r="BL2031" s="4">
        <v>50.45</v>
      </c>
      <c r="BM2031" s="4">
        <v>7.57</v>
      </c>
      <c r="BN2031" s="4">
        <v>58.02</v>
      </c>
      <c r="BO2031" s="4">
        <v>58.02</v>
      </c>
      <c r="BQ2031" t="s">
        <v>93</v>
      </c>
      <c r="BR2031" t="s">
        <v>84</v>
      </c>
      <c r="BS2031" s="3">
        <v>43819</v>
      </c>
      <c r="BT2031" s="5">
        <v>0.32500000000000001</v>
      </c>
      <c r="BU2031" t="s">
        <v>2322</v>
      </c>
      <c r="BV2031" t="s">
        <v>86</v>
      </c>
      <c r="BY2031">
        <v>2984.18</v>
      </c>
      <c r="CA2031" t="s">
        <v>440</v>
      </c>
      <c r="CC2031" t="s">
        <v>91</v>
      </c>
      <c r="CD2031">
        <v>7493</v>
      </c>
      <c r="CE2031" t="s">
        <v>116</v>
      </c>
      <c r="CF2031" s="3">
        <v>43822</v>
      </c>
      <c r="CI2031">
        <v>1</v>
      </c>
      <c r="CJ2031">
        <v>1</v>
      </c>
      <c r="CK2031">
        <v>21</v>
      </c>
      <c r="CL2031" t="s">
        <v>89</v>
      </c>
    </row>
    <row r="2032" spans="1:90">
      <c r="A2032" t="s">
        <v>72</v>
      </c>
      <c r="B2032" t="s">
        <v>73</v>
      </c>
      <c r="C2032" t="s">
        <v>74</v>
      </c>
      <c r="E2032" t="str">
        <f>"FES1162729068"</f>
        <v>FES1162729068</v>
      </c>
      <c r="F2032" s="3">
        <v>43818</v>
      </c>
      <c r="G2032">
        <v>202006</v>
      </c>
      <c r="H2032" t="s">
        <v>75</v>
      </c>
      <c r="I2032" t="s">
        <v>76</v>
      </c>
      <c r="J2032" t="s">
        <v>77</v>
      </c>
      <c r="K2032" t="s">
        <v>78</v>
      </c>
      <c r="L2032" t="s">
        <v>332</v>
      </c>
      <c r="M2032" t="s">
        <v>333</v>
      </c>
      <c r="N2032" t="s">
        <v>978</v>
      </c>
      <c r="O2032" t="s">
        <v>82</v>
      </c>
      <c r="P2032" t="str">
        <f>"2170720279                    "</f>
        <v xml:space="preserve">2170720279                    </v>
      </c>
      <c r="Q2032">
        <v>0</v>
      </c>
      <c r="R2032">
        <v>0</v>
      </c>
      <c r="S2032">
        <v>0</v>
      </c>
      <c r="T2032">
        <v>0</v>
      </c>
      <c r="U2032">
        <v>0</v>
      </c>
      <c r="V2032">
        <v>0</v>
      </c>
      <c r="W2032">
        <v>0</v>
      </c>
      <c r="X2032">
        <v>0</v>
      </c>
      <c r="Y2032">
        <v>0</v>
      </c>
      <c r="Z2032">
        <v>0</v>
      </c>
      <c r="AA2032">
        <v>0</v>
      </c>
      <c r="AB2032">
        <v>0</v>
      </c>
      <c r="AC2032">
        <v>0</v>
      </c>
      <c r="AD2032">
        <v>0</v>
      </c>
      <c r="AE2032">
        <v>0</v>
      </c>
      <c r="AF2032">
        <v>0</v>
      </c>
      <c r="AG2032">
        <v>0</v>
      </c>
      <c r="AH2032">
        <v>0</v>
      </c>
      <c r="AI2032">
        <v>0</v>
      </c>
      <c r="AJ2032">
        <v>0</v>
      </c>
      <c r="AK2032">
        <v>0</v>
      </c>
      <c r="AL2032">
        <v>0</v>
      </c>
      <c r="AM2032">
        <v>6.71</v>
      </c>
      <c r="AN2032">
        <v>0</v>
      </c>
      <c r="AO2032">
        <v>0</v>
      </c>
      <c r="AP2032">
        <v>0</v>
      </c>
      <c r="AQ2032">
        <v>0</v>
      </c>
      <c r="AR2032">
        <v>0</v>
      </c>
      <c r="AS2032">
        <v>0</v>
      </c>
      <c r="AT2032">
        <v>0</v>
      </c>
      <c r="AU2032">
        <v>0</v>
      </c>
      <c r="AV2032">
        <v>0</v>
      </c>
      <c r="AW2032">
        <v>0</v>
      </c>
      <c r="AX2032">
        <v>0</v>
      </c>
      <c r="AY2032">
        <v>0</v>
      </c>
      <c r="AZ2032">
        <v>0</v>
      </c>
      <c r="BA2032">
        <v>0</v>
      </c>
      <c r="BB2032">
        <v>0</v>
      </c>
      <c r="BC2032">
        <v>0</v>
      </c>
      <c r="BD2032">
        <v>0</v>
      </c>
      <c r="BE2032">
        <v>0</v>
      </c>
      <c r="BF2032">
        <v>0</v>
      </c>
      <c r="BG2032">
        <v>0</v>
      </c>
      <c r="BH2032">
        <v>1</v>
      </c>
      <c r="BI2032">
        <v>1</v>
      </c>
      <c r="BJ2032">
        <v>0.2</v>
      </c>
      <c r="BK2032">
        <v>1</v>
      </c>
      <c r="BL2032" s="4">
        <v>39.42</v>
      </c>
      <c r="BM2032" s="4">
        <v>5.91</v>
      </c>
      <c r="BN2032" s="4">
        <v>45.33</v>
      </c>
      <c r="BO2032" s="4">
        <v>45.33</v>
      </c>
      <c r="BR2032" t="s">
        <v>84</v>
      </c>
      <c r="BS2032" s="3">
        <v>43819</v>
      </c>
      <c r="BT2032" s="5">
        <v>0.36180555555555555</v>
      </c>
      <c r="BU2032" t="s">
        <v>2323</v>
      </c>
      <c r="BV2032" t="s">
        <v>86</v>
      </c>
      <c r="BY2032">
        <v>1200</v>
      </c>
      <c r="CC2032" t="s">
        <v>333</v>
      </c>
      <c r="CD2032">
        <v>2013</v>
      </c>
      <c r="CE2032" t="s">
        <v>88</v>
      </c>
      <c r="CF2032" s="3">
        <v>43822</v>
      </c>
      <c r="CI2032">
        <v>1</v>
      </c>
      <c r="CJ2032">
        <v>1</v>
      </c>
      <c r="CK2032">
        <v>22</v>
      </c>
      <c r="CL2032" t="s">
        <v>89</v>
      </c>
    </row>
    <row r="2033" spans="1:90">
      <c r="A2033" t="s">
        <v>72</v>
      </c>
      <c r="B2033" t="s">
        <v>73</v>
      </c>
      <c r="C2033" t="s">
        <v>74</v>
      </c>
      <c r="E2033" t="str">
        <f>"FES1162729069"</f>
        <v>FES1162729069</v>
      </c>
      <c r="F2033" s="3">
        <v>43818</v>
      </c>
      <c r="G2033">
        <v>202006</v>
      </c>
      <c r="H2033" t="s">
        <v>75</v>
      </c>
      <c r="I2033" t="s">
        <v>76</v>
      </c>
      <c r="J2033" t="s">
        <v>77</v>
      </c>
      <c r="K2033" t="s">
        <v>78</v>
      </c>
      <c r="L2033" t="s">
        <v>332</v>
      </c>
      <c r="M2033" t="s">
        <v>333</v>
      </c>
      <c r="N2033" t="s">
        <v>701</v>
      </c>
      <c r="O2033" t="s">
        <v>82</v>
      </c>
      <c r="P2033" t="str">
        <f>"2170720288                    "</f>
        <v xml:space="preserve">2170720288                    </v>
      </c>
      <c r="Q2033">
        <v>0</v>
      </c>
      <c r="R2033">
        <v>0</v>
      </c>
      <c r="S2033">
        <v>0</v>
      </c>
      <c r="T2033">
        <v>0</v>
      </c>
      <c r="U2033">
        <v>0</v>
      </c>
      <c r="V2033">
        <v>0</v>
      </c>
      <c r="W2033">
        <v>0</v>
      </c>
      <c r="X2033">
        <v>0</v>
      </c>
      <c r="Y2033">
        <v>0</v>
      </c>
      <c r="Z2033">
        <v>0</v>
      </c>
      <c r="AA2033">
        <v>0</v>
      </c>
      <c r="AB2033">
        <v>0</v>
      </c>
      <c r="AC2033">
        <v>0</v>
      </c>
      <c r="AD2033">
        <v>0</v>
      </c>
      <c r="AE2033">
        <v>0</v>
      </c>
      <c r="AF2033">
        <v>0</v>
      </c>
      <c r="AG2033">
        <v>0</v>
      </c>
      <c r="AH2033">
        <v>0</v>
      </c>
      <c r="AI2033">
        <v>0</v>
      </c>
      <c r="AJ2033">
        <v>0</v>
      </c>
      <c r="AK2033">
        <v>0</v>
      </c>
      <c r="AL2033">
        <v>0</v>
      </c>
      <c r="AM2033">
        <v>6.71</v>
      </c>
      <c r="AN2033">
        <v>0</v>
      </c>
      <c r="AO2033">
        <v>0</v>
      </c>
      <c r="AP2033">
        <v>0</v>
      </c>
      <c r="AQ2033">
        <v>0</v>
      </c>
      <c r="AR2033">
        <v>0</v>
      </c>
      <c r="AS2033">
        <v>0</v>
      </c>
      <c r="AT2033">
        <v>0</v>
      </c>
      <c r="AU2033">
        <v>0</v>
      </c>
      <c r="AV2033">
        <v>0</v>
      </c>
      <c r="AW2033">
        <v>0</v>
      </c>
      <c r="AX2033">
        <v>0</v>
      </c>
      <c r="AY2033">
        <v>0</v>
      </c>
      <c r="AZ2033">
        <v>0</v>
      </c>
      <c r="BA2033">
        <v>0</v>
      </c>
      <c r="BB2033">
        <v>0</v>
      </c>
      <c r="BC2033">
        <v>0</v>
      </c>
      <c r="BD2033">
        <v>0</v>
      </c>
      <c r="BE2033">
        <v>0</v>
      </c>
      <c r="BF2033">
        <v>0</v>
      </c>
      <c r="BG2033">
        <v>0</v>
      </c>
      <c r="BH2033">
        <v>1</v>
      </c>
      <c r="BI2033">
        <v>1</v>
      </c>
      <c r="BJ2033">
        <v>0.2</v>
      </c>
      <c r="BK2033">
        <v>1</v>
      </c>
      <c r="BL2033" s="4">
        <v>39.42</v>
      </c>
      <c r="BM2033" s="4">
        <v>5.91</v>
      </c>
      <c r="BN2033" s="4">
        <v>45.33</v>
      </c>
      <c r="BO2033" s="4">
        <v>45.33</v>
      </c>
      <c r="BQ2033" t="s">
        <v>93</v>
      </c>
      <c r="BR2033" t="s">
        <v>84</v>
      </c>
      <c r="BS2033" s="3">
        <v>43819</v>
      </c>
      <c r="BT2033" s="5">
        <v>0.34652777777777777</v>
      </c>
      <c r="BU2033" t="s">
        <v>702</v>
      </c>
      <c r="BV2033" t="s">
        <v>86</v>
      </c>
      <c r="BY2033">
        <v>1200</v>
      </c>
      <c r="CA2033" t="s">
        <v>700</v>
      </c>
      <c r="CC2033" t="s">
        <v>333</v>
      </c>
      <c r="CD2033">
        <v>2094</v>
      </c>
      <c r="CE2033" t="s">
        <v>88</v>
      </c>
      <c r="CF2033" s="3">
        <v>43822</v>
      </c>
      <c r="CI2033">
        <v>1</v>
      </c>
      <c r="CJ2033">
        <v>1</v>
      </c>
      <c r="CK2033">
        <v>22</v>
      </c>
      <c r="CL2033" t="s">
        <v>89</v>
      </c>
    </row>
    <row r="2034" spans="1:90">
      <c r="A2034" t="s">
        <v>72</v>
      </c>
      <c r="B2034" t="s">
        <v>73</v>
      </c>
      <c r="C2034" t="s">
        <v>74</v>
      </c>
      <c r="E2034" t="str">
        <f>"FES1162729150"</f>
        <v>FES1162729150</v>
      </c>
      <c r="F2034" s="3">
        <v>43818</v>
      </c>
      <c r="G2034">
        <v>202006</v>
      </c>
      <c r="H2034" t="s">
        <v>75</v>
      </c>
      <c r="I2034" t="s">
        <v>76</v>
      </c>
      <c r="J2034" t="s">
        <v>77</v>
      </c>
      <c r="K2034" t="s">
        <v>78</v>
      </c>
      <c r="L2034" t="s">
        <v>2159</v>
      </c>
      <c r="M2034" t="s">
        <v>2159</v>
      </c>
      <c r="N2034" t="s">
        <v>2160</v>
      </c>
      <c r="O2034" t="s">
        <v>82</v>
      </c>
      <c r="P2034" t="str">
        <f>"2170722007                    "</f>
        <v xml:space="preserve">2170722007                    </v>
      </c>
      <c r="Q2034">
        <v>0</v>
      </c>
      <c r="R2034">
        <v>0</v>
      </c>
      <c r="S2034">
        <v>0</v>
      </c>
      <c r="T2034">
        <v>0</v>
      </c>
      <c r="U2034">
        <v>0</v>
      </c>
      <c r="V2034">
        <v>0</v>
      </c>
      <c r="W2034">
        <v>0</v>
      </c>
      <c r="X2034">
        <v>0</v>
      </c>
      <c r="Y2034">
        <v>0</v>
      </c>
      <c r="Z2034">
        <v>0</v>
      </c>
      <c r="AA2034">
        <v>0</v>
      </c>
      <c r="AB2034">
        <v>0</v>
      </c>
      <c r="AC2034">
        <v>0</v>
      </c>
      <c r="AD2034">
        <v>0</v>
      </c>
      <c r="AE2034">
        <v>0</v>
      </c>
      <c r="AF2034">
        <v>0</v>
      </c>
      <c r="AG2034">
        <v>0</v>
      </c>
      <c r="AH2034">
        <v>0</v>
      </c>
      <c r="AI2034">
        <v>0</v>
      </c>
      <c r="AJ2034">
        <v>0</v>
      </c>
      <c r="AK2034">
        <v>0</v>
      </c>
      <c r="AL2034">
        <v>0</v>
      </c>
      <c r="AM2034">
        <v>16.63</v>
      </c>
      <c r="AN2034">
        <v>0</v>
      </c>
      <c r="AO2034">
        <v>0</v>
      </c>
      <c r="AP2034">
        <v>0</v>
      </c>
      <c r="AQ2034">
        <v>0</v>
      </c>
      <c r="AR2034">
        <v>0</v>
      </c>
      <c r="AS2034">
        <v>0</v>
      </c>
      <c r="AT2034">
        <v>0</v>
      </c>
      <c r="AU2034">
        <v>0</v>
      </c>
      <c r="AV2034">
        <v>0</v>
      </c>
      <c r="AW2034">
        <v>0</v>
      </c>
      <c r="AX2034">
        <v>0</v>
      </c>
      <c r="AY2034">
        <v>0</v>
      </c>
      <c r="AZ2034">
        <v>0</v>
      </c>
      <c r="BA2034">
        <v>0</v>
      </c>
      <c r="BB2034">
        <v>0</v>
      </c>
      <c r="BC2034">
        <v>0</v>
      </c>
      <c r="BD2034">
        <v>0</v>
      </c>
      <c r="BE2034">
        <v>0</v>
      </c>
      <c r="BF2034">
        <v>0</v>
      </c>
      <c r="BG2034">
        <v>0</v>
      </c>
      <c r="BH2034">
        <v>1</v>
      </c>
      <c r="BI2034">
        <v>1</v>
      </c>
      <c r="BJ2034">
        <v>0.2</v>
      </c>
      <c r="BK2034">
        <v>1</v>
      </c>
      <c r="BL2034" s="4">
        <v>97.75</v>
      </c>
      <c r="BM2034" s="4">
        <v>14.66</v>
      </c>
      <c r="BN2034" s="4">
        <v>112.41</v>
      </c>
      <c r="BO2034" s="4">
        <v>112.41</v>
      </c>
      <c r="BR2034" t="s">
        <v>84</v>
      </c>
      <c r="BS2034" s="3">
        <v>43822</v>
      </c>
      <c r="BT2034" s="5">
        <v>0.43263888888888885</v>
      </c>
      <c r="BU2034" t="s">
        <v>2324</v>
      </c>
      <c r="BV2034" t="s">
        <v>86</v>
      </c>
      <c r="BY2034">
        <v>1200</v>
      </c>
      <c r="CA2034" t="s">
        <v>2162</v>
      </c>
      <c r="CC2034" t="s">
        <v>2159</v>
      </c>
      <c r="CD2034">
        <v>6835</v>
      </c>
      <c r="CE2034" t="s">
        <v>88</v>
      </c>
      <c r="CF2034" s="3">
        <v>43829</v>
      </c>
      <c r="CI2034">
        <v>3</v>
      </c>
      <c r="CJ2034">
        <v>2</v>
      </c>
      <c r="CK2034">
        <v>23</v>
      </c>
      <c r="CL2034" t="s">
        <v>89</v>
      </c>
    </row>
    <row r="2035" spans="1:90">
      <c r="A2035" t="s">
        <v>72</v>
      </c>
      <c r="B2035" t="s">
        <v>73</v>
      </c>
      <c r="C2035" t="s">
        <v>74</v>
      </c>
      <c r="E2035" t="str">
        <f>"FES1162729131"</f>
        <v>FES1162729131</v>
      </c>
      <c r="F2035" s="3">
        <v>43818</v>
      </c>
      <c r="G2035">
        <v>202006</v>
      </c>
      <c r="H2035" t="s">
        <v>75</v>
      </c>
      <c r="I2035" t="s">
        <v>76</v>
      </c>
      <c r="J2035" t="s">
        <v>77</v>
      </c>
      <c r="K2035" t="s">
        <v>78</v>
      </c>
      <c r="L2035" t="s">
        <v>75</v>
      </c>
      <c r="M2035" t="s">
        <v>76</v>
      </c>
      <c r="N2035" t="s">
        <v>312</v>
      </c>
      <c r="O2035" t="s">
        <v>82</v>
      </c>
      <c r="P2035" t="str">
        <f>"2170720778                    "</f>
        <v xml:space="preserve">2170720778                    </v>
      </c>
      <c r="Q2035">
        <v>0</v>
      </c>
      <c r="R2035">
        <v>0</v>
      </c>
      <c r="S2035">
        <v>0</v>
      </c>
      <c r="T2035">
        <v>0</v>
      </c>
      <c r="U2035">
        <v>0</v>
      </c>
      <c r="V2035">
        <v>0</v>
      </c>
      <c r="W2035">
        <v>0</v>
      </c>
      <c r="X2035">
        <v>0</v>
      </c>
      <c r="Y2035">
        <v>0</v>
      </c>
      <c r="Z2035">
        <v>0</v>
      </c>
      <c r="AA2035">
        <v>0</v>
      </c>
      <c r="AB2035">
        <v>0</v>
      </c>
      <c r="AC2035">
        <v>0</v>
      </c>
      <c r="AD2035">
        <v>0</v>
      </c>
      <c r="AE2035">
        <v>0</v>
      </c>
      <c r="AF2035">
        <v>0</v>
      </c>
      <c r="AG2035">
        <v>0</v>
      </c>
      <c r="AH2035">
        <v>0</v>
      </c>
      <c r="AI2035">
        <v>0</v>
      </c>
      <c r="AJ2035">
        <v>0</v>
      </c>
      <c r="AK2035">
        <v>0</v>
      </c>
      <c r="AL2035">
        <v>0</v>
      </c>
      <c r="AM2035">
        <v>6.71</v>
      </c>
      <c r="AN2035">
        <v>0</v>
      </c>
      <c r="AO2035">
        <v>0</v>
      </c>
      <c r="AP2035">
        <v>0</v>
      </c>
      <c r="AQ2035">
        <v>0</v>
      </c>
      <c r="AR2035">
        <v>0</v>
      </c>
      <c r="AS2035">
        <v>0</v>
      </c>
      <c r="AT2035">
        <v>0</v>
      </c>
      <c r="AU2035">
        <v>0</v>
      </c>
      <c r="AV2035">
        <v>0</v>
      </c>
      <c r="AW2035">
        <v>0</v>
      </c>
      <c r="AX2035">
        <v>0</v>
      </c>
      <c r="AY2035">
        <v>0</v>
      </c>
      <c r="AZ2035">
        <v>0</v>
      </c>
      <c r="BA2035">
        <v>0</v>
      </c>
      <c r="BB2035">
        <v>0</v>
      </c>
      <c r="BC2035">
        <v>0</v>
      </c>
      <c r="BD2035">
        <v>0</v>
      </c>
      <c r="BE2035">
        <v>0</v>
      </c>
      <c r="BF2035">
        <v>0</v>
      </c>
      <c r="BG2035">
        <v>0</v>
      </c>
      <c r="BH2035">
        <v>1</v>
      </c>
      <c r="BI2035">
        <v>1</v>
      </c>
      <c r="BJ2035">
        <v>0.2</v>
      </c>
      <c r="BK2035">
        <v>1</v>
      </c>
      <c r="BL2035" s="4">
        <v>39.42</v>
      </c>
      <c r="BM2035" s="4">
        <v>5.91</v>
      </c>
      <c r="BN2035" s="4">
        <v>45.33</v>
      </c>
      <c r="BO2035" s="4">
        <v>45.33</v>
      </c>
      <c r="BQ2035" t="s">
        <v>147</v>
      </c>
      <c r="BR2035" t="s">
        <v>84</v>
      </c>
      <c r="BS2035" s="3">
        <v>43832</v>
      </c>
      <c r="BT2035" s="5">
        <v>0.78611111111111109</v>
      </c>
      <c r="BU2035" t="s">
        <v>617</v>
      </c>
      <c r="BV2035" t="s">
        <v>89</v>
      </c>
      <c r="BY2035">
        <v>1200</v>
      </c>
      <c r="CA2035" t="s">
        <v>620</v>
      </c>
      <c r="CC2035" t="s">
        <v>76</v>
      </c>
      <c r="CD2035">
        <v>1609</v>
      </c>
      <c r="CE2035" t="s">
        <v>88</v>
      </c>
      <c r="CI2035">
        <v>1</v>
      </c>
      <c r="CJ2035">
        <v>10</v>
      </c>
      <c r="CK2035">
        <v>22</v>
      </c>
      <c r="CL2035" t="s">
        <v>89</v>
      </c>
    </row>
    <row r="2036" spans="1:90">
      <c r="A2036" t="s">
        <v>72</v>
      </c>
      <c r="B2036" t="s">
        <v>73</v>
      </c>
      <c r="C2036" t="s">
        <v>74</v>
      </c>
      <c r="E2036" t="str">
        <f>"FES1162729121"</f>
        <v>FES1162729121</v>
      </c>
      <c r="F2036" s="3">
        <v>43818</v>
      </c>
      <c r="G2036">
        <v>202006</v>
      </c>
      <c r="H2036" t="s">
        <v>75</v>
      </c>
      <c r="I2036" t="s">
        <v>76</v>
      </c>
      <c r="J2036" t="s">
        <v>77</v>
      </c>
      <c r="K2036" t="s">
        <v>78</v>
      </c>
      <c r="L2036" t="s">
        <v>186</v>
      </c>
      <c r="M2036" t="s">
        <v>187</v>
      </c>
      <c r="N2036" t="s">
        <v>188</v>
      </c>
      <c r="O2036" t="s">
        <v>82</v>
      </c>
      <c r="P2036" t="str">
        <f>"2170720702                    "</f>
        <v xml:space="preserve">2170720702                    </v>
      </c>
      <c r="Q2036">
        <v>0</v>
      </c>
      <c r="R2036">
        <v>0</v>
      </c>
      <c r="S2036">
        <v>0</v>
      </c>
      <c r="T2036">
        <v>0</v>
      </c>
      <c r="U2036">
        <v>0</v>
      </c>
      <c r="V2036">
        <v>0</v>
      </c>
      <c r="W2036">
        <v>0</v>
      </c>
      <c r="X2036">
        <v>0</v>
      </c>
      <c r="Y2036">
        <v>0</v>
      </c>
      <c r="Z2036">
        <v>0</v>
      </c>
      <c r="AA2036">
        <v>0</v>
      </c>
      <c r="AB2036">
        <v>0</v>
      </c>
      <c r="AC2036">
        <v>0</v>
      </c>
      <c r="AD2036">
        <v>0</v>
      </c>
      <c r="AE2036">
        <v>0</v>
      </c>
      <c r="AF2036">
        <v>0</v>
      </c>
      <c r="AG2036">
        <v>0</v>
      </c>
      <c r="AH2036">
        <v>0</v>
      </c>
      <c r="AI2036">
        <v>0</v>
      </c>
      <c r="AJ2036">
        <v>0</v>
      </c>
      <c r="AK2036">
        <v>0</v>
      </c>
      <c r="AL2036">
        <v>0</v>
      </c>
      <c r="AM2036">
        <v>16.63</v>
      </c>
      <c r="AN2036">
        <v>0</v>
      </c>
      <c r="AO2036">
        <v>0</v>
      </c>
      <c r="AP2036">
        <v>0</v>
      </c>
      <c r="AQ2036">
        <v>0</v>
      </c>
      <c r="AR2036">
        <v>0</v>
      </c>
      <c r="AS2036">
        <v>0</v>
      </c>
      <c r="AT2036">
        <v>0</v>
      </c>
      <c r="AU2036">
        <v>0</v>
      </c>
      <c r="AV2036">
        <v>0</v>
      </c>
      <c r="AW2036">
        <v>0</v>
      </c>
      <c r="AX2036">
        <v>0</v>
      </c>
      <c r="AY2036">
        <v>0</v>
      </c>
      <c r="AZ2036">
        <v>0</v>
      </c>
      <c r="BA2036">
        <v>0</v>
      </c>
      <c r="BB2036">
        <v>0</v>
      </c>
      <c r="BC2036">
        <v>0</v>
      </c>
      <c r="BD2036">
        <v>0</v>
      </c>
      <c r="BE2036">
        <v>0</v>
      </c>
      <c r="BF2036">
        <v>0</v>
      </c>
      <c r="BG2036">
        <v>0</v>
      </c>
      <c r="BH2036">
        <v>1</v>
      </c>
      <c r="BI2036">
        <v>1</v>
      </c>
      <c r="BJ2036">
        <v>0.2</v>
      </c>
      <c r="BK2036">
        <v>1</v>
      </c>
      <c r="BL2036" s="4">
        <v>97.75</v>
      </c>
      <c r="BM2036" s="4">
        <v>14.66</v>
      </c>
      <c r="BN2036" s="4">
        <v>112.41</v>
      </c>
      <c r="BO2036" s="4">
        <v>112.41</v>
      </c>
      <c r="BQ2036" t="s">
        <v>93</v>
      </c>
      <c r="BR2036" t="s">
        <v>84</v>
      </c>
      <c r="BS2036" t="s">
        <v>717</v>
      </c>
      <c r="BY2036">
        <v>1200</v>
      </c>
      <c r="CC2036" t="s">
        <v>187</v>
      </c>
      <c r="CD2036">
        <v>6849</v>
      </c>
      <c r="CE2036" t="s">
        <v>88</v>
      </c>
      <c r="CI2036">
        <v>3</v>
      </c>
      <c r="CJ2036" t="s">
        <v>717</v>
      </c>
      <c r="CK2036">
        <v>23</v>
      </c>
      <c r="CL2036" t="s">
        <v>89</v>
      </c>
    </row>
    <row r="2037" spans="1:90">
      <c r="A2037" t="s">
        <v>72</v>
      </c>
      <c r="B2037" t="s">
        <v>73</v>
      </c>
      <c r="C2037" t="s">
        <v>74</v>
      </c>
      <c r="E2037" t="str">
        <f>"FES1162729136"</f>
        <v>FES1162729136</v>
      </c>
      <c r="F2037" s="3">
        <v>43818</v>
      </c>
      <c r="G2037">
        <v>202006</v>
      </c>
      <c r="H2037" t="s">
        <v>75</v>
      </c>
      <c r="I2037" t="s">
        <v>76</v>
      </c>
      <c r="J2037" t="s">
        <v>77</v>
      </c>
      <c r="K2037" t="s">
        <v>78</v>
      </c>
      <c r="L2037" t="s">
        <v>151</v>
      </c>
      <c r="M2037" t="s">
        <v>102</v>
      </c>
      <c r="N2037" t="s">
        <v>329</v>
      </c>
      <c r="O2037" t="s">
        <v>82</v>
      </c>
      <c r="P2037" t="str">
        <f>"2170720970                    "</f>
        <v xml:space="preserve">2170720970                    </v>
      </c>
      <c r="Q2037">
        <v>0</v>
      </c>
      <c r="R2037">
        <v>0</v>
      </c>
      <c r="S2037">
        <v>0</v>
      </c>
      <c r="T2037">
        <v>0</v>
      </c>
      <c r="U2037">
        <v>0</v>
      </c>
      <c r="V2037">
        <v>0</v>
      </c>
      <c r="W2037">
        <v>0</v>
      </c>
      <c r="X2037">
        <v>0</v>
      </c>
      <c r="Y2037">
        <v>0</v>
      </c>
      <c r="Z2037">
        <v>0</v>
      </c>
      <c r="AA2037">
        <v>0</v>
      </c>
      <c r="AB2037">
        <v>0</v>
      </c>
      <c r="AC2037">
        <v>0</v>
      </c>
      <c r="AD2037">
        <v>0</v>
      </c>
      <c r="AE2037">
        <v>0</v>
      </c>
      <c r="AF2037">
        <v>0</v>
      </c>
      <c r="AG2037">
        <v>0</v>
      </c>
      <c r="AH2037">
        <v>0</v>
      </c>
      <c r="AI2037">
        <v>0</v>
      </c>
      <c r="AJ2037">
        <v>0</v>
      </c>
      <c r="AK2037">
        <v>0</v>
      </c>
      <c r="AL2037">
        <v>0</v>
      </c>
      <c r="AM2037">
        <v>8.58</v>
      </c>
      <c r="AN2037">
        <v>0</v>
      </c>
      <c r="AO2037">
        <v>0</v>
      </c>
      <c r="AP2037">
        <v>0</v>
      </c>
      <c r="AQ2037">
        <v>0</v>
      </c>
      <c r="AR2037">
        <v>0</v>
      </c>
      <c r="AS2037">
        <v>0</v>
      </c>
      <c r="AT2037">
        <v>0</v>
      </c>
      <c r="AU2037">
        <v>0</v>
      </c>
      <c r="AV2037">
        <v>0</v>
      </c>
      <c r="AW2037">
        <v>0</v>
      </c>
      <c r="AX2037">
        <v>0</v>
      </c>
      <c r="AY2037">
        <v>0</v>
      </c>
      <c r="AZ2037">
        <v>0</v>
      </c>
      <c r="BA2037">
        <v>0</v>
      </c>
      <c r="BB2037">
        <v>0</v>
      </c>
      <c r="BC2037">
        <v>0</v>
      </c>
      <c r="BD2037">
        <v>0</v>
      </c>
      <c r="BE2037">
        <v>0</v>
      </c>
      <c r="BF2037">
        <v>0</v>
      </c>
      <c r="BG2037">
        <v>0</v>
      </c>
      <c r="BH2037">
        <v>1</v>
      </c>
      <c r="BI2037">
        <v>1</v>
      </c>
      <c r="BJ2037">
        <v>0.2</v>
      </c>
      <c r="BK2037">
        <v>1</v>
      </c>
      <c r="BL2037" s="4">
        <v>50.45</v>
      </c>
      <c r="BM2037" s="4">
        <v>7.57</v>
      </c>
      <c r="BN2037" s="4">
        <v>58.02</v>
      </c>
      <c r="BO2037" s="4">
        <v>58.02</v>
      </c>
      <c r="BQ2037" t="s">
        <v>147</v>
      </c>
      <c r="BR2037" t="s">
        <v>84</v>
      </c>
      <c r="BS2037" s="3">
        <v>43819</v>
      </c>
      <c r="BT2037" s="5">
        <v>0.36458333333333331</v>
      </c>
      <c r="BU2037" t="s">
        <v>322</v>
      </c>
      <c r="BV2037" t="s">
        <v>86</v>
      </c>
      <c r="BY2037">
        <v>1200</v>
      </c>
      <c r="CC2037" t="s">
        <v>102</v>
      </c>
      <c r="CD2037">
        <v>200</v>
      </c>
      <c r="CE2037" t="s">
        <v>88</v>
      </c>
      <c r="CF2037" s="3">
        <v>43822</v>
      </c>
      <c r="CI2037">
        <v>1</v>
      </c>
      <c r="CJ2037">
        <v>1</v>
      </c>
      <c r="CK2037">
        <v>21</v>
      </c>
      <c r="CL2037" t="s">
        <v>89</v>
      </c>
    </row>
    <row r="2038" spans="1:90">
      <c r="A2038" t="s">
        <v>72</v>
      </c>
      <c r="B2038" t="s">
        <v>73</v>
      </c>
      <c r="C2038" t="s">
        <v>74</v>
      </c>
      <c r="E2038" t="str">
        <f>"FES1162729072"</f>
        <v>FES1162729072</v>
      </c>
      <c r="F2038" s="3">
        <v>43818</v>
      </c>
      <c r="G2038">
        <v>202006</v>
      </c>
      <c r="H2038" t="s">
        <v>75</v>
      </c>
      <c r="I2038" t="s">
        <v>76</v>
      </c>
      <c r="J2038" t="s">
        <v>77</v>
      </c>
      <c r="K2038" t="s">
        <v>78</v>
      </c>
      <c r="L2038" t="s">
        <v>308</v>
      </c>
      <c r="M2038" t="s">
        <v>308</v>
      </c>
      <c r="N2038" t="s">
        <v>755</v>
      </c>
      <c r="O2038" t="s">
        <v>82</v>
      </c>
      <c r="P2038" t="str">
        <f>"2170720329                    "</f>
        <v xml:space="preserve">2170720329                    </v>
      </c>
      <c r="Q2038">
        <v>0</v>
      </c>
      <c r="R2038">
        <v>0</v>
      </c>
      <c r="S2038">
        <v>0</v>
      </c>
      <c r="T2038">
        <v>0</v>
      </c>
      <c r="U2038">
        <v>0</v>
      </c>
      <c r="V2038">
        <v>0</v>
      </c>
      <c r="W2038">
        <v>0</v>
      </c>
      <c r="X2038">
        <v>0</v>
      </c>
      <c r="Y2038">
        <v>0</v>
      </c>
      <c r="Z2038">
        <v>0</v>
      </c>
      <c r="AA2038">
        <v>0</v>
      </c>
      <c r="AB2038">
        <v>0</v>
      </c>
      <c r="AC2038">
        <v>0</v>
      </c>
      <c r="AD2038">
        <v>0</v>
      </c>
      <c r="AE2038">
        <v>0</v>
      </c>
      <c r="AF2038">
        <v>0</v>
      </c>
      <c r="AG2038">
        <v>0</v>
      </c>
      <c r="AH2038">
        <v>0</v>
      </c>
      <c r="AI2038">
        <v>0</v>
      </c>
      <c r="AJ2038">
        <v>0</v>
      </c>
      <c r="AK2038">
        <v>0</v>
      </c>
      <c r="AL2038">
        <v>0</v>
      </c>
      <c r="AM2038">
        <v>16.63</v>
      </c>
      <c r="AN2038">
        <v>0</v>
      </c>
      <c r="AO2038">
        <v>0</v>
      </c>
      <c r="AP2038">
        <v>0</v>
      </c>
      <c r="AQ2038">
        <v>0</v>
      </c>
      <c r="AR2038">
        <v>0</v>
      </c>
      <c r="AS2038">
        <v>0</v>
      </c>
      <c r="AT2038">
        <v>0</v>
      </c>
      <c r="AU2038">
        <v>0</v>
      </c>
      <c r="AV2038">
        <v>0</v>
      </c>
      <c r="AW2038">
        <v>0</v>
      </c>
      <c r="AX2038">
        <v>0</v>
      </c>
      <c r="AY2038">
        <v>0</v>
      </c>
      <c r="AZ2038">
        <v>0</v>
      </c>
      <c r="BA2038">
        <v>0</v>
      </c>
      <c r="BB2038">
        <v>0</v>
      </c>
      <c r="BC2038">
        <v>0</v>
      </c>
      <c r="BD2038">
        <v>0</v>
      </c>
      <c r="BE2038">
        <v>0</v>
      </c>
      <c r="BF2038">
        <v>0</v>
      </c>
      <c r="BG2038">
        <v>0</v>
      </c>
      <c r="BH2038">
        <v>1</v>
      </c>
      <c r="BI2038">
        <v>1</v>
      </c>
      <c r="BJ2038">
        <v>0.2</v>
      </c>
      <c r="BK2038">
        <v>1</v>
      </c>
      <c r="BL2038" s="4">
        <v>97.75</v>
      </c>
      <c r="BM2038" s="4">
        <v>14.66</v>
      </c>
      <c r="BN2038" s="4">
        <v>112.41</v>
      </c>
      <c r="BO2038" s="4">
        <v>112.41</v>
      </c>
      <c r="BQ2038" t="s">
        <v>147</v>
      </c>
      <c r="BR2038" t="s">
        <v>84</v>
      </c>
      <c r="BS2038" s="3">
        <v>43819</v>
      </c>
      <c r="BT2038" s="5">
        <v>0.4548611111111111</v>
      </c>
      <c r="BU2038" t="s">
        <v>2325</v>
      </c>
      <c r="BV2038" t="s">
        <v>86</v>
      </c>
      <c r="BY2038">
        <v>1200</v>
      </c>
      <c r="CC2038" t="s">
        <v>308</v>
      </c>
      <c r="CD2038">
        <v>7646</v>
      </c>
      <c r="CE2038" t="s">
        <v>88</v>
      </c>
      <c r="CF2038" s="3">
        <v>43822</v>
      </c>
      <c r="CI2038">
        <v>1</v>
      </c>
      <c r="CJ2038">
        <v>1</v>
      </c>
      <c r="CK2038">
        <v>23</v>
      </c>
      <c r="CL2038" t="s">
        <v>89</v>
      </c>
    </row>
    <row r="2039" spans="1:90">
      <c r="A2039" t="s">
        <v>72</v>
      </c>
      <c r="B2039" t="s">
        <v>73</v>
      </c>
      <c r="C2039" t="s">
        <v>74</v>
      </c>
      <c r="E2039" t="str">
        <f>"FES1162729092"</f>
        <v>FES1162729092</v>
      </c>
      <c r="F2039" s="3">
        <v>43818</v>
      </c>
      <c r="G2039">
        <v>202006</v>
      </c>
      <c r="H2039" t="s">
        <v>75</v>
      </c>
      <c r="I2039" t="s">
        <v>76</v>
      </c>
      <c r="J2039" t="s">
        <v>77</v>
      </c>
      <c r="K2039" t="s">
        <v>78</v>
      </c>
      <c r="L2039" t="s">
        <v>79</v>
      </c>
      <c r="M2039" t="s">
        <v>80</v>
      </c>
      <c r="N2039" t="s">
        <v>129</v>
      </c>
      <c r="O2039" t="s">
        <v>82</v>
      </c>
      <c r="P2039" t="str">
        <f>"2170720468                    "</f>
        <v xml:space="preserve">2170720468                    </v>
      </c>
      <c r="Q2039">
        <v>0</v>
      </c>
      <c r="R2039">
        <v>0</v>
      </c>
      <c r="S2039">
        <v>0</v>
      </c>
      <c r="T2039">
        <v>0</v>
      </c>
      <c r="U2039">
        <v>0</v>
      </c>
      <c r="V2039">
        <v>0</v>
      </c>
      <c r="W2039">
        <v>0</v>
      </c>
      <c r="X2039">
        <v>0</v>
      </c>
      <c r="Y2039">
        <v>0</v>
      </c>
      <c r="Z2039">
        <v>0</v>
      </c>
      <c r="AA2039">
        <v>0</v>
      </c>
      <c r="AB2039">
        <v>0</v>
      </c>
      <c r="AC2039">
        <v>0</v>
      </c>
      <c r="AD2039">
        <v>0</v>
      </c>
      <c r="AE2039">
        <v>0</v>
      </c>
      <c r="AF2039">
        <v>0</v>
      </c>
      <c r="AG2039">
        <v>0</v>
      </c>
      <c r="AH2039">
        <v>0</v>
      </c>
      <c r="AI2039">
        <v>0</v>
      </c>
      <c r="AJ2039">
        <v>0</v>
      </c>
      <c r="AK2039">
        <v>0</v>
      </c>
      <c r="AL2039">
        <v>0</v>
      </c>
      <c r="AM2039">
        <v>23.59</v>
      </c>
      <c r="AN2039">
        <v>0</v>
      </c>
      <c r="AO2039">
        <v>0</v>
      </c>
      <c r="AP2039">
        <v>0</v>
      </c>
      <c r="AQ2039">
        <v>0</v>
      </c>
      <c r="AR2039">
        <v>0</v>
      </c>
      <c r="AS2039">
        <v>0</v>
      </c>
      <c r="AT2039">
        <v>0</v>
      </c>
      <c r="AU2039">
        <v>0</v>
      </c>
      <c r="AV2039">
        <v>0</v>
      </c>
      <c r="AW2039">
        <v>0</v>
      </c>
      <c r="AX2039">
        <v>0</v>
      </c>
      <c r="AY2039">
        <v>0</v>
      </c>
      <c r="AZ2039">
        <v>0</v>
      </c>
      <c r="BA2039">
        <v>0</v>
      </c>
      <c r="BB2039">
        <v>0</v>
      </c>
      <c r="BC2039">
        <v>0</v>
      </c>
      <c r="BD2039">
        <v>0</v>
      </c>
      <c r="BE2039">
        <v>0</v>
      </c>
      <c r="BF2039">
        <v>0</v>
      </c>
      <c r="BG2039">
        <v>0</v>
      </c>
      <c r="BH2039">
        <v>1</v>
      </c>
      <c r="BI2039">
        <v>5.0999999999999996</v>
      </c>
      <c r="BJ2039">
        <v>3</v>
      </c>
      <c r="BK2039">
        <v>5.5</v>
      </c>
      <c r="BL2039" s="4">
        <v>138.68</v>
      </c>
      <c r="BM2039" s="4">
        <v>20.8</v>
      </c>
      <c r="BN2039" s="4">
        <v>159.47999999999999</v>
      </c>
      <c r="BO2039" s="4">
        <v>159.47999999999999</v>
      </c>
      <c r="BQ2039" t="s">
        <v>147</v>
      </c>
      <c r="BR2039" t="s">
        <v>84</v>
      </c>
      <c r="BS2039" s="3">
        <v>43819</v>
      </c>
      <c r="BT2039" s="5">
        <v>0.37777777777777777</v>
      </c>
      <c r="BU2039" t="s">
        <v>130</v>
      </c>
      <c r="BV2039" t="s">
        <v>86</v>
      </c>
      <c r="BY2039">
        <v>14957.71</v>
      </c>
      <c r="CA2039" t="s">
        <v>131</v>
      </c>
      <c r="CC2039" t="s">
        <v>80</v>
      </c>
      <c r="CD2039">
        <v>6001</v>
      </c>
      <c r="CE2039" t="s">
        <v>96</v>
      </c>
      <c r="CF2039" s="3">
        <v>43822</v>
      </c>
      <c r="CI2039">
        <v>1</v>
      </c>
      <c r="CJ2039">
        <v>1</v>
      </c>
      <c r="CK2039">
        <v>21</v>
      </c>
      <c r="CL2039" t="s">
        <v>89</v>
      </c>
    </row>
    <row r="2040" spans="1:90">
      <c r="A2040" t="s">
        <v>72</v>
      </c>
      <c r="B2040" t="s">
        <v>73</v>
      </c>
      <c r="C2040" t="s">
        <v>74</v>
      </c>
      <c r="E2040" t="str">
        <f>"FES1162729126"</f>
        <v>FES1162729126</v>
      </c>
      <c r="F2040" s="3">
        <v>43818</v>
      </c>
      <c r="G2040">
        <v>202006</v>
      </c>
      <c r="H2040" t="s">
        <v>75</v>
      </c>
      <c r="I2040" t="s">
        <v>76</v>
      </c>
      <c r="J2040" t="s">
        <v>77</v>
      </c>
      <c r="K2040" t="s">
        <v>78</v>
      </c>
      <c r="L2040" t="s">
        <v>164</v>
      </c>
      <c r="M2040" t="s">
        <v>165</v>
      </c>
      <c r="N2040" t="s">
        <v>263</v>
      </c>
      <c r="O2040" t="s">
        <v>82</v>
      </c>
      <c r="P2040" t="str">
        <f>"2170720724                    "</f>
        <v xml:space="preserve">2170720724                    </v>
      </c>
      <c r="Q2040">
        <v>0</v>
      </c>
      <c r="R2040">
        <v>0</v>
      </c>
      <c r="S2040">
        <v>0</v>
      </c>
      <c r="T2040">
        <v>0</v>
      </c>
      <c r="U2040">
        <v>0</v>
      </c>
      <c r="V2040">
        <v>0</v>
      </c>
      <c r="W2040">
        <v>0</v>
      </c>
      <c r="X2040">
        <v>0</v>
      </c>
      <c r="Y2040">
        <v>0</v>
      </c>
      <c r="Z2040">
        <v>0</v>
      </c>
      <c r="AA2040">
        <v>0</v>
      </c>
      <c r="AB2040">
        <v>0</v>
      </c>
      <c r="AC2040">
        <v>0</v>
      </c>
      <c r="AD2040">
        <v>0</v>
      </c>
      <c r="AE2040">
        <v>0</v>
      </c>
      <c r="AF2040">
        <v>0</v>
      </c>
      <c r="AG2040">
        <v>0</v>
      </c>
      <c r="AH2040">
        <v>0</v>
      </c>
      <c r="AI2040">
        <v>0</v>
      </c>
      <c r="AJ2040">
        <v>0</v>
      </c>
      <c r="AK2040">
        <v>0</v>
      </c>
      <c r="AL2040">
        <v>0</v>
      </c>
      <c r="AM2040">
        <v>55.76</v>
      </c>
      <c r="AN2040">
        <v>0</v>
      </c>
      <c r="AO2040">
        <v>0</v>
      </c>
      <c r="AP2040">
        <v>0</v>
      </c>
      <c r="AQ2040">
        <v>0</v>
      </c>
      <c r="AR2040">
        <v>0</v>
      </c>
      <c r="AS2040">
        <v>0</v>
      </c>
      <c r="AT2040">
        <v>0</v>
      </c>
      <c r="AU2040">
        <v>0</v>
      </c>
      <c r="AV2040">
        <v>0</v>
      </c>
      <c r="AW2040">
        <v>0</v>
      </c>
      <c r="AX2040">
        <v>0</v>
      </c>
      <c r="AY2040">
        <v>0</v>
      </c>
      <c r="AZ2040">
        <v>0</v>
      </c>
      <c r="BA2040">
        <v>0</v>
      </c>
      <c r="BB2040">
        <v>0</v>
      </c>
      <c r="BC2040">
        <v>0</v>
      </c>
      <c r="BD2040">
        <v>0</v>
      </c>
      <c r="BE2040">
        <v>0</v>
      </c>
      <c r="BF2040">
        <v>0</v>
      </c>
      <c r="BG2040">
        <v>0</v>
      </c>
      <c r="BH2040">
        <v>1</v>
      </c>
      <c r="BI2040">
        <v>12.8</v>
      </c>
      <c r="BJ2040">
        <v>4.0999999999999996</v>
      </c>
      <c r="BK2040">
        <v>13</v>
      </c>
      <c r="BL2040" s="4">
        <v>327.75</v>
      </c>
      <c r="BM2040" s="4">
        <v>49.16</v>
      </c>
      <c r="BN2040" s="4">
        <v>376.91</v>
      </c>
      <c r="BO2040" s="4">
        <v>376.91</v>
      </c>
      <c r="BQ2040" t="s">
        <v>147</v>
      </c>
      <c r="BR2040" t="s">
        <v>84</v>
      </c>
      <c r="BS2040" s="3">
        <v>43819</v>
      </c>
      <c r="BT2040" s="5">
        <v>0.35486111111111113</v>
      </c>
      <c r="BU2040" t="s">
        <v>1827</v>
      </c>
      <c r="BV2040" t="s">
        <v>86</v>
      </c>
      <c r="BY2040">
        <v>20567.400000000001</v>
      </c>
      <c r="CA2040" t="s">
        <v>371</v>
      </c>
      <c r="CC2040" t="s">
        <v>165</v>
      </c>
      <c r="CD2040">
        <v>5201</v>
      </c>
      <c r="CE2040" t="s">
        <v>116</v>
      </c>
      <c r="CF2040" s="3">
        <v>43822</v>
      </c>
      <c r="CI2040">
        <v>1</v>
      </c>
      <c r="CJ2040">
        <v>1</v>
      </c>
      <c r="CK2040">
        <v>21</v>
      </c>
      <c r="CL2040" t="s">
        <v>89</v>
      </c>
    </row>
    <row r="2041" spans="1:90">
      <c r="A2041" t="s">
        <v>72</v>
      </c>
      <c r="B2041" t="s">
        <v>73</v>
      </c>
      <c r="C2041" t="s">
        <v>74</v>
      </c>
      <c r="E2041" t="str">
        <f>"FES1162729074"</f>
        <v>FES1162729074</v>
      </c>
      <c r="F2041" s="3">
        <v>43818</v>
      </c>
      <c r="G2041">
        <v>202006</v>
      </c>
      <c r="H2041" t="s">
        <v>75</v>
      </c>
      <c r="I2041" t="s">
        <v>76</v>
      </c>
      <c r="J2041" t="s">
        <v>77</v>
      </c>
      <c r="K2041" t="s">
        <v>78</v>
      </c>
      <c r="L2041" t="s">
        <v>90</v>
      </c>
      <c r="M2041" t="s">
        <v>91</v>
      </c>
      <c r="N2041" t="s">
        <v>282</v>
      </c>
      <c r="O2041" t="s">
        <v>82</v>
      </c>
      <c r="P2041" t="str">
        <f>"2170720362                    "</f>
        <v xml:space="preserve">2170720362                    </v>
      </c>
      <c r="Q2041">
        <v>0</v>
      </c>
      <c r="R2041">
        <v>0</v>
      </c>
      <c r="S2041">
        <v>0</v>
      </c>
      <c r="T2041">
        <v>0</v>
      </c>
      <c r="U2041">
        <v>0</v>
      </c>
      <c r="V2041">
        <v>0</v>
      </c>
      <c r="W2041">
        <v>0</v>
      </c>
      <c r="X2041">
        <v>0</v>
      </c>
      <c r="Y2041">
        <v>0</v>
      </c>
      <c r="Z2041">
        <v>0</v>
      </c>
      <c r="AA2041">
        <v>0</v>
      </c>
      <c r="AB2041">
        <v>0</v>
      </c>
      <c r="AC2041">
        <v>0</v>
      </c>
      <c r="AD2041">
        <v>0</v>
      </c>
      <c r="AE2041">
        <v>0</v>
      </c>
      <c r="AF2041">
        <v>0</v>
      </c>
      <c r="AG2041">
        <v>0</v>
      </c>
      <c r="AH2041">
        <v>0</v>
      </c>
      <c r="AI2041">
        <v>0</v>
      </c>
      <c r="AJ2041">
        <v>0</v>
      </c>
      <c r="AK2041">
        <v>0</v>
      </c>
      <c r="AL2041">
        <v>0</v>
      </c>
      <c r="AM2041">
        <v>8.58</v>
      </c>
      <c r="AN2041">
        <v>0</v>
      </c>
      <c r="AO2041">
        <v>0</v>
      </c>
      <c r="AP2041">
        <v>0</v>
      </c>
      <c r="AQ2041">
        <v>0</v>
      </c>
      <c r="AR2041">
        <v>0</v>
      </c>
      <c r="AS2041">
        <v>0</v>
      </c>
      <c r="AT2041">
        <v>0</v>
      </c>
      <c r="AU2041">
        <v>0</v>
      </c>
      <c r="AV2041">
        <v>0</v>
      </c>
      <c r="AW2041">
        <v>0</v>
      </c>
      <c r="AX2041">
        <v>0</v>
      </c>
      <c r="AY2041">
        <v>0</v>
      </c>
      <c r="AZ2041">
        <v>0</v>
      </c>
      <c r="BA2041">
        <v>0</v>
      </c>
      <c r="BB2041">
        <v>0</v>
      </c>
      <c r="BC2041">
        <v>0</v>
      </c>
      <c r="BD2041">
        <v>0</v>
      </c>
      <c r="BE2041">
        <v>0</v>
      </c>
      <c r="BF2041">
        <v>0</v>
      </c>
      <c r="BG2041">
        <v>0</v>
      </c>
      <c r="BH2041">
        <v>1</v>
      </c>
      <c r="BI2041">
        <v>1</v>
      </c>
      <c r="BJ2041">
        <v>0.2</v>
      </c>
      <c r="BK2041">
        <v>1</v>
      </c>
      <c r="BL2041" s="4">
        <v>50.45</v>
      </c>
      <c r="BM2041" s="4">
        <v>7.57</v>
      </c>
      <c r="BN2041" s="4">
        <v>58.02</v>
      </c>
      <c r="BO2041" s="4">
        <v>58.02</v>
      </c>
      <c r="BR2041" t="s">
        <v>84</v>
      </c>
      <c r="BS2041" s="3">
        <v>43836</v>
      </c>
      <c r="BT2041" s="5">
        <v>0.39861111111111108</v>
      </c>
      <c r="BU2041" t="s">
        <v>2326</v>
      </c>
      <c r="BV2041" t="s">
        <v>89</v>
      </c>
      <c r="BY2041">
        <v>1200</v>
      </c>
      <c r="CA2041" t="s">
        <v>285</v>
      </c>
      <c r="CC2041" t="s">
        <v>91</v>
      </c>
      <c r="CD2041">
        <v>7535</v>
      </c>
      <c r="CE2041" t="s">
        <v>88</v>
      </c>
      <c r="CI2041">
        <v>1</v>
      </c>
      <c r="CJ2041">
        <v>12</v>
      </c>
      <c r="CK2041">
        <v>21</v>
      </c>
      <c r="CL2041" t="s">
        <v>89</v>
      </c>
    </row>
    <row r="2042" spans="1:90">
      <c r="A2042" t="s">
        <v>72</v>
      </c>
      <c r="B2042" t="s">
        <v>73</v>
      </c>
      <c r="C2042" t="s">
        <v>74</v>
      </c>
      <c r="E2042" t="str">
        <f>"FES1162729082"</f>
        <v>FES1162729082</v>
      </c>
      <c r="F2042" s="3">
        <v>43818</v>
      </c>
      <c r="G2042">
        <v>202006</v>
      </c>
      <c r="H2042" t="s">
        <v>75</v>
      </c>
      <c r="I2042" t="s">
        <v>76</v>
      </c>
      <c r="J2042" t="s">
        <v>77</v>
      </c>
      <c r="K2042" t="s">
        <v>78</v>
      </c>
      <c r="L2042" t="s">
        <v>90</v>
      </c>
      <c r="M2042" t="s">
        <v>91</v>
      </c>
      <c r="N2042" t="s">
        <v>143</v>
      </c>
      <c r="O2042" t="s">
        <v>82</v>
      </c>
      <c r="P2042" t="str">
        <f>"2170720430                    "</f>
        <v xml:space="preserve">2170720430                    </v>
      </c>
      <c r="Q2042">
        <v>0</v>
      </c>
      <c r="R2042">
        <v>0</v>
      </c>
      <c r="S2042">
        <v>0</v>
      </c>
      <c r="T2042">
        <v>0</v>
      </c>
      <c r="U2042">
        <v>0</v>
      </c>
      <c r="V2042">
        <v>0</v>
      </c>
      <c r="W2042">
        <v>0</v>
      </c>
      <c r="X2042">
        <v>0</v>
      </c>
      <c r="Y2042">
        <v>0</v>
      </c>
      <c r="Z2042">
        <v>0</v>
      </c>
      <c r="AA2042">
        <v>0</v>
      </c>
      <c r="AB2042">
        <v>0</v>
      </c>
      <c r="AC2042">
        <v>0</v>
      </c>
      <c r="AD2042">
        <v>0</v>
      </c>
      <c r="AE2042">
        <v>0</v>
      </c>
      <c r="AF2042">
        <v>0</v>
      </c>
      <c r="AG2042">
        <v>0</v>
      </c>
      <c r="AH2042">
        <v>0</v>
      </c>
      <c r="AI2042">
        <v>0</v>
      </c>
      <c r="AJ2042">
        <v>0</v>
      </c>
      <c r="AK2042">
        <v>0</v>
      </c>
      <c r="AL2042">
        <v>0</v>
      </c>
      <c r="AM2042">
        <v>8.58</v>
      </c>
      <c r="AN2042">
        <v>0</v>
      </c>
      <c r="AO2042">
        <v>0</v>
      </c>
      <c r="AP2042">
        <v>0</v>
      </c>
      <c r="AQ2042">
        <v>0</v>
      </c>
      <c r="AR2042">
        <v>0</v>
      </c>
      <c r="AS2042">
        <v>0</v>
      </c>
      <c r="AT2042">
        <v>0</v>
      </c>
      <c r="AU2042">
        <v>0</v>
      </c>
      <c r="AV2042">
        <v>0</v>
      </c>
      <c r="AW2042">
        <v>0</v>
      </c>
      <c r="AX2042">
        <v>0</v>
      </c>
      <c r="AY2042">
        <v>0</v>
      </c>
      <c r="AZ2042">
        <v>0</v>
      </c>
      <c r="BA2042">
        <v>0</v>
      </c>
      <c r="BB2042">
        <v>0</v>
      </c>
      <c r="BC2042">
        <v>0</v>
      </c>
      <c r="BD2042">
        <v>0</v>
      </c>
      <c r="BE2042">
        <v>0</v>
      </c>
      <c r="BF2042">
        <v>0</v>
      </c>
      <c r="BG2042">
        <v>0</v>
      </c>
      <c r="BH2042">
        <v>1</v>
      </c>
      <c r="BI2042">
        <v>1</v>
      </c>
      <c r="BJ2042">
        <v>0.2</v>
      </c>
      <c r="BK2042">
        <v>1</v>
      </c>
      <c r="BL2042" s="4">
        <v>50.45</v>
      </c>
      <c r="BM2042" s="4">
        <v>7.57</v>
      </c>
      <c r="BN2042" s="4">
        <v>58.02</v>
      </c>
      <c r="BO2042" s="4">
        <v>58.02</v>
      </c>
      <c r="BQ2042" t="s">
        <v>147</v>
      </c>
      <c r="BR2042" t="s">
        <v>84</v>
      </c>
      <c r="BS2042" t="s">
        <v>717</v>
      </c>
      <c r="BY2042">
        <v>1200</v>
      </c>
      <c r="CC2042" t="s">
        <v>91</v>
      </c>
      <c r="CD2042">
        <v>7441</v>
      </c>
      <c r="CE2042" t="s">
        <v>88</v>
      </c>
      <c r="CI2042">
        <v>1</v>
      </c>
      <c r="CJ2042" t="s">
        <v>717</v>
      </c>
      <c r="CK2042">
        <v>21</v>
      </c>
      <c r="CL2042" t="s">
        <v>89</v>
      </c>
    </row>
    <row r="2043" spans="1:90">
      <c r="A2043" t="s">
        <v>72</v>
      </c>
      <c r="B2043" t="s">
        <v>73</v>
      </c>
      <c r="C2043" t="s">
        <v>74</v>
      </c>
      <c r="E2043" t="str">
        <f>"FES1162728828"</f>
        <v>FES1162728828</v>
      </c>
      <c r="F2043" s="3">
        <v>43818</v>
      </c>
      <c r="G2043">
        <v>202006</v>
      </c>
      <c r="H2043" t="s">
        <v>75</v>
      </c>
      <c r="I2043" t="s">
        <v>76</v>
      </c>
      <c r="J2043" t="s">
        <v>77</v>
      </c>
      <c r="K2043" t="s">
        <v>78</v>
      </c>
      <c r="L2043" t="s">
        <v>79</v>
      </c>
      <c r="M2043" t="s">
        <v>80</v>
      </c>
      <c r="N2043" t="s">
        <v>300</v>
      </c>
      <c r="O2043" t="s">
        <v>82</v>
      </c>
      <c r="P2043" t="str">
        <f>"2170720014                    "</f>
        <v xml:space="preserve">2170720014                    </v>
      </c>
      <c r="Q2043">
        <v>0</v>
      </c>
      <c r="R2043">
        <v>0</v>
      </c>
      <c r="S2043">
        <v>0</v>
      </c>
      <c r="T2043">
        <v>0</v>
      </c>
      <c r="U2043">
        <v>0</v>
      </c>
      <c r="V2043">
        <v>0</v>
      </c>
      <c r="W2043">
        <v>0</v>
      </c>
      <c r="X2043">
        <v>0</v>
      </c>
      <c r="Y2043">
        <v>0</v>
      </c>
      <c r="Z2043">
        <v>0</v>
      </c>
      <c r="AA2043">
        <v>0</v>
      </c>
      <c r="AB2043">
        <v>0</v>
      </c>
      <c r="AC2043">
        <v>0</v>
      </c>
      <c r="AD2043">
        <v>0</v>
      </c>
      <c r="AE2043">
        <v>0</v>
      </c>
      <c r="AF2043">
        <v>0</v>
      </c>
      <c r="AG2043">
        <v>0</v>
      </c>
      <c r="AH2043">
        <v>0</v>
      </c>
      <c r="AI2043">
        <v>0</v>
      </c>
      <c r="AJ2043">
        <v>0</v>
      </c>
      <c r="AK2043">
        <v>0</v>
      </c>
      <c r="AL2043">
        <v>0</v>
      </c>
      <c r="AM2043">
        <v>8.58</v>
      </c>
      <c r="AN2043">
        <v>0</v>
      </c>
      <c r="AO2043">
        <v>0</v>
      </c>
      <c r="AP2043">
        <v>0</v>
      </c>
      <c r="AQ2043">
        <v>0</v>
      </c>
      <c r="AR2043">
        <v>0</v>
      </c>
      <c r="AS2043">
        <v>0</v>
      </c>
      <c r="AT2043">
        <v>0</v>
      </c>
      <c r="AU2043">
        <v>0</v>
      </c>
      <c r="AV2043">
        <v>0</v>
      </c>
      <c r="AW2043">
        <v>0</v>
      </c>
      <c r="AX2043">
        <v>0</v>
      </c>
      <c r="AY2043">
        <v>0</v>
      </c>
      <c r="AZ2043">
        <v>0</v>
      </c>
      <c r="BA2043">
        <v>0</v>
      </c>
      <c r="BB2043">
        <v>0</v>
      </c>
      <c r="BC2043">
        <v>0</v>
      </c>
      <c r="BD2043">
        <v>0</v>
      </c>
      <c r="BE2043">
        <v>0</v>
      </c>
      <c r="BF2043">
        <v>0</v>
      </c>
      <c r="BG2043">
        <v>0</v>
      </c>
      <c r="BH2043">
        <v>1</v>
      </c>
      <c r="BI2043">
        <v>0.9</v>
      </c>
      <c r="BJ2043">
        <v>1.6</v>
      </c>
      <c r="BK2043">
        <v>2</v>
      </c>
      <c r="BL2043" s="4">
        <v>50.45</v>
      </c>
      <c r="BM2043" s="4">
        <v>7.57</v>
      </c>
      <c r="BN2043" s="4">
        <v>58.02</v>
      </c>
      <c r="BO2043" s="4">
        <v>58.02</v>
      </c>
      <c r="BQ2043" t="s">
        <v>147</v>
      </c>
      <c r="BR2043" t="s">
        <v>84</v>
      </c>
      <c r="BS2043" t="s">
        <v>717</v>
      </c>
      <c r="BY2043">
        <v>8057.52</v>
      </c>
      <c r="CC2043" t="s">
        <v>80</v>
      </c>
      <c r="CD2043">
        <v>6001</v>
      </c>
      <c r="CE2043" t="s">
        <v>96</v>
      </c>
      <c r="CI2043">
        <v>1</v>
      </c>
      <c r="CJ2043" t="s">
        <v>717</v>
      </c>
      <c r="CK2043">
        <v>21</v>
      </c>
      <c r="CL2043" t="s">
        <v>89</v>
      </c>
    </row>
    <row r="2044" spans="1:90">
      <c r="A2044" t="s">
        <v>72</v>
      </c>
      <c r="B2044" t="s">
        <v>73</v>
      </c>
      <c r="C2044" t="s">
        <v>74</v>
      </c>
      <c r="E2044" t="str">
        <f>"FES1162728809"</f>
        <v>FES1162728809</v>
      </c>
      <c r="F2044" s="3">
        <v>43818</v>
      </c>
      <c r="G2044">
        <v>202006</v>
      </c>
      <c r="H2044" t="s">
        <v>75</v>
      </c>
      <c r="I2044" t="s">
        <v>76</v>
      </c>
      <c r="J2044" t="s">
        <v>77</v>
      </c>
      <c r="K2044" t="s">
        <v>78</v>
      </c>
      <c r="L2044" t="s">
        <v>79</v>
      </c>
      <c r="M2044" t="s">
        <v>80</v>
      </c>
      <c r="N2044" t="s">
        <v>388</v>
      </c>
      <c r="O2044" t="s">
        <v>82</v>
      </c>
      <c r="P2044" t="str">
        <f>"217071952                     "</f>
        <v xml:space="preserve">217071952                     </v>
      </c>
      <c r="Q2044">
        <v>0</v>
      </c>
      <c r="R2044">
        <v>0</v>
      </c>
      <c r="S2044">
        <v>0</v>
      </c>
      <c r="T2044">
        <v>0</v>
      </c>
      <c r="U2044">
        <v>0</v>
      </c>
      <c r="V2044">
        <v>0</v>
      </c>
      <c r="W2044">
        <v>0</v>
      </c>
      <c r="X2044">
        <v>0</v>
      </c>
      <c r="Y2044">
        <v>0</v>
      </c>
      <c r="Z2044">
        <v>0</v>
      </c>
      <c r="AA2044">
        <v>0</v>
      </c>
      <c r="AB2044">
        <v>0</v>
      </c>
      <c r="AC2044">
        <v>0</v>
      </c>
      <c r="AD2044">
        <v>0</v>
      </c>
      <c r="AE2044">
        <v>0</v>
      </c>
      <c r="AF2044">
        <v>0</v>
      </c>
      <c r="AG2044">
        <v>0</v>
      </c>
      <c r="AH2044">
        <v>0</v>
      </c>
      <c r="AI2044">
        <v>0</v>
      </c>
      <c r="AJ2044">
        <v>0</v>
      </c>
      <c r="AK2044">
        <v>0</v>
      </c>
      <c r="AL2044">
        <v>0</v>
      </c>
      <c r="AM2044">
        <v>15.02</v>
      </c>
      <c r="AN2044">
        <v>0</v>
      </c>
      <c r="AO2044">
        <v>0</v>
      </c>
      <c r="AP2044">
        <v>0</v>
      </c>
      <c r="AQ2044">
        <v>0</v>
      </c>
      <c r="AR2044">
        <v>0</v>
      </c>
      <c r="AS2044">
        <v>0</v>
      </c>
      <c r="AT2044">
        <v>0</v>
      </c>
      <c r="AU2044">
        <v>0</v>
      </c>
      <c r="AV2044">
        <v>0</v>
      </c>
      <c r="AW2044">
        <v>0</v>
      </c>
      <c r="AX2044">
        <v>0</v>
      </c>
      <c r="AY2044">
        <v>0</v>
      </c>
      <c r="AZ2044">
        <v>0</v>
      </c>
      <c r="BA2044">
        <v>0</v>
      </c>
      <c r="BB2044">
        <v>0</v>
      </c>
      <c r="BC2044">
        <v>0</v>
      </c>
      <c r="BD2044">
        <v>0</v>
      </c>
      <c r="BE2044">
        <v>0</v>
      </c>
      <c r="BF2044">
        <v>0</v>
      </c>
      <c r="BG2044">
        <v>0</v>
      </c>
      <c r="BH2044">
        <v>1</v>
      </c>
      <c r="BI2044">
        <v>3.2</v>
      </c>
      <c r="BJ2044">
        <v>3.1</v>
      </c>
      <c r="BK2044">
        <v>3.5</v>
      </c>
      <c r="BL2044" s="4">
        <v>88.27</v>
      </c>
      <c r="BM2044" s="4">
        <v>13.24</v>
      </c>
      <c r="BN2044" s="4">
        <v>101.51</v>
      </c>
      <c r="BO2044" s="4">
        <v>101.51</v>
      </c>
      <c r="BQ2044" t="s">
        <v>147</v>
      </c>
      <c r="BR2044" t="s">
        <v>84</v>
      </c>
      <c r="BS2044" s="3">
        <v>43819</v>
      </c>
      <c r="BT2044" s="5">
        <v>0.39166666666666666</v>
      </c>
      <c r="BU2044" t="s">
        <v>368</v>
      </c>
      <c r="BV2044" t="s">
        <v>86</v>
      </c>
      <c r="BY2044">
        <v>15328.9</v>
      </c>
      <c r="CA2044" t="s">
        <v>131</v>
      </c>
      <c r="CC2044" t="s">
        <v>80</v>
      </c>
      <c r="CD2044">
        <v>6001</v>
      </c>
      <c r="CE2044" t="s">
        <v>96</v>
      </c>
      <c r="CF2044" s="3">
        <v>43822</v>
      </c>
      <c r="CI2044">
        <v>1</v>
      </c>
      <c r="CJ2044">
        <v>1</v>
      </c>
      <c r="CK2044">
        <v>21</v>
      </c>
      <c r="CL2044" t="s">
        <v>89</v>
      </c>
    </row>
    <row r="2045" spans="1:90">
      <c r="A2045" t="s">
        <v>72</v>
      </c>
      <c r="B2045" t="s">
        <v>73</v>
      </c>
      <c r="C2045" t="s">
        <v>74</v>
      </c>
      <c r="E2045" t="str">
        <f>"FES1162728875"</f>
        <v>FES1162728875</v>
      </c>
      <c r="F2045" s="3">
        <v>43818</v>
      </c>
      <c r="G2045">
        <v>202006</v>
      </c>
      <c r="H2045" t="s">
        <v>75</v>
      </c>
      <c r="I2045" t="s">
        <v>76</v>
      </c>
      <c r="J2045" t="s">
        <v>77</v>
      </c>
      <c r="K2045" t="s">
        <v>78</v>
      </c>
      <c r="L2045" t="s">
        <v>213</v>
      </c>
      <c r="M2045" t="s">
        <v>214</v>
      </c>
      <c r="N2045" t="s">
        <v>303</v>
      </c>
      <c r="O2045" t="s">
        <v>82</v>
      </c>
      <c r="P2045" t="str">
        <f>"2170717913                    "</f>
        <v xml:space="preserve">2170717913                    </v>
      </c>
      <c r="Q2045">
        <v>0</v>
      </c>
      <c r="R2045">
        <v>0</v>
      </c>
      <c r="S2045">
        <v>0</v>
      </c>
      <c r="T2045">
        <v>0</v>
      </c>
      <c r="U2045">
        <v>0</v>
      </c>
      <c r="V2045">
        <v>0</v>
      </c>
      <c r="W2045">
        <v>0</v>
      </c>
      <c r="X2045">
        <v>0</v>
      </c>
      <c r="Y2045">
        <v>0</v>
      </c>
      <c r="Z2045">
        <v>0</v>
      </c>
      <c r="AA2045">
        <v>0</v>
      </c>
      <c r="AB2045">
        <v>0</v>
      </c>
      <c r="AC2045">
        <v>0</v>
      </c>
      <c r="AD2045">
        <v>0</v>
      </c>
      <c r="AE2045">
        <v>0</v>
      </c>
      <c r="AF2045">
        <v>0</v>
      </c>
      <c r="AG2045">
        <v>0</v>
      </c>
      <c r="AH2045">
        <v>0</v>
      </c>
      <c r="AI2045">
        <v>0</v>
      </c>
      <c r="AJ2045">
        <v>0</v>
      </c>
      <c r="AK2045">
        <v>0</v>
      </c>
      <c r="AL2045">
        <v>0</v>
      </c>
      <c r="AM2045">
        <v>47.18</v>
      </c>
      <c r="AN2045">
        <v>0</v>
      </c>
      <c r="AO2045">
        <v>0</v>
      </c>
      <c r="AP2045">
        <v>0</v>
      </c>
      <c r="AQ2045">
        <v>0</v>
      </c>
      <c r="AR2045">
        <v>0</v>
      </c>
      <c r="AS2045">
        <v>0</v>
      </c>
      <c r="AT2045">
        <v>0</v>
      </c>
      <c r="AU2045">
        <v>0</v>
      </c>
      <c r="AV2045">
        <v>0</v>
      </c>
      <c r="AW2045">
        <v>0</v>
      </c>
      <c r="AX2045">
        <v>0</v>
      </c>
      <c r="AY2045">
        <v>0</v>
      </c>
      <c r="AZ2045">
        <v>0</v>
      </c>
      <c r="BA2045">
        <v>0</v>
      </c>
      <c r="BB2045">
        <v>0</v>
      </c>
      <c r="BC2045">
        <v>0</v>
      </c>
      <c r="BD2045">
        <v>0</v>
      </c>
      <c r="BE2045">
        <v>0</v>
      </c>
      <c r="BF2045">
        <v>0</v>
      </c>
      <c r="BG2045">
        <v>0</v>
      </c>
      <c r="BH2045">
        <v>1</v>
      </c>
      <c r="BI2045">
        <v>10.6</v>
      </c>
      <c r="BJ2045">
        <v>4.2</v>
      </c>
      <c r="BK2045">
        <v>11</v>
      </c>
      <c r="BL2045" s="4">
        <v>277.33</v>
      </c>
      <c r="BM2045" s="4">
        <v>41.6</v>
      </c>
      <c r="BN2045" s="4">
        <v>318.93</v>
      </c>
      <c r="BO2045" s="4">
        <v>318.93</v>
      </c>
      <c r="BQ2045" t="s">
        <v>147</v>
      </c>
      <c r="BR2045" t="s">
        <v>84</v>
      </c>
      <c r="BS2045" s="3">
        <v>43819</v>
      </c>
      <c r="BT2045" s="5">
        <v>0.3833333333333333</v>
      </c>
      <c r="BU2045" t="s">
        <v>2327</v>
      </c>
      <c r="BV2045" t="s">
        <v>86</v>
      </c>
      <c r="BY2045">
        <v>21210</v>
      </c>
      <c r="CA2045" t="s">
        <v>99</v>
      </c>
      <c r="CC2045" t="s">
        <v>214</v>
      </c>
      <c r="CD2045">
        <v>6230</v>
      </c>
      <c r="CE2045" t="s">
        <v>96</v>
      </c>
      <c r="CF2045" s="3">
        <v>43822</v>
      </c>
      <c r="CI2045">
        <v>1</v>
      </c>
      <c r="CJ2045">
        <v>1</v>
      </c>
      <c r="CK2045">
        <v>21</v>
      </c>
      <c r="CL2045" t="s">
        <v>89</v>
      </c>
    </row>
    <row r="2046" spans="1:90">
      <c r="A2046" t="s">
        <v>72</v>
      </c>
      <c r="B2046" t="s">
        <v>73</v>
      </c>
      <c r="C2046" t="s">
        <v>74</v>
      </c>
      <c r="E2046" t="str">
        <f>"FES1162729075"</f>
        <v>FES1162729075</v>
      </c>
      <c r="F2046" s="3">
        <v>43818</v>
      </c>
      <c r="G2046">
        <v>202006</v>
      </c>
      <c r="H2046" t="s">
        <v>75</v>
      </c>
      <c r="I2046" t="s">
        <v>76</v>
      </c>
      <c r="J2046" t="s">
        <v>77</v>
      </c>
      <c r="K2046" t="s">
        <v>78</v>
      </c>
      <c r="L2046" t="s">
        <v>90</v>
      </c>
      <c r="M2046" t="s">
        <v>91</v>
      </c>
      <c r="N2046" t="s">
        <v>561</v>
      </c>
      <c r="O2046" t="s">
        <v>82</v>
      </c>
      <c r="P2046" t="str">
        <f>"2170720367                    "</f>
        <v xml:space="preserve">2170720367                    </v>
      </c>
      <c r="Q2046">
        <v>0</v>
      </c>
      <c r="R2046">
        <v>0</v>
      </c>
      <c r="S2046">
        <v>0</v>
      </c>
      <c r="T2046">
        <v>0</v>
      </c>
      <c r="U2046">
        <v>0</v>
      </c>
      <c r="V2046">
        <v>0</v>
      </c>
      <c r="W2046">
        <v>0</v>
      </c>
      <c r="X2046">
        <v>0</v>
      </c>
      <c r="Y2046">
        <v>0</v>
      </c>
      <c r="Z2046">
        <v>0</v>
      </c>
      <c r="AA2046">
        <v>0</v>
      </c>
      <c r="AB2046">
        <v>0</v>
      </c>
      <c r="AC2046">
        <v>0</v>
      </c>
      <c r="AD2046">
        <v>0</v>
      </c>
      <c r="AE2046">
        <v>0</v>
      </c>
      <c r="AF2046">
        <v>0</v>
      </c>
      <c r="AG2046">
        <v>0</v>
      </c>
      <c r="AH2046">
        <v>0</v>
      </c>
      <c r="AI2046">
        <v>0</v>
      </c>
      <c r="AJ2046">
        <v>0</v>
      </c>
      <c r="AK2046">
        <v>0</v>
      </c>
      <c r="AL2046">
        <v>0</v>
      </c>
      <c r="AM2046">
        <v>8.58</v>
      </c>
      <c r="AN2046">
        <v>0</v>
      </c>
      <c r="AO2046">
        <v>0</v>
      </c>
      <c r="AP2046">
        <v>0</v>
      </c>
      <c r="AQ2046">
        <v>0</v>
      </c>
      <c r="AR2046">
        <v>0</v>
      </c>
      <c r="AS2046">
        <v>0</v>
      </c>
      <c r="AT2046">
        <v>0</v>
      </c>
      <c r="AU2046">
        <v>0</v>
      </c>
      <c r="AV2046">
        <v>0</v>
      </c>
      <c r="AW2046">
        <v>0</v>
      </c>
      <c r="AX2046">
        <v>0</v>
      </c>
      <c r="AY2046">
        <v>0</v>
      </c>
      <c r="AZ2046">
        <v>0</v>
      </c>
      <c r="BA2046">
        <v>0</v>
      </c>
      <c r="BB2046">
        <v>0</v>
      </c>
      <c r="BC2046">
        <v>0</v>
      </c>
      <c r="BD2046">
        <v>0</v>
      </c>
      <c r="BE2046">
        <v>0</v>
      </c>
      <c r="BF2046">
        <v>0</v>
      </c>
      <c r="BG2046">
        <v>0</v>
      </c>
      <c r="BH2046">
        <v>1</v>
      </c>
      <c r="BI2046">
        <v>1</v>
      </c>
      <c r="BJ2046">
        <v>0.2</v>
      </c>
      <c r="BK2046">
        <v>1</v>
      </c>
      <c r="BL2046" s="4">
        <v>50.45</v>
      </c>
      <c r="BM2046" s="4">
        <v>7.57</v>
      </c>
      <c r="BN2046" s="4">
        <v>58.02</v>
      </c>
      <c r="BO2046" s="4">
        <v>58.02</v>
      </c>
      <c r="BQ2046" t="s">
        <v>172</v>
      </c>
      <c r="BR2046" t="s">
        <v>84</v>
      </c>
      <c r="BS2046" s="3">
        <v>43819</v>
      </c>
      <c r="BT2046" s="5">
        <v>0.37222222222222223</v>
      </c>
      <c r="BU2046" t="s">
        <v>943</v>
      </c>
      <c r="BV2046" t="s">
        <v>86</v>
      </c>
      <c r="BY2046">
        <v>1200</v>
      </c>
      <c r="CA2046" t="s">
        <v>2328</v>
      </c>
      <c r="CC2046" t="s">
        <v>91</v>
      </c>
      <c r="CD2046">
        <v>7460</v>
      </c>
      <c r="CE2046" t="s">
        <v>88</v>
      </c>
      <c r="CF2046" s="3">
        <v>43822</v>
      </c>
      <c r="CI2046">
        <v>1</v>
      </c>
      <c r="CJ2046">
        <v>1</v>
      </c>
      <c r="CK2046">
        <v>21</v>
      </c>
      <c r="CL2046" t="s">
        <v>89</v>
      </c>
    </row>
    <row r="2047" spans="1:90">
      <c r="A2047" t="s">
        <v>72</v>
      </c>
      <c r="B2047" t="s">
        <v>73</v>
      </c>
      <c r="C2047" t="s">
        <v>74</v>
      </c>
      <c r="E2047" t="str">
        <f>"FES1162729014"</f>
        <v>FES1162729014</v>
      </c>
      <c r="F2047" s="3">
        <v>43818</v>
      </c>
      <c r="G2047">
        <v>202006</v>
      </c>
      <c r="H2047" t="s">
        <v>75</v>
      </c>
      <c r="I2047" t="s">
        <v>76</v>
      </c>
      <c r="J2047" t="s">
        <v>77</v>
      </c>
      <c r="K2047" t="s">
        <v>78</v>
      </c>
      <c r="L2047" t="s">
        <v>340</v>
      </c>
      <c r="M2047" t="s">
        <v>341</v>
      </c>
      <c r="N2047" t="s">
        <v>342</v>
      </c>
      <c r="O2047" t="s">
        <v>82</v>
      </c>
      <c r="P2047" t="str">
        <f>"21707121213                   "</f>
        <v xml:space="preserve">21707121213                   </v>
      </c>
      <c r="Q2047">
        <v>0</v>
      </c>
      <c r="R2047">
        <v>0</v>
      </c>
      <c r="S2047">
        <v>0</v>
      </c>
      <c r="T2047">
        <v>0</v>
      </c>
      <c r="U2047">
        <v>0</v>
      </c>
      <c r="V2047">
        <v>0</v>
      </c>
      <c r="W2047">
        <v>0</v>
      </c>
      <c r="X2047">
        <v>0</v>
      </c>
      <c r="Y2047">
        <v>0</v>
      </c>
      <c r="Z2047">
        <v>0</v>
      </c>
      <c r="AA2047">
        <v>0</v>
      </c>
      <c r="AB2047">
        <v>0</v>
      </c>
      <c r="AC2047">
        <v>0</v>
      </c>
      <c r="AD2047">
        <v>0</v>
      </c>
      <c r="AE2047">
        <v>0</v>
      </c>
      <c r="AF2047">
        <v>0</v>
      </c>
      <c r="AG2047">
        <v>0</v>
      </c>
      <c r="AH2047">
        <v>0</v>
      </c>
      <c r="AI2047">
        <v>0</v>
      </c>
      <c r="AJ2047">
        <v>0</v>
      </c>
      <c r="AK2047">
        <v>0</v>
      </c>
      <c r="AL2047">
        <v>0</v>
      </c>
      <c r="AM2047">
        <v>16.63</v>
      </c>
      <c r="AN2047">
        <v>0</v>
      </c>
      <c r="AO2047">
        <v>0</v>
      </c>
      <c r="AP2047">
        <v>0</v>
      </c>
      <c r="AQ2047">
        <v>0</v>
      </c>
      <c r="AR2047">
        <v>0</v>
      </c>
      <c r="AS2047">
        <v>0</v>
      </c>
      <c r="AT2047">
        <v>0</v>
      </c>
      <c r="AU2047">
        <v>0</v>
      </c>
      <c r="AV2047">
        <v>0</v>
      </c>
      <c r="AW2047">
        <v>0</v>
      </c>
      <c r="AX2047">
        <v>0</v>
      </c>
      <c r="AY2047">
        <v>0</v>
      </c>
      <c r="AZ2047">
        <v>0</v>
      </c>
      <c r="BA2047">
        <v>0</v>
      </c>
      <c r="BB2047">
        <v>0</v>
      </c>
      <c r="BC2047">
        <v>0</v>
      </c>
      <c r="BD2047">
        <v>0</v>
      </c>
      <c r="BE2047">
        <v>0</v>
      </c>
      <c r="BF2047">
        <v>0</v>
      </c>
      <c r="BG2047">
        <v>0</v>
      </c>
      <c r="BH2047">
        <v>1</v>
      </c>
      <c r="BI2047">
        <v>1</v>
      </c>
      <c r="BJ2047">
        <v>0.2</v>
      </c>
      <c r="BK2047">
        <v>1</v>
      </c>
      <c r="BL2047" s="4">
        <v>97.75</v>
      </c>
      <c r="BM2047" s="4">
        <v>14.66</v>
      </c>
      <c r="BN2047" s="4">
        <v>112.41</v>
      </c>
      <c r="BO2047" s="4">
        <v>112.41</v>
      </c>
      <c r="BQ2047" t="s">
        <v>93</v>
      </c>
      <c r="BR2047" t="s">
        <v>84</v>
      </c>
      <c r="BS2047" s="3">
        <v>43819</v>
      </c>
      <c r="BT2047" s="5">
        <v>0.33333333333333331</v>
      </c>
      <c r="BU2047" t="s">
        <v>1786</v>
      </c>
      <c r="BV2047" t="s">
        <v>86</v>
      </c>
      <c r="BY2047">
        <v>1200</v>
      </c>
      <c r="CC2047" t="s">
        <v>341</v>
      </c>
      <c r="CD2047">
        <v>1947</v>
      </c>
      <c r="CE2047" t="s">
        <v>88</v>
      </c>
      <c r="CF2047" s="3">
        <v>43822</v>
      </c>
      <c r="CI2047">
        <v>1</v>
      </c>
      <c r="CJ2047">
        <v>1</v>
      </c>
      <c r="CK2047">
        <v>23</v>
      </c>
      <c r="CL2047" t="s">
        <v>89</v>
      </c>
    </row>
    <row r="2048" spans="1:90">
      <c r="A2048" t="s">
        <v>72</v>
      </c>
      <c r="B2048" t="s">
        <v>73</v>
      </c>
      <c r="C2048" t="s">
        <v>74</v>
      </c>
      <c r="E2048" t="str">
        <f>"FES1162728791"</f>
        <v>FES1162728791</v>
      </c>
      <c r="F2048" s="3">
        <v>43818</v>
      </c>
      <c r="G2048">
        <v>202006</v>
      </c>
      <c r="H2048" t="s">
        <v>75</v>
      </c>
      <c r="I2048" t="s">
        <v>76</v>
      </c>
      <c r="J2048" t="s">
        <v>77</v>
      </c>
      <c r="K2048" t="s">
        <v>78</v>
      </c>
      <c r="L2048" t="s">
        <v>169</v>
      </c>
      <c r="M2048" t="s">
        <v>170</v>
      </c>
      <c r="N2048" t="s">
        <v>890</v>
      </c>
      <c r="O2048" t="s">
        <v>82</v>
      </c>
      <c r="P2048" t="str">
        <f>"2170721986                    "</f>
        <v xml:space="preserve">2170721986                    </v>
      </c>
      <c r="Q2048">
        <v>0</v>
      </c>
      <c r="R2048">
        <v>0</v>
      </c>
      <c r="S2048">
        <v>0</v>
      </c>
      <c r="T2048">
        <v>0</v>
      </c>
      <c r="U2048">
        <v>0</v>
      </c>
      <c r="V2048">
        <v>0</v>
      </c>
      <c r="W2048">
        <v>0</v>
      </c>
      <c r="X2048">
        <v>0</v>
      </c>
      <c r="Y2048">
        <v>0</v>
      </c>
      <c r="Z2048">
        <v>0</v>
      </c>
      <c r="AA2048">
        <v>0</v>
      </c>
      <c r="AB2048">
        <v>0</v>
      </c>
      <c r="AC2048">
        <v>0</v>
      </c>
      <c r="AD2048">
        <v>0</v>
      </c>
      <c r="AE2048">
        <v>0</v>
      </c>
      <c r="AF2048">
        <v>0</v>
      </c>
      <c r="AG2048">
        <v>0</v>
      </c>
      <c r="AH2048">
        <v>0</v>
      </c>
      <c r="AI2048">
        <v>0</v>
      </c>
      <c r="AJ2048">
        <v>0</v>
      </c>
      <c r="AK2048">
        <v>0</v>
      </c>
      <c r="AL2048">
        <v>0</v>
      </c>
      <c r="AM2048">
        <v>6.71</v>
      </c>
      <c r="AN2048">
        <v>0</v>
      </c>
      <c r="AO2048">
        <v>0</v>
      </c>
      <c r="AP2048">
        <v>0</v>
      </c>
      <c r="AQ2048">
        <v>0</v>
      </c>
      <c r="AR2048">
        <v>0</v>
      </c>
      <c r="AS2048">
        <v>0</v>
      </c>
      <c r="AT2048">
        <v>0</v>
      </c>
      <c r="AU2048">
        <v>0</v>
      </c>
      <c r="AV2048">
        <v>0</v>
      </c>
      <c r="AW2048">
        <v>0</v>
      </c>
      <c r="AX2048">
        <v>0</v>
      </c>
      <c r="AY2048">
        <v>0</v>
      </c>
      <c r="AZ2048">
        <v>0</v>
      </c>
      <c r="BA2048">
        <v>0</v>
      </c>
      <c r="BB2048">
        <v>0</v>
      </c>
      <c r="BC2048">
        <v>0</v>
      </c>
      <c r="BD2048">
        <v>0</v>
      </c>
      <c r="BE2048">
        <v>0</v>
      </c>
      <c r="BF2048">
        <v>0</v>
      </c>
      <c r="BG2048">
        <v>0</v>
      </c>
      <c r="BH2048">
        <v>1</v>
      </c>
      <c r="BI2048">
        <v>1</v>
      </c>
      <c r="BJ2048">
        <v>0.2</v>
      </c>
      <c r="BK2048">
        <v>1</v>
      </c>
      <c r="BL2048" s="4">
        <v>39.42</v>
      </c>
      <c r="BM2048" s="4">
        <v>5.91</v>
      </c>
      <c r="BN2048" s="4">
        <v>45.33</v>
      </c>
      <c r="BO2048" s="4">
        <v>45.33</v>
      </c>
      <c r="BQ2048" t="s">
        <v>891</v>
      </c>
      <c r="BR2048" t="s">
        <v>84</v>
      </c>
      <c r="BS2048" s="3">
        <v>43819</v>
      </c>
      <c r="BT2048" s="5">
        <v>0.35138888888888892</v>
      </c>
      <c r="BU2048" t="s">
        <v>2329</v>
      </c>
      <c r="BV2048" t="s">
        <v>86</v>
      </c>
      <c r="BY2048">
        <v>1200</v>
      </c>
      <c r="CC2048" t="s">
        <v>170</v>
      </c>
      <c r="CD2048">
        <v>1459</v>
      </c>
      <c r="CE2048" t="s">
        <v>88</v>
      </c>
      <c r="CF2048" s="3">
        <v>43822</v>
      </c>
      <c r="CI2048">
        <v>1</v>
      </c>
      <c r="CJ2048">
        <v>1</v>
      </c>
      <c r="CK2048">
        <v>22</v>
      </c>
      <c r="CL2048" t="s">
        <v>89</v>
      </c>
    </row>
    <row r="2049" spans="1:90">
      <c r="A2049" t="s">
        <v>72</v>
      </c>
      <c r="B2049" t="s">
        <v>73</v>
      </c>
      <c r="C2049" t="s">
        <v>74</v>
      </c>
      <c r="E2049" t="str">
        <f>"FES1162729019"</f>
        <v>FES1162729019</v>
      </c>
      <c r="F2049" s="3">
        <v>43818</v>
      </c>
      <c r="G2049">
        <v>202006</v>
      </c>
      <c r="H2049" t="s">
        <v>75</v>
      </c>
      <c r="I2049" t="s">
        <v>76</v>
      </c>
      <c r="J2049" t="s">
        <v>77</v>
      </c>
      <c r="K2049" t="s">
        <v>78</v>
      </c>
      <c r="L2049" t="s">
        <v>671</v>
      </c>
      <c r="M2049" t="s">
        <v>672</v>
      </c>
      <c r="N2049" t="s">
        <v>1897</v>
      </c>
      <c r="O2049" t="s">
        <v>82</v>
      </c>
      <c r="P2049" t="str">
        <f>"2170722125                    "</f>
        <v xml:space="preserve">2170722125                    </v>
      </c>
      <c r="Q2049">
        <v>0</v>
      </c>
      <c r="R2049">
        <v>0</v>
      </c>
      <c r="S2049">
        <v>0</v>
      </c>
      <c r="T2049">
        <v>0</v>
      </c>
      <c r="U2049">
        <v>0</v>
      </c>
      <c r="V2049">
        <v>0</v>
      </c>
      <c r="W2049">
        <v>0</v>
      </c>
      <c r="X2049">
        <v>0</v>
      </c>
      <c r="Y2049">
        <v>0</v>
      </c>
      <c r="Z2049">
        <v>0</v>
      </c>
      <c r="AA2049">
        <v>0</v>
      </c>
      <c r="AB2049">
        <v>0</v>
      </c>
      <c r="AC2049">
        <v>0</v>
      </c>
      <c r="AD2049">
        <v>0</v>
      </c>
      <c r="AE2049">
        <v>0</v>
      </c>
      <c r="AF2049">
        <v>0</v>
      </c>
      <c r="AG2049">
        <v>0</v>
      </c>
      <c r="AH2049">
        <v>0</v>
      </c>
      <c r="AI2049">
        <v>0</v>
      </c>
      <c r="AJ2049">
        <v>0</v>
      </c>
      <c r="AK2049">
        <v>0</v>
      </c>
      <c r="AL2049">
        <v>0</v>
      </c>
      <c r="AM2049">
        <v>16.63</v>
      </c>
      <c r="AN2049">
        <v>0</v>
      </c>
      <c r="AO2049">
        <v>0</v>
      </c>
      <c r="AP2049">
        <v>0</v>
      </c>
      <c r="AQ2049">
        <v>0</v>
      </c>
      <c r="AR2049">
        <v>0</v>
      </c>
      <c r="AS2049">
        <v>0</v>
      </c>
      <c r="AT2049">
        <v>0</v>
      </c>
      <c r="AU2049">
        <v>0</v>
      </c>
      <c r="AV2049">
        <v>0</v>
      </c>
      <c r="AW2049">
        <v>0</v>
      </c>
      <c r="AX2049">
        <v>0</v>
      </c>
      <c r="AY2049">
        <v>0</v>
      </c>
      <c r="AZ2049">
        <v>0</v>
      </c>
      <c r="BA2049">
        <v>0</v>
      </c>
      <c r="BB2049">
        <v>0</v>
      </c>
      <c r="BC2049">
        <v>0</v>
      </c>
      <c r="BD2049">
        <v>0</v>
      </c>
      <c r="BE2049">
        <v>0</v>
      </c>
      <c r="BF2049">
        <v>0</v>
      </c>
      <c r="BG2049">
        <v>0</v>
      </c>
      <c r="BH2049">
        <v>1</v>
      </c>
      <c r="BI2049">
        <v>1</v>
      </c>
      <c r="BJ2049">
        <v>0.2</v>
      </c>
      <c r="BK2049">
        <v>1</v>
      </c>
      <c r="BL2049" s="4">
        <v>97.75</v>
      </c>
      <c r="BM2049" s="4">
        <v>14.66</v>
      </c>
      <c r="BN2049" s="4">
        <v>112.41</v>
      </c>
      <c r="BO2049" s="4">
        <v>112.41</v>
      </c>
      <c r="BQ2049" t="s">
        <v>147</v>
      </c>
      <c r="BR2049" t="s">
        <v>84</v>
      </c>
      <c r="BS2049" s="3">
        <v>43819</v>
      </c>
      <c r="BT2049" s="5">
        <v>0.39444444444444443</v>
      </c>
      <c r="BU2049" t="s">
        <v>1669</v>
      </c>
      <c r="BV2049" t="s">
        <v>86</v>
      </c>
      <c r="BY2049">
        <v>1200</v>
      </c>
      <c r="CA2049" t="s">
        <v>946</v>
      </c>
      <c r="CC2049" t="s">
        <v>672</v>
      </c>
      <c r="CD2049">
        <v>1900</v>
      </c>
      <c r="CE2049" t="s">
        <v>88</v>
      </c>
      <c r="CF2049" s="3">
        <v>43822</v>
      </c>
      <c r="CI2049">
        <v>1</v>
      </c>
      <c r="CJ2049">
        <v>1</v>
      </c>
      <c r="CK2049">
        <v>23</v>
      </c>
      <c r="CL2049" t="s">
        <v>89</v>
      </c>
    </row>
    <row r="2050" spans="1:90">
      <c r="A2050" t="s">
        <v>72</v>
      </c>
      <c r="B2050" t="s">
        <v>73</v>
      </c>
      <c r="C2050" t="s">
        <v>74</v>
      </c>
      <c r="E2050" t="str">
        <f>"FES1162729225"</f>
        <v>FES1162729225</v>
      </c>
      <c r="F2050" s="3">
        <v>43818</v>
      </c>
      <c r="G2050">
        <v>202006</v>
      </c>
      <c r="H2050" t="s">
        <v>75</v>
      </c>
      <c r="I2050" t="s">
        <v>76</v>
      </c>
      <c r="J2050" t="s">
        <v>77</v>
      </c>
      <c r="K2050" t="s">
        <v>78</v>
      </c>
      <c r="L2050" t="s">
        <v>90</v>
      </c>
      <c r="M2050" t="s">
        <v>91</v>
      </c>
      <c r="N2050" t="s">
        <v>548</v>
      </c>
      <c r="O2050" t="s">
        <v>82</v>
      </c>
      <c r="P2050" t="str">
        <f>"21707222210                   "</f>
        <v xml:space="preserve">21707222210                   </v>
      </c>
      <c r="Q2050">
        <v>0</v>
      </c>
      <c r="R2050">
        <v>0</v>
      </c>
      <c r="S2050">
        <v>0</v>
      </c>
      <c r="T2050">
        <v>0</v>
      </c>
      <c r="U2050">
        <v>0</v>
      </c>
      <c r="V2050">
        <v>0</v>
      </c>
      <c r="W2050">
        <v>0</v>
      </c>
      <c r="X2050">
        <v>0</v>
      </c>
      <c r="Y2050">
        <v>0</v>
      </c>
      <c r="Z2050">
        <v>0</v>
      </c>
      <c r="AA2050">
        <v>0</v>
      </c>
      <c r="AB2050">
        <v>0</v>
      </c>
      <c r="AC2050">
        <v>0</v>
      </c>
      <c r="AD2050">
        <v>0</v>
      </c>
      <c r="AE2050">
        <v>0</v>
      </c>
      <c r="AF2050">
        <v>0</v>
      </c>
      <c r="AG2050">
        <v>0</v>
      </c>
      <c r="AH2050">
        <v>0</v>
      </c>
      <c r="AI2050">
        <v>0</v>
      </c>
      <c r="AJ2050">
        <v>0</v>
      </c>
      <c r="AK2050">
        <v>0</v>
      </c>
      <c r="AL2050">
        <v>0</v>
      </c>
      <c r="AM2050">
        <v>8.58</v>
      </c>
      <c r="AN2050">
        <v>0</v>
      </c>
      <c r="AO2050">
        <v>0</v>
      </c>
      <c r="AP2050">
        <v>0</v>
      </c>
      <c r="AQ2050">
        <v>0</v>
      </c>
      <c r="AR2050">
        <v>0</v>
      </c>
      <c r="AS2050">
        <v>0</v>
      </c>
      <c r="AT2050">
        <v>0</v>
      </c>
      <c r="AU2050">
        <v>0</v>
      </c>
      <c r="AV2050">
        <v>0</v>
      </c>
      <c r="AW2050">
        <v>0</v>
      </c>
      <c r="AX2050">
        <v>0</v>
      </c>
      <c r="AY2050">
        <v>0</v>
      </c>
      <c r="AZ2050">
        <v>0</v>
      </c>
      <c r="BA2050">
        <v>0</v>
      </c>
      <c r="BB2050">
        <v>0</v>
      </c>
      <c r="BC2050">
        <v>0</v>
      </c>
      <c r="BD2050">
        <v>0</v>
      </c>
      <c r="BE2050">
        <v>0</v>
      </c>
      <c r="BF2050">
        <v>0</v>
      </c>
      <c r="BG2050">
        <v>0</v>
      </c>
      <c r="BH2050">
        <v>1</v>
      </c>
      <c r="BI2050">
        <v>1</v>
      </c>
      <c r="BJ2050">
        <v>0.2</v>
      </c>
      <c r="BK2050">
        <v>1</v>
      </c>
      <c r="BL2050" s="4">
        <v>50.45</v>
      </c>
      <c r="BM2050" s="4">
        <v>7.57</v>
      </c>
      <c r="BN2050" s="4">
        <v>58.02</v>
      </c>
      <c r="BO2050" s="4">
        <v>58.02</v>
      </c>
      <c r="BQ2050" t="s">
        <v>147</v>
      </c>
      <c r="BR2050" t="s">
        <v>84</v>
      </c>
      <c r="BS2050" s="3">
        <v>43819</v>
      </c>
      <c r="BT2050" s="5">
        <v>0.30833333333333335</v>
      </c>
      <c r="BU2050" t="s">
        <v>1461</v>
      </c>
      <c r="BV2050" t="s">
        <v>86</v>
      </c>
      <c r="BY2050">
        <v>1200</v>
      </c>
      <c r="CA2050" t="s">
        <v>550</v>
      </c>
      <c r="CC2050" t="s">
        <v>91</v>
      </c>
      <c r="CD2050">
        <v>7530</v>
      </c>
      <c r="CE2050" t="s">
        <v>88</v>
      </c>
      <c r="CF2050" s="3">
        <v>43822</v>
      </c>
      <c r="CI2050">
        <v>1</v>
      </c>
      <c r="CJ2050">
        <v>1</v>
      </c>
      <c r="CK2050">
        <v>21</v>
      </c>
      <c r="CL2050" t="s">
        <v>89</v>
      </c>
    </row>
    <row r="2051" spans="1:90">
      <c r="A2051" t="s">
        <v>72</v>
      </c>
      <c r="B2051" t="s">
        <v>73</v>
      </c>
      <c r="C2051" t="s">
        <v>74</v>
      </c>
      <c r="E2051" t="str">
        <f>"FES1162729222"</f>
        <v>FES1162729222</v>
      </c>
      <c r="F2051" s="3">
        <v>43818</v>
      </c>
      <c r="G2051">
        <v>202006</v>
      </c>
      <c r="H2051" t="s">
        <v>75</v>
      </c>
      <c r="I2051" t="s">
        <v>76</v>
      </c>
      <c r="J2051" t="s">
        <v>77</v>
      </c>
      <c r="K2051" t="s">
        <v>78</v>
      </c>
      <c r="L2051" t="s">
        <v>90</v>
      </c>
      <c r="M2051" t="s">
        <v>91</v>
      </c>
      <c r="N2051" t="s">
        <v>548</v>
      </c>
      <c r="O2051" t="s">
        <v>82</v>
      </c>
      <c r="P2051" t="str">
        <f>"217072206                     "</f>
        <v xml:space="preserve">217072206                     </v>
      </c>
      <c r="Q2051">
        <v>0</v>
      </c>
      <c r="R2051">
        <v>0</v>
      </c>
      <c r="S2051">
        <v>0</v>
      </c>
      <c r="T2051">
        <v>0</v>
      </c>
      <c r="U2051">
        <v>0</v>
      </c>
      <c r="V2051">
        <v>0</v>
      </c>
      <c r="W2051">
        <v>0</v>
      </c>
      <c r="X2051">
        <v>0</v>
      </c>
      <c r="Y2051">
        <v>0</v>
      </c>
      <c r="Z2051">
        <v>0</v>
      </c>
      <c r="AA2051">
        <v>0</v>
      </c>
      <c r="AB2051">
        <v>0</v>
      </c>
      <c r="AC2051">
        <v>0</v>
      </c>
      <c r="AD2051">
        <v>0</v>
      </c>
      <c r="AE2051">
        <v>0</v>
      </c>
      <c r="AF2051">
        <v>0</v>
      </c>
      <c r="AG2051">
        <v>0</v>
      </c>
      <c r="AH2051">
        <v>0</v>
      </c>
      <c r="AI2051">
        <v>0</v>
      </c>
      <c r="AJ2051">
        <v>0</v>
      </c>
      <c r="AK2051">
        <v>0</v>
      </c>
      <c r="AL2051">
        <v>0</v>
      </c>
      <c r="AM2051">
        <v>8.58</v>
      </c>
      <c r="AN2051">
        <v>0</v>
      </c>
      <c r="AO2051">
        <v>0</v>
      </c>
      <c r="AP2051">
        <v>0</v>
      </c>
      <c r="AQ2051">
        <v>0</v>
      </c>
      <c r="AR2051">
        <v>0</v>
      </c>
      <c r="AS2051">
        <v>0</v>
      </c>
      <c r="AT2051">
        <v>0</v>
      </c>
      <c r="AU2051">
        <v>0</v>
      </c>
      <c r="AV2051">
        <v>0</v>
      </c>
      <c r="AW2051">
        <v>0</v>
      </c>
      <c r="AX2051">
        <v>0</v>
      </c>
      <c r="AY2051">
        <v>0</v>
      </c>
      <c r="AZ2051">
        <v>0</v>
      </c>
      <c r="BA2051">
        <v>0</v>
      </c>
      <c r="BB2051">
        <v>0</v>
      </c>
      <c r="BC2051">
        <v>0</v>
      </c>
      <c r="BD2051">
        <v>0</v>
      </c>
      <c r="BE2051">
        <v>0</v>
      </c>
      <c r="BF2051">
        <v>0</v>
      </c>
      <c r="BG2051">
        <v>0</v>
      </c>
      <c r="BH2051">
        <v>1</v>
      </c>
      <c r="BI2051">
        <v>1</v>
      </c>
      <c r="BJ2051">
        <v>0.2</v>
      </c>
      <c r="BK2051">
        <v>1</v>
      </c>
      <c r="BL2051" s="4">
        <v>50.45</v>
      </c>
      <c r="BM2051" s="4">
        <v>7.57</v>
      </c>
      <c r="BN2051" s="4">
        <v>58.02</v>
      </c>
      <c r="BO2051" s="4">
        <v>58.02</v>
      </c>
      <c r="BQ2051" t="s">
        <v>147</v>
      </c>
      <c r="BR2051" t="s">
        <v>84</v>
      </c>
      <c r="BS2051" s="3">
        <v>43819</v>
      </c>
      <c r="BT2051" s="5">
        <v>0.30833333333333335</v>
      </c>
      <c r="BU2051" t="s">
        <v>1461</v>
      </c>
      <c r="BV2051" t="s">
        <v>86</v>
      </c>
      <c r="BY2051">
        <v>1200</v>
      </c>
      <c r="CA2051" t="s">
        <v>550</v>
      </c>
      <c r="CC2051" t="s">
        <v>91</v>
      </c>
      <c r="CD2051">
        <v>7530</v>
      </c>
      <c r="CE2051" t="s">
        <v>88</v>
      </c>
      <c r="CF2051" s="3">
        <v>43822</v>
      </c>
      <c r="CI2051">
        <v>1</v>
      </c>
      <c r="CJ2051">
        <v>1</v>
      </c>
      <c r="CK2051">
        <v>21</v>
      </c>
      <c r="CL2051" t="s">
        <v>89</v>
      </c>
    </row>
    <row r="2052" spans="1:90">
      <c r="A2052" t="s">
        <v>72</v>
      </c>
      <c r="B2052" t="s">
        <v>73</v>
      </c>
      <c r="C2052" t="s">
        <v>74</v>
      </c>
      <c r="E2052" t="str">
        <f>"FES1162729050"</f>
        <v>FES1162729050</v>
      </c>
      <c r="F2052" s="3">
        <v>43818</v>
      </c>
      <c r="G2052">
        <v>202006</v>
      </c>
      <c r="H2052" t="s">
        <v>75</v>
      </c>
      <c r="I2052" t="s">
        <v>76</v>
      </c>
      <c r="J2052" t="s">
        <v>77</v>
      </c>
      <c r="K2052" t="s">
        <v>78</v>
      </c>
      <c r="L2052" t="s">
        <v>151</v>
      </c>
      <c r="M2052" t="s">
        <v>102</v>
      </c>
      <c r="N2052" t="s">
        <v>329</v>
      </c>
      <c r="O2052" t="s">
        <v>82</v>
      </c>
      <c r="P2052" t="str">
        <f>"2170720148                    "</f>
        <v xml:space="preserve">2170720148                    </v>
      </c>
      <c r="Q2052">
        <v>0</v>
      </c>
      <c r="R2052">
        <v>0</v>
      </c>
      <c r="S2052">
        <v>0</v>
      </c>
      <c r="T2052">
        <v>0</v>
      </c>
      <c r="U2052">
        <v>0</v>
      </c>
      <c r="V2052">
        <v>0</v>
      </c>
      <c r="W2052">
        <v>0</v>
      </c>
      <c r="X2052">
        <v>0</v>
      </c>
      <c r="Y2052">
        <v>0</v>
      </c>
      <c r="Z2052">
        <v>0</v>
      </c>
      <c r="AA2052">
        <v>0</v>
      </c>
      <c r="AB2052">
        <v>0</v>
      </c>
      <c r="AC2052">
        <v>0</v>
      </c>
      <c r="AD2052">
        <v>0</v>
      </c>
      <c r="AE2052">
        <v>0</v>
      </c>
      <c r="AF2052">
        <v>0</v>
      </c>
      <c r="AG2052">
        <v>0</v>
      </c>
      <c r="AH2052">
        <v>0</v>
      </c>
      <c r="AI2052">
        <v>0</v>
      </c>
      <c r="AJ2052">
        <v>0</v>
      </c>
      <c r="AK2052">
        <v>0</v>
      </c>
      <c r="AL2052">
        <v>0</v>
      </c>
      <c r="AM2052">
        <v>8.58</v>
      </c>
      <c r="AN2052">
        <v>0</v>
      </c>
      <c r="AO2052">
        <v>0</v>
      </c>
      <c r="AP2052">
        <v>0</v>
      </c>
      <c r="AQ2052">
        <v>0</v>
      </c>
      <c r="AR2052">
        <v>0</v>
      </c>
      <c r="AS2052">
        <v>0</v>
      </c>
      <c r="AT2052">
        <v>0</v>
      </c>
      <c r="AU2052">
        <v>0</v>
      </c>
      <c r="AV2052">
        <v>0</v>
      </c>
      <c r="AW2052">
        <v>0</v>
      </c>
      <c r="AX2052">
        <v>0</v>
      </c>
      <c r="AY2052">
        <v>0</v>
      </c>
      <c r="AZ2052">
        <v>0</v>
      </c>
      <c r="BA2052">
        <v>0</v>
      </c>
      <c r="BB2052">
        <v>0</v>
      </c>
      <c r="BC2052">
        <v>0</v>
      </c>
      <c r="BD2052">
        <v>0</v>
      </c>
      <c r="BE2052">
        <v>0</v>
      </c>
      <c r="BF2052">
        <v>0</v>
      </c>
      <c r="BG2052">
        <v>0</v>
      </c>
      <c r="BH2052">
        <v>1</v>
      </c>
      <c r="BI2052">
        <v>1</v>
      </c>
      <c r="BJ2052">
        <v>0.2</v>
      </c>
      <c r="BK2052">
        <v>1</v>
      </c>
      <c r="BL2052" s="4">
        <v>50.45</v>
      </c>
      <c r="BM2052" s="4">
        <v>7.57</v>
      </c>
      <c r="BN2052" s="4">
        <v>58.02</v>
      </c>
      <c r="BO2052" s="4">
        <v>58.02</v>
      </c>
      <c r="BQ2052" t="s">
        <v>147</v>
      </c>
      <c r="BR2052" t="s">
        <v>84</v>
      </c>
      <c r="BS2052" s="3">
        <v>43819</v>
      </c>
      <c r="BT2052" s="5">
        <v>0.36458333333333331</v>
      </c>
      <c r="BU2052" t="s">
        <v>322</v>
      </c>
      <c r="BV2052" t="s">
        <v>86</v>
      </c>
      <c r="BY2052">
        <v>1200</v>
      </c>
      <c r="CC2052" t="s">
        <v>102</v>
      </c>
      <c r="CD2052">
        <v>200</v>
      </c>
      <c r="CE2052" t="s">
        <v>88</v>
      </c>
      <c r="CF2052" s="3">
        <v>43822</v>
      </c>
      <c r="CI2052">
        <v>1</v>
      </c>
      <c r="CJ2052">
        <v>1</v>
      </c>
      <c r="CK2052">
        <v>21</v>
      </c>
      <c r="CL2052" t="s">
        <v>89</v>
      </c>
    </row>
    <row r="2053" spans="1:90">
      <c r="A2053" t="s">
        <v>72</v>
      </c>
      <c r="B2053" t="s">
        <v>73</v>
      </c>
      <c r="C2053" t="s">
        <v>74</v>
      </c>
      <c r="E2053" t="str">
        <f>"FES1162729221"</f>
        <v>FES1162729221</v>
      </c>
      <c r="F2053" s="3">
        <v>43818</v>
      </c>
      <c r="G2053">
        <v>202006</v>
      </c>
      <c r="H2053" t="s">
        <v>75</v>
      </c>
      <c r="I2053" t="s">
        <v>76</v>
      </c>
      <c r="J2053" t="s">
        <v>77</v>
      </c>
      <c r="K2053" t="s">
        <v>78</v>
      </c>
      <c r="L2053" t="s">
        <v>164</v>
      </c>
      <c r="M2053" t="s">
        <v>165</v>
      </c>
      <c r="N2053" t="s">
        <v>263</v>
      </c>
      <c r="O2053" t="s">
        <v>82</v>
      </c>
      <c r="P2053" t="str">
        <f>"2170722205                    "</f>
        <v xml:space="preserve">2170722205                    </v>
      </c>
      <c r="Q2053">
        <v>0</v>
      </c>
      <c r="R2053">
        <v>0</v>
      </c>
      <c r="S2053">
        <v>0</v>
      </c>
      <c r="T2053">
        <v>0</v>
      </c>
      <c r="U2053">
        <v>0</v>
      </c>
      <c r="V2053">
        <v>0</v>
      </c>
      <c r="W2053">
        <v>0</v>
      </c>
      <c r="X2053">
        <v>0</v>
      </c>
      <c r="Y2053">
        <v>0</v>
      </c>
      <c r="Z2053">
        <v>0</v>
      </c>
      <c r="AA2053">
        <v>0</v>
      </c>
      <c r="AB2053">
        <v>0</v>
      </c>
      <c r="AC2053">
        <v>0</v>
      </c>
      <c r="AD2053">
        <v>0</v>
      </c>
      <c r="AE2053">
        <v>0</v>
      </c>
      <c r="AF2053">
        <v>0</v>
      </c>
      <c r="AG2053">
        <v>0</v>
      </c>
      <c r="AH2053">
        <v>0</v>
      </c>
      <c r="AI2053">
        <v>0</v>
      </c>
      <c r="AJ2053">
        <v>0</v>
      </c>
      <c r="AK2053">
        <v>0</v>
      </c>
      <c r="AL2053">
        <v>0</v>
      </c>
      <c r="AM2053">
        <v>8.58</v>
      </c>
      <c r="AN2053">
        <v>0</v>
      </c>
      <c r="AO2053">
        <v>0</v>
      </c>
      <c r="AP2053">
        <v>0</v>
      </c>
      <c r="AQ2053">
        <v>0</v>
      </c>
      <c r="AR2053">
        <v>0</v>
      </c>
      <c r="AS2053">
        <v>0</v>
      </c>
      <c r="AT2053">
        <v>0</v>
      </c>
      <c r="AU2053">
        <v>0</v>
      </c>
      <c r="AV2053">
        <v>0</v>
      </c>
      <c r="AW2053">
        <v>0</v>
      </c>
      <c r="AX2053">
        <v>0</v>
      </c>
      <c r="AY2053">
        <v>0</v>
      </c>
      <c r="AZ2053">
        <v>0</v>
      </c>
      <c r="BA2053">
        <v>0</v>
      </c>
      <c r="BB2053">
        <v>0</v>
      </c>
      <c r="BC2053">
        <v>0</v>
      </c>
      <c r="BD2053">
        <v>0</v>
      </c>
      <c r="BE2053">
        <v>0</v>
      </c>
      <c r="BF2053">
        <v>0</v>
      </c>
      <c r="BG2053">
        <v>0</v>
      </c>
      <c r="BH2053">
        <v>1</v>
      </c>
      <c r="BI2053">
        <v>1</v>
      </c>
      <c r="BJ2053">
        <v>0.2</v>
      </c>
      <c r="BK2053">
        <v>1</v>
      </c>
      <c r="BL2053" s="4">
        <v>50.45</v>
      </c>
      <c r="BM2053" s="4">
        <v>7.57</v>
      </c>
      <c r="BN2053" s="4">
        <v>58.02</v>
      </c>
      <c r="BO2053" s="4">
        <v>58.02</v>
      </c>
      <c r="BQ2053" t="s">
        <v>147</v>
      </c>
      <c r="BR2053" t="s">
        <v>84</v>
      </c>
      <c r="BS2053" s="3">
        <v>43819</v>
      </c>
      <c r="BT2053" s="5">
        <v>0.35486111111111113</v>
      </c>
      <c r="BU2053" t="s">
        <v>1827</v>
      </c>
      <c r="BV2053" t="s">
        <v>86</v>
      </c>
      <c r="BY2053">
        <v>1200</v>
      </c>
      <c r="CA2053" t="s">
        <v>371</v>
      </c>
      <c r="CC2053" t="s">
        <v>165</v>
      </c>
      <c r="CD2053">
        <v>5201</v>
      </c>
      <c r="CE2053" t="s">
        <v>88</v>
      </c>
      <c r="CF2053" s="3">
        <v>43822</v>
      </c>
      <c r="CI2053">
        <v>1</v>
      </c>
      <c r="CJ2053">
        <v>1</v>
      </c>
      <c r="CK2053">
        <v>21</v>
      </c>
      <c r="CL2053" t="s">
        <v>89</v>
      </c>
    </row>
    <row r="2054" spans="1:90">
      <c r="A2054" t="s">
        <v>72</v>
      </c>
      <c r="B2054" t="s">
        <v>73</v>
      </c>
      <c r="C2054" t="s">
        <v>74</v>
      </c>
      <c r="E2054" t="str">
        <f>"FES1162729206"</f>
        <v>FES1162729206</v>
      </c>
      <c r="F2054" s="3">
        <v>43818</v>
      </c>
      <c r="G2054">
        <v>202006</v>
      </c>
      <c r="H2054" t="s">
        <v>75</v>
      </c>
      <c r="I2054" t="s">
        <v>76</v>
      </c>
      <c r="J2054" t="s">
        <v>77</v>
      </c>
      <c r="K2054" t="s">
        <v>78</v>
      </c>
      <c r="L2054" t="s">
        <v>79</v>
      </c>
      <c r="M2054" t="s">
        <v>80</v>
      </c>
      <c r="N2054" t="s">
        <v>129</v>
      </c>
      <c r="O2054" t="s">
        <v>82</v>
      </c>
      <c r="P2054" t="str">
        <f>"2170722192                    "</f>
        <v xml:space="preserve">2170722192                    </v>
      </c>
      <c r="Q2054">
        <v>0</v>
      </c>
      <c r="R2054">
        <v>0</v>
      </c>
      <c r="S2054">
        <v>0</v>
      </c>
      <c r="T2054">
        <v>0</v>
      </c>
      <c r="U2054">
        <v>0</v>
      </c>
      <c r="V2054">
        <v>0</v>
      </c>
      <c r="W2054">
        <v>0</v>
      </c>
      <c r="X2054">
        <v>0</v>
      </c>
      <c r="Y2054">
        <v>0</v>
      </c>
      <c r="Z2054">
        <v>0</v>
      </c>
      <c r="AA2054">
        <v>0</v>
      </c>
      <c r="AB2054">
        <v>0</v>
      </c>
      <c r="AC2054">
        <v>0</v>
      </c>
      <c r="AD2054">
        <v>0</v>
      </c>
      <c r="AE2054">
        <v>0</v>
      </c>
      <c r="AF2054">
        <v>0</v>
      </c>
      <c r="AG2054">
        <v>0</v>
      </c>
      <c r="AH2054">
        <v>0</v>
      </c>
      <c r="AI2054">
        <v>0</v>
      </c>
      <c r="AJ2054">
        <v>0</v>
      </c>
      <c r="AK2054">
        <v>0</v>
      </c>
      <c r="AL2054">
        <v>0</v>
      </c>
      <c r="AM2054">
        <v>8.58</v>
      </c>
      <c r="AN2054">
        <v>0</v>
      </c>
      <c r="AO2054">
        <v>0</v>
      </c>
      <c r="AP2054">
        <v>0</v>
      </c>
      <c r="AQ2054">
        <v>0</v>
      </c>
      <c r="AR2054">
        <v>0</v>
      </c>
      <c r="AS2054">
        <v>0</v>
      </c>
      <c r="AT2054">
        <v>0</v>
      </c>
      <c r="AU2054">
        <v>0</v>
      </c>
      <c r="AV2054">
        <v>0</v>
      </c>
      <c r="AW2054">
        <v>0</v>
      </c>
      <c r="AX2054">
        <v>0</v>
      </c>
      <c r="AY2054">
        <v>0</v>
      </c>
      <c r="AZ2054">
        <v>0</v>
      </c>
      <c r="BA2054">
        <v>0</v>
      </c>
      <c r="BB2054">
        <v>0</v>
      </c>
      <c r="BC2054">
        <v>0</v>
      </c>
      <c r="BD2054">
        <v>0</v>
      </c>
      <c r="BE2054">
        <v>0</v>
      </c>
      <c r="BF2054">
        <v>0</v>
      </c>
      <c r="BG2054">
        <v>0</v>
      </c>
      <c r="BH2054">
        <v>1</v>
      </c>
      <c r="BI2054">
        <v>1</v>
      </c>
      <c r="BJ2054">
        <v>0.2</v>
      </c>
      <c r="BK2054">
        <v>1</v>
      </c>
      <c r="BL2054" s="4">
        <v>50.45</v>
      </c>
      <c r="BM2054" s="4">
        <v>7.57</v>
      </c>
      <c r="BN2054" s="4">
        <v>58.02</v>
      </c>
      <c r="BO2054" s="4">
        <v>58.02</v>
      </c>
      <c r="BQ2054" t="s">
        <v>147</v>
      </c>
      <c r="BR2054" t="s">
        <v>84</v>
      </c>
      <c r="BS2054" s="3">
        <v>43819</v>
      </c>
      <c r="BT2054" s="5">
        <v>0.37777777777777777</v>
      </c>
      <c r="BU2054" t="s">
        <v>130</v>
      </c>
      <c r="BV2054" t="s">
        <v>86</v>
      </c>
      <c r="BY2054">
        <v>1200</v>
      </c>
      <c r="CA2054" t="s">
        <v>131</v>
      </c>
      <c r="CC2054" t="s">
        <v>80</v>
      </c>
      <c r="CD2054">
        <v>6001</v>
      </c>
      <c r="CE2054" t="s">
        <v>88</v>
      </c>
      <c r="CF2054" s="3">
        <v>43822</v>
      </c>
      <c r="CI2054">
        <v>1</v>
      </c>
      <c r="CJ2054">
        <v>1</v>
      </c>
      <c r="CK2054">
        <v>21</v>
      </c>
      <c r="CL2054" t="s">
        <v>89</v>
      </c>
    </row>
    <row r="2055" spans="1:90">
      <c r="A2055" t="s">
        <v>72</v>
      </c>
      <c r="B2055" t="s">
        <v>73</v>
      </c>
      <c r="C2055" t="s">
        <v>74</v>
      </c>
      <c r="E2055" t="str">
        <f>"FES1162729177"</f>
        <v>FES1162729177</v>
      </c>
      <c r="F2055" s="3">
        <v>43818</v>
      </c>
      <c r="G2055">
        <v>202006</v>
      </c>
      <c r="H2055" t="s">
        <v>75</v>
      </c>
      <c r="I2055" t="s">
        <v>76</v>
      </c>
      <c r="J2055" t="s">
        <v>77</v>
      </c>
      <c r="K2055" t="s">
        <v>78</v>
      </c>
      <c r="L2055" t="s">
        <v>164</v>
      </c>
      <c r="M2055" t="s">
        <v>165</v>
      </c>
      <c r="N2055" t="s">
        <v>369</v>
      </c>
      <c r="O2055" t="s">
        <v>82</v>
      </c>
      <c r="P2055" t="str">
        <f>"2170722163                    "</f>
        <v xml:space="preserve">2170722163                    </v>
      </c>
      <c r="Q2055">
        <v>0</v>
      </c>
      <c r="R2055">
        <v>0</v>
      </c>
      <c r="S2055">
        <v>0</v>
      </c>
      <c r="T2055">
        <v>0</v>
      </c>
      <c r="U2055">
        <v>0</v>
      </c>
      <c r="V2055">
        <v>0</v>
      </c>
      <c r="W2055">
        <v>0</v>
      </c>
      <c r="X2055">
        <v>0</v>
      </c>
      <c r="Y2055">
        <v>0</v>
      </c>
      <c r="Z2055">
        <v>0</v>
      </c>
      <c r="AA2055">
        <v>0</v>
      </c>
      <c r="AB2055">
        <v>0</v>
      </c>
      <c r="AC2055">
        <v>0</v>
      </c>
      <c r="AD2055">
        <v>0</v>
      </c>
      <c r="AE2055">
        <v>0</v>
      </c>
      <c r="AF2055">
        <v>0</v>
      </c>
      <c r="AG2055">
        <v>0</v>
      </c>
      <c r="AH2055">
        <v>0</v>
      </c>
      <c r="AI2055">
        <v>0</v>
      </c>
      <c r="AJ2055">
        <v>0</v>
      </c>
      <c r="AK2055">
        <v>0</v>
      </c>
      <c r="AL2055">
        <v>0</v>
      </c>
      <c r="AM2055">
        <v>8.58</v>
      </c>
      <c r="AN2055">
        <v>0</v>
      </c>
      <c r="AO2055">
        <v>0</v>
      </c>
      <c r="AP2055">
        <v>0</v>
      </c>
      <c r="AQ2055">
        <v>0</v>
      </c>
      <c r="AR2055">
        <v>0</v>
      </c>
      <c r="AS2055">
        <v>0</v>
      </c>
      <c r="AT2055">
        <v>0</v>
      </c>
      <c r="AU2055">
        <v>0</v>
      </c>
      <c r="AV2055">
        <v>0</v>
      </c>
      <c r="AW2055">
        <v>0</v>
      </c>
      <c r="AX2055">
        <v>0</v>
      </c>
      <c r="AY2055">
        <v>0</v>
      </c>
      <c r="AZ2055">
        <v>0</v>
      </c>
      <c r="BA2055">
        <v>0</v>
      </c>
      <c r="BB2055">
        <v>0</v>
      </c>
      <c r="BC2055">
        <v>0</v>
      </c>
      <c r="BD2055">
        <v>0</v>
      </c>
      <c r="BE2055">
        <v>0</v>
      </c>
      <c r="BF2055">
        <v>0</v>
      </c>
      <c r="BG2055">
        <v>0</v>
      </c>
      <c r="BH2055">
        <v>1</v>
      </c>
      <c r="BI2055">
        <v>1</v>
      </c>
      <c r="BJ2055">
        <v>0.2</v>
      </c>
      <c r="BK2055">
        <v>1</v>
      </c>
      <c r="BL2055" s="4">
        <v>50.45</v>
      </c>
      <c r="BM2055" s="4">
        <v>7.57</v>
      </c>
      <c r="BN2055" s="4">
        <v>58.02</v>
      </c>
      <c r="BO2055" s="4">
        <v>58.02</v>
      </c>
      <c r="BQ2055" t="s">
        <v>93</v>
      </c>
      <c r="BR2055" t="s">
        <v>84</v>
      </c>
      <c r="BS2055" s="3">
        <v>43819</v>
      </c>
      <c r="BT2055" s="5">
        <v>0.43124999999999997</v>
      </c>
      <c r="BU2055" t="s">
        <v>2330</v>
      </c>
      <c r="BV2055" t="s">
        <v>86</v>
      </c>
      <c r="BY2055">
        <v>1200</v>
      </c>
      <c r="CA2055" t="s">
        <v>766</v>
      </c>
      <c r="CC2055" t="s">
        <v>165</v>
      </c>
      <c r="CD2055">
        <v>5201</v>
      </c>
      <c r="CE2055" t="s">
        <v>88</v>
      </c>
      <c r="CF2055" s="3">
        <v>43823</v>
      </c>
      <c r="CI2055">
        <v>1</v>
      </c>
      <c r="CJ2055">
        <v>1</v>
      </c>
      <c r="CK2055">
        <v>21</v>
      </c>
      <c r="CL2055" t="s">
        <v>89</v>
      </c>
    </row>
    <row r="2056" spans="1:90">
      <c r="A2056" t="s">
        <v>72</v>
      </c>
      <c r="B2056" t="s">
        <v>73</v>
      </c>
      <c r="C2056" t="s">
        <v>74</v>
      </c>
      <c r="E2056" t="str">
        <f>"FES1162729117"</f>
        <v>FES1162729117</v>
      </c>
      <c r="F2056" s="3">
        <v>43818</v>
      </c>
      <c r="G2056">
        <v>202006</v>
      </c>
      <c r="H2056" t="s">
        <v>75</v>
      </c>
      <c r="I2056" t="s">
        <v>76</v>
      </c>
      <c r="J2056" t="s">
        <v>77</v>
      </c>
      <c r="K2056" t="s">
        <v>78</v>
      </c>
      <c r="L2056" t="s">
        <v>332</v>
      </c>
      <c r="M2056" t="s">
        <v>333</v>
      </c>
      <c r="N2056" t="s">
        <v>701</v>
      </c>
      <c r="O2056" t="s">
        <v>82</v>
      </c>
      <c r="P2056" t="str">
        <f>"2170720683                    "</f>
        <v xml:space="preserve">2170720683                    </v>
      </c>
      <c r="Q2056">
        <v>0</v>
      </c>
      <c r="R2056">
        <v>0</v>
      </c>
      <c r="S2056">
        <v>0</v>
      </c>
      <c r="T2056">
        <v>0</v>
      </c>
      <c r="U2056">
        <v>0</v>
      </c>
      <c r="V2056">
        <v>0</v>
      </c>
      <c r="W2056">
        <v>0</v>
      </c>
      <c r="X2056">
        <v>0</v>
      </c>
      <c r="Y2056">
        <v>0</v>
      </c>
      <c r="Z2056">
        <v>0</v>
      </c>
      <c r="AA2056">
        <v>0</v>
      </c>
      <c r="AB2056">
        <v>0</v>
      </c>
      <c r="AC2056">
        <v>0</v>
      </c>
      <c r="AD2056">
        <v>0</v>
      </c>
      <c r="AE2056">
        <v>0</v>
      </c>
      <c r="AF2056">
        <v>0</v>
      </c>
      <c r="AG2056">
        <v>0</v>
      </c>
      <c r="AH2056">
        <v>0</v>
      </c>
      <c r="AI2056">
        <v>0</v>
      </c>
      <c r="AJ2056">
        <v>0</v>
      </c>
      <c r="AK2056">
        <v>0</v>
      </c>
      <c r="AL2056">
        <v>0</v>
      </c>
      <c r="AM2056">
        <v>6.71</v>
      </c>
      <c r="AN2056">
        <v>0</v>
      </c>
      <c r="AO2056">
        <v>0</v>
      </c>
      <c r="AP2056">
        <v>0</v>
      </c>
      <c r="AQ2056">
        <v>0</v>
      </c>
      <c r="AR2056">
        <v>0</v>
      </c>
      <c r="AS2056">
        <v>0</v>
      </c>
      <c r="AT2056">
        <v>0</v>
      </c>
      <c r="AU2056">
        <v>0</v>
      </c>
      <c r="AV2056">
        <v>0</v>
      </c>
      <c r="AW2056">
        <v>0</v>
      </c>
      <c r="AX2056">
        <v>0</v>
      </c>
      <c r="AY2056">
        <v>0</v>
      </c>
      <c r="AZ2056">
        <v>0</v>
      </c>
      <c r="BA2056">
        <v>0</v>
      </c>
      <c r="BB2056">
        <v>0</v>
      </c>
      <c r="BC2056">
        <v>0</v>
      </c>
      <c r="BD2056">
        <v>0</v>
      </c>
      <c r="BE2056">
        <v>0</v>
      </c>
      <c r="BF2056">
        <v>0</v>
      </c>
      <c r="BG2056">
        <v>0</v>
      </c>
      <c r="BH2056">
        <v>1</v>
      </c>
      <c r="BI2056">
        <v>1</v>
      </c>
      <c r="BJ2056">
        <v>0.2</v>
      </c>
      <c r="BK2056">
        <v>1</v>
      </c>
      <c r="BL2056" s="4">
        <v>39.42</v>
      </c>
      <c r="BM2056" s="4">
        <v>5.91</v>
      </c>
      <c r="BN2056" s="4">
        <v>45.33</v>
      </c>
      <c r="BO2056" s="4">
        <v>45.33</v>
      </c>
      <c r="BQ2056" t="s">
        <v>93</v>
      </c>
      <c r="BR2056" t="s">
        <v>84</v>
      </c>
      <c r="BS2056" s="3">
        <v>43819</v>
      </c>
      <c r="BT2056" s="5">
        <v>0.34652777777777777</v>
      </c>
      <c r="BU2056" t="s">
        <v>702</v>
      </c>
      <c r="BV2056" t="s">
        <v>86</v>
      </c>
      <c r="BY2056">
        <v>1200</v>
      </c>
      <c r="CA2056" t="s">
        <v>700</v>
      </c>
      <c r="CC2056" t="s">
        <v>333</v>
      </c>
      <c r="CD2056">
        <v>2094</v>
      </c>
      <c r="CE2056" t="s">
        <v>88</v>
      </c>
      <c r="CF2056" s="3">
        <v>43822</v>
      </c>
      <c r="CI2056">
        <v>1</v>
      </c>
      <c r="CJ2056">
        <v>1</v>
      </c>
      <c r="CK2056">
        <v>22</v>
      </c>
      <c r="CL2056" t="s">
        <v>89</v>
      </c>
    </row>
    <row r="2057" spans="1:90">
      <c r="A2057" t="s">
        <v>72</v>
      </c>
      <c r="B2057" t="s">
        <v>73</v>
      </c>
      <c r="C2057" t="s">
        <v>74</v>
      </c>
      <c r="E2057" t="str">
        <f>"FES1162729197"</f>
        <v>FES1162729197</v>
      </c>
      <c r="F2057" s="3">
        <v>43818</v>
      </c>
      <c r="G2057">
        <v>202006</v>
      </c>
      <c r="H2057" t="s">
        <v>75</v>
      </c>
      <c r="I2057" t="s">
        <v>76</v>
      </c>
      <c r="J2057" t="s">
        <v>77</v>
      </c>
      <c r="K2057" t="s">
        <v>78</v>
      </c>
      <c r="L2057" t="s">
        <v>79</v>
      </c>
      <c r="M2057" t="s">
        <v>80</v>
      </c>
      <c r="N2057" t="s">
        <v>97</v>
      </c>
      <c r="O2057" t="s">
        <v>82</v>
      </c>
      <c r="P2057" t="str">
        <f>"2170718223                    "</f>
        <v xml:space="preserve">2170718223                    </v>
      </c>
      <c r="Q2057">
        <v>0</v>
      </c>
      <c r="R2057">
        <v>0</v>
      </c>
      <c r="S2057">
        <v>0</v>
      </c>
      <c r="T2057">
        <v>0</v>
      </c>
      <c r="U2057">
        <v>0</v>
      </c>
      <c r="V2057">
        <v>0</v>
      </c>
      <c r="W2057">
        <v>0</v>
      </c>
      <c r="X2057">
        <v>0</v>
      </c>
      <c r="Y2057">
        <v>0</v>
      </c>
      <c r="Z2057">
        <v>0</v>
      </c>
      <c r="AA2057">
        <v>0</v>
      </c>
      <c r="AB2057">
        <v>0</v>
      </c>
      <c r="AC2057">
        <v>0</v>
      </c>
      <c r="AD2057">
        <v>0</v>
      </c>
      <c r="AE2057">
        <v>0</v>
      </c>
      <c r="AF2057">
        <v>0</v>
      </c>
      <c r="AG2057">
        <v>0</v>
      </c>
      <c r="AH2057">
        <v>0</v>
      </c>
      <c r="AI2057">
        <v>0</v>
      </c>
      <c r="AJ2057">
        <v>0</v>
      </c>
      <c r="AK2057">
        <v>0</v>
      </c>
      <c r="AL2057">
        <v>0</v>
      </c>
      <c r="AM2057">
        <v>8.58</v>
      </c>
      <c r="AN2057">
        <v>0</v>
      </c>
      <c r="AO2057">
        <v>0</v>
      </c>
      <c r="AP2057">
        <v>0</v>
      </c>
      <c r="AQ2057">
        <v>0</v>
      </c>
      <c r="AR2057">
        <v>0</v>
      </c>
      <c r="AS2057">
        <v>0</v>
      </c>
      <c r="AT2057">
        <v>0</v>
      </c>
      <c r="AU2057">
        <v>0</v>
      </c>
      <c r="AV2057">
        <v>0</v>
      </c>
      <c r="AW2057">
        <v>0</v>
      </c>
      <c r="AX2057">
        <v>0</v>
      </c>
      <c r="AY2057">
        <v>0</v>
      </c>
      <c r="AZ2057">
        <v>0</v>
      </c>
      <c r="BA2057">
        <v>0</v>
      </c>
      <c r="BB2057">
        <v>0</v>
      </c>
      <c r="BC2057">
        <v>0</v>
      </c>
      <c r="BD2057">
        <v>0</v>
      </c>
      <c r="BE2057">
        <v>0</v>
      </c>
      <c r="BF2057">
        <v>0</v>
      </c>
      <c r="BG2057">
        <v>0</v>
      </c>
      <c r="BH2057">
        <v>1</v>
      </c>
      <c r="BI2057">
        <v>1</v>
      </c>
      <c r="BJ2057">
        <v>0.2</v>
      </c>
      <c r="BK2057">
        <v>1</v>
      </c>
      <c r="BL2057" s="4">
        <v>50.45</v>
      </c>
      <c r="BM2057" s="4">
        <v>7.57</v>
      </c>
      <c r="BN2057" s="4">
        <v>58.02</v>
      </c>
      <c r="BO2057" s="4">
        <v>58.02</v>
      </c>
      <c r="BQ2057" t="s">
        <v>93</v>
      </c>
      <c r="BR2057" t="s">
        <v>84</v>
      </c>
      <c r="BS2057" s="3">
        <v>43819</v>
      </c>
      <c r="BT2057" s="5">
        <v>0.33680555555555558</v>
      </c>
      <c r="BU2057" t="s">
        <v>600</v>
      </c>
      <c r="BV2057" t="s">
        <v>86</v>
      </c>
      <c r="BY2057">
        <v>1200</v>
      </c>
      <c r="CA2057" t="s">
        <v>302</v>
      </c>
      <c r="CC2057" t="s">
        <v>80</v>
      </c>
      <c r="CD2057">
        <v>6001</v>
      </c>
      <c r="CE2057" t="s">
        <v>88</v>
      </c>
      <c r="CF2057" s="3">
        <v>43822</v>
      </c>
      <c r="CI2057">
        <v>1</v>
      </c>
      <c r="CJ2057">
        <v>1</v>
      </c>
      <c r="CK2057">
        <v>21</v>
      </c>
      <c r="CL2057" t="s">
        <v>89</v>
      </c>
    </row>
    <row r="2058" spans="1:90">
      <c r="A2058" t="s">
        <v>72</v>
      </c>
      <c r="B2058" t="s">
        <v>73</v>
      </c>
      <c r="C2058" t="s">
        <v>74</v>
      </c>
      <c r="E2058" t="str">
        <f>"FES1162729209"</f>
        <v>FES1162729209</v>
      </c>
      <c r="F2058" s="3">
        <v>43818</v>
      </c>
      <c r="G2058">
        <v>202006</v>
      </c>
      <c r="H2058" t="s">
        <v>75</v>
      </c>
      <c r="I2058" t="s">
        <v>76</v>
      </c>
      <c r="J2058" t="s">
        <v>77</v>
      </c>
      <c r="K2058" t="s">
        <v>78</v>
      </c>
      <c r="L2058" t="s">
        <v>164</v>
      </c>
      <c r="M2058" t="s">
        <v>165</v>
      </c>
      <c r="N2058" t="s">
        <v>238</v>
      </c>
      <c r="O2058" t="s">
        <v>82</v>
      </c>
      <c r="P2058" t="str">
        <f>"2170722195                    "</f>
        <v xml:space="preserve">2170722195                    </v>
      </c>
      <c r="Q2058">
        <v>0</v>
      </c>
      <c r="R2058">
        <v>0</v>
      </c>
      <c r="S2058">
        <v>0</v>
      </c>
      <c r="T2058">
        <v>0</v>
      </c>
      <c r="U2058">
        <v>0</v>
      </c>
      <c r="V2058">
        <v>0</v>
      </c>
      <c r="W2058">
        <v>0</v>
      </c>
      <c r="X2058">
        <v>0</v>
      </c>
      <c r="Y2058">
        <v>0</v>
      </c>
      <c r="Z2058">
        <v>0</v>
      </c>
      <c r="AA2058">
        <v>0</v>
      </c>
      <c r="AB2058">
        <v>0</v>
      </c>
      <c r="AC2058">
        <v>0</v>
      </c>
      <c r="AD2058">
        <v>0</v>
      </c>
      <c r="AE2058">
        <v>0</v>
      </c>
      <c r="AF2058">
        <v>0</v>
      </c>
      <c r="AG2058">
        <v>0</v>
      </c>
      <c r="AH2058">
        <v>0</v>
      </c>
      <c r="AI2058">
        <v>0</v>
      </c>
      <c r="AJ2058">
        <v>0</v>
      </c>
      <c r="AK2058">
        <v>0</v>
      </c>
      <c r="AL2058">
        <v>0</v>
      </c>
      <c r="AM2058">
        <v>8.58</v>
      </c>
      <c r="AN2058">
        <v>0</v>
      </c>
      <c r="AO2058">
        <v>0</v>
      </c>
      <c r="AP2058">
        <v>0</v>
      </c>
      <c r="AQ2058">
        <v>0</v>
      </c>
      <c r="AR2058">
        <v>0</v>
      </c>
      <c r="AS2058">
        <v>0</v>
      </c>
      <c r="AT2058">
        <v>0</v>
      </c>
      <c r="AU2058">
        <v>0</v>
      </c>
      <c r="AV2058">
        <v>0</v>
      </c>
      <c r="AW2058">
        <v>0</v>
      </c>
      <c r="AX2058">
        <v>0</v>
      </c>
      <c r="AY2058">
        <v>0</v>
      </c>
      <c r="AZ2058">
        <v>0</v>
      </c>
      <c r="BA2058">
        <v>0</v>
      </c>
      <c r="BB2058">
        <v>0</v>
      </c>
      <c r="BC2058">
        <v>0</v>
      </c>
      <c r="BD2058">
        <v>0</v>
      </c>
      <c r="BE2058">
        <v>0</v>
      </c>
      <c r="BF2058">
        <v>0</v>
      </c>
      <c r="BG2058">
        <v>0</v>
      </c>
      <c r="BH2058">
        <v>1</v>
      </c>
      <c r="BI2058">
        <v>1</v>
      </c>
      <c r="BJ2058">
        <v>0.2</v>
      </c>
      <c r="BK2058">
        <v>1</v>
      </c>
      <c r="BL2058" s="4">
        <v>50.45</v>
      </c>
      <c r="BM2058" s="4">
        <v>7.57</v>
      </c>
      <c r="BN2058" s="4">
        <v>58.02</v>
      </c>
      <c r="BO2058" s="4">
        <v>58.02</v>
      </c>
      <c r="BR2058" t="s">
        <v>84</v>
      </c>
      <c r="BS2058" s="3">
        <v>43819</v>
      </c>
      <c r="BT2058" s="5">
        <v>0.35972222222222222</v>
      </c>
      <c r="BU2058" t="s">
        <v>239</v>
      </c>
      <c r="BV2058" t="s">
        <v>86</v>
      </c>
      <c r="BY2058">
        <v>1200</v>
      </c>
      <c r="CA2058" t="s">
        <v>168</v>
      </c>
      <c r="CC2058" t="s">
        <v>165</v>
      </c>
      <c r="CD2058">
        <v>5200</v>
      </c>
      <c r="CE2058" t="s">
        <v>88</v>
      </c>
      <c r="CF2058" s="3">
        <v>43822</v>
      </c>
      <c r="CI2058">
        <v>1</v>
      </c>
      <c r="CJ2058">
        <v>1</v>
      </c>
      <c r="CK2058">
        <v>21</v>
      </c>
      <c r="CL2058" t="s">
        <v>89</v>
      </c>
    </row>
    <row r="2059" spans="1:90">
      <c r="A2059" t="s">
        <v>72</v>
      </c>
      <c r="B2059" t="s">
        <v>73</v>
      </c>
      <c r="C2059" t="s">
        <v>74</v>
      </c>
      <c r="E2059" t="str">
        <f>"FES1162729103"</f>
        <v>FES1162729103</v>
      </c>
      <c r="F2059" s="3">
        <v>43818</v>
      </c>
      <c r="G2059">
        <v>202006</v>
      </c>
      <c r="H2059" t="s">
        <v>75</v>
      </c>
      <c r="I2059" t="s">
        <v>76</v>
      </c>
      <c r="J2059" t="s">
        <v>77</v>
      </c>
      <c r="K2059" t="s">
        <v>78</v>
      </c>
      <c r="L2059" t="s">
        <v>404</v>
      </c>
      <c r="M2059" t="s">
        <v>405</v>
      </c>
      <c r="N2059" t="s">
        <v>406</v>
      </c>
      <c r="O2059" t="s">
        <v>82</v>
      </c>
      <c r="P2059" t="str">
        <f>"2170712063                    "</f>
        <v xml:space="preserve">2170712063                    </v>
      </c>
      <c r="Q2059">
        <v>0</v>
      </c>
      <c r="R2059">
        <v>0</v>
      </c>
      <c r="S2059">
        <v>0</v>
      </c>
      <c r="T2059">
        <v>0</v>
      </c>
      <c r="U2059">
        <v>0</v>
      </c>
      <c r="V2059">
        <v>0</v>
      </c>
      <c r="W2059">
        <v>0</v>
      </c>
      <c r="X2059">
        <v>0</v>
      </c>
      <c r="Y2059">
        <v>0</v>
      </c>
      <c r="Z2059">
        <v>0</v>
      </c>
      <c r="AA2059">
        <v>0</v>
      </c>
      <c r="AB2059">
        <v>0</v>
      </c>
      <c r="AC2059">
        <v>0</v>
      </c>
      <c r="AD2059">
        <v>0</v>
      </c>
      <c r="AE2059">
        <v>0</v>
      </c>
      <c r="AF2059">
        <v>0</v>
      </c>
      <c r="AG2059">
        <v>0</v>
      </c>
      <c r="AH2059">
        <v>0</v>
      </c>
      <c r="AI2059">
        <v>0</v>
      </c>
      <c r="AJ2059">
        <v>0</v>
      </c>
      <c r="AK2059">
        <v>0</v>
      </c>
      <c r="AL2059">
        <v>0</v>
      </c>
      <c r="AM2059">
        <v>21.45</v>
      </c>
      <c r="AN2059">
        <v>0</v>
      </c>
      <c r="AO2059">
        <v>0</v>
      </c>
      <c r="AP2059">
        <v>0</v>
      </c>
      <c r="AQ2059">
        <v>0</v>
      </c>
      <c r="AR2059">
        <v>0</v>
      </c>
      <c r="AS2059">
        <v>0</v>
      </c>
      <c r="AT2059">
        <v>0</v>
      </c>
      <c r="AU2059">
        <v>0</v>
      </c>
      <c r="AV2059">
        <v>0</v>
      </c>
      <c r="AW2059">
        <v>0</v>
      </c>
      <c r="AX2059">
        <v>0</v>
      </c>
      <c r="AY2059">
        <v>0</v>
      </c>
      <c r="AZ2059">
        <v>0</v>
      </c>
      <c r="BA2059">
        <v>0</v>
      </c>
      <c r="BB2059">
        <v>0</v>
      </c>
      <c r="BC2059">
        <v>0</v>
      </c>
      <c r="BD2059">
        <v>0</v>
      </c>
      <c r="BE2059">
        <v>0</v>
      </c>
      <c r="BF2059">
        <v>0</v>
      </c>
      <c r="BG2059">
        <v>0</v>
      </c>
      <c r="BH2059">
        <v>1</v>
      </c>
      <c r="BI2059">
        <v>5</v>
      </c>
      <c r="BJ2059">
        <v>2</v>
      </c>
      <c r="BK2059">
        <v>5</v>
      </c>
      <c r="BL2059" s="4">
        <v>126.08</v>
      </c>
      <c r="BM2059" s="4">
        <v>18.91</v>
      </c>
      <c r="BN2059" s="4">
        <v>144.99</v>
      </c>
      <c r="BO2059" s="4">
        <v>144.99</v>
      </c>
      <c r="BQ2059" t="s">
        <v>93</v>
      </c>
      <c r="BR2059" t="s">
        <v>84</v>
      </c>
      <c r="BS2059" s="3">
        <v>43819</v>
      </c>
      <c r="BT2059" s="5">
        <v>0.34236111111111112</v>
      </c>
      <c r="BU2059" t="s">
        <v>407</v>
      </c>
      <c r="BV2059" t="s">
        <v>86</v>
      </c>
      <c r="BY2059">
        <v>9918</v>
      </c>
      <c r="CA2059" t="s">
        <v>408</v>
      </c>
      <c r="CC2059" t="s">
        <v>405</v>
      </c>
      <c r="CD2059">
        <v>4026</v>
      </c>
      <c r="CE2059" t="s">
        <v>96</v>
      </c>
      <c r="CF2059" s="3">
        <v>43822</v>
      </c>
      <c r="CI2059">
        <v>1</v>
      </c>
      <c r="CJ2059">
        <v>1</v>
      </c>
      <c r="CK2059">
        <v>21</v>
      </c>
      <c r="CL2059" t="s">
        <v>89</v>
      </c>
    </row>
    <row r="2060" spans="1:90">
      <c r="A2060" t="s">
        <v>72</v>
      </c>
      <c r="B2060" t="s">
        <v>73</v>
      </c>
      <c r="C2060" t="s">
        <v>74</v>
      </c>
      <c r="E2060" t="str">
        <f>"FES1162729105"</f>
        <v>FES1162729105</v>
      </c>
      <c r="F2060" s="3">
        <v>43818</v>
      </c>
      <c r="G2060">
        <v>202006</v>
      </c>
      <c r="H2060" t="s">
        <v>75</v>
      </c>
      <c r="I2060" t="s">
        <v>76</v>
      </c>
      <c r="J2060" t="s">
        <v>77</v>
      </c>
      <c r="K2060" t="s">
        <v>78</v>
      </c>
      <c r="L2060" t="s">
        <v>221</v>
      </c>
      <c r="M2060" t="s">
        <v>222</v>
      </c>
      <c r="N2060" t="s">
        <v>1149</v>
      </c>
      <c r="O2060" t="s">
        <v>82</v>
      </c>
      <c r="P2060" t="str">
        <f>"21707102575                   "</f>
        <v xml:space="preserve">21707102575                   </v>
      </c>
      <c r="Q2060">
        <v>0</v>
      </c>
      <c r="R2060">
        <v>0</v>
      </c>
      <c r="S2060">
        <v>0</v>
      </c>
      <c r="T2060">
        <v>0</v>
      </c>
      <c r="U2060">
        <v>0</v>
      </c>
      <c r="V2060">
        <v>0</v>
      </c>
      <c r="W2060">
        <v>0</v>
      </c>
      <c r="X2060">
        <v>0</v>
      </c>
      <c r="Y2060">
        <v>0</v>
      </c>
      <c r="Z2060">
        <v>0</v>
      </c>
      <c r="AA2060">
        <v>0</v>
      </c>
      <c r="AB2060">
        <v>0</v>
      </c>
      <c r="AC2060">
        <v>0</v>
      </c>
      <c r="AD2060">
        <v>0</v>
      </c>
      <c r="AE2060">
        <v>0</v>
      </c>
      <c r="AF2060">
        <v>0</v>
      </c>
      <c r="AG2060">
        <v>0</v>
      </c>
      <c r="AH2060">
        <v>0</v>
      </c>
      <c r="AI2060">
        <v>0</v>
      </c>
      <c r="AJ2060">
        <v>0</v>
      </c>
      <c r="AK2060">
        <v>0</v>
      </c>
      <c r="AL2060">
        <v>0</v>
      </c>
      <c r="AM2060">
        <v>8.58</v>
      </c>
      <c r="AN2060">
        <v>0</v>
      </c>
      <c r="AO2060">
        <v>0</v>
      </c>
      <c r="AP2060">
        <v>0</v>
      </c>
      <c r="AQ2060">
        <v>0</v>
      </c>
      <c r="AR2060">
        <v>0</v>
      </c>
      <c r="AS2060">
        <v>0</v>
      </c>
      <c r="AT2060">
        <v>0</v>
      </c>
      <c r="AU2060">
        <v>0</v>
      </c>
      <c r="AV2060">
        <v>0</v>
      </c>
      <c r="AW2060">
        <v>0</v>
      </c>
      <c r="AX2060">
        <v>0</v>
      </c>
      <c r="AY2060">
        <v>0</v>
      </c>
      <c r="AZ2060">
        <v>0</v>
      </c>
      <c r="BA2060">
        <v>0</v>
      </c>
      <c r="BB2060">
        <v>0</v>
      </c>
      <c r="BC2060">
        <v>0</v>
      </c>
      <c r="BD2060">
        <v>0</v>
      </c>
      <c r="BE2060">
        <v>0</v>
      </c>
      <c r="BF2060">
        <v>0</v>
      </c>
      <c r="BG2060">
        <v>0</v>
      </c>
      <c r="BH2060">
        <v>1</v>
      </c>
      <c r="BI2060">
        <v>1.7</v>
      </c>
      <c r="BJ2060">
        <v>0.9</v>
      </c>
      <c r="BK2060">
        <v>2</v>
      </c>
      <c r="BL2060" s="4">
        <v>50.45</v>
      </c>
      <c r="BM2060" s="4">
        <v>7.57</v>
      </c>
      <c r="BN2060" s="4">
        <v>58.02</v>
      </c>
      <c r="BO2060" s="4">
        <v>58.02</v>
      </c>
      <c r="BQ2060" t="s">
        <v>436</v>
      </c>
      <c r="BR2060" t="s">
        <v>84</v>
      </c>
      <c r="BS2060" s="3">
        <v>43819</v>
      </c>
      <c r="BT2060" s="5">
        <v>0.41666666666666669</v>
      </c>
      <c r="BU2060" t="s">
        <v>2331</v>
      </c>
      <c r="BV2060" t="s">
        <v>86</v>
      </c>
      <c r="BY2060">
        <v>4715.46</v>
      </c>
      <c r="CA2060" t="s">
        <v>1609</v>
      </c>
      <c r="CC2060" t="s">
        <v>222</v>
      </c>
      <c r="CD2060">
        <v>3201</v>
      </c>
      <c r="CE2060" t="s">
        <v>96</v>
      </c>
      <c r="CF2060" s="3">
        <v>43822</v>
      </c>
      <c r="CI2060">
        <v>1</v>
      </c>
      <c r="CJ2060">
        <v>1</v>
      </c>
      <c r="CK2060">
        <v>21</v>
      </c>
      <c r="CL2060" t="s">
        <v>89</v>
      </c>
    </row>
    <row r="2061" spans="1:90">
      <c r="A2061" t="s">
        <v>72</v>
      </c>
      <c r="B2061" t="s">
        <v>73</v>
      </c>
      <c r="C2061" t="s">
        <v>74</v>
      </c>
      <c r="E2061" t="str">
        <f>"FES1162729061"</f>
        <v>FES1162729061</v>
      </c>
      <c r="F2061" s="3">
        <v>43818</v>
      </c>
      <c r="G2061">
        <v>202006</v>
      </c>
      <c r="H2061" t="s">
        <v>75</v>
      </c>
      <c r="I2061" t="s">
        <v>76</v>
      </c>
      <c r="J2061" t="s">
        <v>77</v>
      </c>
      <c r="K2061" t="s">
        <v>78</v>
      </c>
      <c r="L2061" t="s">
        <v>404</v>
      </c>
      <c r="M2061" t="s">
        <v>405</v>
      </c>
      <c r="N2061" t="s">
        <v>406</v>
      </c>
      <c r="O2061" t="s">
        <v>82</v>
      </c>
      <c r="P2061" t="str">
        <f>"217070252                     "</f>
        <v xml:space="preserve">217070252                     </v>
      </c>
      <c r="Q2061">
        <v>0</v>
      </c>
      <c r="R2061">
        <v>0</v>
      </c>
      <c r="S2061">
        <v>0</v>
      </c>
      <c r="T2061">
        <v>0</v>
      </c>
      <c r="U2061">
        <v>0</v>
      </c>
      <c r="V2061">
        <v>0</v>
      </c>
      <c r="W2061">
        <v>0</v>
      </c>
      <c r="X2061">
        <v>0</v>
      </c>
      <c r="Y2061">
        <v>0</v>
      </c>
      <c r="Z2061">
        <v>0</v>
      </c>
      <c r="AA2061">
        <v>0</v>
      </c>
      <c r="AB2061">
        <v>0</v>
      </c>
      <c r="AC2061">
        <v>0</v>
      </c>
      <c r="AD2061">
        <v>0</v>
      </c>
      <c r="AE2061">
        <v>0</v>
      </c>
      <c r="AF2061">
        <v>0</v>
      </c>
      <c r="AG2061">
        <v>0</v>
      </c>
      <c r="AH2061">
        <v>0</v>
      </c>
      <c r="AI2061">
        <v>0</v>
      </c>
      <c r="AJ2061">
        <v>0</v>
      </c>
      <c r="AK2061">
        <v>0</v>
      </c>
      <c r="AL2061">
        <v>0</v>
      </c>
      <c r="AM2061">
        <v>8.58</v>
      </c>
      <c r="AN2061">
        <v>0</v>
      </c>
      <c r="AO2061">
        <v>0</v>
      </c>
      <c r="AP2061">
        <v>0</v>
      </c>
      <c r="AQ2061">
        <v>0</v>
      </c>
      <c r="AR2061">
        <v>0</v>
      </c>
      <c r="AS2061">
        <v>0</v>
      </c>
      <c r="AT2061">
        <v>0</v>
      </c>
      <c r="AU2061">
        <v>0</v>
      </c>
      <c r="AV2061">
        <v>0</v>
      </c>
      <c r="AW2061">
        <v>0</v>
      </c>
      <c r="AX2061">
        <v>0</v>
      </c>
      <c r="AY2061">
        <v>0</v>
      </c>
      <c r="AZ2061">
        <v>0</v>
      </c>
      <c r="BA2061">
        <v>0</v>
      </c>
      <c r="BB2061">
        <v>0</v>
      </c>
      <c r="BC2061">
        <v>0</v>
      </c>
      <c r="BD2061">
        <v>0</v>
      </c>
      <c r="BE2061">
        <v>0</v>
      </c>
      <c r="BF2061">
        <v>0</v>
      </c>
      <c r="BG2061">
        <v>0</v>
      </c>
      <c r="BH2061">
        <v>1</v>
      </c>
      <c r="BI2061">
        <v>0.6</v>
      </c>
      <c r="BJ2061">
        <v>1.3</v>
      </c>
      <c r="BK2061">
        <v>1.5</v>
      </c>
      <c r="BL2061" s="4">
        <v>50.45</v>
      </c>
      <c r="BM2061" s="4">
        <v>7.57</v>
      </c>
      <c r="BN2061" s="4">
        <v>58.02</v>
      </c>
      <c r="BO2061" s="4">
        <v>58.02</v>
      </c>
      <c r="BQ2061" t="s">
        <v>93</v>
      </c>
      <c r="BR2061" t="s">
        <v>84</v>
      </c>
      <c r="BS2061" s="3">
        <v>43819</v>
      </c>
      <c r="BT2061" s="5">
        <v>0.34236111111111112</v>
      </c>
      <c r="BU2061" t="s">
        <v>407</v>
      </c>
      <c r="BV2061" t="s">
        <v>86</v>
      </c>
      <c r="BY2061">
        <v>6355.8</v>
      </c>
      <c r="CA2061" t="s">
        <v>408</v>
      </c>
      <c r="CC2061" t="s">
        <v>405</v>
      </c>
      <c r="CD2061">
        <v>4026</v>
      </c>
      <c r="CE2061" t="s">
        <v>96</v>
      </c>
      <c r="CF2061" s="3">
        <v>43822</v>
      </c>
      <c r="CI2061">
        <v>1</v>
      </c>
      <c r="CJ2061">
        <v>1</v>
      </c>
      <c r="CK2061">
        <v>21</v>
      </c>
      <c r="CL2061" t="s">
        <v>89</v>
      </c>
    </row>
    <row r="2062" spans="1:90">
      <c r="A2062" t="s">
        <v>72</v>
      </c>
      <c r="B2062" t="s">
        <v>73</v>
      </c>
      <c r="C2062" t="s">
        <v>74</v>
      </c>
      <c r="E2062" t="str">
        <f>"FES1162729035"</f>
        <v>FES1162729035</v>
      </c>
      <c r="F2062" s="3">
        <v>43818</v>
      </c>
      <c r="G2062">
        <v>202006</v>
      </c>
      <c r="H2062" t="s">
        <v>75</v>
      </c>
      <c r="I2062" t="s">
        <v>76</v>
      </c>
      <c r="J2062" t="s">
        <v>77</v>
      </c>
      <c r="K2062" t="s">
        <v>78</v>
      </c>
      <c r="L2062" t="s">
        <v>198</v>
      </c>
      <c r="M2062" t="s">
        <v>199</v>
      </c>
      <c r="N2062" t="s">
        <v>842</v>
      </c>
      <c r="O2062" t="s">
        <v>82</v>
      </c>
      <c r="P2062" t="str">
        <f>"2170719033                    "</f>
        <v xml:space="preserve">2170719033                    </v>
      </c>
      <c r="Q2062">
        <v>0</v>
      </c>
      <c r="R2062">
        <v>0</v>
      </c>
      <c r="S2062">
        <v>0</v>
      </c>
      <c r="T2062">
        <v>0</v>
      </c>
      <c r="U2062">
        <v>0</v>
      </c>
      <c r="V2062">
        <v>0</v>
      </c>
      <c r="W2062">
        <v>0</v>
      </c>
      <c r="X2062">
        <v>0</v>
      </c>
      <c r="Y2062">
        <v>0</v>
      </c>
      <c r="Z2062">
        <v>0</v>
      </c>
      <c r="AA2062">
        <v>0</v>
      </c>
      <c r="AB2062">
        <v>0</v>
      </c>
      <c r="AC2062">
        <v>0</v>
      </c>
      <c r="AD2062">
        <v>0</v>
      </c>
      <c r="AE2062">
        <v>0</v>
      </c>
      <c r="AF2062">
        <v>0</v>
      </c>
      <c r="AG2062">
        <v>0</v>
      </c>
      <c r="AH2062">
        <v>0</v>
      </c>
      <c r="AI2062">
        <v>0</v>
      </c>
      <c r="AJ2062">
        <v>0</v>
      </c>
      <c r="AK2062">
        <v>0</v>
      </c>
      <c r="AL2062">
        <v>0</v>
      </c>
      <c r="AM2062">
        <v>8.58</v>
      </c>
      <c r="AN2062">
        <v>0</v>
      </c>
      <c r="AO2062">
        <v>0</v>
      </c>
      <c r="AP2062">
        <v>0</v>
      </c>
      <c r="AQ2062">
        <v>0</v>
      </c>
      <c r="AR2062">
        <v>0</v>
      </c>
      <c r="AS2062">
        <v>0</v>
      </c>
      <c r="AT2062">
        <v>0</v>
      </c>
      <c r="AU2062">
        <v>0</v>
      </c>
      <c r="AV2062">
        <v>0</v>
      </c>
      <c r="AW2062">
        <v>0</v>
      </c>
      <c r="AX2062">
        <v>0</v>
      </c>
      <c r="AY2062">
        <v>0</v>
      </c>
      <c r="AZ2062">
        <v>0</v>
      </c>
      <c r="BA2062">
        <v>0</v>
      </c>
      <c r="BB2062">
        <v>0</v>
      </c>
      <c r="BC2062">
        <v>0</v>
      </c>
      <c r="BD2062">
        <v>0</v>
      </c>
      <c r="BE2062">
        <v>0</v>
      </c>
      <c r="BF2062">
        <v>0</v>
      </c>
      <c r="BG2062">
        <v>0</v>
      </c>
      <c r="BH2062">
        <v>1</v>
      </c>
      <c r="BI2062">
        <v>1.1000000000000001</v>
      </c>
      <c r="BJ2062">
        <v>0.9</v>
      </c>
      <c r="BK2062">
        <v>1.5</v>
      </c>
      <c r="BL2062" s="4">
        <v>50.45</v>
      </c>
      <c r="BM2062" s="4">
        <v>7.57</v>
      </c>
      <c r="BN2062" s="4">
        <v>58.02</v>
      </c>
      <c r="BO2062" s="4">
        <v>58.02</v>
      </c>
      <c r="BQ2062" t="s">
        <v>843</v>
      </c>
      <c r="BR2062" t="s">
        <v>84</v>
      </c>
      <c r="BS2062" s="3">
        <v>43819</v>
      </c>
      <c r="BT2062" s="5">
        <v>0.36805555555555558</v>
      </c>
      <c r="BU2062" t="s">
        <v>2332</v>
      </c>
      <c r="BV2062" t="s">
        <v>86</v>
      </c>
      <c r="BY2062">
        <v>4484.53</v>
      </c>
      <c r="CA2062" t="s">
        <v>299</v>
      </c>
      <c r="CC2062" t="s">
        <v>199</v>
      </c>
      <c r="CD2062">
        <v>4051</v>
      </c>
      <c r="CE2062" t="s">
        <v>96</v>
      </c>
      <c r="CF2062" s="3">
        <v>43823</v>
      </c>
      <c r="CI2062">
        <v>1</v>
      </c>
      <c r="CJ2062">
        <v>1</v>
      </c>
      <c r="CK2062">
        <v>21</v>
      </c>
      <c r="CL2062" t="s">
        <v>89</v>
      </c>
    </row>
    <row r="2063" spans="1:90">
      <c r="A2063" t="s">
        <v>72</v>
      </c>
      <c r="B2063" t="s">
        <v>73</v>
      </c>
      <c r="C2063" t="s">
        <v>74</v>
      </c>
      <c r="E2063" t="str">
        <f>"FES1162728623"</f>
        <v>FES1162728623</v>
      </c>
      <c r="F2063" s="3">
        <v>43818</v>
      </c>
      <c r="G2063">
        <v>202006</v>
      </c>
      <c r="H2063" t="s">
        <v>75</v>
      </c>
      <c r="I2063" t="s">
        <v>76</v>
      </c>
      <c r="J2063" t="s">
        <v>77</v>
      </c>
      <c r="K2063" t="s">
        <v>78</v>
      </c>
      <c r="L2063" t="s">
        <v>332</v>
      </c>
      <c r="M2063" t="s">
        <v>333</v>
      </c>
      <c r="N2063" t="s">
        <v>701</v>
      </c>
      <c r="O2063" t="s">
        <v>82</v>
      </c>
      <c r="P2063" t="str">
        <f>"2170721841                    "</f>
        <v xml:space="preserve">2170721841                    </v>
      </c>
      <c r="Q2063">
        <v>0</v>
      </c>
      <c r="R2063">
        <v>0</v>
      </c>
      <c r="S2063">
        <v>0</v>
      </c>
      <c r="T2063">
        <v>0</v>
      </c>
      <c r="U2063">
        <v>0</v>
      </c>
      <c r="V2063">
        <v>0</v>
      </c>
      <c r="W2063">
        <v>0</v>
      </c>
      <c r="X2063">
        <v>0</v>
      </c>
      <c r="Y2063">
        <v>0</v>
      </c>
      <c r="Z2063">
        <v>0</v>
      </c>
      <c r="AA2063">
        <v>0</v>
      </c>
      <c r="AB2063">
        <v>0</v>
      </c>
      <c r="AC2063">
        <v>0</v>
      </c>
      <c r="AD2063">
        <v>0</v>
      </c>
      <c r="AE2063">
        <v>0</v>
      </c>
      <c r="AF2063">
        <v>0</v>
      </c>
      <c r="AG2063">
        <v>0</v>
      </c>
      <c r="AH2063">
        <v>0</v>
      </c>
      <c r="AI2063">
        <v>0</v>
      </c>
      <c r="AJ2063">
        <v>0</v>
      </c>
      <c r="AK2063">
        <v>0</v>
      </c>
      <c r="AL2063">
        <v>0</v>
      </c>
      <c r="AM2063">
        <v>6.71</v>
      </c>
      <c r="AN2063">
        <v>0</v>
      </c>
      <c r="AO2063">
        <v>0</v>
      </c>
      <c r="AP2063">
        <v>0</v>
      </c>
      <c r="AQ2063">
        <v>0</v>
      </c>
      <c r="AR2063">
        <v>0</v>
      </c>
      <c r="AS2063">
        <v>0</v>
      </c>
      <c r="AT2063">
        <v>0</v>
      </c>
      <c r="AU2063">
        <v>0</v>
      </c>
      <c r="AV2063">
        <v>0</v>
      </c>
      <c r="AW2063">
        <v>0</v>
      </c>
      <c r="AX2063">
        <v>0</v>
      </c>
      <c r="AY2063">
        <v>0</v>
      </c>
      <c r="AZ2063">
        <v>0</v>
      </c>
      <c r="BA2063">
        <v>0</v>
      </c>
      <c r="BB2063">
        <v>0</v>
      </c>
      <c r="BC2063">
        <v>0</v>
      </c>
      <c r="BD2063">
        <v>0</v>
      </c>
      <c r="BE2063">
        <v>0</v>
      </c>
      <c r="BF2063">
        <v>0</v>
      </c>
      <c r="BG2063">
        <v>0</v>
      </c>
      <c r="BH2063">
        <v>1</v>
      </c>
      <c r="BI2063">
        <v>0.6</v>
      </c>
      <c r="BJ2063">
        <v>0.9</v>
      </c>
      <c r="BK2063">
        <v>1</v>
      </c>
      <c r="BL2063" s="4">
        <v>39.42</v>
      </c>
      <c r="BM2063" s="4">
        <v>5.91</v>
      </c>
      <c r="BN2063" s="4">
        <v>45.33</v>
      </c>
      <c r="BO2063" s="4">
        <v>45.33</v>
      </c>
      <c r="BQ2063" t="s">
        <v>93</v>
      </c>
      <c r="BR2063" t="s">
        <v>84</v>
      </c>
      <c r="BS2063" s="3">
        <v>43819</v>
      </c>
      <c r="BT2063" s="5">
        <v>0.34513888888888888</v>
      </c>
      <c r="BU2063" t="s">
        <v>2333</v>
      </c>
      <c r="BV2063" t="s">
        <v>86</v>
      </c>
      <c r="BY2063">
        <v>4483.45</v>
      </c>
      <c r="CA2063" t="s">
        <v>700</v>
      </c>
      <c r="CC2063" t="s">
        <v>333</v>
      </c>
      <c r="CD2063">
        <v>2094</v>
      </c>
      <c r="CE2063" t="s">
        <v>116</v>
      </c>
      <c r="CF2063" s="3">
        <v>43822</v>
      </c>
      <c r="CI2063">
        <v>1</v>
      </c>
      <c r="CJ2063">
        <v>1</v>
      </c>
      <c r="CK2063">
        <v>22</v>
      </c>
      <c r="CL2063" t="s">
        <v>89</v>
      </c>
    </row>
    <row r="2064" spans="1:90">
      <c r="A2064" t="s">
        <v>72</v>
      </c>
      <c r="B2064" t="s">
        <v>73</v>
      </c>
      <c r="C2064" t="s">
        <v>74</v>
      </c>
      <c r="E2064" t="str">
        <f>"FES1162729119"</f>
        <v>FES1162729119</v>
      </c>
      <c r="F2064" s="3">
        <v>43818</v>
      </c>
      <c r="G2064">
        <v>202006</v>
      </c>
      <c r="H2064" t="s">
        <v>75</v>
      </c>
      <c r="I2064" t="s">
        <v>76</v>
      </c>
      <c r="J2064" t="s">
        <v>77</v>
      </c>
      <c r="K2064" t="s">
        <v>78</v>
      </c>
      <c r="L2064" t="s">
        <v>332</v>
      </c>
      <c r="M2064" t="s">
        <v>333</v>
      </c>
      <c r="N2064" t="s">
        <v>1655</v>
      </c>
      <c r="O2064" t="s">
        <v>82</v>
      </c>
      <c r="P2064" t="str">
        <f>"21707120679                   "</f>
        <v xml:space="preserve">21707120679                   </v>
      </c>
      <c r="Q2064">
        <v>0</v>
      </c>
      <c r="R2064">
        <v>0</v>
      </c>
      <c r="S2064">
        <v>0</v>
      </c>
      <c r="T2064">
        <v>0</v>
      </c>
      <c r="U2064">
        <v>0</v>
      </c>
      <c r="V2064">
        <v>0</v>
      </c>
      <c r="W2064">
        <v>0</v>
      </c>
      <c r="X2064">
        <v>0</v>
      </c>
      <c r="Y2064">
        <v>0</v>
      </c>
      <c r="Z2064">
        <v>0</v>
      </c>
      <c r="AA2064">
        <v>0</v>
      </c>
      <c r="AB2064">
        <v>0</v>
      </c>
      <c r="AC2064">
        <v>0</v>
      </c>
      <c r="AD2064">
        <v>0</v>
      </c>
      <c r="AE2064">
        <v>0</v>
      </c>
      <c r="AF2064">
        <v>0</v>
      </c>
      <c r="AG2064">
        <v>0</v>
      </c>
      <c r="AH2064">
        <v>0</v>
      </c>
      <c r="AI2064">
        <v>0</v>
      </c>
      <c r="AJ2064">
        <v>0</v>
      </c>
      <c r="AK2064">
        <v>0</v>
      </c>
      <c r="AL2064">
        <v>0</v>
      </c>
      <c r="AM2064">
        <v>6.71</v>
      </c>
      <c r="AN2064">
        <v>0</v>
      </c>
      <c r="AO2064">
        <v>0</v>
      </c>
      <c r="AP2064">
        <v>0</v>
      </c>
      <c r="AQ2064">
        <v>0</v>
      </c>
      <c r="AR2064">
        <v>0</v>
      </c>
      <c r="AS2064">
        <v>0</v>
      </c>
      <c r="AT2064">
        <v>0</v>
      </c>
      <c r="AU2064">
        <v>0</v>
      </c>
      <c r="AV2064">
        <v>0</v>
      </c>
      <c r="AW2064">
        <v>0</v>
      </c>
      <c r="AX2064">
        <v>0</v>
      </c>
      <c r="AY2064">
        <v>0</v>
      </c>
      <c r="AZ2064">
        <v>0</v>
      </c>
      <c r="BA2064">
        <v>0</v>
      </c>
      <c r="BB2064">
        <v>0</v>
      </c>
      <c r="BC2064">
        <v>0</v>
      </c>
      <c r="BD2064">
        <v>0</v>
      </c>
      <c r="BE2064">
        <v>0</v>
      </c>
      <c r="BF2064">
        <v>0</v>
      </c>
      <c r="BG2064">
        <v>0</v>
      </c>
      <c r="BH2064">
        <v>1</v>
      </c>
      <c r="BI2064">
        <v>0.9</v>
      </c>
      <c r="BJ2064">
        <v>1.5</v>
      </c>
      <c r="BK2064">
        <v>1.5</v>
      </c>
      <c r="BL2064" s="4">
        <v>39.42</v>
      </c>
      <c r="BM2064" s="4">
        <v>5.91</v>
      </c>
      <c r="BN2064" s="4">
        <v>45.33</v>
      </c>
      <c r="BO2064" s="4">
        <v>45.33</v>
      </c>
      <c r="BQ2064" t="s">
        <v>1656</v>
      </c>
      <c r="BR2064" t="s">
        <v>84</v>
      </c>
      <c r="BS2064" s="3">
        <v>43819</v>
      </c>
      <c r="BT2064" s="5">
        <v>0.36458333333333331</v>
      </c>
      <c r="BU2064" t="s">
        <v>1657</v>
      </c>
      <c r="BV2064" t="s">
        <v>86</v>
      </c>
      <c r="BY2064">
        <v>7738.95</v>
      </c>
      <c r="CA2064" t="s">
        <v>1658</v>
      </c>
      <c r="CC2064" t="s">
        <v>333</v>
      </c>
      <c r="CD2064">
        <v>2042</v>
      </c>
      <c r="CE2064" t="s">
        <v>96</v>
      </c>
      <c r="CF2064" s="3">
        <v>43822</v>
      </c>
      <c r="CI2064">
        <v>1</v>
      </c>
      <c r="CJ2064">
        <v>1</v>
      </c>
      <c r="CK2064">
        <v>22</v>
      </c>
      <c r="CL2064" t="s">
        <v>89</v>
      </c>
    </row>
    <row r="2065" spans="1:90">
      <c r="A2065" t="s">
        <v>72</v>
      </c>
      <c r="B2065" t="s">
        <v>73</v>
      </c>
      <c r="C2065" t="s">
        <v>74</v>
      </c>
      <c r="E2065" t="str">
        <f>"FES1162729146"</f>
        <v>FES1162729146</v>
      </c>
      <c r="F2065" s="3">
        <v>43818</v>
      </c>
      <c r="G2065">
        <v>202006</v>
      </c>
      <c r="H2065" t="s">
        <v>75</v>
      </c>
      <c r="I2065" t="s">
        <v>76</v>
      </c>
      <c r="J2065" t="s">
        <v>77</v>
      </c>
      <c r="K2065" t="s">
        <v>78</v>
      </c>
      <c r="L2065" t="s">
        <v>1271</v>
      </c>
      <c r="M2065" t="s">
        <v>1272</v>
      </c>
      <c r="N2065" t="s">
        <v>1273</v>
      </c>
      <c r="O2065" t="s">
        <v>82</v>
      </c>
      <c r="P2065" t="str">
        <f>"2170721726                    "</f>
        <v xml:space="preserve">2170721726                    </v>
      </c>
      <c r="Q2065">
        <v>0</v>
      </c>
      <c r="R2065">
        <v>0</v>
      </c>
      <c r="S2065">
        <v>0</v>
      </c>
      <c r="T2065">
        <v>0</v>
      </c>
      <c r="U2065">
        <v>0</v>
      </c>
      <c r="V2065">
        <v>0</v>
      </c>
      <c r="W2065">
        <v>0</v>
      </c>
      <c r="X2065">
        <v>0</v>
      </c>
      <c r="Y2065">
        <v>0</v>
      </c>
      <c r="Z2065">
        <v>0</v>
      </c>
      <c r="AA2065">
        <v>0</v>
      </c>
      <c r="AB2065">
        <v>0</v>
      </c>
      <c r="AC2065">
        <v>0</v>
      </c>
      <c r="AD2065">
        <v>0</v>
      </c>
      <c r="AE2065">
        <v>0</v>
      </c>
      <c r="AF2065">
        <v>0</v>
      </c>
      <c r="AG2065">
        <v>0</v>
      </c>
      <c r="AH2065">
        <v>0</v>
      </c>
      <c r="AI2065">
        <v>0</v>
      </c>
      <c r="AJ2065">
        <v>0</v>
      </c>
      <c r="AK2065">
        <v>0</v>
      </c>
      <c r="AL2065">
        <v>0</v>
      </c>
      <c r="AM2065">
        <v>7.51</v>
      </c>
      <c r="AN2065">
        <v>0</v>
      </c>
      <c r="AO2065">
        <v>0</v>
      </c>
      <c r="AP2065">
        <v>0</v>
      </c>
      <c r="AQ2065">
        <v>0</v>
      </c>
      <c r="AR2065">
        <v>0</v>
      </c>
      <c r="AS2065">
        <v>0</v>
      </c>
      <c r="AT2065">
        <v>0</v>
      </c>
      <c r="AU2065">
        <v>0</v>
      </c>
      <c r="AV2065">
        <v>0</v>
      </c>
      <c r="AW2065">
        <v>0</v>
      </c>
      <c r="AX2065">
        <v>0</v>
      </c>
      <c r="AY2065">
        <v>0</v>
      </c>
      <c r="AZ2065">
        <v>0</v>
      </c>
      <c r="BA2065">
        <v>0</v>
      </c>
      <c r="BB2065">
        <v>0</v>
      </c>
      <c r="BC2065">
        <v>0</v>
      </c>
      <c r="BD2065">
        <v>0</v>
      </c>
      <c r="BE2065">
        <v>0</v>
      </c>
      <c r="BF2065">
        <v>0</v>
      </c>
      <c r="BG2065">
        <v>0</v>
      </c>
      <c r="BH2065">
        <v>1</v>
      </c>
      <c r="BI2065">
        <v>2.2000000000000002</v>
      </c>
      <c r="BJ2065">
        <v>1.2</v>
      </c>
      <c r="BK2065">
        <v>2.5</v>
      </c>
      <c r="BL2065" s="4">
        <v>44.14</v>
      </c>
      <c r="BM2065" s="4">
        <v>6.62</v>
      </c>
      <c r="BN2065" s="4">
        <v>50.76</v>
      </c>
      <c r="BO2065" s="4">
        <v>50.76</v>
      </c>
      <c r="BQ2065" t="s">
        <v>1274</v>
      </c>
      <c r="BR2065" t="s">
        <v>84</v>
      </c>
      <c r="BS2065" s="3">
        <v>43819</v>
      </c>
      <c r="BT2065" s="5">
        <v>0.37152777777777773</v>
      </c>
      <c r="BU2065" t="s">
        <v>1275</v>
      </c>
      <c r="BV2065" t="s">
        <v>86</v>
      </c>
      <c r="BY2065">
        <v>5976.79</v>
      </c>
      <c r="CA2065" t="s">
        <v>1940</v>
      </c>
      <c r="CC2065" t="s">
        <v>1272</v>
      </c>
      <c r="CD2065">
        <v>1684</v>
      </c>
      <c r="CE2065" t="s">
        <v>96</v>
      </c>
      <c r="CF2065" s="3">
        <v>43822</v>
      </c>
      <c r="CI2065">
        <v>1</v>
      </c>
      <c r="CJ2065">
        <v>1</v>
      </c>
      <c r="CK2065">
        <v>22</v>
      </c>
      <c r="CL2065" t="s">
        <v>89</v>
      </c>
    </row>
    <row r="2066" spans="1:90">
      <c r="A2066" t="s">
        <v>72</v>
      </c>
      <c r="B2066" t="s">
        <v>73</v>
      </c>
      <c r="C2066" t="s">
        <v>74</v>
      </c>
      <c r="E2066" t="str">
        <f>"FES1162729027"</f>
        <v>FES1162729027</v>
      </c>
      <c r="F2066" s="3">
        <v>43818</v>
      </c>
      <c r="G2066">
        <v>202006</v>
      </c>
      <c r="H2066" t="s">
        <v>75</v>
      </c>
      <c r="I2066" t="s">
        <v>76</v>
      </c>
      <c r="J2066" t="s">
        <v>77</v>
      </c>
      <c r="K2066" t="s">
        <v>78</v>
      </c>
      <c r="L2066" t="s">
        <v>201</v>
      </c>
      <c r="M2066" t="s">
        <v>202</v>
      </c>
      <c r="N2066" t="s">
        <v>2334</v>
      </c>
      <c r="O2066" t="s">
        <v>82</v>
      </c>
      <c r="P2066" t="str">
        <f>"2170717303                    "</f>
        <v xml:space="preserve">2170717303                    </v>
      </c>
      <c r="Q2066">
        <v>0</v>
      </c>
      <c r="R2066">
        <v>0</v>
      </c>
      <c r="S2066">
        <v>0</v>
      </c>
      <c r="T2066">
        <v>0</v>
      </c>
      <c r="U2066">
        <v>0</v>
      </c>
      <c r="V2066">
        <v>0</v>
      </c>
      <c r="W2066">
        <v>0</v>
      </c>
      <c r="X2066">
        <v>0</v>
      </c>
      <c r="Y2066">
        <v>0</v>
      </c>
      <c r="Z2066">
        <v>0</v>
      </c>
      <c r="AA2066">
        <v>0</v>
      </c>
      <c r="AB2066">
        <v>0</v>
      </c>
      <c r="AC2066">
        <v>0</v>
      </c>
      <c r="AD2066">
        <v>0</v>
      </c>
      <c r="AE2066">
        <v>0</v>
      </c>
      <c r="AF2066">
        <v>0</v>
      </c>
      <c r="AG2066">
        <v>0</v>
      </c>
      <c r="AH2066">
        <v>0</v>
      </c>
      <c r="AI2066">
        <v>0</v>
      </c>
      <c r="AJ2066">
        <v>0</v>
      </c>
      <c r="AK2066">
        <v>0</v>
      </c>
      <c r="AL2066">
        <v>0</v>
      </c>
      <c r="AM2066">
        <v>8.58</v>
      </c>
      <c r="AN2066">
        <v>0</v>
      </c>
      <c r="AO2066">
        <v>0</v>
      </c>
      <c r="AP2066">
        <v>0</v>
      </c>
      <c r="AQ2066">
        <v>0</v>
      </c>
      <c r="AR2066">
        <v>0</v>
      </c>
      <c r="AS2066">
        <v>0</v>
      </c>
      <c r="AT2066">
        <v>0</v>
      </c>
      <c r="AU2066">
        <v>0</v>
      </c>
      <c r="AV2066">
        <v>0</v>
      </c>
      <c r="AW2066">
        <v>0</v>
      </c>
      <c r="AX2066">
        <v>0</v>
      </c>
      <c r="AY2066">
        <v>0</v>
      </c>
      <c r="AZ2066">
        <v>0</v>
      </c>
      <c r="BA2066">
        <v>0</v>
      </c>
      <c r="BB2066">
        <v>0</v>
      </c>
      <c r="BC2066">
        <v>0</v>
      </c>
      <c r="BD2066">
        <v>0</v>
      </c>
      <c r="BE2066">
        <v>0</v>
      </c>
      <c r="BF2066">
        <v>0</v>
      </c>
      <c r="BG2066">
        <v>0</v>
      </c>
      <c r="BH2066">
        <v>1</v>
      </c>
      <c r="BI2066">
        <v>1</v>
      </c>
      <c r="BJ2066">
        <v>0.2</v>
      </c>
      <c r="BK2066">
        <v>1</v>
      </c>
      <c r="BL2066" s="4">
        <v>50.45</v>
      </c>
      <c r="BM2066" s="4">
        <v>7.57</v>
      </c>
      <c r="BN2066" s="4">
        <v>58.02</v>
      </c>
      <c r="BO2066" s="4">
        <v>58.02</v>
      </c>
      <c r="BQ2066" t="s">
        <v>2335</v>
      </c>
      <c r="BR2066" t="s">
        <v>84</v>
      </c>
      <c r="BS2066" t="s">
        <v>717</v>
      </c>
      <c r="BW2066" t="s">
        <v>1335</v>
      </c>
      <c r="BX2066" t="s">
        <v>619</v>
      </c>
      <c r="BY2066">
        <v>1200</v>
      </c>
      <c r="CC2066" t="s">
        <v>202</v>
      </c>
      <c r="CD2066">
        <v>3610</v>
      </c>
      <c r="CE2066" t="s">
        <v>88</v>
      </c>
      <c r="CI2066">
        <v>1</v>
      </c>
      <c r="CJ2066" t="s">
        <v>717</v>
      </c>
      <c r="CK2066">
        <v>21</v>
      </c>
      <c r="CL2066" t="s">
        <v>89</v>
      </c>
    </row>
    <row r="2067" spans="1:90">
      <c r="A2067" t="s">
        <v>72</v>
      </c>
      <c r="B2067" t="s">
        <v>73</v>
      </c>
      <c r="C2067" t="s">
        <v>74</v>
      </c>
      <c r="E2067" t="str">
        <f>"FES1162729123"</f>
        <v>FES1162729123</v>
      </c>
      <c r="F2067" s="3">
        <v>43818</v>
      </c>
      <c r="G2067">
        <v>202006</v>
      </c>
      <c r="H2067" t="s">
        <v>75</v>
      </c>
      <c r="I2067" t="s">
        <v>76</v>
      </c>
      <c r="J2067" t="s">
        <v>77</v>
      </c>
      <c r="K2067" t="s">
        <v>78</v>
      </c>
      <c r="L2067" t="s">
        <v>201</v>
      </c>
      <c r="M2067" t="s">
        <v>202</v>
      </c>
      <c r="N2067" t="s">
        <v>345</v>
      </c>
      <c r="O2067" t="s">
        <v>82</v>
      </c>
      <c r="P2067" t="str">
        <f>"2170720716                    "</f>
        <v xml:space="preserve">2170720716                    </v>
      </c>
      <c r="Q2067">
        <v>0</v>
      </c>
      <c r="R2067">
        <v>0</v>
      </c>
      <c r="S2067">
        <v>0</v>
      </c>
      <c r="T2067">
        <v>0</v>
      </c>
      <c r="U2067">
        <v>0</v>
      </c>
      <c r="V2067">
        <v>0</v>
      </c>
      <c r="W2067">
        <v>0</v>
      </c>
      <c r="X2067">
        <v>0</v>
      </c>
      <c r="Y2067">
        <v>0</v>
      </c>
      <c r="Z2067">
        <v>0</v>
      </c>
      <c r="AA2067">
        <v>0</v>
      </c>
      <c r="AB2067">
        <v>0</v>
      </c>
      <c r="AC2067">
        <v>0</v>
      </c>
      <c r="AD2067">
        <v>0</v>
      </c>
      <c r="AE2067">
        <v>0</v>
      </c>
      <c r="AF2067">
        <v>0</v>
      </c>
      <c r="AG2067">
        <v>0</v>
      </c>
      <c r="AH2067">
        <v>0</v>
      </c>
      <c r="AI2067">
        <v>0</v>
      </c>
      <c r="AJ2067">
        <v>0</v>
      </c>
      <c r="AK2067">
        <v>0</v>
      </c>
      <c r="AL2067">
        <v>0</v>
      </c>
      <c r="AM2067">
        <v>8.58</v>
      </c>
      <c r="AN2067">
        <v>0</v>
      </c>
      <c r="AO2067">
        <v>0</v>
      </c>
      <c r="AP2067">
        <v>0</v>
      </c>
      <c r="AQ2067">
        <v>0</v>
      </c>
      <c r="AR2067">
        <v>0</v>
      </c>
      <c r="AS2067">
        <v>0</v>
      </c>
      <c r="AT2067">
        <v>0</v>
      </c>
      <c r="AU2067">
        <v>0</v>
      </c>
      <c r="AV2067">
        <v>0</v>
      </c>
      <c r="AW2067">
        <v>0</v>
      </c>
      <c r="AX2067">
        <v>0</v>
      </c>
      <c r="AY2067">
        <v>0</v>
      </c>
      <c r="AZ2067">
        <v>0</v>
      </c>
      <c r="BA2067">
        <v>0</v>
      </c>
      <c r="BB2067">
        <v>0</v>
      </c>
      <c r="BC2067">
        <v>0</v>
      </c>
      <c r="BD2067">
        <v>0</v>
      </c>
      <c r="BE2067">
        <v>0</v>
      </c>
      <c r="BF2067">
        <v>0</v>
      </c>
      <c r="BG2067">
        <v>0</v>
      </c>
      <c r="BH2067">
        <v>1</v>
      </c>
      <c r="BI2067">
        <v>1</v>
      </c>
      <c r="BJ2067">
        <v>0.2</v>
      </c>
      <c r="BK2067">
        <v>1</v>
      </c>
      <c r="BL2067" s="4">
        <v>50.45</v>
      </c>
      <c r="BM2067" s="4">
        <v>7.57</v>
      </c>
      <c r="BN2067" s="4">
        <v>58.02</v>
      </c>
      <c r="BO2067" s="4">
        <v>58.02</v>
      </c>
      <c r="BQ2067" t="s">
        <v>135</v>
      </c>
      <c r="BR2067" t="s">
        <v>84</v>
      </c>
      <c r="BS2067" s="3">
        <v>43819</v>
      </c>
      <c r="BT2067" s="5">
        <v>0.33680555555555558</v>
      </c>
      <c r="BU2067" t="s">
        <v>2336</v>
      </c>
      <c r="BV2067" t="s">
        <v>86</v>
      </c>
      <c r="BY2067">
        <v>1200</v>
      </c>
      <c r="CA2067" t="s">
        <v>2109</v>
      </c>
      <c r="CC2067" t="s">
        <v>202</v>
      </c>
      <c r="CD2067">
        <v>3610</v>
      </c>
      <c r="CE2067" t="s">
        <v>88</v>
      </c>
      <c r="CF2067" s="3">
        <v>43823</v>
      </c>
      <c r="CI2067">
        <v>1</v>
      </c>
      <c r="CJ2067">
        <v>1</v>
      </c>
      <c r="CK2067">
        <v>21</v>
      </c>
      <c r="CL2067" t="s">
        <v>89</v>
      </c>
    </row>
    <row r="2068" spans="1:90">
      <c r="A2068" t="s">
        <v>72</v>
      </c>
      <c r="B2068" t="s">
        <v>73</v>
      </c>
      <c r="C2068" t="s">
        <v>74</v>
      </c>
      <c r="E2068" t="str">
        <f>"FES1162729111"</f>
        <v>FES1162729111</v>
      </c>
      <c r="F2068" s="3">
        <v>43818</v>
      </c>
      <c r="G2068">
        <v>202006</v>
      </c>
      <c r="H2068" t="s">
        <v>75</v>
      </c>
      <c r="I2068" t="s">
        <v>76</v>
      </c>
      <c r="J2068" t="s">
        <v>77</v>
      </c>
      <c r="K2068" t="s">
        <v>78</v>
      </c>
      <c r="L2068" t="s">
        <v>2337</v>
      </c>
      <c r="M2068" t="s">
        <v>2338</v>
      </c>
      <c r="N2068" t="s">
        <v>2339</v>
      </c>
      <c r="O2068" t="s">
        <v>82</v>
      </c>
      <c r="P2068" t="str">
        <f>"2170720642                    "</f>
        <v xml:space="preserve">2170720642                    </v>
      </c>
      <c r="Q2068">
        <v>0</v>
      </c>
      <c r="R2068">
        <v>0</v>
      </c>
      <c r="S2068">
        <v>0</v>
      </c>
      <c r="T2068">
        <v>0</v>
      </c>
      <c r="U2068">
        <v>0</v>
      </c>
      <c r="V2068">
        <v>0</v>
      </c>
      <c r="W2068">
        <v>0</v>
      </c>
      <c r="X2068">
        <v>0</v>
      </c>
      <c r="Y2068">
        <v>0</v>
      </c>
      <c r="Z2068">
        <v>0</v>
      </c>
      <c r="AA2068">
        <v>0</v>
      </c>
      <c r="AB2068">
        <v>0</v>
      </c>
      <c r="AC2068">
        <v>0</v>
      </c>
      <c r="AD2068">
        <v>0</v>
      </c>
      <c r="AE2068">
        <v>0</v>
      </c>
      <c r="AF2068">
        <v>0</v>
      </c>
      <c r="AG2068">
        <v>0</v>
      </c>
      <c r="AH2068">
        <v>0</v>
      </c>
      <c r="AI2068">
        <v>0</v>
      </c>
      <c r="AJ2068">
        <v>0</v>
      </c>
      <c r="AK2068">
        <v>0</v>
      </c>
      <c r="AL2068">
        <v>0</v>
      </c>
      <c r="AM2068">
        <v>16.63</v>
      </c>
      <c r="AN2068">
        <v>0</v>
      </c>
      <c r="AO2068">
        <v>0</v>
      </c>
      <c r="AP2068">
        <v>0</v>
      </c>
      <c r="AQ2068">
        <v>0</v>
      </c>
      <c r="AR2068">
        <v>0</v>
      </c>
      <c r="AS2068">
        <v>0</v>
      </c>
      <c r="AT2068">
        <v>0</v>
      </c>
      <c r="AU2068">
        <v>0</v>
      </c>
      <c r="AV2068">
        <v>0</v>
      </c>
      <c r="AW2068">
        <v>0</v>
      </c>
      <c r="AX2068">
        <v>0</v>
      </c>
      <c r="AY2068">
        <v>0</v>
      </c>
      <c r="AZ2068">
        <v>0</v>
      </c>
      <c r="BA2068">
        <v>0</v>
      </c>
      <c r="BB2068">
        <v>0</v>
      </c>
      <c r="BC2068">
        <v>0</v>
      </c>
      <c r="BD2068">
        <v>0</v>
      </c>
      <c r="BE2068">
        <v>0</v>
      </c>
      <c r="BF2068">
        <v>0</v>
      </c>
      <c r="BG2068">
        <v>0</v>
      </c>
      <c r="BH2068">
        <v>1</v>
      </c>
      <c r="BI2068">
        <v>1</v>
      </c>
      <c r="BJ2068">
        <v>0.2</v>
      </c>
      <c r="BK2068">
        <v>1</v>
      </c>
      <c r="BL2068" s="4">
        <v>97.75</v>
      </c>
      <c r="BM2068" s="4">
        <v>14.66</v>
      </c>
      <c r="BN2068" s="4">
        <v>112.41</v>
      </c>
      <c r="BO2068" s="4">
        <v>112.41</v>
      </c>
      <c r="BQ2068" t="s">
        <v>2340</v>
      </c>
      <c r="BR2068" t="s">
        <v>84</v>
      </c>
      <c r="BS2068" s="3">
        <v>43836</v>
      </c>
      <c r="BT2068" s="5">
        <v>0.39374999999999999</v>
      </c>
      <c r="BU2068" t="s">
        <v>2341</v>
      </c>
      <c r="BV2068" t="s">
        <v>89</v>
      </c>
      <c r="BY2068">
        <v>1200</v>
      </c>
      <c r="CA2068" t="s">
        <v>2342</v>
      </c>
      <c r="CC2068" t="s">
        <v>2338</v>
      </c>
      <c r="CD2068">
        <v>4339</v>
      </c>
      <c r="CE2068" t="s">
        <v>88</v>
      </c>
      <c r="CI2068">
        <v>1</v>
      </c>
      <c r="CJ2068">
        <v>12</v>
      </c>
      <c r="CK2068">
        <v>23</v>
      </c>
      <c r="CL2068" t="s">
        <v>89</v>
      </c>
    </row>
    <row r="2069" spans="1:90">
      <c r="A2069" t="s">
        <v>72</v>
      </c>
      <c r="B2069" t="s">
        <v>73</v>
      </c>
      <c r="C2069" t="s">
        <v>74</v>
      </c>
      <c r="E2069" t="str">
        <f>"FES1162729341"</f>
        <v>FES1162729341</v>
      </c>
      <c r="F2069" s="3">
        <v>43819</v>
      </c>
      <c r="G2069">
        <v>202006</v>
      </c>
      <c r="H2069" t="s">
        <v>75</v>
      </c>
      <c r="I2069" t="s">
        <v>76</v>
      </c>
      <c r="J2069" t="s">
        <v>77</v>
      </c>
      <c r="K2069" t="s">
        <v>78</v>
      </c>
      <c r="L2069" t="s">
        <v>404</v>
      </c>
      <c r="M2069" t="s">
        <v>405</v>
      </c>
      <c r="N2069" t="s">
        <v>435</v>
      </c>
      <c r="O2069" t="s">
        <v>82</v>
      </c>
      <c r="P2069" t="str">
        <f>"2170722326                    "</f>
        <v xml:space="preserve">2170722326                    </v>
      </c>
      <c r="Q2069">
        <v>0</v>
      </c>
      <c r="R2069">
        <v>0</v>
      </c>
      <c r="S2069">
        <v>0</v>
      </c>
      <c r="T2069">
        <v>0</v>
      </c>
      <c r="U2069">
        <v>0</v>
      </c>
      <c r="V2069">
        <v>0</v>
      </c>
      <c r="W2069">
        <v>0</v>
      </c>
      <c r="X2069">
        <v>0</v>
      </c>
      <c r="Y2069">
        <v>0</v>
      </c>
      <c r="Z2069">
        <v>0</v>
      </c>
      <c r="AA2069">
        <v>0</v>
      </c>
      <c r="AB2069">
        <v>0</v>
      </c>
      <c r="AC2069">
        <v>0</v>
      </c>
      <c r="AD2069">
        <v>0</v>
      </c>
      <c r="AE2069">
        <v>0</v>
      </c>
      <c r="AF2069">
        <v>0</v>
      </c>
      <c r="AG2069">
        <v>0</v>
      </c>
      <c r="AH2069">
        <v>0</v>
      </c>
      <c r="AI2069">
        <v>0</v>
      </c>
      <c r="AJ2069">
        <v>0</v>
      </c>
      <c r="AK2069">
        <v>0</v>
      </c>
      <c r="AL2069">
        <v>0</v>
      </c>
      <c r="AM2069">
        <v>8.58</v>
      </c>
      <c r="AN2069">
        <v>0</v>
      </c>
      <c r="AO2069">
        <v>0</v>
      </c>
      <c r="AP2069">
        <v>0</v>
      </c>
      <c r="AQ2069">
        <v>0</v>
      </c>
      <c r="AR2069">
        <v>0</v>
      </c>
      <c r="AS2069">
        <v>0</v>
      </c>
      <c r="AT2069">
        <v>0</v>
      </c>
      <c r="AU2069">
        <v>0</v>
      </c>
      <c r="AV2069">
        <v>0</v>
      </c>
      <c r="AW2069">
        <v>0</v>
      </c>
      <c r="AX2069">
        <v>0</v>
      </c>
      <c r="AY2069">
        <v>0</v>
      </c>
      <c r="AZ2069">
        <v>0</v>
      </c>
      <c r="BA2069">
        <v>0</v>
      </c>
      <c r="BB2069">
        <v>0</v>
      </c>
      <c r="BC2069">
        <v>0</v>
      </c>
      <c r="BD2069">
        <v>0</v>
      </c>
      <c r="BE2069">
        <v>0</v>
      </c>
      <c r="BF2069">
        <v>0</v>
      </c>
      <c r="BG2069">
        <v>0</v>
      </c>
      <c r="BH2069">
        <v>1</v>
      </c>
      <c r="BI2069">
        <v>1</v>
      </c>
      <c r="BJ2069">
        <v>0.2</v>
      </c>
      <c r="BK2069">
        <v>1</v>
      </c>
      <c r="BL2069" s="4">
        <v>50.45</v>
      </c>
      <c r="BM2069" s="4">
        <v>7.57</v>
      </c>
      <c r="BN2069" s="4">
        <v>58.02</v>
      </c>
      <c r="BO2069" s="4">
        <v>58.02</v>
      </c>
      <c r="BQ2069" t="s">
        <v>436</v>
      </c>
      <c r="BR2069" t="s">
        <v>84</v>
      </c>
      <c r="BS2069" s="3">
        <v>43822</v>
      </c>
      <c r="BT2069" s="5">
        <v>0.34652777777777777</v>
      </c>
      <c r="BU2069" t="s">
        <v>2343</v>
      </c>
      <c r="BV2069" t="s">
        <v>86</v>
      </c>
      <c r="BY2069">
        <v>1200</v>
      </c>
      <c r="CA2069" t="s">
        <v>212</v>
      </c>
      <c r="CC2069" t="s">
        <v>405</v>
      </c>
      <c r="CD2069">
        <v>4026</v>
      </c>
      <c r="CE2069" t="s">
        <v>88</v>
      </c>
      <c r="CF2069" s="3">
        <v>43823</v>
      </c>
      <c r="CI2069">
        <v>1</v>
      </c>
      <c r="CJ2069">
        <v>1</v>
      </c>
      <c r="CK2069">
        <v>21</v>
      </c>
      <c r="CL2069" t="s">
        <v>89</v>
      </c>
    </row>
    <row r="2070" spans="1:90">
      <c r="A2070" t="s">
        <v>72</v>
      </c>
      <c r="B2070" t="s">
        <v>73</v>
      </c>
      <c r="C2070" t="s">
        <v>74</v>
      </c>
      <c r="E2070" t="str">
        <f>"FES1162729309"</f>
        <v>FES1162729309</v>
      </c>
      <c r="F2070" s="3">
        <v>43819</v>
      </c>
      <c r="G2070">
        <v>202006</v>
      </c>
      <c r="H2070" t="s">
        <v>75</v>
      </c>
      <c r="I2070" t="s">
        <v>76</v>
      </c>
      <c r="J2070" t="s">
        <v>77</v>
      </c>
      <c r="K2070" t="s">
        <v>78</v>
      </c>
      <c r="L2070" t="s">
        <v>446</v>
      </c>
      <c r="M2070" t="s">
        <v>447</v>
      </c>
      <c r="N2070" t="s">
        <v>634</v>
      </c>
      <c r="O2070" t="s">
        <v>82</v>
      </c>
      <c r="P2070" t="str">
        <f>"21707222283                   "</f>
        <v xml:space="preserve">21707222283                   </v>
      </c>
      <c r="Q2070">
        <v>0</v>
      </c>
      <c r="R2070">
        <v>0</v>
      </c>
      <c r="S2070">
        <v>0</v>
      </c>
      <c r="T2070">
        <v>0</v>
      </c>
      <c r="U2070">
        <v>0</v>
      </c>
      <c r="V2070">
        <v>0</v>
      </c>
      <c r="W2070">
        <v>0</v>
      </c>
      <c r="X2070">
        <v>0</v>
      </c>
      <c r="Y2070">
        <v>0</v>
      </c>
      <c r="Z2070">
        <v>0</v>
      </c>
      <c r="AA2070">
        <v>0</v>
      </c>
      <c r="AB2070">
        <v>0</v>
      </c>
      <c r="AC2070">
        <v>0</v>
      </c>
      <c r="AD2070">
        <v>0</v>
      </c>
      <c r="AE2070">
        <v>0</v>
      </c>
      <c r="AF2070">
        <v>0</v>
      </c>
      <c r="AG2070">
        <v>0</v>
      </c>
      <c r="AH2070">
        <v>0</v>
      </c>
      <c r="AI2070">
        <v>0</v>
      </c>
      <c r="AJ2070">
        <v>0</v>
      </c>
      <c r="AK2070">
        <v>0</v>
      </c>
      <c r="AL2070">
        <v>0</v>
      </c>
      <c r="AM2070">
        <v>8.58</v>
      </c>
      <c r="AN2070">
        <v>0</v>
      </c>
      <c r="AO2070">
        <v>0</v>
      </c>
      <c r="AP2070">
        <v>0</v>
      </c>
      <c r="AQ2070">
        <v>0</v>
      </c>
      <c r="AR2070">
        <v>0</v>
      </c>
      <c r="AS2070">
        <v>0</v>
      </c>
      <c r="AT2070">
        <v>0</v>
      </c>
      <c r="AU2070">
        <v>0</v>
      </c>
      <c r="AV2070">
        <v>0</v>
      </c>
      <c r="AW2070">
        <v>0</v>
      </c>
      <c r="AX2070">
        <v>0</v>
      </c>
      <c r="AY2070">
        <v>0</v>
      </c>
      <c r="AZ2070">
        <v>0</v>
      </c>
      <c r="BA2070">
        <v>0</v>
      </c>
      <c r="BB2070">
        <v>0</v>
      </c>
      <c r="BC2070">
        <v>0</v>
      </c>
      <c r="BD2070">
        <v>0</v>
      </c>
      <c r="BE2070">
        <v>0</v>
      </c>
      <c r="BF2070">
        <v>0</v>
      </c>
      <c r="BG2070">
        <v>0</v>
      </c>
      <c r="BH2070">
        <v>1</v>
      </c>
      <c r="BI2070">
        <v>1</v>
      </c>
      <c r="BJ2070">
        <v>0.2</v>
      </c>
      <c r="BK2070">
        <v>1</v>
      </c>
      <c r="BL2070" s="4">
        <v>50.45</v>
      </c>
      <c r="BM2070" s="4">
        <v>7.57</v>
      </c>
      <c r="BN2070" s="4">
        <v>58.02</v>
      </c>
      <c r="BO2070" s="4">
        <v>58.02</v>
      </c>
      <c r="BQ2070" t="s">
        <v>147</v>
      </c>
      <c r="BR2070" t="s">
        <v>84</v>
      </c>
      <c r="BS2070" s="3">
        <v>43822</v>
      </c>
      <c r="BT2070" s="5">
        <v>0.45416666666666666</v>
      </c>
      <c r="BU2070" t="s">
        <v>2344</v>
      </c>
      <c r="BV2070" t="s">
        <v>89</v>
      </c>
      <c r="BW2070" t="s">
        <v>506</v>
      </c>
      <c r="BX2070" t="s">
        <v>507</v>
      </c>
      <c r="BY2070">
        <v>1200</v>
      </c>
      <c r="CA2070" t="s">
        <v>212</v>
      </c>
      <c r="CC2070" t="s">
        <v>447</v>
      </c>
      <c r="CD2070">
        <v>4133</v>
      </c>
      <c r="CE2070" t="s">
        <v>88</v>
      </c>
      <c r="CF2070" s="3">
        <v>43823</v>
      </c>
      <c r="CI2070">
        <v>1</v>
      </c>
      <c r="CJ2070">
        <v>1</v>
      </c>
      <c r="CK2070">
        <v>21</v>
      </c>
      <c r="CL2070" t="s">
        <v>89</v>
      </c>
    </row>
    <row r="2071" spans="1:90">
      <c r="A2071" t="s">
        <v>72</v>
      </c>
      <c r="B2071" t="s">
        <v>73</v>
      </c>
      <c r="C2071" t="s">
        <v>74</v>
      </c>
      <c r="E2071" t="str">
        <f>"FES1162729317"</f>
        <v>FES1162729317</v>
      </c>
      <c r="F2071" s="3">
        <v>43819</v>
      </c>
      <c r="G2071">
        <v>202006</v>
      </c>
      <c r="H2071" t="s">
        <v>75</v>
      </c>
      <c r="I2071" t="s">
        <v>76</v>
      </c>
      <c r="J2071" t="s">
        <v>77</v>
      </c>
      <c r="K2071" t="s">
        <v>78</v>
      </c>
      <c r="L2071" t="s">
        <v>90</v>
      </c>
      <c r="M2071" t="s">
        <v>91</v>
      </c>
      <c r="N2071" t="s">
        <v>2345</v>
      </c>
      <c r="O2071" t="s">
        <v>82</v>
      </c>
      <c r="P2071" t="str">
        <f>"2170720234                    "</f>
        <v xml:space="preserve">2170720234                    </v>
      </c>
      <c r="Q2071">
        <v>0</v>
      </c>
      <c r="R2071">
        <v>0</v>
      </c>
      <c r="S2071">
        <v>0</v>
      </c>
      <c r="T2071">
        <v>0</v>
      </c>
      <c r="U2071">
        <v>0</v>
      </c>
      <c r="V2071">
        <v>0</v>
      </c>
      <c r="W2071">
        <v>0</v>
      </c>
      <c r="X2071">
        <v>0</v>
      </c>
      <c r="Y2071">
        <v>0</v>
      </c>
      <c r="Z2071">
        <v>0</v>
      </c>
      <c r="AA2071">
        <v>0</v>
      </c>
      <c r="AB2071">
        <v>0</v>
      </c>
      <c r="AC2071">
        <v>0</v>
      </c>
      <c r="AD2071">
        <v>0</v>
      </c>
      <c r="AE2071">
        <v>0</v>
      </c>
      <c r="AF2071">
        <v>0</v>
      </c>
      <c r="AG2071">
        <v>0</v>
      </c>
      <c r="AH2071">
        <v>0</v>
      </c>
      <c r="AI2071">
        <v>0</v>
      </c>
      <c r="AJ2071">
        <v>0</v>
      </c>
      <c r="AK2071">
        <v>0</v>
      </c>
      <c r="AL2071">
        <v>0</v>
      </c>
      <c r="AM2071">
        <v>23.59</v>
      </c>
      <c r="AN2071">
        <v>0</v>
      </c>
      <c r="AO2071">
        <v>0</v>
      </c>
      <c r="AP2071">
        <v>0</v>
      </c>
      <c r="AQ2071">
        <v>0</v>
      </c>
      <c r="AR2071">
        <v>0</v>
      </c>
      <c r="AS2071">
        <v>0</v>
      </c>
      <c r="AT2071">
        <v>0</v>
      </c>
      <c r="AU2071">
        <v>0</v>
      </c>
      <c r="AV2071">
        <v>0</v>
      </c>
      <c r="AW2071">
        <v>0</v>
      </c>
      <c r="AX2071">
        <v>0</v>
      </c>
      <c r="AY2071">
        <v>0</v>
      </c>
      <c r="AZ2071">
        <v>0</v>
      </c>
      <c r="BA2071">
        <v>0</v>
      </c>
      <c r="BB2071">
        <v>0</v>
      </c>
      <c r="BC2071">
        <v>0</v>
      </c>
      <c r="BD2071">
        <v>0</v>
      </c>
      <c r="BE2071">
        <v>0</v>
      </c>
      <c r="BF2071">
        <v>0</v>
      </c>
      <c r="BG2071">
        <v>0</v>
      </c>
      <c r="BH2071">
        <v>1</v>
      </c>
      <c r="BI2071">
        <v>5.5</v>
      </c>
      <c r="BJ2071">
        <v>4.8</v>
      </c>
      <c r="BK2071">
        <v>5.5</v>
      </c>
      <c r="BL2071" s="4">
        <v>138.68</v>
      </c>
      <c r="BM2071" s="4">
        <v>20.8</v>
      </c>
      <c r="BN2071" s="4">
        <v>159.47999999999999</v>
      </c>
      <c r="BO2071" s="4">
        <v>159.47999999999999</v>
      </c>
      <c r="BQ2071" t="s">
        <v>147</v>
      </c>
      <c r="BR2071" t="s">
        <v>84</v>
      </c>
      <c r="BS2071" t="s">
        <v>717</v>
      </c>
      <c r="BW2071" t="s">
        <v>1335</v>
      </c>
      <c r="BX2071" t="s">
        <v>619</v>
      </c>
      <c r="BY2071">
        <v>23842.23</v>
      </c>
      <c r="CC2071" t="s">
        <v>91</v>
      </c>
      <c r="CD2071">
        <v>7550</v>
      </c>
      <c r="CE2071" t="s">
        <v>116</v>
      </c>
      <c r="CI2071">
        <v>1</v>
      </c>
      <c r="CJ2071" t="s">
        <v>717</v>
      </c>
      <c r="CK2071">
        <v>21</v>
      </c>
      <c r="CL2071" t="s">
        <v>89</v>
      </c>
    </row>
    <row r="2072" spans="1:90">
      <c r="A2072" t="s">
        <v>72</v>
      </c>
      <c r="B2072" t="s">
        <v>73</v>
      </c>
      <c r="C2072" t="s">
        <v>74</v>
      </c>
      <c r="E2072" t="str">
        <f>"FES1162728230"</f>
        <v>FES1162728230</v>
      </c>
      <c r="F2072" s="3">
        <v>43811</v>
      </c>
      <c r="G2072">
        <v>202006</v>
      </c>
      <c r="H2072" t="s">
        <v>75</v>
      </c>
      <c r="I2072" t="s">
        <v>76</v>
      </c>
      <c r="J2072" t="s">
        <v>100</v>
      </c>
      <c r="K2072" t="s">
        <v>78</v>
      </c>
      <c r="L2072" t="s">
        <v>714</v>
      </c>
      <c r="M2072" t="s">
        <v>715</v>
      </c>
      <c r="N2072" t="s">
        <v>1018</v>
      </c>
      <c r="O2072" t="s">
        <v>104</v>
      </c>
      <c r="P2072" t="str">
        <f>"2170718007                    "</f>
        <v xml:space="preserve">2170718007                    </v>
      </c>
      <c r="Q2072">
        <v>0</v>
      </c>
      <c r="R2072">
        <v>0</v>
      </c>
      <c r="S2072">
        <v>0</v>
      </c>
      <c r="T2072">
        <v>0</v>
      </c>
      <c r="U2072">
        <v>0</v>
      </c>
      <c r="V2072">
        <v>0</v>
      </c>
      <c r="W2072">
        <v>0</v>
      </c>
      <c r="X2072">
        <v>0</v>
      </c>
      <c r="Y2072">
        <v>0</v>
      </c>
      <c r="Z2072">
        <v>0</v>
      </c>
      <c r="AA2072">
        <v>0</v>
      </c>
      <c r="AB2072">
        <v>0</v>
      </c>
      <c r="AC2072">
        <v>0</v>
      </c>
      <c r="AD2072">
        <v>0</v>
      </c>
      <c r="AE2072">
        <v>0</v>
      </c>
      <c r="AF2072">
        <v>0</v>
      </c>
      <c r="AG2072">
        <v>0</v>
      </c>
      <c r="AH2072">
        <v>0</v>
      </c>
      <c r="AI2072">
        <v>0</v>
      </c>
      <c r="AJ2072">
        <v>0</v>
      </c>
      <c r="AK2072">
        <v>0</v>
      </c>
      <c r="AL2072">
        <v>0</v>
      </c>
      <c r="AM2072">
        <v>13.69</v>
      </c>
      <c r="AN2072">
        <v>0</v>
      </c>
      <c r="AO2072">
        <v>0</v>
      </c>
      <c r="AP2072">
        <v>0</v>
      </c>
      <c r="AQ2072">
        <v>0</v>
      </c>
      <c r="AR2072">
        <v>0</v>
      </c>
      <c r="AS2072">
        <v>0</v>
      </c>
      <c r="AT2072">
        <v>0</v>
      </c>
      <c r="AU2072">
        <v>0</v>
      </c>
      <c r="AV2072">
        <v>0</v>
      </c>
      <c r="AW2072">
        <v>0</v>
      </c>
      <c r="AX2072">
        <v>0</v>
      </c>
      <c r="AY2072">
        <v>0</v>
      </c>
      <c r="AZ2072">
        <v>0</v>
      </c>
      <c r="BA2072">
        <v>0</v>
      </c>
      <c r="BB2072">
        <v>0</v>
      </c>
      <c r="BC2072">
        <v>0</v>
      </c>
      <c r="BD2072">
        <v>0</v>
      </c>
      <c r="BE2072">
        <v>0</v>
      </c>
      <c r="BF2072">
        <v>0</v>
      </c>
      <c r="BG2072">
        <v>0</v>
      </c>
      <c r="BH2072">
        <v>1</v>
      </c>
      <c r="BI2072">
        <v>19</v>
      </c>
      <c r="BJ2072">
        <v>15.4</v>
      </c>
      <c r="BK2072">
        <v>19</v>
      </c>
      <c r="BL2072" s="4">
        <v>85.45</v>
      </c>
      <c r="BM2072" s="4">
        <v>12.82</v>
      </c>
      <c r="BN2072" s="4">
        <v>98.27</v>
      </c>
      <c r="BO2072" s="4">
        <v>98.27</v>
      </c>
      <c r="BQ2072" t="s">
        <v>93</v>
      </c>
      <c r="BR2072" t="s">
        <v>105</v>
      </c>
      <c r="BS2072" s="3">
        <v>43812</v>
      </c>
      <c r="BT2072" s="5">
        <v>0.33333333333333331</v>
      </c>
      <c r="BU2072" t="s">
        <v>2346</v>
      </c>
      <c r="BV2072" t="s">
        <v>86</v>
      </c>
      <c r="BY2072">
        <v>76760</v>
      </c>
      <c r="CC2072" t="s">
        <v>715</v>
      </c>
      <c r="CD2072">
        <v>1559</v>
      </c>
      <c r="CE2072" t="s">
        <v>116</v>
      </c>
      <c r="CF2072" s="3">
        <v>43816</v>
      </c>
      <c r="CI2072">
        <v>1</v>
      </c>
      <c r="CJ2072">
        <v>1</v>
      </c>
      <c r="CK2072" t="s">
        <v>123</v>
      </c>
      <c r="CL2072" t="s">
        <v>89</v>
      </c>
    </row>
    <row r="2073" spans="1:90">
      <c r="A2073" t="s">
        <v>72</v>
      </c>
      <c r="B2073" t="s">
        <v>73</v>
      </c>
      <c r="C2073" t="s">
        <v>74</v>
      </c>
      <c r="E2073" t="str">
        <f>"FES1162726110"</f>
        <v>FES1162726110</v>
      </c>
      <c r="F2073" s="3">
        <v>43801</v>
      </c>
      <c r="G2073">
        <v>202006</v>
      </c>
      <c r="H2073" t="s">
        <v>75</v>
      </c>
      <c r="I2073" t="s">
        <v>76</v>
      </c>
      <c r="J2073" t="s">
        <v>100</v>
      </c>
      <c r="K2073" t="s">
        <v>78</v>
      </c>
      <c r="L2073" t="s">
        <v>101</v>
      </c>
      <c r="M2073" t="s">
        <v>102</v>
      </c>
      <c r="N2073" t="s">
        <v>2347</v>
      </c>
      <c r="O2073" t="s">
        <v>104</v>
      </c>
      <c r="P2073" t="str">
        <f>"2170719599                    "</f>
        <v xml:space="preserve">2170719599                    </v>
      </c>
      <c r="Q2073">
        <v>0</v>
      </c>
      <c r="R2073">
        <v>0</v>
      </c>
      <c r="S2073">
        <v>0</v>
      </c>
      <c r="T2073">
        <v>0</v>
      </c>
      <c r="U2073">
        <v>0</v>
      </c>
      <c r="V2073">
        <v>0</v>
      </c>
      <c r="W2073">
        <v>0</v>
      </c>
      <c r="X2073">
        <v>0</v>
      </c>
      <c r="Y2073">
        <v>0</v>
      </c>
      <c r="Z2073">
        <v>0</v>
      </c>
      <c r="AA2073">
        <v>0</v>
      </c>
      <c r="AB2073">
        <v>0</v>
      </c>
      <c r="AC2073">
        <v>0</v>
      </c>
      <c r="AD2073">
        <v>0</v>
      </c>
      <c r="AE2073">
        <v>0</v>
      </c>
      <c r="AF2073">
        <v>0</v>
      </c>
      <c r="AG2073">
        <v>0</v>
      </c>
      <c r="AH2073">
        <v>0</v>
      </c>
      <c r="AI2073">
        <v>0</v>
      </c>
      <c r="AJ2073">
        <v>0</v>
      </c>
      <c r="AK2073">
        <v>0</v>
      </c>
      <c r="AL2073">
        <v>0</v>
      </c>
      <c r="AM2073">
        <v>14.75</v>
      </c>
      <c r="AN2073">
        <v>0</v>
      </c>
      <c r="AO2073">
        <v>0</v>
      </c>
      <c r="AP2073">
        <v>0</v>
      </c>
      <c r="AQ2073">
        <v>0</v>
      </c>
      <c r="AR2073">
        <v>0</v>
      </c>
      <c r="AS2073">
        <v>0</v>
      </c>
      <c r="AT2073">
        <v>0</v>
      </c>
      <c r="AU2073">
        <v>0</v>
      </c>
      <c r="AV2073">
        <v>0</v>
      </c>
      <c r="AW2073">
        <v>0</v>
      </c>
      <c r="AX2073">
        <v>0</v>
      </c>
      <c r="AY2073">
        <v>0</v>
      </c>
      <c r="AZ2073">
        <v>0</v>
      </c>
      <c r="BA2073">
        <v>0</v>
      </c>
      <c r="BB2073">
        <v>0</v>
      </c>
      <c r="BC2073">
        <v>0</v>
      </c>
      <c r="BD2073">
        <v>0</v>
      </c>
      <c r="BE2073">
        <v>0</v>
      </c>
      <c r="BF2073">
        <v>0</v>
      </c>
      <c r="BG2073">
        <v>0</v>
      </c>
      <c r="BH2073">
        <v>1</v>
      </c>
      <c r="BI2073">
        <v>2.1</v>
      </c>
      <c r="BJ2073">
        <v>3.9</v>
      </c>
      <c r="BK2073">
        <v>4</v>
      </c>
      <c r="BL2073" s="4">
        <v>91.71</v>
      </c>
      <c r="BM2073" s="4">
        <v>13.76</v>
      </c>
      <c r="BN2073" s="4">
        <v>105.47</v>
      </c>
      <c r="BO2073" s="4">
        <v>105.47</v>
      </c>
      <c r="BR2073" t="s">
        <v>105</v>
      </c>
      <c r="BS2073" s="3">
        <v>43808</v>
      </c>
      <c r="BT2073" s="5">
        <v>0.39027777777777778</v>
      </c>
      <c r="BU2073" t="s">
        <v>2348</v>
      </c>
      <c r="BV2073" t="s">
        <v>89</v>
      </c>
      <c r="BW2073" t="s">
        <v>149</v>
      </c>
      <c r="BX2073" t="s">
        <v>2168</v>
      </c>
      <c r="BY2073">
        <v>19413.240000000002</v>
      </c>
      <c r="CA2073" t="s">
        <v>2349</v>
      </c>
      <c r="CC2073" t="s">
        <v>102</v>
      </c>
      <c r="CD2073">
        <v>183</v>
      </c>
      <c r="CE2073" t="s">
        <v>116</v>
      </c>
      <c r="CF2073" s="3">
        <v>43810</v>
      </c>
      <c r="CI2073">
        <v>0</v>
      </c>
      <c r="CJ2073">
        <v>0</v>
      </c>
      <c r="CK2073" t="s">
        <v>108</v>
      </c>
      <c r="CL2073" t="s">
        <v>89</v>
      </c>
    </row>
    <row r="2074" spans="1:90">
      <c r="A2074" t="s">
        <v>72</v>
      </c>
      <c r="B2074" t="s">
        <v>73</v>
      </c>
      <c r="C2074" t="s">
        <v>74</v>
      </c>
      <c r="E2074" t="str">
        <f>"FES1162726211"</f>
        <v>FES1162726211</v>
      </c>
      <c r="F2074" s="3">
        <v>43801</v>
      </c>
      <c r="G2074">
        <v>202006</v>
      </c>
      <c r="H2074" t="s">
        <v>75</v>
      </c>
      <c r="I2074" t="s">
        <v>76</v>
      </c>
      <c r="J2074" t="s">
        <v>100</v>
      </c>
      <c r="K2074" t="s">
        <v>78</v>
      </c>
      <c r="L2074" t="s">
        <v>1170</v>
      </c>
      <c r="M2074" t="s">
        <v>1170</v>
      </c>
      <c r="N2074" t="s">
        <v>2290</v>
      </c>
      <c r="O2074" t="s">
        <v>104</v>
      </c>
      <c r="P2074" t="str">
        <f>"2170715348                    "</f>
        <v xml:space="preserve">2170715348                    </v>
      </c>
      <c r="Q2074">
        <v>0</v>
      </c>
      <c r="R2074">
        <v>0</v>
      </c>
      <c r="S2074">
        <v>0</v>
      </c>
      <c r="T2074">
        <v>0</v>
      </c>
      <c r="U2074">
        <v>0</v>
      </c>
      <c r="V2074">
        <v>0</v>
      </c>
      <c r="W2074">
        <v>0</v>
      </c>
      <c r="X2074">
        <v>0</v>
      </c>
      <c r="Y2074">
        <v>0</v>
      </c>
      <c r="Z2074">
        <v>0</v>
      </c>
      <c r="AA2074">
        <v>0</v>
      </c>
      <c r="AB2074">
        <v>0</v>
      </c>
      <c r="AC2074">
        <v>0</v>
      </c>
      <c r="AD2074">
        <v>0</v>
      </c>
      <c r="AE2074">
        <v>0</v>
      </c>
      <c r="AF2074">
        <v>0</v>
      </c>
      <c r="AG2074">
        <v>0</v>
      </c>
      <c r="AH2074">
        <v>0</v>
      </c>
      <c r="AI2074">
        <v>0</v>
      </c>
      <c r="AJ2074">
        <v>0</v>
      </c>
      <c r="AK2074">
        <v>0</v>
      </c>
      <c r="AL2074">
        <v>0</v>
      </c>
      <c r="AM2074">
        <v>16.09</v>
      </c>
      <c r="AN2074">
        <v>0</v>
      </c>
      <c r="AO2074">
        <v>0</v>
      </c>
      <c r="AP2074">
        <v>0</v>
      </c>
      <c r="AQ2074">
        <v>0</v>
      </c>
      <c r="AR2074">
        <v>0</v>
      </c>
      <c r="AS2074">
        <v>0</v>
      </c>
      <c r="AT2074">
        <v>0</v>
      </c>
      <c r="AU2074">
        <v>0</v>
      </c>
      <c r="AV2074">
        <v>0</v>
      </c>
      <c r="AW2074">
        <v>0</v>
      </c>
      <c r="AX2074">
        <v>0</v>
      </c>
      <c r="AY2074">
        <v>0</v>
      </c>
      <c r="AZ2074">
        <v>0</v>
      </c>
      <c r="BA2074">
        <v>0</v>
      </c>
      <c r="BB2074">
        <v>0</v>
      </c>
      <c r="BC2074">
        <v>0</v>
      </c>
      <c r="BD2074">
        <v>0</v>
      </c>
      <c r="BE2074">
        <v>0</v>
      </c>
      <c r="BF2074">
        <v>0</v>
      </c>
      <c r="BG2074">
        <v>0</v>
      </c>
      <c r="BH2074">
        <v>1</v>
      </c>
      <c r="BI2074">
        <v>10.199999999999999</v>
      </c>
      <c r="BJ2074">
        <v>6.2</v>
      </c>
      <c r="BK2074">
        <v>11</v>
      </c>
      <c r="BL2074" s="4">
        <v>99.59</v>
      </c>
      <c r="BM2074" s="4">
        <v>14.94</v>
      </c>
      <c r="BN2074" s="4">
        <v>114.53</v>
      </c>
      <c r="BO2074" s="4">
        <v>114.53</v>
      </c>
      <c r="BQ2074" t="s">
        <v>135</v>
      </c>
      <c r="BR2074" t="s">
        <v>105</v>
      </c>
      <c r="BS2074" s="3">
        <v>43802</v>
      </c>
      <c r="BT2074" s="5">
        <v>0.33333333333333331</v>
      </c>
      <c r="BU2074" t="s">
        <v>625</v>
      </c>
      <c r="BV2074" t="s">
        <v>86</v>
      </c>
      <c r="BY2074">
        <v>31057.55</v>
      </c>
      <c r="CC2074" t="s">
        <v>1170</v>
      </c>
      <c r="CD2074">
        <v>1490</v>
      </c>
      <c r="CE2074" t="s">
        <v>116</v>
      </c>
      <c r="CF2074" s="3">
        <v>43803</v>
      </c>
      <c r="CI2074">
        <v>1</v>
      </c>
      <c r="CJ2074">
        <v>1</v>
      </c>
      <c r="CK2074" t="s">
        <v>740</v>
      </c>
      <c r="CL2074" t="s">
        <v>89</v>
      </c>
    </row>
    <row r="2075" spans="1:90">
      <c r="A2075" t="s">
        <v>72</v>
      </c>
      <c r="B2075" t="s">
        <v>73</v>
      </c>
      <c r="C2075" t="s">
        <v>74</v>
      </c>
      <c r="E2075" t="str">
        <f>"FES1162726244"</f>
        <v>FES1162726244</v>
      </c>
      <c r="F2075" s="3">
        <v>43801</v>
      </c>
      <c r="G2075">
        <v>202006</v>
      </c>
      <c r="H2075" t="s">
        <v>75</v>
      </c>
      <c r="I2075" t="s">
        <v>76</v>
      </c>
      <c r="J2075" t="s">
        <v>100</v>
      </c>
      <c r="K2075" t="s">
        <v>78</v>
      </c>
      <c r="L2075" t="s">
        <v>1174</v>
      </c>
      <c r="M2075" t="s">
        <v>1175</v>
      </c>
      <c r="N2075" t="s">
        <v>2350</v>
      </c>
      <c r="O2075" t="s">
        <v>104</v>
      </c>
      <c r="P2075" t="str">
        <f>"2170719739                    "</f>
        <v xml:space="preserve">2170719739                    </v>
      </c>
      <c r="Q2075">
        <v>0</v>
      </c>
      <c r="R2075">
        <v>0</v>
      </c>
      <c r="S2075">
        <v>0</v>
      </c>
      <c r="T2075">
        <v>0</v>
      </c>
      <c r="U2075">
        <v>0</v>
      </c>
      <c r="V2075">
        <v>0</v>
      </c>
      <c r="W2075">
        <v>0</v>
      </c>
      <c r="X2075">
        <v>0</v>
      </c>
      <c r="Y2075">
        <v>0</v>
      </c>
      <c r="Z2075">
        <v>0</v>
      </c>
      <c r="AA2075">
        <v>0</v>
      </c>
      <c r="AB2075">
        <v>0</v>
      </c>
      <c r="AC2075">
        <v>0</v>
      </c>
      <c r="AD2075">
        <v>0</v>
      </c>
      <c r="AE2075">
        <v>0</v>
      </c>
      <c r="AF2075">
        <v>0</v>
      </c>
      <c r="AG2075">
        <v>0</v>
      </c>
      <c r="AH2075">
        <v>0</v>
      </c>
      <c r="AI2075">
        <v>0</v>
      </c>
      <c r="AJ2075">
        <v>0</v>
      </c>
      <c r="AK2075">
        <v>0</v>
      </c>
      <c r="AL2075">
        <v>0</v>
      </c>
      <c r="AM2075">
        <v>17.57</v>
      </c>
      <c r="AN2075">
        <v>0</v>
      </c>
      <c r="AO2075">
        <v>0</v>
      </c>
      <c r="AP2075">
        <v>0</v>
      </c>
      <c r="AQ2075">
        <v>0</v>
      </c>
      <c r="AR2075">
        <v>0</v>
      </c>
      <c r="AS2075">
        <v>0</v>
      </c>
      <c r="AT2075">
        <v>0</v>
      </c>
      <c r="AU2075">
        <v>0</v>
      </c>
      <c r="AV2075">
        <v>0</v>
      </c>
      <c r="AW2075">
        <v>0</v>
      </c>
      <c r="AX2075">
        <v>0</v>
      </c>
      <c r="AY2075">
        <v>0</v>
      </c>
      <c r="AZ2075">
        <v>0</v>
      </c>
      <c r="BA2075">
        <v>0</v>
      </c>
      <c r="BB2075">
        <v>0</v>
      </c>
      <c r="BC2075">
        <v>0</v>
      </c>
      <c r="BD2075">
        <v>0</v>
      </c>
      <c r="BE2075">
        <v>0</v>
      </c>
      <c r="BF2075">
        <v>0</v>
      </c>
      <c r="BG2075">
        <v>0</v>
      </c>
      <c r="BH2075">
        <v>1</v>
      </c>
      <c r="BI2075">
        <v>7.3</v>
      </c>
      <c r="BJ2075">
        <v>9.9</v>
      </c>
      <c r="BK2075">
        <v>10</v>
      </c>
      <c r="BL2075" s="4">
        <v>108.28</v>
      </c>
      <c r="BM2075" s="4">
        <v>16.239999999999998</v>
      </c>
      <c r="BN2075" s="4">
        <v>124.52</v>
      </c>
      <c r="BO2075" s="4">
        <v>124.52</v>
      </c>
      <c r="BQ2075" t="s">
        <v>256</v>
      </c>
      <c r="BR2075" t="s">
        <v>105</v>
      </c>
      <c r="BS2075" s="3">
        <v>43804</v>
      </c>
      <c r="BT2075" s="5">
        <v>0.48680555555555555</v>
      </c>
      <c r="BU2075" t="s">
        <v>2351</v>
      </c>
      <c r="BV2075" t="s">
        <v>89</v>
      </c>
      <c r="BW2075" t="s">
        <v>506</v>
      </c>
      <c r="BX2075" t="s">
        <v>1163</v>
      </c>
      <c r="BY2075">
        <v>49280.87</v>
      </c>
      <c r="CA2075" t="s">
        <v>2352</v>
      </c>
      <c r="CC2075" t="s">
        <v>1175</v>
      </c>
      <c r="CD2075">
        <v>4240</v>
      </c>
      <c r="CE2075" t="s">
        <v>116</v>
      </c>
      <c r="CF2075" s="3">
        <v>43805</v>
      </c>
      <c r="CI2075">
        <v>1</v>
      </c>
      <c r="CJ2075">
        <v>3</v>
      </c>
      <c r="CK2075" t="s">
        <v>1070</v>
      </c>
      <c r="CL2075" t="s">
        <v>89</v>
      </c>
    </row>
    <row r="2076" spans="1:90">
      <c r="A2076" t="s">
        <v>72</v>
      </c>
      <c r="B2076" t="s">
        <v>73</v>
      </c>
      <c r="C2076" t="s">
        <v>74</v>
      </c>
      <c r="E2076" t="str">
        <f>"FES1162726216"</f>
        <v>FES1162726216</v>
      </c>
      <c r="F2076" s="3">
        <v>43801</v>
      </c>
      <c r="G2076">
        <v>202006</v>
      </c>
      <c r="H2076" t="s">
        <v>75</v>
      </c>
      <c r="I2076" t="s">
        <v>76</v>
      </c>
      <c r="J2076" t="s">
        <v>100</v>
      </c>
      <c r="K2076" t="s">
        <v>78</v>
      </c>
      <c r="L2076" t="s">
        <v>361</v>
      </c>
      <c r="M2076" t="s">
        <v>362</v>
      </c>
      <c r="N2076" t="s">
        <v>363</v>
      </c>
      <c r="O2076" t="s">
        <v>104</v>
      </c>
      <c r="P2076" t="str">
        <f>"217071583                     "</f>
        <v xml:space="preserve">217071583                     </v>
      </c>
      <c r="Q2076">
        <v>0</v>
      </c>
      <c r="R2076">
        <v>0</v>
      </c>
      <c r="S2076">
        <v>0</v>
      </c>
      <c r="T2076">
        <v>0</v>
      </c>
      <c r="U2076">
        <v>0</v>
      </c>
      <c r="V2076">
        <v>0</v>
      </c>
      <c r="W2076">
        <v>0</v>
      </c>
      <c r="X2076">
        <v>0</v>
      </c>
      <c r="Y2076">
        <v>0</v>
      </c>
      <c r="Z2076">
        <v>0</v>
      </c>
      <c r="AA2076">
        <v>0</v>
      </c>
      <c r="AB2076">
        <v>0</v>
      </c>
      <c r="AC2076">
        <v>0</v>
      </c>
      <c r="AD2076">
        <v>0</v>
      </c>
      <c r="AE2076">
        <v>0</v>
      </c>
      <c r="AF2076">
        <v>0</v>
      </c>
      <c r="AG2076">
        <v>0</v>
      </c>
      <c r="AH2076">
        <v>0</v>
      </c>
      <c r="AI2076">
        <v>0</v>
      </c>
      <c r="AJ2076">
        <v>0</v>
      </c>
      <c r="AK2076">
        <v>0</v>
      </c>
      <c r="AL2076">
        <v>0</v>
      </c>
      <c r="AM2076">
        <v>22.84</v>
      </c>
      <c r="AN2076">
        <v>0</v>
      </c>
      <c r="AO2076">
        <v>0</v>
      </c>
      <c r="AP2076">
        <v>0</v>
      </c>
      <c r="AQ2076">
        <v>0</v>
      </c>
      <c r="AR2076">
        <v>0</v>
      </c>
      <c r="AS2076">
        <v>0</v>
      </c>
      <c r="AT2076">
        <v>0</v>
      </c>
      <c r="AU2076">
        <v>0</v>
      </c>
      <c r="AV2076">
        <v>0</v>
      </c>
      <c r="AW2076">
        <v>0</v>
      </c>
      <c r="AX2076">
        <v>0</v>
      </c>
      <c r="AY2076">
        <v>0</v>
      </c>
      <c r="AZ2076">
        <v>0</v>
      </c>
      <c r="BA2076">
        <v>0</v>
      </c>
      <c r="BB2076">
        <v>0</v>
      </c>
      <c r="BC2076">
        <v>0</v>
      </c>
      <c r="BD2076">
        <v>0</v>
      </c>
      <c r="BE2076">
        <v>0</v>
      </c>
      <c r="BF2076">
        <v>0</v>
      </c>
      <c r="BG2076">
        <v>0</v>
      </c>
      <c r="BH2076">
        <v>1</v>
      </c>
      <c r="BI2076">
        <v>18.600000000000001</v>
      </c>
      <c r="BJ2076">
        <v>21.3</v>
      </c>
      <c r="BK2076">
        <v>22</v>
      </c>
      <c r="BL2076" s="4">
        <v>139.24</v>
      </c>
      <c r="BM2076" s="4">
        <v>20.89</v>
      </c>
      <c r="BN2076" s="4">
        <v>160.13</v>
      </c>
      <c r="BO2076" s="4">
        <v>160.13</v>
      </c>
      <c r="BQ2076" t="s">
        <v>93</v>
      </c>
      <c r="BR2076" t="s">
        <v>105</v>
      </c>
      <c r="BS2076" s="3">
        <v>43802</v>
      </c>
      <c r="BT2076" s="5">
        <v>0.42777777777777781</v>
      </c>
      <c r="BU2076" t="s">
        <v>364</v>
      </c>
      <c r="BV2076" t="s">
        <v>86</v>
      </c>
      <c r="BY2076">
        <v>106731</v>
      </c>
      <c r="CA2076" t="s">
        <v>185</v>
      </c>
      <c r="CC2076" t="s">
        <v>362</v>
      </c>
      <c r="CD2076">
        <v>6220</v>
      </c>
      <c r="CE2076" t="s">
        <v>116</v>
      </c>
      <c r="CF2076" s="3">
        <v>43804</v>
      </c>
      <c r="CI2076">
        <v>2</v>
      </c>
      <c r="CJ2076">
        <v>1</v>
      </c>
      <c r="CK2076" t="s">
        <v>113</v>
      </c>
      <c r="CL2076" t="s">
        <v>89</v>
      </c>
    </row>
    <row r="2077" spans="1:90">
      <c r="A2077" t="s">
        <v>72</v>
      </c>
      <c r="B2077" t="s">
        <v>73</v>
      </c>
      <c r="C2077" t="s">
        <v>74</v>
      </c>
      <c r="E2077" t="str">
        <f>"FES1162726289"</f>
        <v>FES1162726289</v>
      </c>
      <c r="F2077" s="3">
        <v>43801</v>
      </c>
      <c r="G2077">
        <v>202006</v>
      </c>
      <c r="H2077" t="s">
        <v>75</v>
      </c>
      <c r="I2077" t="s">
        <v>76</v>
      </c>
      <c r="J2077" t="s">
        <v>100</v>
      </c>
      <c r="K2077" t="s">
        <v>78</v>
      </c>
      <c r="L2077" t="s">
        <v>101</v>
      </c>
      <c r="M2077" t="s">
        <v>102</v>
      </c>
      <c r="N2077" t="s">
        <v>683</v>
      </c>
      <c r="O2077" t="s">
        <v>104</v>
      </c>
      <c r="P2077" t="str">
        <f>"2170719763                    "</f>
        <v xml:space="preserve">2170719763                    </v>
      </c>
      <c r="Q2077">
        <v>0</v>
      </c>
      <c r="R2077">
        <v>0</v>
      </c>
      <c r="S2077">
        <v>0</v>
      </c>
      <c r="T2077">
        <v>0</v>
      </c>
      <c r="U2077">
        <v>0</v>
      </c>
      <c r="V2077">
        <v>0</v>
      </c>
      <c r="W2077">
        <v>0</v>
      </c>
      <c r="X2077">
        <v>0</v>
      </c>
      <c r="Y2077">
        <v>0</v>
      </c>
      <c r="Z2077">
        <v>0</v>
      </c>
      <c r="AA2077">
        <v>0</v>
      </c>
      <c r="AB2077">
        <v>0</v>
      </c>
      <c r="AC2077">
        <v>0</v>
      </c>
      <c r="AD2077">
        <v>0</v>
      </c>
      <c r="AE2077">
        <v>0</v>
      </c>
      <c r="AF2077">
        <v>0</v>
      </c>
      <c r="AG2077">
        <v>0</v>
      </c>
      <c r="AH2077">
        <v>0</v>
      </c>
      <c r="AI2077">
        <v>0</v>
      </c>
      <c r="AJ2077">
        <v>0</v>
      </c>
      <c r="AK2077">
        <v>0</v>
      </c>
      <c r="AL2077">
        <v>0</v>
      </c>
      <c r="AM2077">
        <v>14.75</v>
      </c>
      <c r="AN2077">
        <v>0</v>
      </c>
      <c r="AO2077">
        <v>0</v>
      </c>
      <c r="AP2077">
        <v>0</v>
      </c>
      <c r="AQ2077">
        <v>0</v>
      </c>
      <c r="AR2077">
        <v>0</v>
      </c>
      <c r="AS2077">
        <v>0</v>
      </c>
      <c r="AT2077">
        <v>0</v>
      </c>
      <c r="AU2077">
        <v>0</v>
      </c>
      <c r="AV2077">
        <v>0</v>
      </c>
      <c r="AW2077">
        <v>0</v>
      </c>
      <c r="AX2077">
        <v>0</v>
      </c>
      <c r="AY2077">
        <v>0</v>
      </c>
      <c r="AZ2077">
        <v>0</v>
      </c>
      <c r="BA2077">
        <v>0</v>
      </c>
      <c r="BB2077">
        <v>0</v>
      </c>
      <c r="BC2077">
        <v>0</v>
      </c>
      <c r="BD2077">
        <v>0</v>
      </c>
      <c r="BE2077">
        <v>0</v>
      </c>
      <c r="BF2077">
        <v>0</v>
      </c>
      <c r="BG2077">
        <v>0</v>
      </c>
      <c r="BH2077">
        <v>1</v>
      </c>
      <c r="BI2077">
        <v>2.4</v>
      </c>
      <c r="BJ2077">
        <v>4.4000000000000004</v>
      </c>
      <c r="BK2077">
        <v>5</v>
      </c>
      <c r="BL2077" s="4">
        <v>91.71</v>
      </c>
      <c r="BM2077" s="4">
        <v>13.76</v>
      </c>
      <c r="BN2077" s="4">
        <v>105.47</v>
      </c>
      <c r="BO2077" s="4">
        <v>105.47</v>
      </c>
      <c r="BQ2077" t="s">
        <v>684</v>
      </c>
      <c r="BR2077" t="s">
        <v>105</v>
      </c>
      <c r="BS2077" s="3">
        <v>43802</v>
      </c>
      <c r="BT2077" s="5">
        <v>0.38541666666666669</v>
      </c>
      <c r="BU2077" t="s">
        <v>685</v>
      </c>
      <c r="BV2077" t="s">
        <v>86</v>
      </c>
      <c r="BY2077">
        <v>22196.97</v>
      </c>
      <c r="CC2077" t="s">
        <v>102</v>
      </c>
      <c r="CD2077">
        <v>200</v>
      </c>
      <c r="CE2077" t="s">
        <v>116</v>
      </c>
      <c r="CF2077" s="3">
        <v>43803</v>
      </c>
      <c r="CI2077">
        <v>0</v>
      </c>
      <c r="CJ2077">
        <v>0</v>
      </c>
      <c r="CK2077" t="s">
        <v>108</v>
      </c>
      <c r="CL2077" t="s">
        <v>89</v>
      </c>
    </row>
    <row r="2078" spans="1:90">
      <c r="A2078" t="s">
        <v>72</v>
      </c>
      <c r="B2078" t="s">
        <v>73</v>
      </c>
      <c r="C2078" t="s">
        <v>74</v>
      </c>
      <c r="E2078" t="str">
        <f>"FES1162726232"</f>
        <v>FES1162726232</v>
      </c>
      <c r="F2078" s="3">
        <v>43801</v>
      </c>
      <c r="G2078">
        <v>202006</v>
      </c>
      <c r="H2078" t="s">
        <v>75</v>
      </c>
      <c r="I2078" t="s">
        <v>76</v>
      </c>
      <c r="J2078" t="s">
        <v>100</v>
      </c>
      <c r="K2078" t="s">
        <v>78</v>
      </c>
      <c r="L2078" t="s">
        <v>101</v>
      </c>
      <c r="M2078" t="s">
        <v>102</v>
      </c>
      <c r="N2078" t="s">
        <v>736</v>
      </c>
      <c r="O2078" t="s">
        <v>104</v>
      </c>
      <c r="P2078" t="str">
        <f>"2170718005                    "</f>
        <v xml:space="preserve">2170718005                    </v>
      </c>
      <c r="Q2078">
        <v>0</v>
      </c>
      <c r="R2078">
        <v>0</v>
      </c>
      <c r="S2078">
        <v>0</v>
      </c>
      <c r="T2078">
        <v>0</v>
      </c>
      <c r="U2078">
        <v>0</v>
      </c>
      <c r="V2078">
        <v>0</v>
      </c>
      <c r="W2078">
        <v>0</v>
      </c>
      <c r="X2078">
        <v>0</v>
      </c>
      <c r="Y2078">
        <v>0</v>
      </c>
      <c r="Z2078">
        <v>0</v>
      </c>
      <c r="AA2078">
        <v>0</v>
      </c>
      <c r="AB2078">
        <v>0</v>
      </c>
      <c r="AC2078">
        <v>0</v>
      </c>
      <c r="AD2078">
        <v>0</v>
      </c>
      <c r="AE2078">
        <v>0</v>
      </c>
      <c r="AF2078">
        <v>0</v>
      </c>
      <c r="AG2078">
        <v>0</v>
      </c>
      <c r="AH2078">
        <v>0</v>
      </c>
      <c r="AI2078">
        <v>0</v>
      </c>
      <c r="AJ2078">
        <v>0</v>
      </c>
      <c r="AK2078">
        <v>0</v>
      </c>
      <c r="AL2078">
        <v>0</v>
      </c>
      <c r="AM2078">
        <v>14.75</v>
      </c>
      <c r="AN2078">
        <v>0</v>
      </c>
      <c r="AO2078">
        <v>0</v>
      </c>
      <c r="AP2078">
        <v>0</v>
      </c>
      <c r="AQ2078">
        <v>0</v>
      </c>
      <c r="AR2078">
        <v>0</v>
      </c>
      <c r="AS2078">
        <v>0</v>
      </c>
      <c r="AT2078">
        <v>0</v>
      </c>
      <c r="AU2078">
        <v>0</v>
      </c>
      <c r="AV2078">
        <v>0</v>
      </c>
      <c r="AW2078">
        <v>0</v>
      </c>
      <c r="AX2078">
        <v>0</v>
      </c>
      <c r="AY2078">
        <v>0</v>
      </c>
      <c r="AZ2078">
        <v>0</v>
      </c>
      <c r="BA2078">
        <v>0</v>
      </c>
      <c r="BB2078">
        <v>0</v>
      </c>
      <c r="BC2078">
        <v>0</v>
      </c>
      <c r="BD2078">
        <v>0</v>
      </c>
      <c r="BE2078">
        <v>0</v>
      </c>
      <c r="BF2078">
        <v>0</v>
      </c>
      <c r="BG2078">
        <v>0</v>
      </c>
      <c r="BH2078">
        <v>1</v>
      </c>
      <c r="BI2078">
        <v>8</v>
      </c>
      <c r="BJ2078">
        <v>8.6999999999999993</v>
      </c>
      <c r="BK2078">
        <v>9</v>
      </c>
      <c r="BL2078" s="4">
        <v>91.71</v>
      </c>
      <c r="BM2078" s="4">
        <v>13.76</v>
      </c>
      <c r="BN2078" s="4">
        <v>105.47</v>
      </c>
      <c r="BO2078" s="4">
        <v>105.47</v>
      </c>
      <c r="BQ2078" t="s">
        <v>135</v>
      </c>
      <c r="BR2078" t="s">
        <v>105</v>
      </c>
      <c r="BS2078" s="3">
        <v>43802</v>
      </c>
      <c r="BT2078" s="5">
        <v>0.375</v>
      </c>
      <c r="BU2078" t="s">
        <v>737</v>
      </c>
      <c r="BV2078" t="s">
        <v>86</v>
      </c>
      <c r="BY2078">
        <v>43262.1</v>
      </c>
      <c r="CC2078" t="s">
        <v>102</v>
      </c>
      <c r="CD2078">
        <v>200</v>
      </c>
      <c r="CE2078" t="s">
        <v>96</v>
      </c>
      <c r="CF2078" s="3">
        <v>43803</v>
      </c>
      <c r="CI2078">
        <v>0</v>
      </c>
      <c r="CJ2078">
        <v>0</v>
      </c>
      <c r="CK2078" t="s">
        <v>108</v>
      </c>
      <c r="CL2078" t="s">
        <v>89</v>
      </c>
    </row>
    <row r="2079" spans="1:90">
      <c r="A2079" t="s">
        <v>72</v>
      </c>
      <c r="B2079" t="s">
        <v>73</v>
      </c>
      <c r="C2079" t="s">
        <v>74</v>
      </c>
      <c r="E2079" t="str">
        <f>"FES1162726348"</f>
        <v>FES1162726348</v>
      </c>
      <c r="F2079" s="3">
        <v>43801</v>
      </c>
      <c r="G2079">
        <v>202006</v>
      </c>
      <c r="H2079" t="s">
        <v>75</v>
      </c>
      <c r="I2079" t="s">
        <v>76</v>
      </c>
      <c r="J2079" t="s">
        <v>100</v>
      </c>
      <c r="K2079" t="s">
        <v>78</v>
      </c>
      <c r="L2079" t="s">
        <v>2055</v>
      </c>
      <c r="M2079" t="s">
        <v>2056</v>
      </c>
      <c r="N2079" t="s">
        <v>2057</v>
      </c>
      <c r="O2079" t="s">
        <v>104</v>
      </c>
      <c r="P2079" t="str">
        <f>"2170719846                    "</f>
        <v xml:space="preserve">2170719846                    </v>
      </c>
      <c r="Q2079">
        <v>0</v>
      </c>
      <c r="R2079">
        <v>0</v>
      </c>
      <c r="S2079">
        <v>0</v>
      </c>
      <c r="T2079">
        <v>0</v>
      </c>
      <c r="U2079">
        <v>0</v>
      </c>
      <c r="V2079">
        <v>0</v>
      </c>
      <c r="W2079">
        <v>0</v>
      </c>
      <c r="X2079">
        <v>0</v>
      </c>
      <c r="Y2079">
        <v>0</v>
      </c>
      <c r="Z2079">
        <v>0</v>
      </c>
      <c r="AA2079">
        <v>0</v>
      </c>
      <c r="AB2079">
        <v>0</v>
      </c>
      <c r="AC2079">
        <v>0</v>
      </c>
      <c r="AD2079">
        <v>0</v>
      </c>
      <c r="AE2079">
        <v>0</v>
      </c>
      <c r="AF2079">
        <v>0</v>
      </c>
      <c r="AG2079">
        <v>0</v>
      </c>
      <c r="AH2079">
        <v>0</v>
      </c>
      <c r="AI2079">
        <v>0</v>
      </c>
      <c r="AJ2079">
        <v>0</v>
      </c>
      <c r="AK2079">
        <v>0</v>
      </c>
      <c r="AL2079">
        <v>0</v>
      </c>
      <c r="AM2079">
        <v>17.57</v>
      </c>
      <c r="AN2079">
        <v>0</v>
      </c>
      <c r="AO2079">
        <v>0</v>
      </c>
      <c r="AP2079">
        <v>0</v>
      </c>
      <c r="AQ2079">
        <v>0</v>
      </c>
      <c r="AR2079">
        <v>0</v>
      </c>
      <c r="AS2079">
        <v>0</v>
      </c>
      <c r="AT2079">
        <v>0</v>
      </c>
      <c r="AU2079">
        <v>0</v>
      </c>
      <c r="AV2079">
        <v>0</v>
      </c>
      <c r="AW2079">
        <v>0</v>
      </c>
      <c r="AX2079">
        <v>0</v>
      </c>
      <c r="AY2079">
        <v>0</v>
      </c>
      <c r="AZ2079">
        <v>0</v>
      </c>
      <c r="BA2079">
        <v>0</v>
      </c>
      <c r="BB2079">
        <v>0</v>
      </c>
      <c r="BC2079">
        <v>0</v>
      </c>
      <c r="BD2079">
        <v>0</v>
      </c>
      <c r="BE2079">
        <v>0</v>
      </c>
      <c r="BF2079">
        <v>0</v>
      </c>
      <c r="BG2079">
        <v>0</v>
      </c>
      <c r="BH2079">
        <v>1</v>
      </c>
      <c r="BI2079">
        <v>7.3</v>
      </c>
      <c r="BJ2079">
        <v>11.6</v>
      </c>
      <c r="BK2079">
        <v>12</v>
      </c>
      <c r="BL2079" s="4">
        <v>108.28</v>
      </c>
      <c r="BM2079" s="4">
        <v>16.239999999999998</v>
      </c>
      <c r="BN2079" s="4">
        <v>124.52</v>
      </c>
      <c r="BO2079" s="4">
        <v>124.52</v>
      </c>
      <c r="BQ2079" t="s">
        <v>93</v>
      </c>
      <c r="BR2079" t="s">
        <v>105</v>
      </c>
      <c r="BS2079" s="3">
        <v>43802</v>
      </c>
      <c r="BT2079" s="5">
        <v>0.25</v>
      </c>
      <c r="BU2079" t="s">
        <v>2353</v>
      </c>
      <c r="BV2079" t="s">
        <v>86</v>
      </c>
      <c r="BY2079">
        <v>57869.25</v>
      </c>
      <c r="CA2079" t="s">
        <v>2059</v>
      </c>
      <c r="CC2079" t="s">
        <v>2056</v>
      </c>
      <c r="CD2079">
        <v>2410</v>
      </c>
      <c r="CE2079" t="s">
        <v>556</v>
      </c>
      <c r="CF2079" s="3">
        <v>43803</v>
      </c>
      <c r="CI2079">
        <v>1</v>
      </c>
      <c r="CJ2079">
        <v>1</v>
      </c>
      <c r="CK2079" t="s">
        <v>113</v>
      </c>
      <c r="CL2079" t="s">
        <v>89</v>
      </c>
    </row>
    <row r="2080" spans="1:90">
      <c r="A2080" t="s">
        <v>72</v>
      </c>
      <c r="B2080" t="s">
        <v>73</v>
      </c>
      <c r="C2080" t="s">
        <v>74</v>
      </c>
      <c r="E2080" t="str">
        <f>"FES1162726308"</f>
        <v>FES1162726308</v>
      </c>
      <c r="F2080" s="3">
        <v>43801</v>
      </c>
      <c r="G2080">
        <v>202006</v>
      </c>
      <c r="H2080" t="s">
        <v>75</v>
      </c>
      <c r="I2080" t="s">
        <v>76</v>
      </c>
      <c r="J2080" t="s">
        <v>100</v>
      </c>
      <c r="K2080" t="s">
        <v>78</v>
      </c>
      <c r="L2080" t="s">
        <v>350</v>
      </c>
      <c r="M2080" t="s">
        <v>351</v>
      </c>
      <c r="N2080" t="s">
        <v>2354</v>
      </c>
      <c r="O2080" t="s">
        <v>104</v>
      </c>
      <c r="P2080" t="str">
        <f>"21707191981                   "</f>
        <v xml:space="preserve">21707191981                   </v>
      </c>
      <c r="Q2080">
        <v>0</v>
      </c>
      <c r="R2080">
        <v>0</v>
      </c>
      <c r="S2080">
        <v>0</v>
      </c>
      <c r="T2080">
        <v>0</v>
      </c>
      <c r="U2080">
        <v>0</v>
      </c>
      <c r="V2080">
        <v>0</v>
      </c>
      <c r="W2080">
        <v>0</v>
      </c>
      <c r="X2080">
        <v>0</v>
      </c>
      <c r="Y2080">
        <v>0</v>
      </c>
      <c r="Z2080">
        <v>0</v>
      </c>
      <c r="AA2080">
        <v>0</v>
      </c>
      <c r="AB2080">
        <v>0</v>
      </c>
      <c r="AC2080">
        <v>0</v>
      </c>
      <c r="AD2080">
        <v>0</v>
      </c>
      <c r="AE2080">
        <v>0</v>
      </c>
      <c r="AF2080">
        <v>0</v>
      </c>
      <c r="AG2080">
        <v>0</v>
      </c>
      <c r="AH2080">
        <v>0</v>
      </c>
      <c r="AI2080">
        <v>0</v>
      </c>
      <c r="AJ2080">
        <v>0</v>
      </c>
      <c r="AK2080">
        <v>0</v>
      </c>
      <c r="AL2080">
        <v>0</v>
      </c>
      <c r="AM2080">
        <v>13.69</v>
      </c>
      <c r="AN2080">
        <v>0</v>
      </c>
      <c r="AO2080">
        <v>0</v>
      </c>
      <c r="AP2080">
        <v>0</v>
      </c>
      <c r="AQ2080">
        <v>0</v>
      </c>
      <c r="AR2080">
        <v>0</v>
      </c>
      <c r="AS2080">
        <v>0</v>
      </c>
      <c r="AT2080">
        <v>0</v>
      </c>
      <c r="AU2080">
        <v>0</v>
      </c>
      <c r="AV2080">
        <v>0</v>
      </c>
      <c r="AW2080">
        <v>0</v>
      </c>
      <c r="AX2080">
        <v>0</v>
      </c>
      <c r="AY2080">
        <v>0</v>
      </c>
      <c r="AZ2080">
        <v>0</v>
      </c>
      <c r="BA2080">
        <v>0</v>
      </c>
      <c r="BB2080">
        <v>0</v>
      </c>
      <c r="BC2080">
        <v>0</v>
      </c>
      <c r="BD2080">
        <v>0</v>
      </c>
      <c r="BE2080">
        <v>0</v>
      </c>
      <c r="BF2080">
        <v>0</v>
      </c>
      <c r="BG2080">
        <v>0</v>
      </c>
      <c r="BH2080">
        <v>1</v>
      </c>
      <c r="BI2080">
        <v>7.8</v>
      </c>
      <c r="BJ2080">
        <v>18.600000000000001</v>
      </c>
      <c r="BK2080">
        <v>19</v>
      </c>
      <c r="BL2080" s="4">
        <v>85.45</v>
      </c>
      <c r="BM2080" s="4">
        <v>12.82</v>
      </c>
      <c r="BN2080" s="4">
        <v>98.27</v>
      </c>
      <c r="BO2080" s="4">
        <v>98.27</v>
      </c>
      <c r="BQ2080" t="s">
        <v>93</v>
      </c>
      <c r="BR2080" t="s">
        <v>105</v>
      </c>
      <c r="BS2080" s="3">
        <v>43802</v>
      </c>
      <c r="BT2080" s="5">
        <v>0.33333333333333331</v>
      </c>
      <c r="BU2080" t="s">
        <v>2355</v>
      </c>
      <c r="BV2080" t="s">
        <v>86</v>
      </c>
      <c r="BY2080">
        <v>93026.4</v>
      </c>
      <c r="CC2080" t="s">
        <v>351</v>
      </c>
      <c r="CD2080">
        <v>1501</v>
      </c>
      <c r="CE2080" t="s">
        <v>96</v>
      </c>
      <c r="CF2080" s="3">
        <v>43803</v>
      </c>
      <c r="CI2080">
        <v>1</v>
      </c>
      <c r="CJ2080">
        <v>1</v>
      </c>
      <c r="CK2080" t="s">
        <v>123</v>
      </c>
      <c r="CL2080" t="s">
        <v>89</v>
      </c>
    </row>
    <row r="2081" spans="1:90">
      <c r="A2081" t="s">
        <v>72</v>
      </c>
      <c r="B2081" t="s">
        <v>73</v>
      </c>
      <c r="C2081" t="s">
        <v>74</v>
      </c>
      <c r="E2081" t="str">
        <f>"FES1162726312"</f>
        <v>FES1162726312</v>
      </c>
      <c r="F2081" s="3">
        <v>43802</v>
      </c>
      <c r="G2081">
        <v>202006</v>
      </c>
      <c r="H2081" t="s">
        <v>75</v>
      </c>
      <c r="I2081" t="s">
        <v>76</v>
      </c>
      <c r="J2081" t="s">
        <v>100</v>
      </c>
      <c r="K2081" t="s">
        <v>78</v>
      </c>
      <c r="L2081" t="s">
        <v>101</v>
      </c>
      <c r="M2081" t="s">
        <v>102</v>
      </c>
      <c r="N2081" t="s">
        <v>1221</v>
      </c>
      <c r="O2081" t="s">
        <v>104</v>
      </c>
      <c r="P2081" t="str">
        <f>"2170719278                    "</f>
        <v xml:space="preserve">2170719278                    </v>
      </c>
      <c r="Q2081">
        <v>0</v>
      </c>
      <c r="R2081">
        <v>0</v>
      </c>
      <c r="S2081">
        <v>0</v>
      </c>
      <c r="T2081">
        <v>0</v>
      </c>
      <c r="U2081">
        <v>0</v>
      </c>
      <c r="V2081">
        <v>0</v>
      </c>
      <c r="W2081">
        <v>0</v>
      </c>
      <c r="X2081">
        <v>0</v>
      </c>
      <c r="Y2081">
        <v>0</v>
      </c>
      <c r="Z2081">
        <v>0</v>
      </c>
      <c r="AA2081">
        <v>0</v>
      </c>
      <c r="AB2081">
        <v>0</v>
      </c>
      <c r="AC2081">
        <v>0</v>
      </c>
      <c r="AD2081">
        <v>0</v>
      </c>
      <c r="AE2081">
        <v>0</v>
      </c>
      <c r="AF2081">
        <v>0</v>
      </c>
      <c r="AG2081">
        <v>0</v>
      </c>
      <c r="AH2081">
        <v>0</v>
      </c>
      <c r="AI2081">
        <v>0</v>
      </c>
      <c r="AJ2081">
        <v>0</v>
      </c>
      <c r="AK2081">
        <v>0</v>
      </c>
      <c r="AL2081">
        <v>0</v>
      </c>
      <c r="AM2081">
        <v>16.12</v>
      </c>
      <c r="AN2081">
        <v>0</v>
      </c>
      <c r="AO2081">
        <v>0</v>
      </c>
      <c r="AP2081">
        <v>0</v>
      </c>
      <c r="AQ2081">
        <v>0</v>
      </c>
      <c r="AR2081">
        <v>0</v>
      </c>
      <c r="AS2081">
        <v>0</v>
      </c>
      <c r="AT2081">
        <v>0</v>
      </c>
      <c r="AU2081">
        <v>0</v>
      </c>
      <c r="AV2081">
        <v>0</v>
      </c>
      <c r="AW2081">
        <v>0</v>
      </c>
      <c r="AX2081">
        <v>0</v>
      </c>
      <c r="AY2081">
        <v>0</v>
      </c>
      <c r="AZ2081">
        <v>0</v>
      </c>
      <c r="BA2081">
        <v>0</v>
      </c>
      <c r="BB2081">
        <v>0</v>
      </c>
      <c r="BC2081">
        <v>0</v>
      </c>
      <c r="BD2081">
        <v>0</v>
      </c>
      <c r="BE2081">
        <v>0</v>
      </c>
      <c r="BF2081">
        <v>0</v>
      </c>
      <c r="BG2081">
        <v>0</v>
      </c>
      <c r="BH2081">
        <v>1</v>
      </c>
      <c r="BI2081">
        <v>17.600000000000001</v>
      </c>
      <c r="BJ2081">
        <v>9.4</v>
      </c>
      <c r="BK2081">
        <v>18</v>
      </c>
      <c r="BL2081" s="4">
        <v>99.77</v>
      </c>
      <c r="BM2081" s="4">
        <v>14.97</v>
      </c>
      <c r="BN2081" s="4">
        <v>114.74</v>
      </c>
      <c r="BO2081" s="4">
        <v>114.74</v>
      </c>
      <c r="BQ2081" t="s">
        <v>135</v>
      </c>
      <c r="BR2081" t="s">
        <v>105</v>
      </c>
      <c r="BS2081" s="3">
        <v>43803</v>
      </c>
      <c r="BT2081" s="5">
        <v>0.39583333333333331</v>
      </c>
      <c r="BU2081" t="s">
        <v>313</v>
      </c>
      <c r="BV2081" t="s">
        <v>86</v>
      </c>
      <c r="BY2081">
        <v>47081.46</v>
      </c>
      <c r="CA2081" t="s">
        <v>1223</v>
      </c>
      <c r="CC2081" t="s">
        <v>102</v>
      </c>
      <c r="CD2081">
        <v>186</v>
      </c>
      <c r="CE2081" t="s">
        <v>96</v>
      </c>
      <c r="CF2081" s="3">
        <v>43804</v>
      </c>
      <c r="CI2081">
        <v>0</v>
      </c>
      <c r="CJ2081">
        <v>0</v>
      </c>
      <c r="CK2081" t="s">
        <v>108</v>
      </c>
      <c r="CL2081" t="s">
        <v>89</v>
      </c>
    </row>
    <row r="2082" spans="1:90">
      <c r="A2082" t="s">
        <v>72</v>
      </c>
      <c r="B2082" t="s">
        <v>73</v>
      </c>
      <c r="C2082" t="s">
        <v>74</v>
      </c>
      <c r="E2082" t="str">
        <f>"FES1162726386"</f>
        <v>FES1162726386</v>
      </c>
      <c r="F2082" s="3">
        <v>43802</v>
      </c>
      <c r="G2082">
        <v>202006</v>
      </c>
      <c r="H2082" t="s">
        <v>75</v>
      </c>
      <c r="I2082" t="s">
        <v>76</v>
      </c>
      <c r="J2082" t="s">
        <v>100</v>
      </c>
      <c r="K2082" t="s">
        <v>78</v>
      </c>
      <c r="L2082" t="s">
        <v>201</v>
      </c>
      <c r="M2082" t="s">
        <v>202</v>
      </c>
      <c r="N2082" t="s">
        <v>1212</v>
      </c>
      <c r="O2082" t="s">
        <v>104</v>
      </c>
      <c r="P2082" t="str">
        <f>"2170717970                    "</f>
        <v xml:space="preserve">2170717970                    </v>
      </c>
      <c r="Q2082">
        <v>0</v>
      </c>
      <c r="R2082">
        <v>0</v>
      </c>
      <c r="S2082">
        <v>0</v>
      </c>
      <c r="T2082">
        <v>0</v>
      </c>
      <c r="U2082">
        <v>0</v>
      </c>
      <c r="V2082">
        <v>0</v>
      </c>
      <c r="W2082">
        <v>0</v>
      </c>
      <c r="X2082">
        <v>0</v>
      </c>
      <c r="Y2082">
        <v>0</v>
      </c>
      <c r="Z2082">
        <v>0</v>
      </c>
      <c r="AA2082">
        <v>0</v>
      </c>
      <c r="AB2082">
        <v>0</v>
      </c>
      <c r="AC2082">
        <v>0</v>
      </c>
      <c r="AD2082">
        <v>0</v>
      </c>
      <c r="AE2082">
        <v>0</v>
      </c>
      <c r="AF2082">
        <v>0</v>
      </c>
      <c r="AG2082">
        <v>0</v>
      </c>
      <c r="AH2082">
        <v>0</v>
      </c>
      <c r="AI2082">
        <v>0</v>
      </c>
      <c r="AJ2082">
        <v>0</v>
      </c>
      <c r="AK2082">
        <v>0</v>
      </c>
      <c r="AL2082">
        <v>0</v>
      </c>
      <c r="AM2082">
        <v>19.190000000000001</v>
      </c>
      <c r="AN2082">
        <v>0</v>
      </c>
      <c r="AO2082">
        <v>0</v>
      </c>
      <c r="AP2082">
        <v>0</v>
      </c>
      <c r="AQ2082">
        <v>0</v>
      </c>
      <c r="AR2082">
        <v>0</v>
      </c>
      <c r="AS2082">
        <v>0</v>
      </c>
      <c r="AT2082">
        <v>0</v>
      </c>
      <c r="AU2082">
        <v>0</v>
      </c>
      <c r="AV2082">
        <v>0</v>
      </c>
      <c r="AW2082">
        <v>0</v>
      </c>
      <c r="AX2082">
        <v>0</v>
      </c>
      <c r="AY2082">
        <v>0</v>
      </c>
      <c r="AZ2082">
        <v>0</v>
      </c>
      <c r="BA2082">
        <v>0</v>
      </c>
      <c r="BB2082">
        <v>0</v>
      </c>
      <c r="BC2082">
        <v>0</v>
      </c>
      <c r="BD2082">
        <v>0</v>
      </c>
      <c r="BE2082">
        <v>0</v>
      </c>
      <c r="BF2082">
        <v>0</v>
      </c>
      <c r="BG2082">
        <v>0</v>
      </c>
      <c r="BH2082">
        <v>3</v>
      </c>
      <c r="BI2082">
        <v>19.8</v>
      </c>
      <c r="BJ2082">
        <v>28.8</v>
      </c>
      <c r="BK2082">
        <v>29</v>
      </c>
      <c r="BL2082" s="4">
        <v>117.79</v>
      </c>
      <c r="BM2082" s="4">
        <v>17.670000000000002</v>
      </c>
      <c r="BN2082" s="4">
        <v>135.46</v>
      </c>
      <c r="BO2082" s="4">
        <v>135.46</v>
      </c>
      <c r="BQ2082" t="s">
        <v>93</v>
      </c>
      <c r="BR2082" t="s">
        <v>105</v>
      </c>
      <c r="BS2082" s="3">
        <v>43803</v>
      </c>
      <c r="BT2082" s="5">
        <v>0.36249999999999999</v>
      </c>
      <c r="BU2082" t="s">
        <v>2356</v>
      </c>
      <c r="BV2082" t="s">
        <v>86</v>
      </c>
      <c r="BY2082">
        <v>143827.82</v>
      </c>
      <c r="CA2082" t="s">
        <v>205</v>
      </c>
      <c r="CC2082" t="s">
        <v>202</v>
      </c>
      <c r="CD2082">
        <v>3610</v>
      </c>
      <c r="CE2082" t="s">
        <v>2357</v>
      </c>
      <c r="CF2082" s="3">
        <v>43804</v>
      </c>
      <c r="CI2082">
        <v>1</v>
      </c>
      <c r="CJ2082">
        <v>1</v>
      </c>
      <c r="CK2082" t="s">
        <v>1164</v>
      </c>
      <c r="CL2082" t="s">
        <v>89</v>
      </c>
    </row>
    <row r="2083" spans="1:90">
      <c r="A2083" t="s">
        <v>72</v>
      </c>
      <c r="B2083" t="s">
        <v>73</v>
      </c>
      <c r="C2083" t="s">
        <v>74</v>
      </c>
      <c r="E2083" t="str">
        <f>"FES1162726499"</f>
        <v>FES1162726499</v>
      </c>
      <c r="F2083" s="3">
        <v>43802</v>
      </c>
      <c r="G2083">
        <v>202006</v>
      </c>
      <c r="H2083" t="s">
        <v>75</v>
      </c>
      <c r="I2083" t="s">
        <v>76</v>
      </c>
      <c r="J2083" t="s">
        <v>100</v>
      </c>
      <c r="K2083" t="s">
        <v>78</v>
      </c>
      <c r="L2083" t="s">
        <v>1051</v>
      </c>
      <c r="M2083" t="s">
        <v>1052</v>
      </c>
      <c r="N2083" t="s">
        <v>2358</v>
      </c>
      <c r="O2083" t="s">
        <v>104</v>
      </c>
      <c r="P2083" t="str">
        <f>"2170719943                    "</f>
        <v xml:space="preserve">2170719943                    </v>
      </c>
      <c r="Q2083">
        <v>0</v>
      </c>
      <c r="R2083">
        <v>0</v>
      </c>
      <c r="S2083">
        <v>0</v>
      </c>
      <c r="T2083">
        <v>0</v>
      </c>
      <c r="U2083">
        <v>0</v>
      </c>
      <c r="V2083">
        <v>0</v>
      </c>
      <c r="W2083">
        <v>0</v>
      </c>
      <c r="X2083">
        <v>0</v>
      </c>
      <c r="Y2083">
        <v>0</v>
      </c>
      <c r="Z2083">
        <v>0</v>
      </c>
      <c r="AA2083">
        <v>0</v>
      </c>
      <c r="AB2083">
        <v>0</v>
      </c>
      <c r="AC2083">
        <v>0</v>
      </c>
      <c r="AD2083">
        <v>0</v>
      </c>
      <c r="AE2083">
        <v>0</v>
      </c>
      <c r="AF2083">
        <v>0</v>
      </c>
      <c r="AG2083">
        <v>0</v>
      </c>
      <c r="AH2083">
        <v>0</v>
      </c>
      <c r="AI2083">
        <v>0</v>
      </c>
      <c r="AJ2083">
        <v>0</v>
      </c>
      <c r="AK2083">
        <v>0</v>
      </c>
      <c r="AL2083">
        <v>0</v>
      </c>
      <c r="AM2083">
        <v>13.28</v>
      </c>
      <c r="AN2083">
        <v>0</v>
      </c>
      <c r="AO2083">
        <v>0</v>
      </c>
      <c r="AP2083">
        <v>0</v>
      </c>
      <c r="AQ2083">
        <v>0</v>
      </c>
      <c r="AR2083">
        <v>0</v>
      </c>
      <c r="AS2083">
        <v>0</v>
      </c>
      <c r="AT2083">
        <v>0</v>
      </c>
      <c r="AU2083">
        <v>0</v>
      </c>
      <c r="AV2083">
        <v>0</v>
      </c>
      <c r="AW2083">
        <v>0</v>
      </c>
      <c r="AX2083">
        <v>0</v>
      </c>
      <c r="AY2083">
        <v>0</v>
      </c>
      <c r="AZ2083">
        <v>0</v>
      </c>
      <c r="BA2083">
        <v>0</v>
      </c>
      <c r="BB2083">
        <v>0</v>
      </c>
      <c r="BC2083">
        <v>0</v>
      </c>
      <c r="BD2083">
        <v>0</v>
      </c>
      <c r="BE2083">
        <v>0</v>
      </c>
      <c r="BF2083">
        <v>0</v>
      </c>
      <c r="BG2083">
        <v>0</v>
      </c>
      <c r="BH2083">
        <v>1</v>
      </c>
      <c r="BI2083">
        <v>8.1</v>
      </c>
      <c r="BJ2083">
        <v>17.899999999999999</v>
      </c>
      <c r="BK2083">
        <v>18</v>
      </c>
      <c r="BL2083" s="4">
        <v>83.07</v>
      </c>
      <c r="BM2083" s="4">
        <v>12.46</v>
      </c>
      <c r="BN2083" s="4">
        <v>95.53</v>
      </c>
      <c r="BO2083" s="4">
        <v>95.53</v>
      </c>
      <c r="BQ2083" t="s">
        <v>135</v>
      </c>
      <c r="BR2083" t="s">
        <v>105</v>
      </c>
      <c r="BS2083" s="3">
        <v>43803</v>
      </c>
      <c r="BT2083" s="5">
        <v>0.37013888888888885</v>
      </c>
      <c r="BU2083" t="s">
        <v>2359</v>
      </c>
      <c r="BV2083" t="s">
        <v>86</v>
      </c>
      <c r="BY2083">
        <v>89252.09</v>
      </c>
      <c r="CC2083" t="s">
        <v>1052</v>
      </c>
      <c r="CD2083">
        <v>1739</v>
      </c>
      <c r="CE2083" t="s">
        <v>96</v>
      </c>
      <c r="CF2083" s="3">
        <v>43804</v>
      </c>
      <c r="CI2083">
        <v>1</v>
      </c>
      <c r="CJ2083">
        <v>1</v>
      </c>
      <c r="CK2083" t="s">
        <v>123</v>
      </c>
      <c r="CL2083" t="s">
        <v>89</v>
      </c>
    </row>
    <row r="2084" spans="1:90">
      <c r="A2084" t="s">
        <v>72</v>
      </c>
      <c r="B2084" t="s">
        <v>73</v>
      </c>
      <c r="C2084" t="s">
        <v>74</v>
      </c>
      <c r="E2084" t="str">
        <f>"FES1162726412"</f>
        <v>FES1162726412</v>
      </c>
      <c r="F2084" s="3">
        <v>43802</v>
      </c>
      <c r="G2084">
        <v>202006</v>
      </c>
      <c r="H2084" t="s">
        <v>75</v>
      </c>
      <c r="I2084" t="s">
        <v>76</v>
      </c>
      <c r="J2084" t="s">
        <v>100</v>
      </c>
      <c r="K2084" t="s">
        <v>78</v>
      </c>
      <c r="L2084" t="s">
        <v>671</v>
      </c>
      <c r="M2084" t="s">
        <v>672</v>
      </c>
      <c r="N2084" t="s">
        <v>1557</v>
      </c>
      <c r="O2084" t="s">
        <v>104</v>
      </c>
      <c r="P2084" t="str">
        <f>"2170719353                    "</f>
        <v xml:space="preserve">2170719353                    </v>
      </c>
      <c r="Q2084">
        <v>0</v>
      </c>
      <c r="R2084">
        <v>0</v>
      </c>
      <c r="S2084">
        <v>0</v>
      </c>
      <c r="T2084">
        <v>0</v>
      </c>
      <c r="U2084">
        <v>0</v>
      </c>
      <c r="V2084">
        <v>0</v>
      </c>
      <c r="W2084">
        <v>0</v>
      </c>
      <c r="X2084">
        <v>0</v>
      </c>
      <c r="Y2084">
        <v>0</v>
      </c>
      <c r="Z2084">
        <v>0</v>
      </c>
      <c r="AA2084">
        <v>0</v>
      </c>
      <c r="AB2084">
        <v>0</v>
      </c>
      <c r="AC2084">
        <v>0</v>
      </c>
      <c r="AD2084">
        <v>0</v>
      </c>
      <c r="AE2084">
        <v>0</v>
      </c>
      <c r="AF2084">
        <v>0</v>
      </c>
      <c r="AG2084">
        <v>0</v>
      </c>
      <c r="AH2084">
        <v>0</v>
      </c>
      <c r="AI2084">
        <v>0</v>
      </c>
      <c r="AJ2084">
        <v>0</v>
      </c>
      <c r="AK2084">
        <v>0</v>
      </c>
      <c r="AL2084">
        <v>0</v>
      </c>
      <c r="AM2084">
        <v>14.75</v>
      </c>
      <c r="AN2084">
        <v>0</v>
      </c>
      <c r="AO2084">
        <v>0</v>
      </c>
      <c r="AP2084">
        <v>0</v>
      </c>
      <c r="AQ2084">
        <v>0</v>
      </c>
      <c r="AR2084">
        <v>0</v>
      </c>
      <c r="AS2084">
        <v>0</v>
      </c>
      <c r="AT2084">
        <v>0</v>
      </c>
      <c r="AU2084">
        <v>0</v>
      </c>
      <c r="AV2084">
        <v>0</v>
      </c>
      <c r="AW2084">
        <v>0</v>
      </c>
      <c r="AX2084">
        <v>0</v>
      </c>
      <c r="AY2084">
        <v>0</v>
      </c>
      <c r="AZ2084">
        <v>0</v>
      </c>
      <c r="BA2084">
        <v>0</v>
      </c>
      <c r="BB2084">
        <v>0</v>
      </c>
      <c r="BC2084">
        <v>0</v>
      </c>
      <c r="BD2084">
        <v>0</v>
      </c>
      <c r="BE2084">
        <v>0</v>
      </c>
      <c r="BF2084">
        <v>0</v>
      </c>
      <c r="BG2084">
        <v>0</v>
      </c>
      <c r="BH2084">
        <v>1</v>
      </c>
      <c r="BI2084">
        <v>2.5</v>
      </c>
      <c r="BJ2084">
        <v>3.1</v>
      </c>
      <c r="BK2084">
        <v>3</v>
      </c>
      <c r="BL2084" s="4">
        <v>91.71</v>
      </c>
      <c r="BM2084" s="4">
        <v>13.76</v>
      </c>
      <c r="BN2084" s="4">
        <v>105.47</v>
      </c>
      <c r="BO2084" s="4">
        <v>105.47</v>
      </c>
      <c r="BQ2084" t="s">
        <v>148</v>
      </c>
      <c r="BR2084" t="s">
        <v>105</v>
      </c>
      <c r="BS2084" s="3">
        <v>43803</v>
      </c>
      <c r="BT2084" s="5">
        <v>0.33333333333333331</v>
      </c>
      <c r="BU2084" t="s">
        <v>2360</v>
      </c>
      <c r="BV2084" t="s">
        <v>86</v>
      </c>
      <c r="BY2084">
        <v>15399.73</v>
      </c>
      <c r="CA2084" t="s">
        <v>946</v>
      </c>
      <c r="CC2084" t="s">
        <v>672</v>
      </c>
      <c r="CD2084">
        <v>1911</v>
      </c>
      <c r="CE2084" t="s">
        <v>96</v>
      </c>
      <c r="CF2084" s="3">
        <v>43804</v>
      </c>
      <c r="CI2084">
        <v>1</v>
      </c>
      <c r="CJ2084">
        <v>1</v>
      </c>
      <c r="CK2084" t="s">
        <v>108</v>
      </c>
      <c r="CL2084" t="s">
        <v>89</v>
      </c>
    </row>
    <row r="2085" spans="1:90">
      <c r="A2085" t="s">
        <v>72</v>
      </c>
      <c r="B2085" t="s">
        <v>73</v>
      </c>
      <c r="C2085" t="s">
        <v>74</v>
      </c>
      <c r="E2085" t="str">
        <f>"FES1162726396"</f>
        <v>FES1162726396</v>
      </c>
      <c r="F2085" s="3">
        <v>43802</v>
      </c>
      <c r="G2085">
        <v>202006</v>
      </c>
      <c r="H2085" t="s">
        <v>75</v>
      </c>
      <c r="I2085" t="s">
        <v>76</v>
      </c>
      <c r="J2085" t="s">
        <v>100</v>
      </c>
      <c r="K2085" t="s">
        <v>78</v>
      </c>
      <c r="L2085" t="s">
        <v>101</v>
      </c>
      <c r="M2085" t="s">
        <v>102</v>
      </c>
      <c r="N2085" t="s">
        <v>161</v>
      </c>
      <c r="O2085" t="s">
        <v>104</v>
      </c>
      <c r="P2085" t="str">
        <f>"2170718947                    "</f>
        <v xml:space="preserve">2170718947                    </v>
      </c>
      <c r="Q2085">
        <v>0</v>
      </c>
      <c r="R2085">
        <v>0</v>
      </c>
      <c r="S2085">
        <v>0</v>
      </c>
      <c r="T2085">
        <v>0</v>
      </c>
      <c r="U2085">
        <v>0</v>
      </c>
      <c r="V2085">
        <v>0</v>
      </c>
      <c r="W2085">
        <v>0</v>
      </c>
      <c r="X2085">
        <v>0</v>
      </c>
      <c r="Y2085">
        <v>0</v>
      </c>
      <c r="Z2085">
        <v>0</v>
      </c>
      <c r="AA2085">
        <v>0</v>
      </c>
      <c r="AB2085">
        <v>0</v>
      </c>
      <c r="AC2085">
        <v>0</v>
      </c>
      <c r="AD2085">
        <v>0</v>
      </c>
      <c r="AE2085">
        <v>0</v>
      </c>
      <c r="AF2085">
        <v>0</v>
      </c>
      <c r="AG2085">
        <v>0</v>
      </c>
      <c r="AH2085">
        <v>0</v>
      </c>
      <c r="AI2085">
        <v>0</v>
      </c>
      <c r="AJ2085">
        <v>0</v>
      </c>
      <c r="AK2085">
        <v>0</v>
      </c>
      <c r="AL2085">
        <v>0</v>
      </c>
      <c r="AM2085">
        <v>14.75</v>
      </c>
      <c r="AN2085">
        <v>0</v>
      </c>
      <c r="AO2085">
        <v>0</v>
      </c>
      <c r="AP2085">
        <v>0</v>
      </c>
      <c r="AQ2085">
        <v>0</v>
      </c>
      <c r="AR2085">
        <v>0</v>
      </c>
      <c r="AS2085">
        <v>0</v>
      </c>
      <c r="AT2085">
        <v>0</v>
      </c>
      <c r="AU2085">
        <v>0</v>
      </c>
      <c r="AV2085">
        <v>0</v>
      </c>
      <c r="AW2085">
        <v>0</v>
      </c>
      <c r="AX2085">
        <v>0</v>
      </c>
      <c r="AY2085">
        <v>0</v>
      </c>
      <c r="AZ2085">
        <v>0</v>
      </c>
      <c r="BA2085">
        <v>0</v>
      </c>
      <c r="BB2085">
        <v>0</v>
      </c>
      <c r="BC2085">
        <v>0</v>
      </c>
      <c r="BD2085">
        <v>0</v>
      </c>
      <c r="BE2085">
        <v>0</v>
      </c>
      <c r="BF2085">
        <v>0</v>
      </c>
      <c r="BG2085">
        <v>0</v>
      </c>
      <c r="BH2085">
        <v>1</v>
      </c>
      <c r="BI2085">
        <v>7.4</v>
      </c>
      <c r="BJ2085">
        <v>13.5</v>
      </c>
      <c r="BK2085">
        <v>14</v>
      </c>
      <c r="BL2085" s="4">
        <v>91.71</v>
      </c>
      <c r="BM2085" s="4">
        <v>13.76</v>
      </c>
      <c r="BN2085" s="4">
        <v>105.47</v>
      </c>
      <c r="BO2085" s="4">
        <v>105.47</v>
      </c>
      <c r="BQ2085" t="s">
        <v>93</v>
      </c>
      <c r="BR2085" t="s">
        <v>105</v>
      </c>
      <c r="BS2085" s="3">
        <v>43803</v>
      </c>
      <c r="BT2085" s="5">
        <v>0.3923611111111111</v>
      </c>
      <c r="BU2085" t="s">
        <v>445</v>
      </c>
      <c r="BV2085" t="s">
        <v>86</v>
      </c>
      <c r="BY2085">
        <v>67552.97</v>
      </c>
      <c r="CA2085" t="s">
        <v>163</v>
      </c>
      <c r="CC2085" t="s">
        <v>102</v>
      </c>
      <c r="CD2085">
        <v>200</v>
      </c>
      <c r="CE2085" t="s">
        <v>116</v>
      </c>
      <c r="CF2085" s="3">
        <v>43804</v>
      </c>
      <c r="CI2085">
        <v>0</v>
      </c>
      <c r="CJ2085">
        <v>0</v>
      </c>
      <c r="CK2085" t="s">
        <v>108</v>
      </c>
      <c r="CL2085" t="s">
        <v>89</v>
      </c>
    </row>
    <row r="2086" spans="1:90">
      <c r="A2086" t="s">
        <v>72</v>
      </c>
      <c r="B2086" t="s">
        <v>73</v>
      </c>
      <c r="C2086" t="s">
        <v>74</v>
      </c>
      <c r="E2086" t="str">
        <f>"FES1162727254"</f>
        <v>FES1162727254</v>
      </c>
      <c r="F2086" s="3">
        <v>43805</v>
      </c>
      <c r="G2086">
        <v>202006</v>
      </c>
      <c r="H2086" t="s">
        <v>75</v>
      </c>
      <c r="I2086" t="s">
        <v>76</v>
      </c>
      <c r="J2086" t="s">
        <v>100</v>
      </c>
      <c r="K2086" t="s">
        <v>78</v>
      </c>
      <c r="L2086" t="s">
        <v>332</v>
      </c>
      <c r="M2086" t="s">
        <v>333</v>
      </c>
      <c r="N2086" t="s">
        <v>701</v>
      </c>
      <c r="O2086" t="s">
        <v>104</v>
      </c>
      <c r="P2086" t="str">
        <f>"2170720741                    "</f>
        <v xml:space="preserve">2170720741                    </v>
      </c>
      <c r="Q2086">
        <v>0</v>
      </c>
      <c r="R2086">
        <v>0</v>
      </c>
      <c r="S2086">
        <v>0</v>
      </c>
      <c r="T2086">
        <v>0</v>
      </c>
      <c r="U2086">
        <v>0</v>
      </c>
      <c r="V2086">
        <v>0</v>
      </c>
      <c r="W2086">
        <v>0</v>
      </c>
      <c r="X2086">
        <v>0</v>
      </c>
      <c r="Y2086">
        <v>0</v>
      </c>
      <c r="Z2086">
        <v>0</v>
      </c>
      <c r="AA2086">
        <v>0</v>
      </c>
      <c r="AB2086">
        <v>0</v>
      </c>
      <c r="AC2086">
        <v>0</v>
      </c>
      <c r="AD2086">
        <v>0</v>
      </c>
      <c r="AE2086">
        <v>0</v>
      </c>
      <c r="AF2086">
        <v>0</v>
      </c>
      <c r="AG2086">
        <v>0</v>
      </c>
      <c r="AH2086">
        <v>0</v>
      </c>
      <c r="AI2086">
        <v>0</v>
      </c>
      <c r="AJ2086">
        <v>0</v>
      </c>
      <c r="AK2086">
        <v>0</v>
      </c>
      <c r="AL2086">
        <v>0</v>
      </c>
      <c r="AM2086">
        <v>13.69</v>
      </c>
      <c r="AN2086">
        <v>0</v>
      </c>
      <c r="AO2086">
        <v>0</v>
      </c>
      <c r="AP2086">
        <v>0</v>
      </c>
      <c r="AQ2086">
        <v>0</v>
      </c>
      <c r="AR2086">
        <v>0</v>
      </c>
      <c r="AS2086">
        <v>0</v>
      </c>
      <c r="AT2086">
        <v>0</v>
      </c>
      <c r="AU2086">
        <v>0</v>
      </c>
      <c r="AV2086">
        <v>0</v>
      </c>
      <c r="AW2086">
        <v>0</v>
      </c>
      <c r="AX2086">
        <v>0</v>
      </c>
      <c r="AY2086">
        <v>0</v>
      </c>
      <c r="AZ2086">
        <v>0</v>
      </c>
      <c r="BA2086">
        <v>0</v>
      </c>
      <c r="BB2086">
        <v>0</v>
      </c>
      <c r="BC2086">
        <v>0</v>
      </c>
      <c r="BD2086">
        <v>0</v>
      </c>
      <c r="BE2086">
        <v>0</v>
      </c>
      <c r="BF2086">
        <v>0</v>
      </c>
      <c r="BG2086">
        <v>0</v>
      </c>
      <c r="BH2086">
        <v>2</v>
      </c>
      <c r="BI2086">
        <v>18.399999999999999</v>
      </c>
      <c r="BJ2086">
        <v>12.9</v>
      </c>
      <c r="BK2086">
        <v>19</v>
      </c>
      <c r="BL2086" s="4">
        <v>85.45</v>
      </c>
      <c r="BM2086" s="4">
        <v>12.82</v>
      </c>
      <c r="BN2086" s="4">
        <v>98.27</v>
      </c>
      <c r="BO2086" s="4">
        <v>98.27</v>
      </c>
      <c r="BQ2086" t="s">
        <v>93</v>
      </c>
      <c r="BR2086" t="s">
        <v>105</v>
      </c>
      <c r="BS2086" s="3">
        <v>43808</v>
      </c>
      <c r="BT2086" s="5">
        <v>0.42222222222222222</v>
      </c>
      <c r="BU2086" t="s">
        <v>708</v>
      </c>
      <c r="BV2086" t="s">
        <v>86</v>
      </c>
      <c r="BY2086">
        <v>64523.32</v>
      </c>
      <c r="CA2086" t="s">
        <v>700</v>
      </c>
      <c r="CC2086" t="s">
        <v>333</v>
      </c>
      <c r="CD2086">
        <v>2094</v>
      </c>
      <c r="CE2086" t="s">
        <v>122</v>
      </c>
      <c r="CF2086" s="3">
        <v>43809</v>
      </c>
      <c r="CI2086">
        <v>1</v>
      </c>
      <c r="CJ2086">
        <v>1</v>
      </c>
      <c r="CK2086" t="s">
        <v>123</v>
      </c>
      <c r="CL2086" t="s">
        <v>89</v>
      </c>
    </row>
    <row r="2087" spans="1:90">
      <c r="A2087" t="s">
        <v>72</v>
      </c>
      <c r="B2087" t="s">
        <v>73</v>
      </c>
      <c r="C2087" t="s">
        <v>74</v>
      </c>
      <c r="E2087" t="str">
        <f>"FES1162726388"</f>
        <v>FES1162726388</v>
      </c>
      <c r="F2087" s="3">
        <v>43803</v>
      </c>
      <c r="G2087">
        <v>202006</v>
      </c>
      <c r="H2087" t="s">
        <v>75</v>
      </c>
      <c r="I2087" t="s">
        <v>76</v>
      </c>
      <c r="J2087" t="s">
        <v>100</v>
      </c>
      <c r="K2087" t="s">
        <v>78</v>
      </c>
      <c r="L2087" t="s">
        <v>671</v>
      </c>
      <c r="M2087" t="s">
        <v>672</v>
      </c>
      <c r="N2087" t="s">
        <v>639</v>
      </c>
      <c r="O2087" t="s">
        <v>104</v>
      </c>
      <c r="P2087" t="str">
        <f>"2170718296                    "</f>
        <v xml:space="preserve">2170718296                    </v>
      </c>
      <c r="Q2087">
        <v>0</v>
      </c>
      <c r="R2087">
        <v>0</v>
      </c>
      <c r="S2087">
        <v>0</v>
      </c>
      <c r="T2087">
        <v>0</v>
      </c>
      <c r="U2087">
        <v>0</v>
      </c>
      <c r="V2087">
        <v>0</v>
      </c>
      <c r="W2087">
        <v>0</v>
      </c>
      <c r="X2087">
        <v>0</v>
      </c>
      <c r="Y2087">
        <v>0</v>
      </c>
      <c r="Z2087">
        <v>0</v>
      </c>
      <c r="AA2087">
        <v>0</v>
      </c>
      <c r="AB2087">
        <v>0</v>
      </c>
      <c r="AC2087">
        <v>0</v>
      </c>
      <c r="AD2087">
        <v>0</v>
      </c>
      <c r="AE2087">
        <v>0</v>
      </c>
      <c r="AF2087">
        <v>0</v>
      </c>
      <c r="AG2087">
        <v>0</v>
      </c>
      <c r="AH2087">
        <v>0</v>
      </c>
      <c r="AI2087">
        <v>0</v>
      </c>
      <c r="AJ2087">
        <v>0</v>
      </c>
      <c r="AK2087">
        <v>0</v>
      </c>
      <c r="AL2087">
        <v>0</v>
      </c>
      <c r="AM2087">
        <v>14.75</v>
      </c>
      <c r="AN2087">
        <v>0</v>
      </c>
      <c r="AO2087">
        <v>0</v>
      </c>
      <c r="AP2087">
        <v>0</v>
      </c>
      <c r="AQ2087">
        <v>0</v>
      </c>
      <c r="AR2087">
        <v>0</v>
      </c>
      <c r="AS2087">
        <v>0</v>
      </c>
      <c r="AT2087">
        <v>0</v>
      </c>
      <c r="AU2087">
        <v>0</v>
      </c>
      <c r="AV2087">
        <v>0</v>
      </c>
      <c r="AW2087">
        <v>0</v>
      </c>
      <c r="AX2087">
        <v>0</v>
      </c>
      <c r="AY2087">
        <v>0</v>
      </c>
      <c r="AZ2087">
        <v>0</v>
      </c>
      <c r="BA2087">
        <v>0</v>
      </c>
      <c r="BB2087">
        <v>0</v>
      </c>
      <c r="BC2087">
        <v>0</v>
      </c>
      <c r="BD2087">
        <v>0</v>
      </c>
      <c r="BE2087">
        <v>0</v>
      </c>
      <c r="BF2087">
        <v>0</v>
      </c>
      <c r="BG2087">
        <v>0</v>
      </c>
      <c r="BH2087">
        <v>1</v>
      </c>
      <c r="BI2087">
        <v>7.5</v>
      </c>
      <c r="BJ2087">
        <v>5.2</v>
      </c>
      <c r="BK2087">
        <v>8</v>
      </c>
      <c r="BL2087" s="4">
        <v>91.71</v>
      </c>
      <c r="BM2087" s="4">
        <v>13.76</v>
      </c>
      <c r="BN2087" s="4">
        <v>105.47</v>
      </c>
      <c r="BO2087" s="4">
        <v>105.47</v>
      </c>
      <c r="BQ2087" t="s">
        <v>93</v>
      </c>
      <c r="BR2087" t="s">
        <v>105</v>
      </c>
      <c r="BS2087" s="3">
        <v>43804</v>
      </c>
      <c r="BT2087" s="5">
        <v>0.4375</v>
      </c>
      <c r="BU2087" t="s">
        <v>1552</v>
      </c>
      <c r="BV2087" t="s">
        <v>86</v>
      </c>
      <c r="BY2087">
        <v>26248.32</v>
      </c>
      <c r="CA2087" t="s">
        <v>946</v>
      </c>
      <c r="CC2087" t="s">
        <v>672</v>
      </c>
      <c r="CD2087">
        <v>1911</v>
      </c>
      <c r="CE2087" t="s">
        <v>556</v>
      </c>
      <c r="CF2087" s="3">
        <v>43805</v>
      </c>
      <c r="CI2087">
        <v>1</v>
      </c>
      <c r="CJ2087">
        <v>1</v>
      </c>
      <c r="CK2087" t="s">
        <v>108</v>
      </c>
      <c r="CL2087" t="s">
        <v>89</v>
      </c>
    </row>
    <row r="2088" spans="1:90">
      <c r="A2088" t="s">
        <v>72</v>
      </c>
      <c r="B2088" t="s">
        <v>73</v>
      </c>
      <c r="C2088" t="s">
        <v>74</v>
      </c>
      <c r="E2088" t="str">
        <f>"FES1162726572"</f>
        <v>FES1162726572</v>
      </c>
      <c r="F2088" s="3">
        <v>43803</v>
      </c>
      <c r="G2088">
        <v>202006</v>
      </c>
      <c r="H2088" t="s">
        <v>75</v>
      </c>
      <c r="I2088" t="s">
        <v>76</v>
      </c>
      <c r="J2088" t="s">
        <v>100</v>
      </c>
      <c r="K2088" t="s">
        <v>78</v>
      </c>
      <c r="L2088" t="s">
        <v>101</v>
      </c>
      <c r="M2088" t="s">
        <v>102</v>
      </c>
      <c r="N2088" t="s">
        <v>2361</v>
      </c>
      <c r="O2088" t="s">
        <v>104</v>
      </c>
      <c r="P2088" t="str">
        <f>"2170719529                    "</f>
        <v xml:space="preserve">2170719529                    </v>
      </c>
      <c r="Q2088">
        <v>0</v>
      </c>
      <c r="R2088">
        <v>0</v>
      </c>
      <c r="S2088">
        <v>0</v>
      </c>
      <c r="T2088">
        <v>0</v>
      </c>
      <c r="U2088">
        <v>0</v>
      </c>
      <c r="V2088">
        <v>0</v>
      </c>
      <c r="W2088">
        <v>0</v>
      </c>
      <c r="X2088">
        <v>0</v>
      </c>
      <c r="Y2088">
        <v>0</v>
      </c>
      <c r="Z2088">
        <v>0</v>
      </c>
      <c r="AA2088">
        <v>0</v>
      </c>
      <c r="AB2088">
        <v>0</v>
      </c>
      <c r="AC2088">
        <v>0</v>
      </c>
      <c r="AD2088">
        <v>0</v>
      </c>
      <c r="AE2088">
        <v>0</v>
      </c>
      <c r="AF2088">
        <v>0</v>
      </c>
      <c r="AG2088">
        <v>0</v>
      </c>
      <c r="AH2088">
        <v>0</v>
      </c>
      <c r="AI2088">
        <v>0</v>
      </c>
      <c r="AJ2088">
        <v>0</v>
      </c>
      <c r="AK2088">
        <v>0</v>
      </c>
      <c r="AL2088">
        <v>0</v>
      </c>
      <c r="AM2088">
        <v>14.75</v>
      </c>
      <c r="AN2088">
        <v>0</v>
      </c>
      <c r="AO2088">
        <v>0</v>
      </c>
      <c r="AP2088">
        <v>0</v>
      </c>
      <c r="AQ2088">
        <v>0</v>
      </c>
      <c r="AR2088">
        <v>0</v>
      </c>
      <c r="AS2088">
        <v>0</v>
      </c>
      <c r="AT2088">
        <v>0</v>
      </c>
      <c r="AU2088">
        <v>0</v>
      </c>
      <c r="AV2088">
        <v>0</v>
      </c>
      <c r="AW2088">
        <v>0</v>
      </c>
      <c r="AX2088">
        <v>0</v>
      </c>
      <c r="AY2088">
        <v>0</v>
      </c>
      <c r="AZ2088">
        <v>0</v>
      </c>
      <c r="BA2088">
        <v>0</v>
      </c>
      <c r="BB2088">
        <v>0</v>
      </c>
      <c r="BC2088">
        <v>0</v>
      </c>
      <c r="BD2088">
        <v>0</v>
      </c>
      <c r="BE2088">
        <v>0</v>
      </c>
      <c r="BF2088">
        <v>0</v>
      </c>
      <c r="BG2088">
        <v>0</v>
      </c>
      <c r="BH2088">
        <v>1</v>
      </c>
      <c r="BI2088">
        <v>11</v>
      </c>
      <c r="BJ2088">
        <v>4.5999999999999996</v>
      </c>
      <c r="BK2088">
        <v>11</v>
      </c>
      <c r="BL2088" s="4">
        <v>91.71</v>
      </c>
      <c r="BM2088" s="4">
        <v>13.76</v>
      </c>
      <c r="BN2088" s="4">
        <v>105.47</v>
      </c>
      <c r="BO2088" s="4">
        <v>105.47</v>
      </c>
      <c r="BQ2088" t="s">
        <v>93</v>
      </c>
      <c r="BR2088" t="s">
        <v>105</v>
      </c>
      <c r="BS2088" s="3">
        <v>43804</v>
      </c>
      <c r="BT2088" s="5">
        <v>0.39930555555555558</v>
      </c>
      <c r="BU2088" t="s">
        <v>2362</v>
      </c>
      <c r="BV2088" t="s">
        <v>86</v>
      </c>
      <c r="BY2088">
        <v>23140.32</v>
      </c>
      <c r="CC2088" t="s">
        <v>102</v>
      </c>
      <c r="CD2088">
        <v>200</v>
      </c>
      <c r="CE2088" t="s">
        <v>2363</v>
      </c>
      <c r="CF2088" s="3">
        <v>43805</v>
      </c>
      <c r="CI2088">
        <v>0</v>
      </c>
      <c r="CJ2088">
        <v>0</v>
      </c>
      <c r="CK2088" t="s">
        <v>108</v>
      </c>
      <c r="CL2088" t="s">
        <v>89</v>
      </c>
    </row>
    <row r="2089" spans="1:90">
      <c r="A2089" t="s">
        <v>72</v>
      </c>
      <c r="B2089" t="s">
        <v>73</v>
      </c>
      <c r="C2089" t="s">
        <v>74</v>
      </c>
      <c r="E2089" t="str">
        <f>"FES1162726664"</f>
        <v>FES1162726664</v>
      </c>
      <c r="F2089" s="3">
        <v>43803</v>
      </c>
      <c r="G2089">
        <v>202006</v>
      </c>
      <c r="H2089" t="s">
        <v>75</v>
      </c>
      <c r="I2089" t="s">
        <v>76</v>
      </c>
      <c r="J2089" t="s">
        <v>100</v>
      </c>
      <c r="K2089" t="s">
        <v>78</v>
      </c>
      <c r="L2089" t="s">
        <v>340</v>
      </c>
      <c r="M2089" t="s">
        <v>341</v>
      </c>
      <c r="N2089" t="s">
        <v>342</v>
      </c>
      <c r="O2089" t="s">
        <v>104</v>
      </c>
      <c r="P2089" t="str">
        <f>"2170717220                    "</f>
        <v xml:space="preserve">2170717220                    </v>
      </c>
      <c r="Q2089">
        <v>0</v>
      </c>
      <c r="R2089">
        <v>0</v>
      </c>
      <c r="S2089">
        <v>0</v>
      </c>
      <c r="T2089">
        <v>0</v>
      </c>
      <c r="U2089">
        <v>0</v>
      </c>
      <c r="V2089">
        <v>0</v>
      </c>
      <c r="W2089">
        <v>0</v>
      </c>
      <c r="X2089">
        <v>0</v>
      </c>
      <c r="Y2089">
        <v>0</v>
      </c>
      <c r="Z2089">
        <v>0</v>
      </c>
      <c r="AA2089">
        <v>0</v>
      </c>
      <c r="AB2089">
        <v>0</v>
      </c>
      <c r="AC2089">
        <v>0</v>
      </c>
      <c r="AD2089">
        <v>0</v>
      </c>
      <c r="AE2089">
        <v>0</v>
      </c>
      <c r="AF2089">
        <v>0</v>
      </c>
      <c r="AG2089">
        <v>0</v>
      </c>
      <c r="AH2089">
        <v>0</v>
      </c>
      <c r="AI2089">
        <v>0</v>
      </c>
      <c r="AJ2089">
        <v>0</v>
      </c>
      <c r="AK2089">
        <v>0</v>
      </c>
      <c r="AL2089">
        <v>0</v>
      </c>
      <c r="AM2089">
        <v>16.09</v>
      </c>
      <c r="AN2089">
        <v>0</v>
      </c>
      <c r="AO2089">
        <v>0</v>
      </c>
      <c r="AP2089">
        <v>0</v>
      </c>
      <c r="AQ2089">
        <v>0</v>
      </c>
      <c r="AR2089">
        <v>0</v>
      </c>
      <c r="AS2089">
        <v>0</v>
      </c>
      <c r="AT2089">
        <v>0</v>
      </c>
      <c r="AU2089">
        <v>0</v>
      </c>
      <c r="AV2089">
        <v>0</v>
      </c>
      <c r="AW2089">
        <v>0</v>
      </c>
      <c r="AX2089">
        <v>0</v>
      </c>
      <c r="AY2089">
        <v>0</v>
      </c>
      <c r="AZ2089">
        <v>0</v>
      </c>
      <c r="BA2089">
        <v>0</v>
      </c>
      <c r="BB2089">
        <v>0</v>
      </c>
      <c r="BC2089">
        <v>0</v>
      </c>
      <c r="BD2089">
        <v>0</v>
      </c>
      <c r="BE2089">
        <v>0</v>
      </c>
      <c r="BF2089">
        <v>0</v>
      </c>
      <c r="BG2089">
        <v>0</v>
      </c>
      <c r="BH2089">
        <v>1</v>
      </c>
      <c r="BI2089">
        <v>7</v>
      </c>
      <c r="BJ2089">
        <v>0.5</v>
      </c>
      <c r="BK2089">
        <v>7</v>
      </c>
      <c r="BL2089" s="4">
        <v>99.59</v>
      </c>
      <c r="BM2089" s="4">
        <v>14.94</v>
      </c>
      <c r="BN2089" s="4">
        <v>114.53</v>
      </c>
      <c r="BO2089" s="4">
        <v>114.53</v>
      </c>
      <c r="BQ2089" t="s">
        <v>93</v>
      </c>
      <c r="BR2089" t="s">
        <v>105</v>
      </c>
      <c r="BS2089" s="3">
        <v>43804</v>
      </c>
      <c r="BT2089" s="5">
        <v>0.375</v>
      </c>
      <c r="BU2089" t="s">
        <v>2364</v>
      </c>
      <c r="BV2089" t="s">
        <v>86</v>
      </c>
      <c r="BY2089">
        <v>2730</v>
      </c>
      <c r="CC2089" t="s">
        <v>341</v>
      </c>
      <c r="CD2089">
        <v>1947</v>
      </c>
      <c r="CE2089" t="s">
        <v>116</v>
      </c>
      <c r="CF2089" s="3">
        <v>43805</v>
      </c>
      <c r="CI2089">
        <v>1</v>
      </c>
      <c r="CJ2089">
        <v>1</v>
      </c>
      <c r="CK2089" t="s">
        <v>740</v>
      </c>
      <c r="CL2089" t="s">
        <v>89</v>
      </c>
    </row>
    <row r="2090" spans="1:90">
      <c r="A2090" t="s">
        <v>72</v>
      </c>
      <c r="B2090" t="s">
        <v>73</v>
      </c>
      <c r="C2090" t="s">
        <v>74</v>
      </c>
      <c r="E2090" t="str">
        <f>"FES1162726875"</f>
        <v>FES1162726875</v>
      </c>
      <c r="F2090" s="3">
        <v>43803</v>
      </c>
      <c r="G2090">
        <v>202006</v>
      </c>
      <c r="H2090" t="s">
        <v>75</v>
      </c>
      <c r="I2090" t="s">
        <v>76</v>
      </c>
      <c r="J2090" t="s">
        <v>100</v>
      </c>
      <c r="K2090" t="s">
        <v>78</v>
      </c>
      <c r="L2090" t="s">
        <v>79</v>
      </c>
      <c r="M2090" t="s">
        <v>80</v>
      </c>
      <c r="N2090" t="s">
        <v>1942</v>
      </c>
      <c r="O2090" t="s">
        <v>104</v>
      </c>
      <c r="P2090" t="str">
        <f>"217071939                     "</f>
        <v xml:space="preserve">217071939                     </v>
      </c>
      <c r="Q2090">
        <v>0</v>
      </c>
      <c r="R2090">
        <v>0</v>
      </c>
      <c r="S2090">
        <v>0</v>
      </c>
      <c r="T2090">
        <v>0</v>
      </c>
      <c r="U2090">
        <v>0</v>
      </c>
      <c r="V2090">
        <v>0</v>
      </c>
      <c r="W2090">
        <v>0</v>
      </c>
      <c r="X2090">
        <v>0</v>
      </c>
      <c r="Y2090">
        <v>0</v>
      </c>
      <c r="Z2090">
        <v>0</v>
      </c>
      <c r="AA2090">
        <v>0</v>
      </c>
      <c r="AB2090">
        <v>0</v>
      </c>
      <c r="AC2090">
        <v>0</v>
      </c>
      <c r="AD2090">
        <v>0</v>
      </c>
      <c r="AE2090">
        <v>0</v>
      </c>
      <c r="AF2090">
        <v>0</v>
      </c>
      <c r="AG2090">
        <v>0</v>
      </c>
      <c r="AH2090">
        <v>0</v>
      </c>
      <c r="AI2090">
        <v>0</v>
      </c>
      <c r="AJ2090">
        <v>0</v>
      </c>
      <c r="AK2090">
        <v>0</v>
      </c>
      <c r="AL2090">
        <v>0</v>
      </c>
      <c r="AM2090">
        <v>29.61</v>
      </c>
      <c r="AN2090">
        <v>0</v>
      </c>
      <c r="AO2090">
        <v>0</v>
      </c>
      <c r="AP2090">
        <v>0</v>
      </c>
      <c r="AQ2090">
        <v>0</v>
      </c>
      <c r="AR2090">
        <v>0</v>
      </c>
      <c r="AS2090">
        <v>0</v>
      </c>
      <c r="AT2090">
        <v>0</v>
      </c>
      <c r="AU2090">
        <v>0</v>
      </c>
      <c r="AV2090">
        <v>0</v>
      </c>
      <c r="AW2090">
        <v>0</v>
      </c>
      <c r="AX2090">
        <v>0</v>
      </c>
      <c r="AY2090">
        <v>0</v>
      </c>
      <c r="AZ2090">
        <v>0</v>
      </c>
      <c r="BA2090">
        <v>0</v>
      </c>
      <c r="BB2090">
        <v>0</v>
      </c>
      <c r="BC2090">
        <v>0</v>
      </c>
      <c r="BD2090">
        <v>0</v>
      </c>
      <c r="BE2090">
        <v>0</v>
      </c>
      <c r="BF2090">
        <v>0</v>
      </c>
      <c r="BG2090">
        <v>0</v>
      </c>
      <c r="BH2090">
        <v>1</v>
      </c>
      <c r="BI2090">
        <v>11.8</v>
      </c>
      <c r="BJ2090">
        <v>30.4</v>
      </c>
      <c r="BK2090">
        <v>31</v>
      </c>
      <c r="BL2090" s="4">
        <v>179.04</v>
      </c>
      <c r="BM2090" s="4">
        <v>26.86</v>
      </c>
      <c r="BN2090" s="4">
        <v>205.9</v>
      </c>
      <c r="BO2090" s="4">
        <v>205.9</v>
      </c>
      <c r="BQ2090" t="s">
        <v>277</v>
      </c>
      <c r="BR2090" t="s">
        <v>105</v>
      </c>
      <c r="BS2090" s="3">
        <v>43804</v>
      </c>
      <c r="BT2090" s="5">
        <v>0.40416666666666662</v>
      </c>
      <c r="BU2090" t="s">
        <v>2365</v>
      </c>
      <c r="BV2090" t="s">
        <v>86</v>
      </c>
      <c r="BY2090">
        <v>152106.28</v>
      </c>
      <c r="CA2090" t="s">
        <v>131</v>
      </c>
      <c r="CC2090" t="s">
        <v>80</v>
      </c>
      <c r="CD2090">
        <v>6014</v>
      </c>
      <c r="CE2090" t="s">
        <v>96</v>
      </c>
      <c r="CF2090" s="3">
        <v>43805</v>
      </c>
      <c r="CI2090">
        <v>2</v>
      </c>
      <c r="CJ2090">
        <v>1</v>
      </c>
      <c r="CK2090" t="s">
        <v>113</v>
      </c>
      <c r="CL2090" t="s">
        <v>89</v>
      </c>
    </row>
    <row r="2091" spans="1:90">
      <c r="A2091" t="s">
        <v>72</v>
      </c>
      <c r="B2091" t="s">
        <v>73</v>
      </c>
      <c r="C2091" t="s">
        <v>74</v>
      </c>
      <c r="E2091" t="str">
        <f>"FES1162726761"</f>
        <v>FES1162726761</v>
      </c>
      <c r="F2091" s="3">
        <v>43803</v>
      </c>
      <c r="G2091">
        <v>202006</v>
      </c>
      <c r="H2091" t="s">
        <v>75</v>
      </c>
      <c r="I2091" t="s">
        <v>76</v>
      </c>
      <c r="J2091" t="s">
        <v>100</v>
      </c>
      <c r="K2091" t="s">
        <v>78</v>
      </c>
      <c r="L2091" t="s">
        <v>469</v>
      </c>
      <c r="M2091" t="s">
        <v>470</v>
      </c>
      <c r="N2091" t="s">
        <v>2366</v>
      </c>
      <c r="O2091" t="s">
        <v>104</v>
      </c>
      <c r="P2091" t="str">
        <f>"2170720189                    "</f>
        <v xml:space="preserve">2170720189                    </v>
      </c>
      <c r="Q2091">
        <v>0</v>
      </c>
      <c r="R2091">
        <v>0</v>
      </c>
      <c r="S2091">
        <v>0</v>
      </c>
      <c r="T2091">
        <v>0</v>
      </c>
      <c r="U2091">
        <v>0</v>
      </c>
      <c r="V2091">
        <v>0</v>
      </c>
      <c r="W2091">
        <v>0</v>
      </c>
      <c r="X2091">
        <v>0</v>
      </c>
      <c r="Y2091">
        <v>0</v>
      </c>
      <c r="Z2091">
        <v>0</v>
      </c>
      <c r="AA2091">
        <v>0</v>
      </c>
      <c r="AB2091">
        <v>0</v>
      </c>
      <c r="AC2091">
        <v>0</v>
      </c>
      <c r="AD2091">
        <v>0</v>
      </c>
      <c r="AE2091">
        <v>0</v>
      </c>
      <c r="AF2091">
        <v>0</v>
      </c>
      <c r="AG2091">
        <v>0</v>
      </c>
      <c r="AH2091">
        <v>0</v>
      </c>
      <c r="AI2091">
        <v>0</v>
      </c>
      <c r="AJ2091">
        <v>0</v>
      </c>
      <c r="AK2091">
        <v>0</v>
      </c>
      <c r="AL2091">
        <v>0</v>
      </c>
      <c r="AM2091">
        <v>27.89</v>
      </c>
      <c r="AN2091">
        <v>0</v>
      </c>
      <c r="AO2091">
        <v>0</v>
      </c>
      <c r="AP2091">
        <v>0</v>
      </c>
      <c r="AQ2091">
        <v>0</v>
      </c>
      <c r="AR2091">
        <v>0</v>
      </c>
      <c r="AS2091">
        <v>0</v>
      </c>
      <c r="AT2091">
        <v>0</v>
      </c>
      <c r="AU2091">
        <v>0</v>
      </c>
      <c r="AV2091">
        <v>0</v>
      </c>
      <c r="AW2091">
        <v>0</v>
      </c>
      <c r="AX2091">
        <v>0</v>
      </c>
      <c r="AY2091">
        <v>0</v>
      </c>
      <c r="AZ2091">
        <v>0</v>
      </c>
      <c r="BA2091">
        <v>0</v>
      </c>
      <c r="BB2091">
        <v>0</v>
      </c>
      <c r="BC2091">
        <v>0</v>
      </c>
      <c r="BD2091">
        <v>0</v>
      </c>
      <c r="BE2091">
        <v>0</v>
      </c>
      <c r="BF2091">
        <v>0</v>
      </c>
      <c r="BG2091">
        <v>0</v>
      </c>
      <c r="BH2091">
        <v>1</v>
      </c>
      <c r="BI2091">
        <v>13.6</v>
      </c>
      <c r="BJ2091">
        <v>29.3</v>
      </c>
      <c r="BK2091">
        <v>30</v>
      </c>
      <c r="BL2091" s="4">
        <v>168.93</v>
      </c>
      <c r="BM2091" s="4">
        <v>25.34</v>
      </c>
      <c r="BN2091" s="4">
        <v>194.27</v>
      </c>
      <c r="BO2091" s="4">
        <v>194.27</v>
      </c>
      <c r="BQ2091" t="s">
        <v>93</v>
      </c>
      <c r="BR2091" t="s">
        <v>105</v>
      </c>
      <c r="BS2091" s="3">
        <v>43803</v>
      </c>
      <c r="BT2091" s="5">
        <v>0.39583333333333331</v>
      </c>
      <c r="BU2091" t="s">
        <v>2367</v>
      </c>
      <c r="BV2091" t="s">
        <v>86</v>
      </c>
      <c r="BY2091">
        <v>146547.12</v>
      </c>
      <c r="CA2091" t="s">
        <v>344</v>
      </c>
      <c r="CC2091" t="s">
        <v>470</v>
      </c>
      <c r="CD2091">
        <v>9880</v>
      </c>
      <c r="CE2091" t="s">
        <v>96</v>
      </c>
      <c r="CF2091" s="3">
        <v>43808</v>
      </c>
      <c r="CI2091">
        <v>1</v>
      </c>
      <c r="CJ2091">
        <v>0</v>
      </c>
      <c r="CK2091" t="s">
        <v>741</v>
      </c>
      <c r="CL2091" t="s">
        <v>89</v>
      </c>
    </row>
    <row r="2092" spans="1:90">
      <c r="A2092" t="s">
        <v>72</v>
      </c>
      <c r="B2092" t="s">
        <v>73</v>
      </c>
      <c r="C2092" t="s">
        <v>74</v>
      </c>
      <c r="E2092" t="str">
        <f>"FES1162726713"</f>
        <v>FES1162726713</v>
      </c>
      <c r="F2092" s="3">
        <v>43803</v>
      </c>
      <c r="G2092">
        <v>202006</v>
      </c>
      <c r="H2092" t="s">
        <v>75</v>
      </c>
      <c r="I2092" t="s">
        <v>76</v>
      </c>
      <c r="J2092" t="s">
        <v>100</v>
      </c>
      <c r="K2092" t="s">
        <v>78</v>
      </c>
      <c r="L2092" t="s">
        <v>132</v>
      </c>
      <c r="M2092" t="s">
        <v>133</v>
      </c>
      <c r="N2092" t="s">
        <v>1257</v>
      </c>
      <c r="O2092" t="s">
        <v>104</v>
      </c>
      <c r="P2092" t="str">
        <f>"2170710137                    "</f>
        <v xml:space="preserve">2170710137                    </v>
      </c>
      <c r="Q2092">
        <v>0</v>
      </c>
      <c r="R2092">
        <v>0</v>
      </c>
      <c r="S2092">
        <v>0</v>
      </c>
      <c r="T2092">
        <v>0</v>
      </c>
      <c r="U2092">
        <v>0</v>
      </c>
      <c r="V2092">
        <v>0</v>
      </c>
      <c r="W2092">
        <v>0</v>
      </c>
      <c r="X2092">
        <v>0</v>
      </c>
      <c r="Y2092">
        <v>0</v>
      </c>
      <c r="Z2092">
        <v>0</v>
      </c>
      <c r="AA2092">
        <v>0</v>
      </c>
      <c r="AB2092">
        <v>0</v>
      </c>
      <c r="AC2092">
        <v>0</v>
      </c>
      <c r="AD2092">
        <v>0</v>
      </c>
      <c r="AE2092">
        <v>0</v>
      </c>
      <c r="AF2092">
        <v>0</v>
      </c>
      <c r="AG2092">
        <v>0</v>
      </c>
      <c r="AH2092">
        <v>0</v>
      </c>
      <c r="AI2092">
        <v>0</v>
      </c>
      <c r="AJ2092">
        <v>0</v>
      </c>
      <c r="AK2092">
        <v>0</v>
      </c>
      <c r="AL2092">
        <v>0</v>
      </c>
      <c r="AM2092">
        <v>15.21</v>
      </c>
      <c r="AN2092">
        <v>0</v>
      </c>
      <c r="AO2092">
        <v>0</v>
      </c>
      <c r="AP2092">
        <v>0</v>
      </c>
      <c r="AQ2092">
        <v>0</v>
      </c>
      <c r="AR2092">
        <v>0</v>
      </c>
      <c r="AS2092">
        <v>0</v>
      </c>
      <c r="AT2092">
        <v>0</v>
      </c>
      <c r="AU2092">
        <v>0</v>
      </c>
      <c r="AV2092">
        <v>0</v>
      </c>
      <c r="AW2092">
        <v>0</v>
      </c>
      <c r="AX2092">
        <v>0</v>
      </c>
      <c r="AY2092">
        <v>0</v>
      </c>
      <c r="AZ2092">
        <v>0</v>
      </c>
      <c r="BA2092">
        <v>0</v>
      </c>
      <c r="BB2092">
        <v>0</v>
      </c>
      <c r="BC2092">
        <v>0</v>
      </c>
      <c r="BD2092">
        <v>0</v>
      </c>
      <c r="BE2092">
        <v>0</v>
      </c>
      <c r="BF2092">
        <v>0</v>
      </c>
      <c r="BG2092">
        <v>0</v>
      </c>
      <c r="BH2092">
        <v>1</v>
      </c>
      <c r="BI2092">
        <v>7.5</v>
      </c>
      <c r="BJ2092">
        <v>15.8</v>
      </c>
      <c r="BK2092">
        <v>16</v>
      </c>
      <c r="BL2092" s="4">
        <v>94.4</v>
      </c>
      <c r="BM2092" s="4">
        <v>14.16</v>
      </c>
      <c r="BN2092" s="4">
        <v>108.56</v>
      </c>
      <c r="BO2092" s="4">
        <v>108.56</v>
      </c>
      <c r="BQ2092" t="s">
        <v>93</v>
      </c>
      <c r="BR2092" t="s">
        <v>105</v>
      </c>
      <c r="BS2092" s="3">
        <v>43804</v>
      </c>
      <c r="BT2092" s="5">
        <v>0.45833333333333331</v>
      </c>
      <c r="BU2092" t="s">
        <v>2368</v>
      </c>
      <c r="BV2092" t="s">
        <v>89</v>
      </c>
      <c r="BY2092">
        <v>79128.77</v>
      </c>
      <c r="CA2092" t="s">
        <v>2369</v>
      </c>
      <c r="CC2092" t="s">
        <v>133</v>
      </c>
      <c r="CD2092">
        <v>157</v>
      </c>
      <c r="CE2092" t="s">
        <v>96</v>
      </c>
      <c r="CF2092" s="3">
        <v>43805</v>
      </c>
      <c r="CI2092">
        <v>0</v>
      </c>
      <c r="CJ2092">
        <v>0</v>
      </c>
      <c r="CK2092" t="s">
        <v>108</v>
      </c>
      <c r="CL2092" t="s">
        <v>89</v>
      </c>
    </row>
    <row r="2093" spans="1:90">
      <c r="A2093" t="s">
        <v>72</v>
      </c>
      <c r="B2093" t="s">
        <v>73</v>
      </c>
      <c r="C2093" t="s">
        <v>74</v>
      </c>
      <c r="E2093" t="str">
        <f>"FES1162726518"</f>
        <v>FES1162726518</v>
      </c>
      <c r="F2093" s="3">
        <v>43803</v>
      </c>
      <c r="G2093">
        <v>202006</v>
      </c>
      <c r="H2093" t="s">
        <v>75</v>
      </c>
      <c r="I2093" t="s">
        <v>76</v>
      </c>
      <c r="J2093" t="s">
        <v>100</v>
      </c>
      <c r="K2093" t="s">
        <v>78</v>
      </c>
      <c r="L2093" t="s">
        <v>164</v>
      </c>
      <c r="M2093" t="s">
        <v>165</v>
      </c>
      <c r="N2093" t="s">
        <v>238</v>
      </c>
      <c r="O2093" t="s">
        <v>104</v>
      </c>
      <c r="P2093" t="str">
        <f>"2170719969                    "</f>
        <v xml:space="preserve">2170719969                    </v>
      </c>
      <c r="Q2093">
        <v>0</v>
      </c>
      <c r="R2093">
        <v>0</v>
      </c>
      <c r="S2093">
        <v>0</v>
      </c>
      <c r="T2093">
        <v>0</v>
      </c>
      <c r="U2093">
        <v>0</v>
      </c>
      <c r="V2093">
        <v>0</v>
      </c>
      <c r="W2093">
        <v>0</v>
      </c>
      <c r="X2093">
        <v>0</v>
      </c>
      <c r="Y2093">
        <v>0</v>
      </c>
      <c r="Z2093">
        <v>0</v>
      </c>
      <c r="AA2093">
        <v>0</v>
      </c>
      <c r="AB2093">
        <v>0</v>
      </c>
      <c r="AC2093">
        <v>0</v>
      </c>
      <c r="AD2093">
        <v>0</v>
      </c>
      <c r="AE2093">
        <v>0</v>
      </c>
      <c r="AF2093">
        <v>0</v>
      </c>
      <c r="AG2093">
        <v>0</v>
      </c>
      <c r="AH2093">
        <v>0</v>
      </c>
      <c r="AI2093">
        <v>0</v>
      </c>
      <c r="AJ2093">
        <v>0</v>
      </c>
      <c r="AK2093">
        <v>0</v>
      </c>
      <c r="AL2093">
        <v>0</v>
      </c>
      <c r="AM2093">
        <v>28.86</v>
      </c>
      <c r="AN2093">
        <v>0</v>
      </c>
      <c r="AO2093">
        <v>0</v>
      </c>
      <c r="AP2093">
        <v>0</v>
      </c>
      <c r="AQ2093">
        <v>0</v>
      </c>
      <c r="AR2093">
        <v>0</v>
      </c>
      <c r="AS2093">
        <v>0</v>
      </c>
      <c r="AT2093">
        <v>0</v>
      </c>
      <c r="AU2093">
        <v>0</v>
      </c>
      <c r="AV2093">
        <v>0</v>
      </c>
      <c r="AW2093">
        <v>0</v>
      </c>
      <c r="AX2093">
        <v>0</v>
      </c>
      <c r="AY2093">
        <v>0</v>
      </c>
      <c r="AZ2093">
        <v>0</v>
      </c>
      <c r="BA2093">
        <v>0</v>
      </c>
      <c r="BB2093">
        <v>0</v>
      </c>
      <c r="BC2093">
        <v>0</v>
      </c>
      <c r="BD2093">
        <v>0</v>
      </c>
      <c r="BE2093">
        <v>0</v>
      </c>
      <c r="BF2093">
        <v>0</v>
      </c>
      <c r="BG2093">
        <v>0</v>
      </c>
      <c r="BH2093">
        <v>1</v>
      </c>
      <c r="BI2093">
        <v>8.5</v>
      </c>
      <c r="BJ2093">
        <v>29.6</v>
      </c>
      <c r="BK2093">
        <v>30</v>
      </c>
      <c r="BL2093" s="4">
        <v>174.62</v>
      </c>
      <c r="BM2093" s="4">
        <v>26.19</v>
      </c>
      <c r="BN2093" s="4">
        <v>200.81</v>
      </c>
      <c r="BO2093" s="4">
        <v>200.81</v>
      </c>
      <c r="BQ2093" t="s">
        <v>93</v>
      </c>
      <c r="BR2093" t="s">
        <v>105</v>
      </c>
      <c r="BS2093" s="3">
        <v>43804</v>
      </c>
      <c r="BT2093" s="5">
        <v>0.3743055555555555</v>
      </c>
      <c r="BU2093" t="s">
        <v>2370</v>
      </c>
      <c r="BV2093" t="s">
        <v>86</v>
      </c>
      <c r="BY2093">
        <v>148007.98000000001</v>
      </c>
      <c r="CA2093" t="s">
        <v>168</v>
      </c>
      <c r="CC2093" t="s">
        <v>165</v>
      </c>
      <c r="CD2093">
        <v>5201</v>
      </c>
      <c r="CE2093" t="s">
        <v>96</v>
      </c>
      <c r="CF2093" s="3">
        <v>43808</v>
      </c>
      <c r="CI2093">
        <v>2</v>
      </c>
      <c r="CJ2093">
        <v>1</v>
      </c>
      <c r="CK2093" t="s">
        <v>1070</v>
      </c>
      <c r="CL2093" t="s">
        <v>89</v>
      </c>
    </row>
    <row r="2094" spans="1:90">
      <c r="A2094" t="s">
        <v>72</v>
      </c>
      <c r="B2094" t="s">
        <v>73</v>
      </c>
      <c r="C2094" t="s">
        <v>74</v>
      </c>
      <c r="E2094" t="str">
        <f>"FES1162726798"</f>
        <v>FES1162726798</v>
      </c>
      <c r="F2094" s="3">
        <v>43803</v>
      </c>
      <c r="G2094">
        <v>202006</v>
      </c>
      <c r="H2094" t="s">
        <v>75</v>
      </c>
      <c r="I2094" t="s">
        <v>76</v>
      </c>
      <c r="J2094" t="s">
        <v>100</v>
      </c>
      <c r="K2094" t="s">
        <v>78</v>
      </c>
      <c r="L2094" t="s">
        <v>109</v>
      </c>
      <c r="M2094" t="s">
        <v>91</v>
      </c>
      <c r="N2094" t="s">
        <v>548</v>
      </c>
      <c r="O2094" t="s">
        <v>104</v>
      </c>
      <c r="P2094" t="str">
        <f>"2170712043                    "</f>
        <v xml:space="preserve">2170712043                    </v>
      </c>
      <c r="Q2094">
        <v>0</v>
      </c>
      <c r="R2094">
        <v>0</v>
      </c>
      <c r="S2094">
        <v>0</v>
      </c>
      <c r="T2094">
        <v>0</v>
      </c>
      <c r="U2094">
        <v>0</v>
      </c>
      <c r="V2094">
        <v>0</v>
      </c>
      <c r="W2094">
        <v>0</v>
      </c>
      <c r="X2094">
        <v>0</v>
      </c>
      <c r="Y2094">
        <v>0</v>
      </c>
      <c r="Z2094">
        <v>0</v>
      </c>
      <c r="AA2094">
        <v>0</v>
      </c>
      <c r="AB2094">
        <v>0</v>
      </c>
      <c r="AC2094">
        <v>0</v>
      </c>
      <c r="AD2094">
        <v>0</v>
      </c>
      <c r="AE2094">
        <v>0</v>
      </c>
      <c r="AF2094">
        <v>0</v>
      </c>
      <c r="AG2094">
        <v>0</v>
      </c>
      <c r="AH2094">
        <v>0</v>
      </c>
      <c r="AI2094">
        <v>0</v>
      </c>
      <c r="AJ2094">
        <v>0</v>
      </c>
      <c r="AK2094">
        <v>0</v>
      </c>
      <c r="AL2094">
        <v>0</v>
      </c>
      <c r="AM2094">
        <v>29.61</v>
      </c>
      <c r="AN2094">
        <v>0</v>
      </c>
      <c r="AO2094">
        <v>0</v>
      </c>
      <c r="AP2094">
        <v>0</v>
      </c>
      <c r="AQ2094">
        <v>0</v>
      </c>
      <c r="AR2094">
        <v>0</v>
      </c>
      <c r="AS2094">
        <v>0</v>
      </c>
      <c r="AT2094">
        <v>0</v>
      </c>
      <c r="AU2094">
        <v>0</v>
      </c>
      <c r="AV2094">
        <v>0</v>
      </c>
      <c r="AW2094">
        <v>0</v>
      </c>
      <c r="AX2094">
        <v>0</v>
      </c>
      <c r="AY2094">
        <v>0</v>
      </c>
      <c r="AZ2094">
        <v>0</v>
      </c>
      <c r="BA2094">
        <v>0</v>
      </c>
      <c r="BB2094">
        <v>0</v>
      </c>
      <c r="BC2094">
        <v>0</v>
      </c>
      <c r="BD2094">
        <v>0</v>
      </c>
      <c r="BE2094">
        <v>0</v>
      </c>
      <c r="BF2094">
        <v>0</v>
      </c>
      <c r="BG2094">
        <v>0</v>
      </c>
      <c r="BH2094">
        <v>1</v>
      </c>
      <c r="BI2094">
        <v>19</v>
      </c>
      <c r="BJ2094">
        <v>30.5</v>
      </c>
      <c r="BK2094">
        <v>31</v>
      </c>
      <c r="BL2094" s="4">
        <v>179.04</v>
      </c>
      <c r="BM2094" s="4">
        <v>26.86</v>
      </c>
      <c r="BN2094" s="4">
        <v>205.9</v>
      </c>
      <c r="BO2094" s="4">
        <v>205.9</v>
      </c>
      <c r="BQ2094" t="s">
        <v>93</v>
      </c>
      <c r="BR2094" t="s">
        <v>105</v>
      </c>
      <c r="BS2094" s="3">
        <v>43804</v>
      </c>
      <c r="BT2094" s="5">
        <v>0.32013888888888892</v>
      </c>
      <c r="BU2094" t="s">
        <v>817</v>
      </c>
      <c r="BV2094" t="s">
        <v>86</v>
      </c>
      <c r="BY2094">
        <v>152544.19</v>
      </c>
      <c r="CA2094" t="s">
        <v>818</v>
      </c>
      <c r="CC2094" t="s">
        <v>91</v>
      </c>
      <c r="CD2094">
        <v>7530</v>
      </c>
      <c r="CE2094" t="s">
        <v>96</v>
      </c>
      <c r="CF2094" s="3">
        <v>43805</v>
      </c>
      <c r="CI2094">
        <v>2</v>
      </c>
      <c r="CJ2094">
        <v>1</v>
      </c>
      <c r="CK2094" t="s">
        <v>113</v>
      </c>
      <c r="CL2094" t="s">
        <v>89</v>
      </c>
    </row>
    <row r="2095" spans="1:90">
      <c r="A2095" t="s">
        <v>72</v>
      </c>
      <c r="B2095" t="s">
        <v>73</v>
      </c>
      <c r="C2095" t="s">
        <v>74</v>
      </c>
      <c r="E2095" t="str">
        <f>"FES1162726594"</f>
        <v>FES1162726594</v>
      </c>
      <c r="F2095" s="3">
        <v>43803</v>
      </c>
      <c r="G2095">
        <v>202006</v>
      </c>
      <c r="H2095" t="s">
        <v>75</v>
      </c>
      <c r="I2095" t="s">
        <v>76</v>
      </c>
      <c r="J2095" t="s">
        <v>100</v>
      </c>
      <c r="K2095" t="s">
        <v>78</v>
      </c>
      <c r="L2095" t="s">
        <v>308</v>
      </c>
      <c r="M2095" t="s">
        <v>308</v>
      </c>
      <c r="N2095" t="s">
        <v>540</v>
      </c>
      <c r="O2095" t="s">
        <v>104</v>
      </c>
      <c r="P2095" t="str">
        <f>"2170719382                    "</f>
        <v xml:space="preserve">2170719382                    </v>
      </c>
      <c r="Q2095">
        <v>0</v>
      </c>
      <c r="R2095">
        <v>0</v>
      </c>
      <c r="S2095">
        <v>0</v>
      </c>
      <c r="T2095">
        <v>0</v>
      </c>
      <c r="U2095">
        <v>0</v>
      </c>
      <c r="V2095">
        <v>0</v>
      </c>
      <c r="W2095">
        <v>0</v>
      </c>
      <c r="X2095">
        <v>0</v>
      </c>
      <c r="Y2095">
        <v>0</v>
      </c>
      <c r="Z2095">
        <v>0</v>
      </c>
      <c r="AA2095">
        <v>0</v>
      </c>
      <c r="AB2095">
        <v>0</v>
      </c>
      <c r="AC2095">
        <v>0</v>
      </c>
      <c r="AD2095">
        <v>0</v>
      </c>
      <c r="AE2095">
        <v>0</v>
      </c>
      <c r="AF2095">
        <v>0</v>
      </c>
      <c r="AG2095">
        <v>0</v>
      </c>
      <c r="AH2095">
        <v>0</v>
      </c>
      <c r="AI2095">
        <v>0</v>
      </c>
      <c r="AJ2095">
        <v>0</v>
      </c>
      <c r="AK2095">
        <v>0</v>
      </c>
      <c r="AL2095">
        <v>0</v>
      </c>
      <c r="AM2095">
        <v>28.86</v>
      </c>
      <c r="AN2095">
        <v>0</v>
      </c>
      <c r="AO2095">
        <v>0</v>
      </c>
      <c r="AP2095">
        <v>0</v>
      </c>
      <c r="AQ2095">
        <v>0</v>
      </c>
      <c r="AR2095">
        <v>0</v>
      </c>
      <c r="AS2095">
        <v>0</v>
      </c>
      <c r="AT2095">
        <v>0</v>
      </c>
      <c r="AU2095">
        <v>0</v>
      </c>
      <c r="AV2095">
        <v>0</v>
      </c>
      <c r="AW2095">
        <v>0</v>
      </c>
      <c r="AX2095">
        <v>0</v>
      </c>
      <c r="AY2095">
        <v>0</v>
      </c>
      <c r="AZ2095">
        <v>0</v>
      </c>
      <c r="BA2095">
        <v>0</v>
      </c>
      <c r="BB2095">
        <v>0</v>
      </c>
      <c r="BC2095">
        <v>0</v>
      </c>
      <c r="BD2095">
        <v>0</v>
      </c>
      <c r="BE2095">
        <v>0</v>
      </c>
      <c r="BF2095">
        <v>0</v>
      </c>
      <c r="BG2095">
        <v>0</v>
      </c>
      <c r="BH2095">
        <v>1</v>
      </c>
      <c r="BI2095">
        <v>11.3</v>
      </c>
      <c r="BJ2095">
        <v>29.3</v>
      </c>
      <c r="BK2095">
        <v>30</v>
      </c>
      <c r="BL2095" s="4">
        <v>174.62</v>
      </c>
      <c r="BM2095" s="4">
        <v>26.19</v>
      </c>
      <c r="BN2095" s="4">
        <v>200.81</v>
      </c>
      <c r="BO2095" s="4">
        <v>200.81</v>
      </c>
      <c r="BQ2095" t="s">
        <v>93</v>
      </c>
      <c r="BR2095" t="s">
        <v>105</v>
      </c>
      <c r="BS2095" s="3">
        <v>43804</v>
      </c>
      <c r="BT2095" s="5">
        <v>0.47638888888888892</v>
      </c>
      <c r="BU2095" t="s">
        <v>1576</v>
      </c>
      <c r="BV2095" t="s">
        <v>86</v>
      </c>
      <c r="BY2095">
        <v>146705.60000000001</v>
      </c>
      <c r="CA2095" t="s">
        <v>311</v>
      </c>
      <c r="CC2095" t="s">
        <v>308</v>
      </c>
      <c r="CD2095">
        <v>7646</v>
      </c>
      <c r="CE2095" t="s">
        <v>96</v>
      </c>
      <c r="CF2095" s="3">
        <v>43805</v>
      </c>
      <c r="CI2095">
        <v>2</v>
      </c>
      <c r="CJ2095">
        <v>1</v>
      </c>
      <c r="CK2095" t="s">
        <v>113</v>
      </c>
      <c r="CL2095" t="s">
        <v>89</v>
      </c>
    </row>
    <row r="2096" spans="1:90">
      <c r="A2096" t="s">
        <v>72</v>
      </c>
      <c r="B2096" t="s">
        <v>73</v>
      </c>
      <c r="C2096" t="s">
        <v>74</v>
      </c>
      <c r="E2096" t="str">
        <f>"FES1162726740"</f>
        <v>FES1162726740</v>
      </c>
      <c r="F2096" s="3">
        <v>43803</v>
      </c>
      <c r="G2096">
        <v>202006</v>
      </c>
      <c r="H2096" t="s">
        <v>75</v>
      </c>
      <c r="I2096" t="s">
        <v>76</v>
      </c>
      <c r="J2096" t="s">
        <v>100</v>
      </c>
      <c r="K2096" t="s">
        <v>78</v>
      </c>
      <c r="L2096" t="s">
        <v>101</v>
      </c>
      <c r="M2096" t="s">
        <v>102</v>
      </c>
      <c r="N2096" t="s">
        <v>2371</v>
      </c>
      <c r="O2096" t="s">
        <v>104</v>
      </c>
      <c r="P2096" t="str">
        <f>"21707198933                   "</f>
        <v xml:space="preserve">21707198933                   </v>
      </c>
      <c r="Q2096">
        <v>0</v>
      </c>
      <c r="R2096">
        <v>0</v>
      </c>
      <c r="S2096">
        <v>0</v>
      </c>
      <c r="T2096">
        <v>0</v>
      </c>
      <c r="U2096">
        <v>0</v>
      </c>
      <c r="V2096">
        <v>0</v>
      </c>
      <c r="W2096">
        <v>0</v>
      </c>
      <c r="X2096">
        <v>0</v>
      </c>
      <c r="Y2096">
        <v>0</v>
      </c>
      <c r="Z2096">
        <v>0</v>
      </c>
      <c r="AA2096">
        <v>0</v>
      </c>
      <c r="AB2096">
        <v>0</v>
      </c>
      <c r="AC2096">
        <v>0</v>
      </c>
      <c r="AD2096">
        <v>0</v>
      </c>
      <c r="AE2096">
        <v>0</v>
      </c>
      <c r="AF2096">
        <v>0</v>
      </c>
      <c r="AG2096">
        <v>0</v>
      </c>
      <c r="AH2096">
        <v>0</v>
      </c>
      <c r="AI2096">
        <v>0</v>
      </c>
      <c r="AJ2096">
        <v>0</v>
      </c>
      <c r="AK2096">
        <v>0</v>
      </c>
      <c r="AL2096">
        <v>0</v>
      </c>
      <c r="AM2096">
        <v>14.75</v>
      </c>
      <c r="AN2096">
        <v>0</v>
      </c>
      <c r="AO2096">
        <v>0</v>
      </c>
      <c r="AP2096">
        <v>0</v>
      </c>
      <c r="AQ2096">
        <v>0</v>
      </c>
      <c r="AR2096">
        <v>0</v>
      </c>
      <c r="AS2096">
        <v>0</v>
      </c>
      <c r="AT2096">
        <v>0</v>
      </c>
      <c r="AU2096">
        <v>0</v>
      </c>
      <c r="AV2096">
        <v>0</v>
      </c>
      <c r="AW2096">
        <v>0</v>
      </c>
      <c r="AX2096">
        <v>0</v>
      </c>
      <c r="AY2096">
        <v>0</v>
      </c>
      <c r="AZ2096">
        <v>0</v>
      </c>
      <c r="BA2096">
        <v>0</v>
      </c>
      <c r="BB2096">
        <v>0</v>
      </c>
      <c r="BC2096">
        <v>0</v>
      </c>
      <c r="BD2096">
        <v>0</v>
      </c>
      <c r="BE2096">
        <v>0</v>
      </c>
      <c r="BF2096">
        <v>0</v>
      </c>
      <c r="BG2096">
        <v>0</v>
      </c>
      <c r="BH2096">
        <v>1</v>
      </c>
      <c r="BI2096">
        <v>2.9</v>
      </c>
      <c r="BJ2096">
        <v>4</v>
      </c>
      <c r="BK2096">
        <v>4</v>
      </c>
      <c r="BL2096" s="4">
        <v>91.71</v>
      </c>
      <c r="BM2096" s="4">
        <v>13.76</v>
      </c>
      <c r="BN2096" s="4">
        <v>105.47</v>
      </c>
      <c r="BO2096" s="4">
        <v>105.47</v>
      </c>
      <c r="BR2096" t="s">
        <v>105</v>
      </c>
      <c r="BS2096" s="3">
        <v>43804</v>
      </c>
      <c r="BT2096" s="5">
        <v>0.38541666666666669</v>
      </c>
      <c r="BU2096" t="s">
        <v>2372</v>
      </c>
      <c r="BV2096" t="s">
        <v>86</v>
      </c>
      <c r="BY2096">
        <v>19860.62</v>
      </c>
      <c r="CA2096" t="s">
        <v>2373</v>
      </c>
      <c r="CC2096" t="s">
        <v>102</v>
      </c>
      <c r="CD2096">
        <v>186</v>
      </c>
      <c r="CE2096" t="s">
        <v>116</v>
      </c>
      <c r="CF2096" s="3">
        <v>43805</v>
      </c>
      <c r="CI2096">
        <v>0</v>
      </c>
      <c r="CJ2096">
        <v>0</v>
      </c>
      <c r="CK2096" t="s">
        <v>108</v>
      </c>
      <c r="CL2096" t="s">
        <v>89</v>
      </c>
    </row>
    <row r="2097" spans="1:90">
      <c r="A2097" t="s">
        <v>72</v>
      </c>
      <c r="B2097" t="s">
        <v>73</v>
      </c>
      <c r="C2097" t="s">
        <v>74</v>
      </c>
      <c r="E2097" t="str">
        <f>"FES1162726805"</f>
        <v>FES1162726805</v>
      </c>
      <c r="F2097" s="3">
        <v>43804</v>
      </c>
      <c r="G2097">
        <v>202006</v>
      </c>
      <c r="H2097" t="s">
        <v>75</v>
      </c>
      <c r="I2097" t="s">
        <v>76</v>
      </c>
      <c r="J2097" t="s">
        <v>100</v>
      </c>
      <c r="K2097" t="s">
        <v>78</v>
      </c>
      <c r="L2097" t="s">
        <v>109</v>
      </c>
      <c r="M2097" t="s">
        <v>91</v>
      </c>
      <c r="N2097" t="s">
        <v>548</v>
      </c>
      <c r="O2097" t="s">
        <v>104</v>
      </c>
      <c r="P2097" t="str">
        <f>"2170712053                    "</f>
        <v xml:space="preserve">2170712053                    </v>
      </c>
      <c r="Q2097">
        <v>0</v>
      </c>
      <c r="R2097">
        <v>0</v>
      </c>
      <c r="S2097">
        <v>0</v>
      </c>
      <c r="T2097">
        <v>0</v>
      </c>
      <c r="U2097">
        <v>0</v>
      </c>
      <c r="V2097">
        <v>0</v>
      </c>
      <c r="W2097">
        <v>0</v>
      </c>
      <c r="X2097">
        <v>0</v>
      </c>
      <c r="Y2097">
        <v>0</v>
      </c>
      <c r="Z2097">
        <v>0</v>
      </c>
      <c r="AA2097">
        <v>0</v>
      </c>
      <c r="AB2097">
        <v>0</v>
      </c>
      <c r="AC2097">
        <v>0</v>
      </c>
      <c r="AD2097">
        <v>0</v>
      </c>
      <c r="AE2097">
        <v>0</v>
      </c>
      <c r="AF2097">
        <v>0</v>
      </c>
      <c r="AG2097">
        <v>0</v>
      </c>
      <c r="AH2097">
        <v>0</v>
      </c>
      <c r="AI2097">
        <v>0</v>
      </c>
      <c r="AJ2097">
        <v>0</v>
      </c>
      <c r="AK2097">
        <v>0</v>
      </c>
      <c r="AL2097">
        <v>0</v>
      </c>
      <c r="AM2097">
        <v>31.11</v>
      </c>
      <c r="AN2097">
        <v>0</v>
      </c>
      <c r="AO2097">
        <v>0</v>
      </c>
      <c r="AP2097">
        <v>0</v>
      </c>
      <c r="AQ2097">
        <v>0</v>
      </c>
      <c r="AR2097">
        <v>0</v>
      </c>
      <c r="AS2097">
        <v>0</v>
      </c>
      <c r="AT2097">
        <v>0</v>
      </c>
      <c r="AU2097">
        <v>0</v>
      </c>
      <c r="AV2097">
        <v>0</v>
      </c>
      <c r="AW2097">
        <v>0</v>
      </c>
      <c r="AX2097">
        <v>0</v>
      </c>
      <c r="AY2097">
        <v>0</v>
      </c>
      <c r="AZ2097">
        <v>0</v>
      </c>
      <c r="BA2097">
        <v>0</v>
      </c>
      <c r="BB2097">
        <v>0</v>
      </c>
      <c r="BC2097">
        <v>0</v>
      </c>
      <c r="BD2097">
        <v>0</v>
      </c>
      <c r="BE2097">
        <v>0</v>
      </c>
      <c r="BF2097">
        <v>0</v>
      </c>
      <c r="BG2097">
        <v>0</v>
      </c>
      <c r="BH2097">
        <v>1</v>
      </c>
      <c r="BI2097">
        <v>19.600000000000001</v>
      </c>
      <c r="BJ2097">
        <v>32.9</v>
      </c>
      <c r="BK2097">
        <v>33</v>
      </c>
      <c r="BL2097" s="4">
        <v>187.88</v>
      </c>
      <c r="BM2097" s="4">
        <v>28.18</v>
      </c>
      <c r="BN2097" s="4">
        <v>216.06</v>
      </c>
      <c r="BO2097" s="4">
        <v>216.06</v>
      </c>
      <c r="BQ2097" t="s">
        <v>93</v>
      </c>
      <c r="BR2097" t="s">
        <v>105</v>
      </c>
      <c r="BS2097" s="3">
        <v>43805</v>
      </c>
      <c r="BT2097" s="5">
        <v>0.32083333333333336</v>
      </c>
      <c r="BU2097" t="s">
        <v>977</v>
      </c>
      <c r="BV2097" t="s">
        <v>86</v>
      </c>
      <c r="BY2097">
        <v>164572.79999999999</v>
      </c>
      <c r="CA2097" t="s">
        <v>550</v>
      </c>
      <c r="CC2097" t="s">
        <v>91</v>
      </c>
      <c r="CD2097">
        <v>7530</v>
      </c>
      <c r="CE2097" t="s">
        <v>156</v>
      </c>
      <c r="CF2097" s="3">
        <v>43808</v>
      </c>
      <c r="CI2097">
        <v>2</v>
      </c>
      <c r="CJ2097">
        <v>1</v>
      </c>
      <c r="CK2097" t="s">
        <v>113</v>
      </c>
      <c r="CL2097" t="s">
        <v>89</v>
      </c>
    </row>
    <row r="2098" spans="1:90">
      <c r="A2098" t="s">
        <v>72</v>
      </c>
      <c r="B2098" t="s">
        <v>73</v>
      </c>
      <c r="C2098" t="s">
        <v>74</v>
      </c>
      <c r="E2098" t="str">
        <f>"FES1162726581"</f>
        <v>FES1162726581</v>
      </c>
      <c r="F2098" s="3">
        <v>43804</v>
      </c>
      <c r="G2098">
        <v>202006</v>
      </c>
      <c r="H2098" t="s">
        <v>75</v>
      </c>
      <c r="I2098" t="s">
        <v>76</v>
      </c>
      <c r="J2098" t="s">
        <v>100</v>
      </c>
      <c r="K2098" t="s">
        <v>78</v>
      </c>
      <c r="L2098" t="s">
        <v>101</v>
      </c>
      <c r="M2098" t="s">
        <v>102</v>
      </c>
      <c r="N2098" t="s">
        <v>2374</v>
      </c>
      <c r="O2098" t="s">
        <v>104</v>
      </c>
      <c r="P2098" t="str">
        <f>"21707120052                   "</f>
        <v xml:space="preserve">21707120052                   </v>
      </c>
      <c r="Q2098">
        <v>0</v>
      </c>
      <c r="R2098">
        <v>0</v>
      </c>
      <c r="S2098">
        <v>0</v>
      </c>
      <c r="T2098">
        <v>0</v>
      </c>
      <c r="U2098">
        <v>0</v>
      </c>
      <c r="V2098">
        <v>0</v>
      </c>
      <c r="W2098">
        <v>0</v>
      </c>
      <c r="X2098">
        <v>0</v>
      </c>
      <c r="Y2098">
        <v>0</v>
      </c>
      <c r="Z2098">
        <v>0</v>
      </c>
      <c r="AA2098">
        <v>0</v>
      </c>
      <c r="AB2098">
        <v>0</v>
      </c>
      <c r="AC2098">
        <v>0</v>
      </c>
      <c r="AD2098">
        <v>0</v>
      </c>
      <c r="AE2098">
        <v>0</v>
      </c>
      <c r="AF2098">
        <v>0</v>
      </c>
      <c r="AG2098">
        <v>0</v>
      </c>
      <c r="AH2098">
        <v>0</v>
      </c>
      <c r="AI2098">
        <v>0</v>
      </c>
      <c r="AJ2098">
        <v>0</v>
      </c>
      <c r="AK2098">
        <v>0</v>
      </c>
      <c r="AL2098">
        <v>0</v>
      </c>
      <c r="AM2098">
        <v>14.75</v>
      </c>
      <c r="AN2098">
        <v>0</v>
      </c>
      <c r="AO2098">
        <v>0</v>
      </c>
      <c r="AP2098">
        <v>0</v>
      </c>
      <c r="AQ2098">
        <v>0</v>
      </c>
      <c r="AR2098">
        <v>0</v>
      </c>
      <c r="AS2098">
        <v>0</v>
      </c>
      <c r="AT2098">
        <v>0</v>
      </c>
      <c r="AU2098">
        <v>0</v>
      </c>
      <c r="AV2098">
        <v>0</v>
      </c>
      <c r="AW2098">
        <v>0</v>
      </c>
      <c r="AX2098">
        <v>0</v>
      </c>
      <c r="AY2098">
        <v>0</v>
      </c>
      <c r="AZ2098">
        <v>0</v>
      </c>
      <c r="BA2098">
        <v>0</v>
      </c>
      <c r="BB2098">
        <v>0</v>
      </c>
      <c r="BC2098">
        <v>0</v>
      </c>
      <c r="BD2098">
        <v>0</v>
      </c>
      <c r="BE2098">
        <v>0</v>
      </c>
      <c r="BF2098">
        <v>0</v>
      </c>
      <c r="BG2098">
        <v>0</v>
      </c>
      <c r="BH2098">
        <v>1</v>
      </c>
      <c r="BI2098">
        <v>11.2</v>
      </c>
      <c r="BJ2098">
        <v>9.3000000000000007</v>
      </c>
      <c r="BK2098">
        <v>12</v>
      </c>
      <c r="BL2098" s="4">
        <v>91.71</v>
      </c>
      <c r="BM2098" s="4">
        <v>13.76</v>
      </c>
      <c r="BN2098" s="4">
        <v>105.47</v>
      </c>
      <c r="BO2098" s="4">
        <v>105.47</v>
      </c>
      <c r="BQ2098" t="s">
        <v>93</v>
      </c>
      <c r="BR2098" t="s">
        <v>105</v>
      </c>
      <c r="BS2098" s="3">
        <v>43805</v>
      </c>
      <c r="BT2098" s="5">
        <v>0.40625</v>
      </c>
      <c r="BU2098" t="s">
        <v>2375</v>
      </c>
      <c r="BV2098" t="s">
        <v>86</v>
      </c>
      <c r="BY2098">
        <v>46675.199999999997</v>
      </c>
      <c r="CA2098" t="s">
        <v>163</v>
      </c>
      <c r="CC2098" t="s">
        <v>102</v>
      </c>
      <c r="CD2098">
        <v>200</v>
      </c>
      <c r="CE2098" t="s">
        <v>96</v>
      </c>
      <c r="CF2098" s="3">
        <v>43808</v>
      </c>
      <c r="CI2098">
        <v>0</v>
      </c>
      <c r="CJ2098">
        <v>0</v>
      </c>
      <c r="CK2098" t="s">
        <v>108</v>
      </c>
      <c r="CL2098" t="s">
        <v>89</v>
      </c>
    </row>
    <row r="2099" spans="1:90">
      <c r="A2099" t="s">
        <v>72</v>
      </c>
      <c r="B2099" t="s">
        <v>73</v>
      </c>
      <c r="C2099" t="s">
        <v>74</v>
      </c>
      <c r="E2099" t="str">
        <f>"FES1162726573"</f>
        <v>FES1162726573</v>
      </c>
      <c r="F2099" s="3">
        <v>43804</v>
      </c>
      <c r="G2099">
        <v>202006</v>
      </c>
      <c r="H2099" t="s">
        <v>75</v>
      </c>
      <c r="I2099" t="s">
        <v>76</v>
      </c>
      <c r="J2099" t="s">
        <v>100</v>
      </c>
      <c r="K2099" t="s">
        <v>78</v>
      </c>
      <c r="L2099" t="s">
        <v>101</v>
      </c>
      <c r="M2099" t="s">
        <v>102</v>
      </c>
      <c r="N2099" t="s">
        <v>1994</v>
      </c>
      <c r="O2099" t="s">
        <v>104</v>
      </c>
      <c r="P2099" t="str">
        <f>"2170719624                    "</f>
        <v xml:space="preserve">2170719624                    </v>
      </c>
      <c r="Q2099">
        <v>0</v>
      </c>
      <c r="R2099">
        <v>0</v>
      </c>
      <c r="S2099">
        <v>0</v>
      </c>
      <c r="T2099">
        <v>0</v>
      </c>
      <c r="U2099">
        <v>0</v>
      </c>
      <c r="V2099">
        <v>0</v>
      </c>
      <c r="W2099">
        <v>0</v>
      </c>
      <c r="X2099">
        <v>0</v>
      </c>
      <c r="Y2099">
        <v>0</v>
      </c>
      <c r="Z2099">
        <v>0</v>
      </c>
      <c r="AA2099">
        <v>0</v>
      </c>
      <c r="AB2099">
        <v>0</v>
      </c>
      <c r="AC2099">
        <v>0</v>
      </c>
      <c r="AD2099">
        <v>0</v>
      </c>
      <c r="AE2099">
        <v>0</v>
      </c>
      <c r="AF2099">
        <v>0</v>
      </c>
      <c r="AG2099">
        <v>0</v>
      </c>
      <c r="AH2099">
        <v>0</v>
      </c>
      <c r="AI2099">
        <v>0</v>
      </c>
      <c r="AJ2099">
        <v>0</v>
      </c>
      <c r="AK2099">
        <v>0</v>
      </c>
      <c r="AL2099">
        <v>0</v>
      </c>
      <c r="AM2099">
        <v>14.75</v>
      </c>
      <c r="AN2099">
        <v>0</v>
      </c>
      <c r="AO2099">
        <v>0</v>
      </c>
      <c r="AP2099">
        <v>0</v>
      </c>
      <c r="AQ2099">
        <v>0</v>
      </c>
      <c r="AR2099">
        <v>0</v>
      </c>
      <c r="AS2099">
        <v>0</v>
      </c>
      <c r="AT2099">
        <v>0</v>
      </c>
      <c r="AU2099">
        <v>0</v>
      </c>
      <c r="AV2099">
        <v>0</v>
      </c>
      <c r="AW2099">
        <v>0</v>
      </c>
      <c r="AX2099">
        <v>0</v>
      </c>
      <c r="AY2099">
        <v>0</v>
      </c>
      <c r="AZ2099">
        <v>0</v>
      </c>
      <c r="BA2099">
        <v>0</v>
      </c>
      <c r="BB2099">
        <v>0</v>
      </c>
      <c r="BC2099">
        <v>0</v>
      </c>
      <c r="BD2099">
        <v>0</v>
      </c>
      <c r="BE2099">
        <v>0</v>
      </c>
      <c r="BF2099">
        <v>0</v>
      </c>
      <c r="BG2099">
        <v>0</v>
      </c>
      <c r="BH2099">
        <v>1</v>
      </c>
      <c r="BI2099">
        <v>4.8</v>
      </c>
      <c r="BJ2099">
        <v>3.1</v>
      </c>
      <c r="BK2099">
        <v>5</v>
      </c>
      <c r="BL2099" s="4">
        <v>91.71</v>
      </c>
      <c r="BM2099" s="4">
        <v>13.76</v>
      </c>
      <c r="BN2099" s="4">
        <v>105.47</v>
      </c>
      <c r="BO2099" s="4">
        <v>105.47</v>
      </c>
      <c r="BQ2099">
        <v>3</v>
      </c>
      <c r="BR2099" t="s">
        <v>105</v>
      </c>
      <c r="BS2099" s="3">
        <v>43805</v>
      </c>
      <c r="BT2099" s="5">
        <v>0.63263888888888886</v>
      </c>
      <c r="BU2099" t="s">
        <v>2376</v>
      </c>
      <c r="BV2099" t="s">
        <v>89</v>
      </c>
      <c r="BW2099" t="s">
        <v>618</v>
      </c>
      <c r="BX2099" t="s">
        <v>2377</v>
      </c>
      <c r="BY2099">
        <v>15705.68</v>
      </c>
      <c r="CA2099" t="s">
        <v>163</v>
      </c>
      <c r="CC2099" t="s">
        <v>102</v>
      </c>
      <c r="CD2099">
        <v>200</v>
      </c>
      <c r="CE2099" t="s">
        <v>116</v>
      </c>
      <c r="CF2099" s="3">
        <v>43808</v>
      </c>
      <c r="CI2099">
        <v>0</v>
      </c>
      <c r="CJ2099">
        <v>0</v>
      </c>
      <c r="CK2099" t="s">
        <v>108</v>
      </c>
      <c r="CL2099" t="s">
        <v>89</v>
      </c>
    </row>
    <row r="2100" spans="1:90">
      <c r="A2100" t="s">
        <v>72</v>
      </c>
      <c r="B2100" t="s">
        <v>73</v>
      </c>
      <c r="C2100" t="s">
        <v>74</v>
      </c>
      <c r="E2100" t="str">
        <f>"FES1162726571"</f>
        <v>FES1162726571</v>
      </c>
      <c r="F2100" s="3">
        <v>43804</v>
      </c>
      <c r="G2100">
        <v>202006</v>
      </c>
      <c r="H2100" t="s">
        <v>75</v>
      </c>
      <c r="I2100" t="s">
        <v>76</v>
      </c>
      <c r="J2100" t="s">
        <v>100</v>
      </c>
      <c r="K2100" t="s">
        <v>78</v>
      </c>
      <c r="L2100" t="s">
        <v>101</v>
      </c>
      <c r="M2100" t="s">
        <v>102</v>
      </c>
      <c r="N2100" t="s">
        <v>1221</v>
      </c>
      <c r="O2100" t="s">
        <v>104</v>
      </c>
      <c r="P2100" t="str">
        <f>"2170719520                    "</f>
        <v xml:space="preserve">2170719520                    </v>
      </c>
      <c r="Q2100">
        <v>0</v>
      </c>
      <c r="R2100">
        <v>0</v>
      </c>
      <c r="S2100">
        <v>0</v>
      </c>
      <c r="T2100">
        <v>0</v>
      </c>
      <c r="U2100">
        <v>0</v>
      </c>
      <c r="V2100">
        <v>0</v>
      </c>
      <c r="W2100">
        <v>0</v>
      </c>
      <c r="X2100">
        <v>0</v>
      </c>
      <c r="Y2100">
        <v>0</v>
      </c>
      <c r="Z2100">
        <v>0</v>
      </c>
      <c r="AA2100">
        <v>0</v>
      </c>
      <c r="AB2100">
        <v>0</v>
      </c>
      <c r="AC2100">
        <v>0</v>
      </c>
      <c r="AD2100">
        <v>0</v>
      </c>
      <c r="AE2100">
        <v>0</v>
      </c>
      <c r="AF2100">
        <v>0</v>
      </c>
      <c r="AG2100">
        <v>0</v>
      </c>
      <c r="AH2100">
        <v>0</v>
      </c>
      <c r="AI2100">
        <v>0</v>
      </c>
      <c r="AJ2100">
        <v>0</v>
      </c>
      <c r="AK2100">
        <v>0</v>
      </c>
      <c r="AL2100">
        <v>0</v>
      </c>
      <c r="AM2100">
        <v>14.75</v>
      </c>
      <c r="AN2100">
        <v>0</v>
      </c>
      <c r="AO2100">
        <v>0</v>
      </c>
      <c r="AP2100">
        <v>0</v>
      </c>
      <c r="AQ2100">
        <v>0</v>
      </c>
      <c r="AR2100">
        <v>0</v>
      </c>
      <c r="AS2100">
        <v>0</v>
      </c>
      <c r="AT2100">
        <v>0</v>
      </c>
      <c r="AU2100">
        <v>0</v>
      </c>
      <c r="AV2100">
        <v>0</v>
      </c>
      <c r="AW2100">
        <v>0</v>
      </c>
      <c r="AX2100">
        <v>0</v>
      </c>
      <c r="AY2100">
        <v>0</v>
      </c>
      <c r="AZ2100">
        <v>0</v>
      </c>
      <c r="BA2100">
        <v>0</v>
      </c>
      <c r="BB2100">
        <v>0</v>
      </c>
      <c r="BC2100">
        <v>0</v>
      </c>
      <c r="BD2100">
        <v>0</v>
      </c>
      <c r="BE2100">
        <v>0</v>
      </c>
      <c r="BF2100">
        <v>0</v>
      </c>
      <c r="BG2100">
        <v>0</v>
      </c>
      <c r="BH2100">
        <v>1</v>
      </c>
      <c r="BI2100">
        <v>7.2</v>
      </c>
      <c r="BJ2100">
        <v>3.6</v>
      </c>
      <c r="BK2100">
        <v>8</v>
      </c>
      <c r="BL2100" s="4">
        <v>91.71</v>
      </c>
      <c r="BM2100" s="4">
        <v>13.76</v>
      </c>
      <c r="BN2100" s="4">
        <v>105.47</v>
      </c>
      <c r="BO2100" s="4">
        <v>105.47</v>
      </c>
      <c r="BQ2100" t="s">
        <v>135</v>
      </c>
      <c r="BR2100" t="s">
        <v>105</v>
      </c>
      <c r="BS2100" s="3">
        <v>43805</v>
      </c>
      <c r="BT2100" s="5">
        <v>0.40277777777777773</v>
      </c>
      <c r="BU2100" t="s">
        <v>1222</v>
      </c>
      <c r="BV2100" t="s">
        <v>86</v>
      </c>
      <c r="BY2100">
        <v>18028.5</v>
      </c>
      <c r="CA2100" t="s">
        <v>1223</v>
      </c>
      <c r="CC2100" t="s">
        <v>102</v>
      </c>
      <c r="CD2100">
        <v>186</v>
      </c>
      <c r="CE2100" t="s">
        <v>116</v>
      </c>
      <c r="CF2100" s="3">
        <v>43808</v>
      </c>
      <c r="CI2100">
        <v>0</v>
      </c>
      <c r="CJ2100">
        <v>0</v>
      </c>
      <c r="CK2100" t="s">
        <v>108</v>
      </c>
      <c r="CL2100" t="s">
        <v>89</v>
      </c>
    </row>
    <row r="2101" spans="1:90">
      <c r="A2101" t="s">
        <v>72</v>
      </c>
      <c r="B2101" t="s">
        <v>73</v>
      </c>
      <c r="C2101" t="s">
        <v>74</v>
      </c>
      <c r="E2101" t="str">
        <f>"FES1162726847"</f>
        <v>FES1162726847</v>
      </c>
      <c r="F2101" s="3">
        <v>43804</v>
      </c>
      <c r="G2101">
        <v>202006</v>
      </c>
      <c r="H2101" t="s">
        <v>75</v>
      </c>
      <c r="I2101" t="s">
        <v>76</v>
      </c>
      <c r="J2101" t="s">
        <v>100</v>
      </c>
      <c r="K2101" t="s">
        <v>78</v>
      </c>
      <c r="L2101" t="s">
        <v>667</v>
      </c>
      <c r="M2101" t="s">
        <v>668</v>
      </c>
      <c r="N2101" t="s">
        <v>1526</v>
      </c>
      <c r="O2101" t="s">
        <v>104</v>
      </c>
      <c r="P2101" t="str">
        <f>"2170712096                    "</f>
        <v xml:space="preserve">2170712096                    </v>
      </c>
      <c r="Q2101">
        <v>0</v>
      </c>
      <c r="R2101">
        <v>0</v>
      </c>
      <c r="S2101">
        <v>0</v>
      </c>
      <c r="T2101">
        <v>0</v>
      </c>
      <c r="U2101">
        <v>0</v>
      </c>
      <c r="V2101">
        <v>0</v>
      </c>
      <c r="W2101">
        <v>0</v>
      </c>
      <c r="X2101">
        <v>0</v>
      </c>
      <c r="Y2101">
        <v>0</v>
      </c>
      <c r="Z2101">
        <v>0</v>
      </c>
      <c r="AA2101">
        <v>0</v>
      </c>
      <c r="AB2101">
        <v>0</v>
      </c>
      <c r="AC2101">
        <v>0</v>
      </c>
      <c r="AD2101">
        <v>0</v>
      </c>
      <c r="AE2101">
        <v>0</v>
      </c>
      <c r="AF2101">
        <v>0</v>
      </c>
      <c r="AG2101">
        <v>0</v>
      </c>
      <c r="AH2101">
        <v>0</v>
      </c>
      <c r="AI2101">
        <v>0</v>
      </c>
      <c r="AJ2101">
        <v>0</v>
      </c>
      <c r="AK2101">
        <v>0</v>
      </c>
      <c r="AL2101">
        <v>0</v>
      </c>
      <c r="AM2101">
        <v>12.07</v>
      </c>
      <c r="AN2101">
        <v>0</v>
      </c>
      <c r="AO2101">
        <v>0</v>
      </c>
      <c r="AP2101">
        <v>0</v>
      </c>
      <c r="AQ2101">
        <v>0</v>
      </c>
      <c r="AR2101">
        <v>0</v>
      </c>
      <c r="AS2101">
        <v>0</v>
      </c>
      <c r="AT2101">
        <v>0</v>
      </c>
      <c r="AU2101">
        <v>0</v>
      </c>
      <c r="AV2101">
        <v>0</v>
      </c>
      <c r="AW2101">
        <v>0</v>
      </c>
      <c r="AX2101">
        <v>0</v>
      </c>
      <c r="AY2101">
        <v>0</v>
      </c>
      <c r="AZ2101">
        <v>0</v>
      </c>
      <c r="BA2101">
        <v>0</v>
      </c>
      <c r="BB2101">
        <v>0</v>
      </c>
      <c r="BC2101">
        <v>0</v>
      </c>
      <c r="BD2101">
        <v>0</v>
      </c>
      <c r="BE2101">
        <v>0</v>
      </c>
      <c r="BF2101">
        <v>0</v>
      </c>
      <c r="BG2101">
        <v>0</v>
      </c>
      <c r="BH2101">
        <v>1</v>
      </c>
      <c r="BI2101">
        <v>12.2</v>
      </c>
      <c r="BJ2101">
        <v>9.5</v>
      </c>
      <c r="BK2101">
        <v>13</v>
      </c>
      <c r="BL2101" s="4">
        <v>75.95</v>
      </c>
      <c r="BM2101" s="4">
        <v>11.39</v>
      </c>
      <c r="BN2101" s="4">
        <v>87.34</v>
      </c>
      <c r="BO2101" s="4">
        <v>87.34</v>
      </c>
      <c r="BQ2101" t="s">
        <v>93</v>
      </c>
      <c r="BR2101" t="s">
        <v>105</v>
      </c>
      <c r="BS2101" s="3">
        <v>43805</v>
      </c>
      <c r="BT2101" s="5">
        <v>0.34166666666666662</v>
      </c>
      <c r="BU2101" t="s">
        <v>1755</v>
      </c>
      <c r="BV2101" t="s">
        <v>86</v>
      </c>
      <c r="BY2101">
        <v>47502</v>
      </c>
      <c r="CC2101" t="s">
        <v>668</v>
      </c>
      <c r="CD2101">
        <v>1759</v>
      </c>
      <c r="CE2101" t="s">
        <v>96</v>
      </c>
      <c r="CF2101" s="3">
        <v>43808</v>
      </c>
      <c r="CI2101">
        <v>1</v>
      </c>
      <c r="CJ2101">
        <v>1</v>
      </c>
      <c r="CK2101" t="s">
        <v>123</v>
      </c>
      <c r="CL2101" t="s">
        <v>89</v>
      </c>
    </row>
    <row r="2102" spans="1:90">
      <c r="A2102" t="s">
        <v>72</v>
      </c>
      <c r="B2102" t="s">
        <v>73</v>
      </c>
      <c r="C2102" t="s">
        <v>74</v>
      </c>
      <c r="E2102" t="str">
        <f>"FES1162726416"</f>
        <v>FES1162726416</v>
      </c>
      <c r="F2102" s="3">
        <v>43804</v>
      </c>
      <c r="G2102">
        <v>202006</v>
      </c>
      <c r="H2102" t="s">
        <v>75</v>
      </c>
      <c r="I2102" t="s">
        <v>76</v>
      </c>
      <c r="J2102" t="s">
        <v>100</v>
      </c>
      <c r="K2102" t="s">
        <v>78</v>
      </c>
      <c r="L2102" t="s">
        <v>79</v>
      </c>
      <c r="M2102" t="s">
        <v>80</v>
      </c>
      <c r="N2102" t="s">
        <v>1942</v>
      </c>
      <c r="O2102" t="s">
        <v>104</v>
      </c>
      <c r="P2102" t="str">
        <f>"2170719393                    "</f>
        <v xml:space="preserve">2170719393                    </v>
      </c>
      <c r="Q2102">
        <v>0</v>
      </c>
      <c r="R2102">
        <v>0</v>
      </c>
      <c r="S2102">
        <v>0</v>
      </c>
      <c r="T2102">
        <v>0</v>
      </c>
      <c r="U2102">
        <v>0</v>
      </c>
      <c r="V2102">
        <v>0</v>
      </c>
      <c r="W2102">
        <v>0</v>
      </c>
      <c r="X2102">
        <v>0</v>
      </c>
      <c r="Y2102">
        <v>0</v>
      </c>
      <c r="Z2102">
        <v>0</v>
      </c>
      <c r="AA2102">
        <v>0</v>
      </c>
      <c r="AB2102">
        <v>0</v>
      </c>
      <c r="AC2102">
        <v>0</v>
      </c>
      <c r="AD2102">
        <v>0</v>
      </c>
      <c r="AE2102">
        <v>0</v>
      </c>
      <c r="AF2102">
        <v>0</v>
      </c>
      <c r="AG2102">
        <v>0</v>
      </c>
      <c r="AH2102">
        <v>0</v>
      </c>
      <c r="AI2102">
        <v>0</v>
      </c>
      <c r="AJ2102">
        <v>0</v>
      </c>
      <c r="AK2102">
        <v>0</v>
      </c>
      <c r="AL2102">
        <v>0</v>
      </c>
      <c r="AM2102">
        <v>31.87</v>
      </c>
      <c r="AN2102">
        <v>0</v>
      </c>
      <c r="AO2102">
        <v>0</v>
      </c>
      <c r="AP2102">
        <v>0</v>
      </c>
      <c r="AQ2102">
        <v>0</v>
      </c>
      <c r="AR2102">
        <v>0</v>
      </c>
      <c r="AS2102">
        <v>0</v>
      </c>
      <c r="AT2102">
        <v>0</v>
      </c>
      <c r="AU2102">
        <v>0</v>
      </c>
      <c r="AV2102">
        <v>0</v>
      </c>
      <c r="AW2102">
        <v>0</v>
      </c>
      <c r="AX2102">
        <v>0</v>
      </c>
      <c r="AY2102">
        <v>0</v>
      </c>
      <c r="AZ2102">
        <v>0</v>
      </c>
      <c r="BA2102">
        <v>0</v>
      </c>
      <c r="BB2102">
        <v>0</v>
      </c>
      <c r="BC2102">
        <v>0</v>
      </c>
      <c r="BD2102">
        <v>0</v>
      </c>
      <c r="BE2102">
        <v>0</v>
      </c>
      <c r="BF2102">
        <v>0</v>
      </c>
      <c r="BG2102">
        <v>0</v>
      </c>
      <c r="BH2102">
        <v>1</v>
      </c>
      <c r="BI2102">
        <v>14.9</v>
      </c>
      <c r="BJ2102">
        <v>33.5</v>
      </c>
      <c r="BK2102">
        <v>34</v>
      </c>
      <c r="BL2102" s="4">
        <v>192.31</v>
      </c>
      <c r="BM2102" s="4">
        <v>28.85</v>
      </c>
      <c r="BN2102" s="4">
        <v>221.16</v>
      </c>
      <c r="BO2102" s="4">
        <v>221.16</v>
      </c>
      <c r="BQ2102" t="s">
        <v>277</v>
      </c>
      <c r="BR2102" t="s">
        <v>105</v>
      </c>
      <c r="BS2102" s="3">
        <v>43808</v>
      </c>
      <c r="BT2102" s="5">
        <v>0.625</v>
      </c>
      <c r="BU2102" t="s">
        <v>1276</v>
      </c>
      <c r="BV2102" t="s">
        <v>89</v>
      </c>
      <c r="BW2102" t="s">
        <v>1627</v>
      </c>
      <c r="BX2102" t="s">
        <v>1100</v>
      </c>
      <c r="BY2102">
        <v>167612.78</v>
      </c>
      <c r="CA2102" t="s">
        <v>1225</v>
      </c>
      <c r="CC2102" t="s">
        <v>80</v>
      </c>
      <c r="CD2102">
        <v>6014</v>
      </c>
      <c r="CE2102" t="s">
        <v>96</v>
      </c>
      <c r="CF2102" s="3">
        <v>43809</v>
      </c>
      <c r="CI2102">
        <v>2</v>
      </c>
      <c r="CJ2102">
        <v>2</v>
      </c>
      <c r="CK2102" t="s">
        <v>113</v>
      </c>
      <c r="CL2102" t="s">
        <v>89</v>
      </c>
    </row>
    <row r="2103" spans="1:90">
      <c r="A2103" t="s">
        <v>72</v>
      </c>
      <c r="B2103" t="s">
        <v>73</v>
      </c>
      <c r="C2103" t="s">
        <v>74</v>
      </c>
      <c r="E2103" t="str">
        <f>"FES1162726653"</f>
        <v>FES1162726653</v>
      </c>
      <c r="F2103" s="3">
        <v>43804</v>
      </c>
      <c r="G2103">
        <v>202006</v>
      </c>
      <c r="H2103" t="s">
        <v>75</v>
      </c>
      <c r="I2103" t="s">
        <v>76</v>
      </c>
      <c r="J2103" t="s">
        <v>100</v>
      </c>
      <c r="K2103" t="s">
        <v>78</v>
      </c>
      <c r="L2103" t="s">
        <v>714</v>
      </c>
      <c r="M2103" t="s">
        <v>715</v>
      </c>
      <c r="N2103" t="s">
        <v>2247</v>
      </c>
      <c r="O2103" t="s">
        <v>104</v>
      </c>
      <c r="P2103" t="str">
        <f>"21707152222                   "</f>
        <v xml:space="preserve">21707152222                   </v>
      </c>
      <c r="Q2103">
        <v>0</v>
      </c>
      <c r="R2103">
        <v>0</v>
      </c>
      <c r="S2103">
        <v>0</v>
      </c>
      <c r="T2103">
        <v>0</v>
      </c>
      <c r="U2103">
        <v>0</v>
      </c>
      <c r="V2103">
        <v>0</v>
      </c>
      <c r="W2103">
        <v>0</v>
      </c>
      <c r="X2103">
        <v>0</v>
      </c>
      <c r="Y2103">
        <v>0</v>
      </c>
      <c r="Z2103">
        <v>0</v>
      </c>
      <c r="AA2103">
        <v>0</v>
      </c>
      <c r="AB2103">
        <v>0</v>
      </c>
      <c r="AC2103">
        <v>0</v>
      </c>
      <c r="AD2103">
        <v>0</v>
      </c>
      <c r="AE2103">
        <v>0</v>
      </c>
      <c r="AF2103">
        <v>0</v>
      </c>
      <c r="AG2103">
        <v>0</v>
      </c>
      <c r="AH2103">
        <v>0</v>
      </c>
      <c r="AI2103">
        <v>0</v>
      </c>
      <c r="AJ2103">
        <v>0</v>
      </c>
      <c r="AK2103">
        <v>0</v>
      </c>
      <c r="AL2103">
        <v>0</v>
      </c>
      <c r="AM2103">
        <v>13.69</v>
      </c>
      <c r="AN2103">
        <v>0</v>
      </c>
      <c r="AO2103">
        <v>0</v>
      </c>
      <c r="AP2103">
        <v>0</v>
      </c>
      <c r="AQ2103">
        <v>0</v>
      </c>
      <c r="AR2103">
        <v>0</v>
      </c>
      <c r="AS2103">
        <v>0</v>
      </c>
      <c r="AT2103">
        <v>0</v>
      </c>
      <c r="AU2103">
        <v>0</v>
      </c>
      <c r="AV2103">
        <v>0</v>
      </c>
      <c r="AW2103">
        <v>0</v>
      </c>
      <c r="AX2103">
        <v>0</v>
      </c>
      <c r="AY2103">
        <v>0</v>
      </c>
      <c r="AZ2103">
        <v>0</v>
      </c>
      <c r="BA2103">
        <v>0</v>
      </c>
      <c r="BB2103">
        <v>0</v>
      </c>
      <c r="BC2103">
        <v>0</v>
      </c>
      <c r="BD2103">
        <v>0</v>
      </c>
      <c r="BE2103">
        <v>0</v>
      </c>
      <c r="BF2103">
        <v>0</v>
      </c>
      <c r="BG2103">
        <v>0</v>
      </c>
      <c r="BH2103">
        <v>1</v>
      </c>
      <c r="BI2103">
        <v>15.1</v>
      </c>
      <c r="BJ2103">
        <v>18.2</v>
      </c>
      <c r="BK2103">
        <v>19</v>
      </c>
      <c r="BL2103" s="4">
        <v>85.45</v>
      </c>
      <c r="BM2103" s="4">
        <v>12.82</v>
      </c>
      <c r="BN2103" s="4">
        <v>98.27</v>
      </c>
      <c r="BO2103" s="4">
        <v>98.27</v>
      </c>
      <c r="BP2103" t="s">
        <v>1076</v>
      </c>
      <c r="BQ2103" t="s">
        <v>93</v>
      </c>
      <c r="BR2103" t="s">
        <v>105</v>
      </c>
      <c r="BS2103" s="3">
        <v>43805</v>
      </c>
      <c r="BT2103" s="5">
        <v>0.4375</v>
      </c>
      <c r="BU2103" t="s">
        <v>2378</v>
      </c>
      <c r="BV2103" t="s">
        <v>86</v>
      </c>
      <c r="BY2103">
        <v>91137.48</v>
      </c>
      <c r="CA2103" t="s">
        <v>1350</v>
      </c>
      <c r="CC2103" t="s">
        <v>715</v>
      </c>
      <c r="CD2103">
        <v>1559</v>
      </c>
      <c r="CE2103" t="s">
        <v>96</v>
      </c>
      <c r="CF2103" s="3">
        <v>43808</v>
      </c>
      <c r="CI2103">
        <v>1</v>
      </c>
      <c r="CJ2103">
        <v>1</v>
      </c>
      <c r="CK2103" t="s">
        <v>123</v>
      </c>
      <c r="CL2103" t="s">
        <v>89</v>
      </c>
    </row>
    <row r="2104" spans="1:90">
      <c r="A2104" t="s">
        <v>72</v>
      </c>
      <c r="B2104" t="s">
        <v>73</v>
      </c>
      <c r="C2104" t="s">
        <v>74</v>
      </c>
      <c r="E2104" t="str">
        <f>"FES1162726614"</f>
        <v>FES1162726614</v>
      </c>
      <c r="F2104" s="3">
        <v>43804</v>
      </c>
      <c r="G2104">
        <v>202006</v>
      </c>
      <c r="H2104" t="s">
        <v>75</v>
      </c>
      <c r="I2104" t="s">
        <v>76</v>
      </c>
      <c r="J2104" t="s">
        <v>100</v>
      </c>
      <c r="K2104" t="s">
        <v>78</v>
      </c>
      <c r="L2104" t="s">
        <v>164</v>
      </c>
      <c r="M2104" t="s">
        <v>165</v>
      </c>
      <c r="N2104" t="s">
        <v>1027</v>
      </c>
      <c r="O2104" t="s">
        <v>104</v>
      </c>
      <c r="P2104" t="str">
        <f>"21707120092                   "</f>
        <v xml:space="preserve">21707120092                   </v>
      </c>
      <c r="Q2104">
        <v>0</v>
      </c>
      <c r="R2104">
        <v>0</v>
      </c>
      <c r="S2104">
        <v>0</v>
      </c>
      <c r="T2104">
        <v>0</v>
      </c>
      <c r="U2104">
        <v>0</v>
      </c>
      <c r="V2104">
        <v>0</v>
      </c>
      <c r="W2104">
        <v>0</v>
      </c>
      <c r="X2104">
        <v>0</v>
      </c>
      <c r="Y2104">
        <v>0</v>
      </c>
      <c r="Z2104">
        <v>0</v>
      </c>
      <c r="AA2104">
        <v>0</v>
      </c>
      <c r="AB2104">
        <v>0</v>
      </c>
      <c r="AC2104">
        <v>0</v>
      </c>
      <c r="AD2104">
        <v>0</v>
      </c>
      <c r="AE2104">
        <v>0</v>
      </c>
      <c r="AF2104">
        <v>0</v>
      </c>
      <c r="AG2104">
        <v>0</v>
      </c>
      <c r="AH2104">
        <v>0</v>
      </c>
      <c r="AI2104">
        <v>0</v>
      </c>
      <c r="AJ2104">
        <v>0</v>
      </c>
      <c r="AK2104">
        <v>0</v>
      </c>
      <c r="AL2104">
        <v>0</v>
      </c>
      <c r="AM2104">
        <v>22.84</v>
      </c>
      <c r="AN2104">
        <v>0</v>
      </c>
      <c r="AO2104">
        <v>0</v>
      </c>
      <c r="AP2104">
        <v>0</v>
      </c>
      <c r="AQ2104">
        <v>0</v>
      </c>
      <c r="AR2104">
        <v>0</v>
      </c>
      <c r="AS2104">
        <v>0</v>
      </c>
      <c r="AT2104">
        <v>0</v>
      </c>
      <c r="AU2104">
        <v>0</v>
      </c>
      <c r="AV2104">
        <v>0</v>
      </c>
      <c r="AW2104">
        <v>0</v>
      </c>
      <c r="AX2104">
        <v>0</v>
      </c>
      <c r="AY2104">
        <v>0</v>
      </c>
      <c r="AZ2104">
        <v>0</v>
      </c>
      <c r="BA2104">
        <v>0</v>
      </c>
      <c r="BB2104">
        <v>0</v>
      </c>
      <c r="BC2104">
        <v>0</v>
      </c>
      <c r="BD2104">
        <v>0</v>
      </c>
      <c r="BE2104">
        <v>0</v>
      </c>
      <c r="BF2104">
        <v>0</v>
      </c>
      <c r="BG2104">
        <v>0</v>
      </c>
      <c r="BH2104">
        <v>1</v>
      </c>
      <c r="BI2104">
        <v>20.9</v>
      </c>
      <c r="BJ2104">
        <v>21.6</v>
      </c>
      <c r="BK2104">
        <v>22</v>
      </c>
      <c r="BL2104" s="4">
        <v>139.24</v>
      </c>
      <c r="BM2104" s="4">
        <v>20.89</v>
      </c>
      <c r="BN2104" s="4">
        <v>160.13</v>
      </c>
      <c r="BO2104" s="4">
        <v>160.13</v>
      </c>
      <c r="BQ2104" t="s">
        <v>93</v>
      </c>
      <c r="BR2104" t="s">
        <v>105</v>
      </c>
      <c r="BS2104" s="3">
        <v>43805</v>
      </c>
      <c r="BT2104" s="5">
        <v>0.40763888888888888</v>
      </c>
      <c r="BU2104" t="s">
        <v>1028</v>
      </c>
      <c r="BV2104" t="s">
        <v>86</v>
      </c>
      <c r="BY2104">
        <v>107754.57</v>
      </c>
      <c r="CA2104" t="s">
        <v>168</v>
      </c>
      <c r="CC2104" t="s">
        <v>165</v>
      </c>
      <c r="CD2104">
        <v>5201</v>
      </c>
      <c r="CE2104" t="s">
        <v>96</v>
      </c>
      <c r="CF2104" s="3">
        <v>43809</v>
      </c>
      <c r="CI2104">
        <v>2</v>
      </c>
      <c r="CJ2104">
        <v>1</v>
      </c>
      <c r="CK2104" t="s">
        <v>1070</v>
      </c>
      <c r="CL2104" t="s">
        <v>89</v>
      </c>
    </row>
    <row r="2105" spans="1:90">
      <c r="A2105" t="s">
        <v>72</v>
      </c>
      <c r="B2105" t="s">
        <v>73</v>
      </c>
      <c r="C2105" t="s">
        <v>74</v>
      </c>
      <c r="E2105" t="str">
        <f>"FES1162726741"</f>
        <v>FES1162726741</v>
      </c>
      <c r="F2105" s="3">
        <v>43804</v>
      </c>
      <c r="G2105">
        <v>202006</v>
      </c>
      <c r="H2105" t="s">
        <v>75</v>
      </c>
      <c r="I2105" t="s">
        <v>76</v>
      </c>
      <c r="J2105" t="s">
        <v>100</v>
      </c>
      <c r="K2105" t="s">
        <v>78</v>
      </c>
      <c r="L2105" t="s">
        <v>132</v>
      </c>
      <c r="M2105" t="s">
        <v>133</v>
      </c>
      <c r="N2105" t="s">
        <v>2006</v>
      </c>
      <c r="O2105" t="s">
        <v>104</v>
      </c>
      <c r="P2105" t="str">
        <f>"2170710040                    "</f>
        <v xml:space="preserve">2170710040                    </v>
      </c>
      <c r="Q2105">
        <v>0</v>
      </c>
      <c r="R2105">
        <v>0</v>
      </c>
      <c r="S2105">
        <v>0</v>
      </c>
      <c r="T2105">
        <v>0</v>
      </c>
      <c r="U2105">
        <v>0</v>
      </c>
      <c r="V2105">
        <v>0</v>
      </c>
      <c r="W2105">
        <v>0</v>
      </c>
      <c r="X2105">
        <v>0</v>
      </c>
      <c r="Y2105">
        <v>0</v>
      </c>
      <c r="Z2105">
        <v>0</v>
      </c>
      <c r="AA2105">
        <v>0</v>
      </c>
      <c r="AB2105">
        <v>0</v>
      </c>
      <c r="AC2105">
        <v>0</v>
      </c>
      <c r="AD2105">
        <v>0</v>
      </c>
      <c r="AE2105">
        <v>0</v>
      </c>
      <c r="AF2105">
        <v>0</v>
      </c>
      <c r="AG2105">
        <v>0</v>
      </c>
      <c r="AH2105">
        <v>0</v>
      </c>
      <c r="AI2105">
        <v>0</v>
      </c>
      <c r="AJ2105">
        <v>0</v>
      </c>
      <c r="AK2105">
        <v>0</v>
      </c>
      <c r="AL2105">
        <v>0</v>
      </c>
      <c r="AM2105">
        <v>14.75</v>
      </c>
      <c r="AN2105">
        <v>0</v>
      </c>
      <c r="AO2105">
        <v>0</v>
      </c>
      <c r="AP2105">
        <v>0</v>
      </c>
      <c r="AQ2105">
        <v>0</v>
      </c>
      <c r="AR2105">
        <v>0</v>
      </c>
      <c r="AS2105">
        <v>0</v>
      </c>
      <c r="AT2105">
        <v>0</v>
      </c>
      <c r="AU2105">
        <v>0</v>
      </c>
      <c r="AV2105">
        <v>0</v>
      </c>
      <c r="AW2105">
        <v>0</v>
      </c>
      <c r="AX2105">
        <v>0</v>
      </c>
      <c r="AY2105">
        <v>0</v>
      </c>
      <c r="AZ2105">
        <v>0</v>
      </c>
      <c r="BA2105">
        <v>0</v>
      </c>
      <c r="BB2105">
        <v>0</v>
      </c>
      <c r="BC2105">
        <v>0</v>
      </c>
      <c r="BD2105">
        <v>0</v>
      </c>
      <c r="BE2105">
        <v>0</v>
      </c>
      <c r="BF2105">
        <v>0</v>
      </c>
      <c r="BG2105">
        <v>0</v>
      </c>
      <c r="BH2105">
        <v>2</v>
      </c>
      <c r="BI2105">
        <v>6.9</v>
      </c>
      <c r="BJ2105">
        <v>3.8</v>
      </c>
      <c r="BK2105">
        <v>7</v>
      </c>
      <c r="BL2105" s="4">
        <v>91.71</v>
      </c>
      <c r="BM2105" s="4">
        <v>13.76</v>
      </c>
      <c r="BN2105" s="4">
        <v>105.47</v>
      </c>
      <c r="BO2105" s="4">
        <v>105.47</v>
      </c>
      <c r="BR2105" t="s">
        <v>105</v>
      </c>
      <c r="BS2105" s="3">
        <v>43805</v>
      </c>
      <c r="BT2105" s="5">
        <v>0.42430555555555555</v>
      </c>
      <c r="BU2105" t="s">
        <v>2379</v>
      </c>
      <c r="BV2105" t="s">
        <v>86</v>
      </c>
      <c r="BY2105">
        <v>18776</v>
      </c>
      <c r="CA2105" t="s">
        <v>2137</v>
      </c>
      <c r="CC2105" t="s">
        <v>133</v>
      </c>
      <c r="CD2105">
        <v>157</v>
      </c>
      <c r="CE2105" t="s">
        <v>122</v>
      </c>
      <c r="CF2105" s="3">
        <v>43810</v>
      </c>
      <c r="CI2105">
        <v>0</v>
      </c>
      <c r="CJ2105">
        <v>0</v>
      </c>
      <c r="CK2105" t="s">
        <v>108</v>
      </c>
      <c r="CL2105" t="s">
        <v>89</v>
      </c>
    </row>
    <row r="2106" spans="1:90">
      <c r="A2106" t="s">
        <v>72</v>
      </c>
      <c r="B2106" t="s">
        <v>73</v>
      </c>
      <c r="C2106" t="s">
        <v>74</v>
      </c>
      <c r="E2106" t="str">
        <f>"FES1162726204"</f>
        <v>FES1162726204</v>
      </c>
      <c r="F2106" s="3">
        <v>43804</v>
      </c>
      <c r="G2106">
        <v>202006</v>
      </c>
      <c r="H2106" t="s">
        <v>75</v>
      </c>
      <c r="I2106" t="s">
        <v>76</v>
      </c>
      <c r="J2106" t="s">
        <v>100</v>
      </c>
      <c r="K2106" t="s">
        <v>78</v>
      </c>
      <c r="L2106" t="s">
        <v>101</v>
      </c>
      <c r="M2106" t="s">
        <v>102</v>
      </c>
      <c r="N2106" t="s">
        <v>103</v>
      </c>
      <c r="O2106" t="s">
        <v>104</v>
      </c>
      <c r="P2106" t="str">
        <f>"2170719396                    "</f>
        <v xml:space="preserve">2170719396                    </v>
      </c>
      <c r="Q2106">
        <v>0</v>
      </c>
      <c r="R2106">
        <v>0</v>
      </c>
      <c r="S2106">
        <v>0</v>
      </c>
      <c r="T2106">
        <v>0</v>
      </c>
      <c r="U2106">
        <v>0</v>
      </c>
      <c r="V2106">
        <v>0</v>
      </c>
      <c r="W2106">
        <v>0</v>
      </c>
      <c r="X2106">
        <v>0</v>
      </c>
      <c r="Y2106">
        <v>0</v>
      </c>
      <c r="Z2106">
        <v>0</v>
      </c>
      <c r="AA2106">
        <v>0</v>
      </c>
      <c r="AB2106">
        <v>0</v>
      </c>
      <c r="AC2106">
        <v>0</v>
      </c>
      <c r="AD2106">
        <v>0</v>
      </c>
      <c r="AE2106">
        <v>0</v>
      </c>
      <c r="AF2106">
        <v>0</v>
      </c>
      <c r="AG2106">
        <v>0</v>
      </c>
      <c r="AH2106">
        <v>0</v>
      </c>
      <c r="AI2106">
        <v>0</v>
      </c>
      <c r="AJ2106">
        <v>0</v>
      </c>
      <c r="AK2106">
        <v>0</v>
      </c>
      <c r="AL2106">
        <v>0</v>
      </c>
      <c r="AM2106">
        <v>17.04</v>
      </c>
      <c r="AN2106">
        <v>0</v>
      </c>
      <c r="AO2106">
        <v>0</v>
      </c>
      <c r="AP2106">
        <v>0</v>
      </c>
      <c r="AQ2106">
        <v>0</v>
      </c>
      <c r="AR2106">
        <v>0</v>
      </c>
      <c r="AS2106">
        <v>0</v>
      </c>
      <c r="AT2106">
        <v>0</v>
      </c>
      <c r="AU2106">
        <v>0</v>
      </c>
      <c r="AV2106">
        <v>0</v>
      </c>
      <c r="AW2106">
        <v>0</v>
      </c>
      <c r="AX2106">
        <v>0</v>
      </c>
      <c r="AY2106">
        <v>0</v>
      </c>
      <c r="AZ2106">
        <v>0</v>
      </c>
      <c r="BA2106">
        <v>0</v>
      </c>
      <c r="BB2106">
        <v>0</v>
      </c>
      <c r="BC2106">
        <v>0</v>
      </c>
      <c r="BD2106">
        <v>0</v>
      </c>
      <c r="BE2106">
        <v>0</v>
      </c>
      <c r="BF2106">
        <v>0</v>
      </c>
      <c r="BG2106">
        <v>0</v>
      </c>
      <c r="BH2106">
        <v>3</v>
      </c>
      <c r="BI2106">
        <v>15.6</v>
      </c>
      <c r="BJ2106">
        <v>20</v>
      </c>
      <c r="BK2106">
        <v>20</v>
      </c>
      <c r="BL2106" s="4">
        <v>105.15</v>
      </c>
      <c r="BM2106" s="4">
        <v>15.77</v>
      </c>
      <c r="BN2106" s="4">
        <v>120.92</v>
      </c>
      <c r="BO2106" s="4">
        <v>120.92</v>
      </c>
      <c r="BQ2106" t="s">
        <v>93</v>
      </c>
      <c r="BR2106" t="s">
        <v>105</v>
      </c>
      <c r="BS2106" s="3">
        <v>43805</v>
      </c>
      <c r="BT2106" s="5">
        <v>0.34861111111111115</v>
      </c>
      <c r="BU2106" t="s">
        <v>106</v>
      </c>
      <c r="BV2106" t="s">
        <v>86</v>
      </c>
      <c r="BY2106">
        <v>99805.57</v>
      </c>
      <c r="CA2106" t="s">
        <v>107</v>
      </c>
      <c r="CC2106" t="s">
        <v>102</v>
      </c>
      <c r="CD2106">
        <v>1</v>
      </c>
      <c r="CE2106" t="s">
        <v>2357</v>
      </c>
      <c r="CF2106" s="3">
        <v>43808</v>
      </c>
      <c r="CI2106">
        <v>0</v>
      </c>
      <c r="CJ2106">
        <v>0</v>
      </c>
      <c r="CK2106" t="s">
        <v>108</v>
      </c>
      <c r="CL2106" t="s">
        <v>89</v>
      </c>
    </row>
    <row r="2107" spans="1:90">
      <c r="A2107" t="s">
        <v>72</v>
      </c>
      <c r="B2107" t="s">
        <v>73</v>
      </c>
      <c r="C2107" t="s">
        <v>74</v>
      </c>
      <c r="E2107" t="str">
        <f>"FES1162726895"</f>
        <v>FES1162726895</v>
      </c>
      <c r="F2107" s="3">
        <v>43804</v>
      </c>
      <c r="G2107">
        <v>202006</v>
      </c>
      <c r="H2107" t="s">
        <v>75</v>
      </c>
      <c r="I2107" t="s">
        <v>76</v>
      </c>
      <c r="J2107" t="s">
        <v>100</v>
      </c>
      <c r="K2107" t="s">
        <v>78</v>
      </c>
      <c r="L2107" t="s">
        <v>101</v>
      </c>
      <c r="M2107" t="s">
        <v>102</v>
      </c>
      <c r="N2107" t="s">
        <v>2374</v>
      </c>
      <c r="O2107" t="s">
        <v>104</v>
      </c>
      <c r="P2107" t="str">
        <f>"2170720052                    "</f>
        <v xml:space="preserve">2170720052                    </v>
      </c>
      <c r="Q2107">
        <v>0</v>
      </c>
      <c r="R2107">
        <v>0</v>
      </c>
      <c r="S2107">
        <v>0</v>
      </c>
      <c r="T2107">
        <v>0</v>
      </c>
      <c r="U2107">
        <v>0</v>
      </c>
      <c r="V2107">
        <v>0</v>
      </c>
      <c r="W2107">
        <v>0</v>
      </c>
      <c r="X2107">
        <v>0</v>
      </c>
      <c r="Y2107">
        <v>0</v>
      </c>
      <c r="Z2107">
        <v>0</v>
      </c>
      <c r="AA2107">
        <v>0</v>
      </c>
      <c r="AB2107">
        <v>0</v>
      </c>
      <c r="AC2107">
        <v>0</v>
      </c>
      <c r="AD2107">
        <v>0</v>
      </c>
      <c r="AE2107">
        <v>0</v>
      </c>
      <c r="AF2107">
        <v>0</v>
      </c>
      <c r="AG2107">
        <v>0</v>
      </c>
      <c r="AH2107">
        <v>0</v>
      </c>
      <c r="AI2107">
        <v>0</v>
      </c>
      <c r="AJ2107">
        <v>0</v>
      </c>
      <c r="AK2107">
        <v>0</v>
      </c>
      <c r="AL2107">
        <v>0</v>
      </c>
      <c r="AM2107">
        <v>14.75</v>
      </c>
      <c r="AN2107">
        <v>0</v>
      </c>
      <c r="AO2107">
        <v>0</v>
      </c>
      <c r="AP2107">
        <v>0</v>
      </c>
      <c r="AQ2107">
        <v>0</v>
      </c>
      <c r="AR2107">
        <v>0</v>
      </c>
      <c r="AS2107">
        <v>0</v>
      </c>
      <c r="AT2107">
        <v>0</v>
      </c>
      <c r="AU2107">
        <v>0</v>
      </c>
      <c r="AV2107">
        <v>0</v>
      </c>
      <c r="AW2107">
        <v>0</v>
      </c>
      <c r="AX2107">
        <v>0</v>
      </c>
      <c r="AY2107">
        <v>0</v>
      </c>
      <c r="AZ2107">
        <v>0</v>
      </c>
      <c r="BA2107">
        <v>0</v>
      </c>
      <c r="BB2107">
        <v>0</v>
      </c>
      <c r="BC2107">
        <v>0</v>
      </c>
      <c r="BD2107">
        <v>0</v>
      </c>
      <c r="BE2107">
        <v>0</v>
      </c>
      <c r="BF2107">
        <v>0</v>
      </c>
      <c r="BG2107">
        <v>0</v>
      </c>
      <c r="BH2107">
        <v>1</v>
      </c>
      <c r="BI2107">
        <v>3.9</v>
      </c>
      <c r="BJ2107">
        <v>2.2999999999999998</v>
      </c>
      <c r="BK2107">
        <v>4</v>
      </c>
      <c r="BL2107" s="4">
        <v>91.71</v>
      </c>
      <c r="BM2107" s="4">
        <v>13.76</v>
      </c>
      <c r="BN2107" s="4">
        <v>105.47</v>
      </c>
      <c r="BO2107" s="4">
        <v>105.47</v>
      </c>
      <c r="BQ2107" t="s">
        <v>93</v>
      </c>
      <c r="BR2107" t="s">
        <v>105</v>
      </c>
      <c r="BS2107" s="3">
        <v>43805</v>
      </c>
      <c r="BT2107" s="5">
        <v>0.40625</v>
      </c>
      <c r="BU2107" t="s">
        <v>2375</v>
      </c>
      <c r="BV2107" t="s">
        <v>86</v>
      </c>
      <c r="BY2107">
        <v>11375</v>
      </c>
      <c r="CA2107" t="s">
        <v>163</v>
      </c>
      <c r="CC2107" t="s">
        <v>102</v>
      </c>
      <c r="CD2107">
        <v>200</v>
      </c>
      <c r="CE2107" t="s">
        <v>116</v>
      </c>
      <c r="CF2107" s="3">
        <v>43808</v>
      </c>
      <c r="CI2107">
        <v>0</v>
      </c>
      <c r="CJ2107">
        <v>0</v>
      </c>
      <c r="CK2107" t="s">
        <v>108</v>
      </c>
      <c r="CL2107" t="s">
        <v>89</v>
      </c>
    </row>
    <row r="2108" spans="1:90">
      <c r="A2108" t="s">
        <v>72</v>
      </c>
      <c r="B2108" t="s">
        <v>73</v>
      </c>
      <c r="C2108" t="s">
        <v>74</v>
      </c>
      <c r="E2108" t="str">
        <f>"FES1162727018"</f>
        <v>FES1162727018</v>
      </c>
      <c r="F2108" s="3">
        <v>43804</v>
      </c>
      <c r="G2108">
        <v>202006</v>
      </c>
      <c r="H2108" t="s">
        <v>75</v>
      </c>
      <c r="I2108" t="s">
        <v>76</v>
      </c>
      <c r="J2108" t="s">
        <v>100</v>
      </c>
      <c r="K2108" t="s">
        <v>78</v>
      </c>
      <c r="L2108" t="s">
        <v>101</v>
      </c>
      <c r="M2108" t="s">
        <v>102</v>
      </c>
      <c r="N2108" t="s">
        <v>103</v>
      </c>
      <c r="O2108" t="s">
        <v>104</v>
      </c>
      <c r="P2108" t="str">
        <f>"2170720453                    "</f>
        <v xml:space="preserve">2170720453                    </v>
      </c>
      <c r="Q2108">
        <v>0</v>
      </c>
      <c r="R2108">
        <v>0</v>
      </c>
      <c r="S2108">
        <v>0</v>
      </c>
      <c r="T2108">
        <v>0</v>
      </c>
      <c r="U2108">
        <v>0</v>
      </c>
      <c r="V2108">
        <v>0</v>
      </c>
      <c r="W2108">
        <v>0</v>
      </c>
      <c r="X2108">
        <v>0</v>
      </c>
      <c r="Y2108">
        <v>0</v>
      </c>
      <c r="Z2108">
        <v>0</v>
      </c>
      <c r="AA2108">
        <v>0</v>
      </c>
      <c r="AB2108">
        <v>0</v>
      </c>
      <c r="AC2108">
        <v>0</v>
      </c>
      <c r="AD2108">
        <v>0</v>
      </c>
      <c r="AE2108">
        <v>0</v>
      </c>
      <c r="AF2108">
        <v>0</v>
      </c>
      <c r="AG2108">
        <v>0</v>
      </c>
      <c r="AH2108">
        <v>0</v>
      </c>
      <c r="AI2108">
        <v>0</v>
      </c>
      <c r="AJ2108">
        <v>0</v>
      </c>
      <c r="AK2108">
        <v>0</v>
      </c>
      <c r="AL2108">
        <v>0</v>
      </c>
      <c r="AM2108">
        <v>14.75</v>
      </c>
      <c r="AN2108">
        <v>0</v>
      </c>
      <c r="AO2108">
        <v>0</v>
      </c>
      <c r="AP2108">
        <v>0</v>
      </c>
      <c r="AQ2108">
        <v>0</v>
      </c>
      <c r="AR2108">
        <v>0</v>
      </c>
      <c r="AS2108">
        <v>0</v>
      </c>
      <c r="AT2108">
        <v>0</v>
      </c>
      <c r="AU2108">
        <v>0</v>
      </c>
      <c r="AV2108">
        <v>0</v>
      </c>
      <c r="AW2108">
        <v>0</v>
      </c>
      <c r="AX2108">
        <v>0</v>
      </c>
      <c r="AY2108">
        <v>0</v>
      </c>
      <c r="AZ2108">
        <v>0</v>
      </c>
      <c r="BA2108">
        <v>0</v>
      </c>
      <c r="BB2108">
        <v>0</v>
      </c>
      <c r="BC2108">
        <v>0</v>
      </c>
      <c r="BD2108">
        <v>0</v>
      </c>
      <c r="BE2108">
        <v>0</v>
      </c>
      <c r="BF2108">
        <v>0</v>
      </c>
      <c r="BG2108">
        <v>0</v>
      </c>
      <c r="BH2108">
        <v>1</v>
      </c>
      <c r="BI2108">
        <v>3.8</v>
      </c>
      <c r="BJ2108">
        <v>9.6999999999999993</v>
      </c>
      <c r="BK2108">
        <v>10</v>
      </c>
      <c r="BL2108" s="4">
        <v>91.71</v>
      </c>
      <c r="BM2108" s="4">
        <v>13.76</v>
      </c>
      <c r="BN2108" s="4">
        <v>105.47</v>
      </c>
      <c r="BO2108" s="4">
        <v>105.47</v>
      </c>
      <c r="BQ2108" t="s">
        <v>93</v>
      </c>
      <c r="BR2108" t="s">
        <v>105</v>
      </c>
      <c r="BS2108" s="3">
        <v>43805</v>
      </c>
      <c r="BT2108" s="5">
        <v>0.34861111111111115</v>
      </c>
      <c r="BU2108" t="s">
        <v>106</v>
      </c>
      <c r="BV2108" t="s">
        <v>86</v>
      </c>
      <c r="BY2108">
        <v>48730.5</v>
      </c>
      <c r="CA2108" t="s">
        <v>107</v>
      </c>
      <c r="CC2108" t="s">
        <v>102</v>
      </c>
      <c r="CD2108">
        <v>1</v>
      </c>
      <c r="CE2108" t="s">
        <v>96</v>
      </c>
      <c r="CF2108" s="3">
        <v>43808</v>
      </c>
      <c r="CI2108">
        <v>0</v>
      </c>
      <c r="CJ2108">
        <v>0</v>
      </c>
      <c r="CK2108" t="s">
        <v>108</v>
      </c>
      <c r="CL2108" t="s">
        <v>89</v>
      </c>
    </row>
    <row r="2109" spans="1:90">
      <c r="A2109" t="s">
        <v>72</v>
      </c>
      <c r="B2109" t="s">
        <v>73</v>
      </c>
      <c r="C2109" t="s">
        <v>74</v>
      </c>
      <c r="E2109" t="str">
        <f>"FES1162726909"</f>
        <v>FES1162726909</v>
      </c>
      <c r="F2109" s="3">
        <v>43804</v>
      </c>
      <c r="G2109">
        <v>202006</v>
      </c>
      <c r="H2109" t="s">
        <v>75</v>
      </c>
      <c r="I2109" t="s">
        <v>76</v>
      </c>
      <c r="J2109" t="s">
        <v>100</v>
      </c>
      <c r="K2109" t="s">
        <v>78</v>
      </c>
      <c r="L2109" t="s">
        <v>101</v>
      </c>
      <c r="M2109" t="s">
        <v>102</v>
      </c>
      <c r="N2109" t="s">
        <v>103</v>
      </c>
      <c r="O2109" t="s">
        <v>104</v>
      </c>
      <c r="P2109" t="str">
        <f>"2170715350                    "</f>
        <v xml:space="preserve">2170715350                    </v>
      </c>
      <c r="Q2109">
        <v>0</v>
      </c>
      <c r="R2109">
        <v>0</v>
      </c>
      <c r="S2109">
        <v>0</v>
      </c>
      <c r="T2109">
        <v>0</v>
      </c>
      <c r="U2109">
        <v>0</v>
      </c>
      <c r="V2109">
        <v>0</v>
      </c>
      <c r="W2109">
        <v>0</v>
      </c>
      <c r="X2109">
        <v>0</v>
      </c>
      <c r="Y2109">
        <v>0</v>
      </c>
      <c r="Z2109">
        <v>0</v>
      </c>
      <c r="AA2109">
        <v>0</v>
      </c>
      <c r="AB2109">
        <v>0</v>
      </c>
      <c r="AC2109">
        <v>0</v>
      </c>
      <c r="AD2109">
        <v>0</v>
      </c>
      <c r="AE2109">
        <v>0</v>
      </c>
      <c r="AF2109">
        <v>0</v>
      </c>
      <c r="AG2109">
        <v>0</v>
      </c>
      <c r="AH2109">
        <v>0</v>
      </c>
      <c r="AI2109">
        <v>0</v>
      </c>
      <c r="AJ2109">
        <v>0</v>
      </c>
      <c r="AK2109">
        <v>0</v>
      </c>
      <c r="AL2109">
        <v>0</v>
      </c>
      <c r="AM2109">
        <v>14.75</v>
      </c>
      <c r="AN2109">
        <v>0</v>
      </c>
      <c r="AO2109">
        <v>0</v>
      </c>
      <c r="AP2109">
        <v>0</v>
      </c>
      <c r="AQ2109">
        <v>0</v>
      </c>
      <c r="AR2109">
        <v>0</v>
      </c>
      <c r="AS2109">
        <v>0</v>
      </c>
      <c r="AT2109">
        <v>0</v>
      </c>
      <c r="AU2109">
        <v>0</v>
      </c>
      <c r="AV2109">
        <v>0</v>
      </c>
      <c r="AW2109">
        <v>0</v>
      </c>
      <c r="AX2109">
        <v>0</v>
      </c>
      <c r="AY2109">
        <v>0</v>
      </c>
      <c r="AZ2109">
        <v>0</v>
      </c>
      <c r="BA2109">
        <v>0</v>
      </c>
      <c r="BB2109">
        <v>0</v>
      </c>
      <c r="BC2109">
        <v>0</v>
      </c>
      <c r="BD2109">
        <v>0</v>
      </c>
      <c r="BE2109">
        <v>0</v>
      </c>
      <c r="BF2109">
        <v>0</v>
      </c>
      <c r="BG2109">
        <v>0</v>
      </c>
      <c r="BH2109">
        <v>1</v>
      </c>
      <c r="BI2109">
        <v>11.7</v>
      </c>
      <c r="BJ2109">
        <v>4.3</v>
      </c>
      <c r="BK2109">
        <v>12</v>
      </c>
      <c r="BL2109" s="4">
        <v>91.71</v>
      </c>
      <c r="BM2109" s="4">
        <v>13.76</v>
      </c>
      <c r="BN2109" s="4">
        <v>105.47</v>
      </c>
      <c r="BO2109" s="4">
        <v>105.47</v>
      </c>
      <c r="BQ2109" t="s">
        <v>93</v>
      </c>
      <c r="BR2109" t="s">
        <v>105</v>
      </c>
      <c r="BS2109" s="3">
        <v>43805</v>
      </c>
      <c r="BT2109" s="5">
        <v>0.34861111111111115</v>
      </c>
      <c r="BU2109" t="s">
        <v>106</v>
      </c>
      <c r="BV2109" t="s">
        <v>86</v>
      </c>
      <c r="BY2109">
        <v>21610.959999999999</v>
      </c>
      <c r="CA2109" t="s">
        <v>107</v>
      </c>
      <c r="CC2109" t="s">
        <v>102</v>
      </c>
      <c r="CD2109">
        <v>1</v>
      </c>
      <c r="CE2109" t="s">
        <v>96</v>
      </c>
      <c r="CF2109" s="3">
        <v>43808</v>
      </c>
      <c r="CI2109">
        <v>0</v>
      </c>
      <c r="CJ2109">
        <v>0</v>
      </c>
      <c r="CK2109" t="s">
        <v>108</v>
      </c>
      <c r="CL2109" t="s">
        <v>89</v>
      </c>
    </row>
    <row r="2110" spans="1:90">
      <c r="A2110" t="s">
        <v>72</v>
      </c>
      <c r="B2110" t="s">
        <v>73</v>
      </c>
      <c r="C2110" t="s">
        <v>74</v>
      </c>
      <c r="E2110" t="str">
        <f>"FES1162727415"</f>
        <v>FES1162727415</v>
      </c>
      <c r="F2110" s="3">
        <v>43808</v>
      </c>
      <c r="G2110">
        <v>202006</v>
      </c>
      <c r="H2110" t="s">
        <v>75</v>
      </c>
      <c r="I2110" t="s">
        <v>76</v>
      </c>
      <c r="J2110" t="s">
        <v>100</v>
      </c>
      <c r="K2110" t="s">
        <v>78</v>
      </c>
      <c r="L2110" t="s">
        <v>101</v>
      </c>
      <c r="M2110" t="s">
        <v>102</v>
      </c>
      <c r="N2110" t="s">
        <v>2128</v>
      </c>
      <c r="O2110" t="s">
        <v>104</v>
      </c>
      <c r="P2110" t="str">
        <f>"2170716439                    "</f>
        <v xml:space="preserve">2170716439                    </v>
      </c>
      <c r="Q2110">
        <v>0</v>
      </c>
      <c r="R2110">
        <v>0</v>
      </c>
      <c r="S2110">
        <v>0</v>
      </c>
      <c r="T2110">
        <v>0</v>
      </c>
      <c r="U2110">
        <v>0</v>
      </c>
      <c r="V2110">
        <v>0</v>
      </c>
      <c r="W2110">
        <v>0</v>
      </c>
      <c r="X2110">
        <v>0</v>
      </c>
      <c r="Y2110">
        <v>0</v>
      </c>
      <c r="Z2110">
        <v>0</v>
      </c>
      <c r="AA2110">
        <v>0</v>
      </c>
      <c r="AB2110">
        <v>0</v>
      </c>
      <c r="AC2110">
        <v>0</v>
      </c>
      <c r="AD2110">
        <v>0</v>
      </c>
      <c r="AE2110">
        <v>0</v>
      </c>
      <c r="AF2110">
        <v>0</v>
      </c>
      <c r="AG2110">
        <v>0</v>
      </c>
      <c r="AH2110">
        <v>0</v>
      </c>
      <c r="AI2110">
        <v>0</v>
      </c>
      <c r="AJ2110">
        <v>0</v>
      </c>
      <c r="AK2110">
        <v>0</v>
      </c>
      <c r="AL2110">
        <v>0</v>
      </c>
      <c r="AM2110">
        <v>19.78</v>
      </c>
      <c r="AN2110">
        <v>0</v>
      </c>
      <c r="AO2110">
        <v>0</v>
      </c>
      <c r="AP2110">
        <v>0</v>
      </c>
      <c r="AQ2110">
        <v>0</v>
      </c>
      <c r="AR2110">
        <v>0</v>
      </c>
      <c r="AS2110">
        <v>0</v>
      </c>
      <c r="AT2110">
        <v>0</v>
      </c>
      <c r="AU2110">
        <v>0</v>
      </c>
      <c r="AV2110">
        <v>0</v>
      </c>
      <c r="AW2110">
        <v>0</v>
      </c>
      <c r="AX2110">
        <v>0</v>
      </c>
      <c r="AY2110">
        <v>0</v>
      </c>
      <c r="AZ2110">
        <v>0</v>
      </c>
      <c r="BA2110">
        <v>0</v>
      </c>
      <c r="BB2110">
        <v>0</v>
      </c>
      <c r="BC2110">
        <v>0</v>
      </c>
      <c r="BD2110">
        <v>0</v>
      </c>
      <c r="BE2110">
        <v>0</v>
      </c>
      <c r="BF2110">
        <v>0</v>
      </c>
      <c r="BG2110">
        <v>0</v>
      </c>
      <c r="BH2110">
        <v>1</v>
      </c>
      <c r="BI2110">
        <v>11.9</v>
      </c>
      <c r="BJ2110">
        <v>25.9</v>
      </c>
      <c r="BK2110">
        <v>26</v>
      </c>
      <c r="BL2110" s="4">
        <v>121.27</v>
      </c>
      <c r="BM2110" s="4">
        <v>18.190000000000001</v>
      </c>
      <c r="BN2110" s="4">
        <v>139.46</v>
      </c>
      <c r="BO2110" s="4">
        <v>139.46</v>
      </c>
      <c r="BQ2110" t="s">
        <v>93</v>
      </c>
      <c r="BR2110" t="s">
        <v>105</v>
      </c>
      <c r="BS2110" s="3">
        <v>43809</v>
      </c>
      <c r="BT2110" s="5">
        <v>0.3888888888888889</v>
      </c>
      <c r="BU2110" t="s">
        <v>2380</v>
      </c>
      <c r="BV2110" t="s">
        <v>86</v>
      </c>
      <c r="BY2110">
        <v>129631.8</v>
      </c>
      <c r="CA2110" t="s">
        <v>328</v>
      </c>
      <c r="CC2110" t="s">
        <v>102</v>
      </c>
      <c r="CD2110">
        <v>184</v>
      </c>
      <c r="CE2110" t="s">
        <v>116</v>
      </c>
      <c r="CF2110" s="3">
        <v>43810</v>
      </c>
      <c r="CI2110">
        <v>0</v>
      </c>
      <c r="CJ2110">
        <v>0</v>
      </c>
      <c r="CK2110" t="s">
        <v>108</v>
      </c>
      <c r="CL2110" t="s">
        <v>89</v>
      </c>
    </row>
    <row r="2111" spans="1:90">
      <c r="A2111" t="s">
        <v>72</v>
      </c>
      <c r="B2111" t="s">
        <v>73</v>
      </c>
      <c r="C2111" t="s">
        <v>74</v>
      </c>
      <c r="E2111" t="str">
        <f>"FES1162726862"</f>
        <v>FES1162726862</v>
      </c>
      <c r="F2111" s="3">
        <v>43805</v>
      </c>
      <c r="G2111">
        <v>202006</v>
      </c>
      <c r="H2111" t="s">
        <v>75</v>
      </c>
      <c r="I2111" t="s">
        <v>76</v>
      </c>
      <c r="J2111" t="s">
        <v>100</v>
      </c>
      <c r="K2111" t="s">
        <v>78</v>
      </c>
      <c r="L2111" t="s">
        <v>177</v>
      </c>
      <c r="M2111" t="s">
        <v>178</v>
      </c>
      <c r="N2111" t="s">
        <v>179</v>
      </c>
      <c r="O2111" t="s">
        <v>104</v>
      </c>
      <c r="P2111" t="str">
        <f>"2170713040                    "</f>
        <v xml:space="preserve">2170713040                    </v>
      </c>
      <c r="Q2111">
        <v>0</v>
      </c>
      <c r="R2111">
        <v>0</v>
      </c>
      <c r="S2111">
        <v>0</v>
      </c>
      <c r="T2111">
        <v>0</v>
      </c>
      <c r="U2111">
        <v>0</v>
      </c>
      <c r="V2111">
        <v>0</v>
      </c>
      <c r="W2111">
        <v>0</v>
      </c>
      <c r="X2111">
        <v>0</v>
      </c>
      <c r="Y2111">
        <v>0</v>
      </c>
      <c r="Z2111">
        <v>0</v>
      </c>
      <c r="AA2111">
        <v>0</v>
      </c>
      <c r="AB2111">
        <v>0</v>
      </c>
      <c r="AC2111">
        <v>0</v>
      </c>
      <c r="AD2111">
        <v>0</v>
      </c>
      <c r="AE2111">
        <v>0</v>
      </c>
      <c r="AF2111">
        <v>0</v>
      </c>
      <c r="AG2111">
        <v>0</v>
      </c>
      <c r="AH2111">
        <v>0</v>
      </c>
      <c r="AI2111">
        <v>0</v>
      </c>
      <c r="AJ2111">
        <v>0</v>
      </c>
      <c r="AK2111">
        <v>0</v>
      </c>
      <c r="AL2111">
        <v>0</v>
      </c>
      <c r="AM2111">
        <v>25.51</v>
      </c>
      <c r="AN2111">
        <v>0</v>
      </c>
      <c r="AO2111">
        <v>0</v>
      </c>
      <c r="AP2111">
        <v>0</v>
      </c>
      <c r="AQ2111">
        <v>0</v>
      </c>
      <c r="AR2111">
        <v>0</v>
      </c>
      <c r="AS2111">
        <v>0</v>
      </c>
      <c r="AT2111">
        <v>0</v>
      </c>
      <c r="AU2111">
        <v>0</v>
      </c>
      <c r="AV2111">
        <v>0</v>
      </c>
      <c r="AW2111">
        <v>0</v>
      </c>
      <c r="AX2111">
        <v>0</v>
      </c>
      <c r="AY2111">
        <v>0</v>
      </c>
      <c r="AZ2111">
        <v>0</v>
      </c>
      <c r="BA2111">
        <v>0</v>
      </c>
      <c r="BB2111">
        <v>0</v>
      </c>
      <c r="BC2111">
        <v>0</v>
      </c>
      <c r="BD2111">
        <v>0</v>
      </c>
      <c r="BE2111">
        <v>0</v>
      </c>
      <c r="BF2111">
        <v>0</v>
      </c>
      <c r="BG2111">
        <v>0</v>
      </c>
      <c r="BH2111">
        <v>1</v>
      </c>
      <c r="BI2111">
        <v>13.7</v>
      </c>
      <c r="BJ2111">
        <v>30.7</v>
      </c>
      <c r="BK2111">
        <v>31</v>
      </c>
      <c r="BL2111" s="4">
        <v>154.93</v>
      </c>
      <c r="BM2111" s="4">
        <v>23.24</v>
      </c>
      <c r="BN2111" s="4">
        <v>178.17</v>
      </c>
      <c r="BO2111" s="4">
        <v>178.17</v>
      </c>
      <c r="BQ2111" t="s">
        <v>93</v>
      </c>
      <c r="BR2111" t="s">
        <v>105</v>
      </c>
      <c r="BS2111" s="3">
        <v>43809</v>
      </c>
      <c r="BT2111" s="5">
        <v>0.59375</v>
      </c>
      <c r="BU2111" t="s">
        <v>731</v>
      </c>
      <c r="BV2111" t="s">
        <v>89</v>
      </c>
      <c r="BW2111" t="s">
        <v>149</v>
      </c>
      <c r="BX2111" t="s">
        <v>181</v>
      </c>
      <c r="BY2111">
        <v>153464.17000000001</v>
      </c>
      <c r="CA2111" t="s">
        <v>182</v>
      </c>
      <c r="CC2111" t="s">
        <v>178</v>
      </c>
      <c r="CD2111">
        <v>1028</v>
      </c>
      <c r="CE2111" t="s">
        <v>96</v>
      </c>
      <c r="CF2111" s="3">
        <v>43811</v>
      </c>
      <c r="CI2111">
        <v>1</v>
      </c>
      <c r="CJ2111">
        <v>2</v>
      </c>
      <c r="CK2111" t="s">
        <v>740</v>
      </c>
      <c r="CL2111" t="s">
        <v>89</v>
      </c>
    </row>
    <row r="2112" spans="1:90">
      <c r="A2112" t="s">
        <v>72</v>
      </c>
      <c r="B2112" t="s">
        <v>73</v>
      </c>
      <c r="C2112" t="s">
        <v>74</v>
      </c>
      <c r="E2112" t="str">
        <f>"FES1162727143"</f>
        <v>FES1162727143</v>
      </c>
      <c r="F2112" s="3">
        <v>43805</v>
      </c>
      <c r="G2112">
        <v>202006</v>
      </c>
      <c r="H2112" t="s">
        <v>75</v>
      </c>
      <c r="I2112" t="s">
        <v>76</v>
      </c>
      <c r="J2112" t="s">
        <v>100</v>
      </c>
      <c r="K2112" t="s">
        <v>78</v>
      </c>
      <c r="L2112" t="s">
        <v>132</v>
      </c>
      <c r="M2112" t="s">
        <v>133</v>
      </c>
      <c r="N2112" t="s">
        <v>1257</v>
      </c>
      <c r="O2112" t="s">
        <v>104</v>
      </c>
      <c r="P2112" t="str">
        <f>"217071613                     "</f>
        <v xml:space="preserve">217071613                     </v>
      </c>
      <c r="Q2112">
        <v>0</v>
      </c>
      <c r="R2112">
        <v>0</v>
      </c>
      <c r="S2112">
        <v>0</v>
      </c>
      <c r="T2112">
        <v>0</v>
      </c>
      <c r="U2112">
        <v>0</v>
      </c>
      <c r="V2112">
        <v>0</v>
      </c>
      <c r="W2112">
        <v>0</v>
      </c>
      <c r="X2112">
        <v>0</v>
      </c>
      <c r="Y2112">
        <v>0</v>
      </c>
      <c r="Z2112">
        <v>0</v>
      </c>
      <c r="AA2112">
        <v>0</v>
      </c>
      <c r="AB2112">
        <v>0</v>
      </c>
      <c r="AC2112">
        <v>0</v>
      </c>
      <c r="AD2112">
        <v>0</v>
      </c>
      <c r="AE2112">
        <v>0</v>
      </c>
      <c r="AF2112">
        <v>0</v>
      </c>
      <c r="AG2112">
        <v>0</v>
      </c>
      <c r="AH2112">
        <v>0</v>
      </c>
      <c r="AI2112">
        <v>0</v>
      </c>
      <c r="AJ2112">
        <v>0</v>
      </c>
      <c r="AK2112">
        <v>0</v>
      </c>
      <c r="AL2112">
        <v>0</v>
      </c>
      <c r="AM2112">
        <v>14.75</v>
      </c>
      <c r="AN2112">
        <v>0</v>
      </c>
      <c r="AO2112">
        <v>0</v>
      </c>
      <c r="AP2112">
        <v>0</v>
      </c>
      <c r="AQ2112">
        <v>0</v>
      </c>
      <c r="AR2112">
        <v>0</v>
      </c>
      <c r="AS2112">
        <v>0</v>
      </c>
      <c r="AT2112">
        <v>0</v>
      </c>
      <c r="AU2112">
        <v>0</v>
      </c>
      <c r="AV2112">
        <v>0</v>
      </c>
      <c r="AW2112">
        <v>0</v>
      </c>
      <c r="AX2112">
        <v>0</v>
      </c>
      <c r="AY2112">
        <v>0</v>
      </c>
      <c r="AZ2112">
        <v>0</v>
      </c>
      <c r="BA2112">
        <v>0</v>
      </c>
      <c r="BB2112">
        <v>0</v>
      </c>
      <c r="BC2112">
        <v>0</v>
      </c>
      <c r="BD2112">
        <v>0</v>
      </c>
      <c r="BE2112">
        <v>0</v>
      </c>
      <c r="BF2112">
        <v>0</v>
      </c>
      <c r="BG2112">
        <v>0</v>
      </c>
      <c r="BH2112">
        <v>1</v>
      </c>
      <c r="BI2112">
        <v>5.7</v>
      </c>
      <c r="BJ2112">
        <v>8.3000000000000007</v>
      </c>
      <c r="BK2112">
        <v>9</v>
      </c>
      <c r="BL2112" s="4">
        <v>91.71</v>
      </c>
      <c r="BM2112" s="4">
        <v>13.76</v>
      </c>
      <c r="BN2112" s="4">
        <v>105.47</v>
      </c>
      <c r="BO2112" s="4">
        <v>105.47</v>
      </c>
      <c r="BQ2112" t="s">
        <v>93</v>
      </c>
      <c r="BR2112" t="s">
        <v>105</v>
      </c>
      <c r="BS2112" s="3">
        <v>43808</v>
      </c>
      <c r="BT2112" s="5">
        <v>0.41041666666666665</v>
      </c>
      <c r="BU2112" t="s">
        <v>417</v>
      </c>
      <c r="BV2112" t="s">
        <v>86</v>
      </c>
      <c r="BY2112">
        <v>41395.54</v>
      </c>
      <c r="CA2112" t="s">
        <v>137</v>
      </c>
      <c r="CC2112" t="s">
        <v>133</v>
      </c>
      <c r="CD2112">
        <v>157</v>
      </c>
      <c r="CE2112" t="s">
        <v>116</v>
      </c>
      <c r="CF2112" s="3">
        <v>43810</v>
      </c>
      <c r="CI2112">
        <v>0</v>
      </c>
      <c r="CJ2112">
        <v>0</v>
      </c>
      <c r="CK2112" t="s">
        <v>108</v>
      </c>
      <c r="CL2112" t="s">
        <v>89</v>
      </c>
    </row>
    <row r="2113" spans="1:90">
      <c r="A2113" t="s">
        <v>72</v>
      </c>
      <c r="B2113" t="s">
        <v>73</v>
      </c>
      <c r="C2113" t="s">
        <v>74</v>
      </c>
      <c r="E2113" t="str">
        <f>"FES1162727427"</f>
        <v>FES1162727427</v>
      </c>
      <c r="F2113" s="3">
        <v>43808</v>
      </c>
      <c r="G2113">
        <v>202006</v>
      </c>
      <c r="H2113" t="s">
        <v>75</v>
      </c>
      <c r="I2113" t="s">
        <v>76</v>
      </c>
      <c r="J2113" t="s">
        <v>100</v>
      </c>
      <c r="K2113" t="s">
        <v>78</v>
      </c>
      <c r="L2113" t="s">
        <v>101</v>
      </c>
      <c r="M2113" t="s">
        <v>102</v>
      </c>
      <c r="N2113" t="s">
        <v>324</v>
      </c>
      <c r="O2113" t="s">
        <v>104</v>
      </c>
      <c r="P2113" t="str">
        <f>"21707108522                   "</f>
        <v xml:space="preserve">21707108522                   </v>
      </c>
      <c r="Q2113">
        <v>0</v>
      </c>
      <c r="R2113">
        <v>0</v>
      </c>
      <c r="S2113">
        <v>0</v>
      </c>
      <c r="T2113">
        <v>0</v>
      </c>
      <c r="U2113">
        <v>0</v>
      </c>
      <c r="V2113">
        <v>0</v>
      </c>
      <c r="W2113">
        <v>0</v>
      </c>
      <c r="X2113">
        <v>0</v>
      </c>
      <c r="Y2113">
        <v>0</v>
      </c>
      <c r="Z2113">
        <v>0</v>
      </c>
      <c r="AA2113">
        <v>0</v>
      </c>
      <c r="AB2113">
        <v>0</v>
      </c>
      <c r="AC2113">
        <v>0</v>
      </c>
      <c r="AD2113">
        <v>0</v>
      </c>
      <c r="AE2113">
        <v>0</v>
      </c>
      <c r="AF2113">
        <v>0</v>
      </c>
      <c r="AG2113">
        <v>0</v>
      </c>
      <c r="AH2113">
        <v>0</v>
      </c>
      <c r="AI2113">
        <v>0</v>
      </c>
      <c r="AJ2113">
        <v>0</v>
      </c>
      <c r="AK2113">
        <v>0</v>
      </c>
      <c r="AL2113">
        <v>0</v>
      </c>
      <c r="AM2113">
        <v>25.27</v>
      </c>
      <c r="AN2113">
        <v>0</v>
      </c>
      <c r="AO2113">
        <v>0</v>
      </c>
      <c r="AP2113">
        <v>0</v>
      </c>
      <c r="AQ2113">
        <v>0</v>
      </c>
      <c r="AR2113">
        <v>0</v>
      </c>
      <c r="AS2113">
        <v>0</v>
      </c>
      <c r="AT2113">
        <v>0</v>
      </c>
      <c r="AU2113">
        <v>0</v>
      </c>
      <c r="AV2113">
        <v>0</v>
      </c>
      <c r="AW2113">
        <v>0</v>
      </c>
      <c r="AX2113">
        <v>0</v>
      </c>
      <c r="AY2113">
        <v>0</v>
      </c>
      <c r="AZ2113">
        <v>0</v>
      </c>
      <c r="BA2113">
        <v>0</v>
      </c>
      <c r="BB2113">
        <v>0</v>
      </c>
      <c r="BC2113">
        <v>0</v>
      </c>
      <c r="BD2113">
        <v>0</v>
      </c>
      <c r="BE2113">
        <v>0</v>
      </c>
      <c r="BF2113">
        <v>0</v>
      </c>
      <c r="BG2113">
        <v>0</v>
      </c>
      <c r="BH2113">
        <v>1</v>
      </c>
      <c r="BI2113">
        <v>19.899999999999999</v>
      </c>
      <c r="BJ2113">
        <v>37.200000000000003</v>
      </c>
      <c r="BK2113">
        <v>38</v>
      </c>
      <c r="BL2113" s="4">
        <v>153.52000000000001</v>
      </c>
      <c r="BM2113" s="4">
        <v>23.03</v>
      </c>
      <c r="BN2113" s="4">
        <v>176.55</v>
      </c>
      <c r="BO2113" s="4">
        <v>176.55</v>
      </c>
      <c r="BQ2113" t="s">
        <v>93</v>
      </c>
      <c r="BR2113" t="s">
        <v>105</v>
      </c>
      <c r="BS2113" s="3">
        <v>43809</v>
      </c>
      <c r="BT2113" s="5">
        <v>0.48125000000000001</v>
      </c>
      <c r="BU2113" t="s">
        <v>2381</v>
      </c>
      <c r="BV2113" t="s">
        <v>86</v>
      </c>
      <c r="BY2113">
        <v>185782.87</v>
      </c>
      <c r="CA2113" t="s">
        <v>2382</v>
      </c>
      <c r="CC2113" t="s">
        <v>102</v>
      </c>
      <c r="CD2113">
        <v>200</v>
      </c>
      <c r="CE2113" t="s">
        <v>96</v>
      </c>
      <c r="CF2113" s="3">
        <v>43810</v>
      </c>
      <c r="CI2113">
        <v>0</v>
      </c>
      <c r="CJ2113">
        <v>0</v>
      </c>
      <c r="CK2113" t="s">
        <v>108</v>
      </c>
      <c r="CL2113" t="s">
        <v>89</v>
      </c>
    </row>
    <row r="2114" spans="1:90">
      <c r="A2114" t="s">
        <v>72</v>
      </c>
      <c r="B2114" t="s">
        <v>73</v>
      </c>
      <c r="C2114" t="s">
        <v>74</v>
      </c>
      <c r="E2114" t="str">
        <f>"FES1162727240"</f>
        <v>FES1162727240</v>
      </c>
      <c r="F2114" s="3">
        <v>43805</v>
      </c>
      <c r="G2114">
        <v>202006</v>
      </c>
      <c r="H2114" t="s">
        <v>75</v>
      </c>
      <c r="I2114" t="s">
        <v>76</v>
      </c>
      <c r="J2114" t="s">
        <v>100</v>
      </c>
      <c r="K2114" t="s">
        <v>78</v>
      </c>
      <c r="L2114" t="s">
        <v>101</v>
      </c>
      <c r="M2114" t="s">
        <v>102</v>
      </c>
      <c r="N2114" t="s">
        <v>103</v>
      </c>
      <c r="O2114" t="s">
        <v>104</v>
      </c>
      <c r="P2114" t="str">
        <f>"2170720728                    "</f>
        <v xml:space="preserve">2170720728                    </v>
      </c>
      <c r="Q2114">
        <v>0</v>
      </c>
      <c r="R2114">
        <v>0</v>
      </c>
      <c r="S2114">
        <v>0</v>
      </c>
      <c r="T2114">
        <v>0</v>
      </c>
      <c r="U2114">
        <v>0</v>
      </c>
      <c r="V2114">
        <v>0</v>
      </c>
      <c r="W2114">
        <v>0</v>
      </c>
      <c r="X2114">
        <v>0</v>
      </c>
      <c r="Y2114">
        <v>0</v>
      </c>
      <c r="Z2114">
        <v>0</v>
      </c>
      <c r="AA2114">
        <v>0</v>
      </c>
      <c r="AB2114">
        <v>0</v>
      </c>
      <c r="AC2114">
        <v>0</v>
      </c>
      <c r="AD2114">
        <v>0</v>
      </c>
      <c r="AE2114">
        <v>0</v>
      </c>
      <c r="AF2114">
        <v>0</v>
      </c>
      <c r="AG2114">
        <v>0</v>
      </c>
      <c r="AH2114">
        <v>0</v>
      </c>
      <c r="AI2114">
        <v>0</v>
      </c>
      <c r="AJ2114">
        <v>0</v>
      </c>
      <c r="AK2114">
        <v>0</v>
      </c>
      <c r="AL2114">
        <v>0</v>
      </c>
      <c r="AM2114">
        <v>14.75</v>
      </c>
      <c r="AN2114">
        <v>0</v>
      </c>
      <c r="AO2114">
        <v>0</v>
      </c>
      <c r="AP2114">
        <v>0</v>
      </c>
      <c r="AQ2114">
        <v>0</v>
      </c>
      <c r="AR2114">
        <v>0</v>
      </c>
      <c r="AS2114">
        <v>0</v>
      </c>
      <c r="AT2114">
        <v>0</v>
      </c>
      <c r="AU2114">
        <v>0</v>
      </c>
      <c r="AV2114">
        <v>0</v>
      </c>
      <c r="AW2114">
        <v>0</v>
      </c>
      <c r="AX2114">
        <v>0</v>
      </c>
      <c r="AY2114">
        <v>0</v>
      </c>
      <c r="AZ2114">
        <v>0</v>
      </c>
      <c r="BA2114">
        <v>0</v>
      </c>
      <c r="BB2114">
        <v>0</v>
      </c>
      <c r="BC2114">
        <v>0</v>
      </c>
      <c r="BD2114">
        <v>0</v>
      </c>
      <c r="BE2114">
        <v>0</v>
      </c>
      <c r="BF2114">
        <v>0</v>
      </c>
      <c r="BG2114">
        <v>0</v>
      </c>
      <c r="BH2114">
        <v>1</v>
      </c>
      <c r="BI2114">
        <v>9.1</v>
      </c>
      <c r="BJ2114">
        <v>3.6</v>
      </c>
      <c r="BK2114">
        <v>10</v>
      </c>
      <c r="BL2114" s="4">
        <v>91.71</v>
      </c>
      <c r="BM2114" s="4">
        <v>13.76</v>
      </c>
      <c r="BN2114" s="4">
        <v>105.47</v>
      </c>
      <c r="BO2114" s="4">
        <v>105.47</v>
      </c>
      <c r="BQ2114" t="s">
        <v>93</v>
      </c>
      <c r="BR2114" t="s">
        <v>105</v>
      </c>
      <c r="BS2114" s="3">
        <v>43808</v>
      </c>
      <c r="BT2114" s="5">
        <v>0.39583333333333331</v>
      </c>
      <c r="BU2114" t="s">
        <v>1237</v>
      </c>
      <c r="BV2114" t="s">
        <v>86</v>
      </c>
      <c r="BY2114">
        <v>18100.84</v>
      </c>
      <c r="CA2114" t="s">
        <v>1238</v>
      </c>
      <c r="CC2114" t="s">
        <v>102</v>
      </c>
      <c r="CD2114">
        <v>1</v>
      </c>
      <c r="CE2114" t="s">
        <v>116</v>
      </c>
      <c r="CF2114" s="3">
        <v>43810</v>
      </c>
      <c r="CI2114">
        <v>0</v>
      </c>
      <c r="CJ2114">
        <v>0</v>
      </c>
      <c r="CK2114" t="s">
        <v>108</v>
      </c>
      <c r="CL2114" t="s">
        <v>89</v>
      </c>
    </row>
    <row r="2115" spans="1:90">
      <c r="A2115" t="s">
        <v>72</v>
      </c>
      <c r="B2115" t="s">
        <v>73</v>
      </c>
      <c r="C2115" t="s">
        <v>74</v>
      </c>
      <c r="E2115" t="str">
        <f>"009939650338"</f>
        <v>009939650338</v>
      </c>
      <c r="F2115" s="3">
        <v>43805</v>
      </c>
      <c r="G2115">
        <v>202006</v>
      </c>
      <c r="H2115" t="s">
        <v>491</v>
      </c>
      <c r="I2115" t="s">
        <v>492</v>
      </c>
      <c r="J2115" t="s">
        <v>2383</v>
      </c>
      <c r="K2115" t="s">
        <v>78</v>
      </c>
      <c r="L2115" t="s">
        <v>1170</v>
      </c>
      <c r="M2115" t="s">
        <v>1170</v>
      </c>
      <c r="N2115" t="s">
        <v>2384</v>
      </c>
      <c r="O2115" t="s">
        <v>104</v>
      </c>
      <c r="P2115" t="str">
        <f>"                              "</f>
        <v xml:space="preserve">                              </v>
      </c>
      <c r="Q2115">
        <v>0</v>
      </c>
      <c r="R2115">
        <v>0</v>
      </c>
      <c r="S2115">
        <v>0</v>
      </c>
      <c r="T2115">
        <v>0</v>
      </c>
      <c r="U2115">
        <v>0</v>
      </c>
      <c r="V2115">
        <v>0</v>
      </c>
      <c r="W2115">
        <v>0</v>
      </c>
      <c r="X2115">
        <v>0</v>
      </c>
      <c r="Y2115">
        <v>0</v>
      </c>
      <c r="Z2115">
        <v>0</v>
      </c>
      <c r="AA2115">
        <v>0</v>
      </c>
      <c r="AB2115">
        <v>0</v>
      </c>
      <c r="AC2115">
        <v>0</v>
      </c>
      <c r="AD2115">
        <v>0</v>
      </c>
      <c r="AE2115">
        <v>0</v>
      </c>
      <c r="AF2115">
        <v>0</v>
      </c>
      <c r="AG2115">
        <v>0</v>
      </c>
      <c r="AH2115">
        <v>0</v>
      </c>
      <c r="AI2115">
        <v>0</v>
      </c>
      <c r="AJ2115">
        <v>0</v>
      </c>
      <c r="AK2115">
        <v>0</v>
      </c>
      <c r="AL2115">
        <v>0</v>
      </c>
      <c r="AM2115">
        <v>16.09</v>
      </c>
      <c r="AN2115">
        <v>0</v>
      </c>
      <c r="AO2115">
        <v>0</v>
      </c>
      <c r="AP2115">
        <v>0</v>
      </c>
      <c r="AQ2115">
        <v>0</v>
      </c>
      <c r="AR2115">
        <v>0</v>
      </c>
      <c r="AS2115">
        <v>0</v>
      </c>
      <c r="AT2115">
        <v>0</v>
      </c>
      <c r="AU2115">
        <v>0</v>
      </c>
      <c r="AV2115">
        <v>0</v>
      </c>
      <c r="AW2115">
        <v>0</v>
      </c>
      <c r="AX2115">
        <v>0</v>
      </c>
      <c r="AY2115">
        <v>0</v>
      </c>
      <c r="AZ2115">
        <v>0</v>
      </c>
      <c r="BA2115">
        <v>0</v>
      </c>
      <c r="BB2115">
        <v>0</v>
      </c>
      <c r="BC2115">
        <v>0</v>
      </c>
      <c r="BD2115">
        <v>0</v>
      </c>
      <c r="BE2115">
        <v>0</v>
      </c>
      <c r="BF2115">
        <v>0</v>
      </c>
      <c r="BG2115">
        <v>0</v>
      </c>
      <c r="BH2115">
        <v>1</v>
      </c>
      <c r="BI2115">
        <v>11.3</v>
      </c>
      <c r="BJ2115">
        <v>10.4</v>
      </c>
      <c r="BK2115">
        <v>12</v>
      </c>
      <c r="BL2115" s="4">
        <v>99.59</v>
      </c>
      <c r="BM2115" s="4">
        <v>14.94</v>
      </c>
      <c r="BN2115" s="4">
        <v>114.53</v>
      </c>
      <c r="BO2115" s="4">
        <v>114.53</v>
      </c>
      <c r="BQ2115" t="s">
        <v>1158</v>
      </c>
      <c r="BR2115" t="s">
        <v>1158</v>
      </c>
      <c r="BS2115" s="3">
        <v>43808</v>
      </c>
      <c r="BT2115" s="5">
        <v>0.34236111111111112</v>
      </c>
      <c r="BU2115" t="s">
        <v>2385</v>
      </c>
      <c r="BV2115" t="s">
        <v>86</v>
      </c>
      <c r="BY2115">
        <v>51926.36</v>
      </c>
      <c r="CA2115" t="s">
        <v>344</v>
      </c>
      <c r="CC2115" t="s">
        <v>1170</v>
      </c>
      <c r="CD2115">
        <v>1491</v>
      </c>
      <c r="CE2115" t="s">
        <v>96</v>
      </c>
      <c r="CF2115" s="3">
        <v>43810</v>
      </c>
      <c r="CI2115">
        <v>1</v>
      </c>
      <c r="CJ2115">
        <v>1</v>
      </c>
      <c r="CK2115" t="s">
        <v>740</v>
      </c>
      <c r="CL2115" t="s">
        <v>89</v>
      </c>
    </row>
    <row r="2116" spans="1:90">
      <c r="A2116" t="s">
        <v>72</v>
      </c>
      <c r="B2116" t="s">
        <v>73</v>
      </c>
      <c r="C2116" t="s">
        <v>74</v>
      </c>
      <c r="E2116" t="str">
        <f>"FES1162727268"</f>
        <v>FES1162727268</v>
      </c>
      <c r="F2116" s="3">
        <v>43808</v>
      </c>
      <c r="G2116">
        <v>202006</v>
      </c>
      <c r="H2116" t="s">
        <v>75</v>
      </c>
      <c r="I2116" t="s">
        <v>76</v>
      </c>
      <c r="J2116" t="s">
        <v>100</v>
      </c>
      <c r="K2116" t="s">
        <v>78</v>
      </c>
      <c r="L2116" t="s">
        <v>667</v>
      </c>
      <c r="M2116" t="s">
        <v>668</v>
      </c>
      <c r="N2116" t="s">
        <v>1526</v>
      </c>
      <c r="O2116" t="s">
        <v>104</v>
      </c>
      <c r="P2116" t="str">
        <f>"2170720758                    "</f>
        <v xml:space="preserve">2170720758                    </v>
      </c>
      <c r="Q2116">
        <v>0</v>
      </c>
      <c r="R2116">
        <v>0</v>
      </c>
      <c r="S2116">
        <v>0</v>
      </c>
      <c r="T2116">
        <v>0</v>
      </c>
      <c r="U2116">
        <v>0</v>
      </c>
      <c r="V2116">
        <v>0</v>
      </c>
      <c r="W2116">
        <v>0</v>
      </c>
      <c r="X2116">
        <v>0</v>
      </c>
      <c r="Y2116">
        <v>0</v>
      </c>
      <c r="Z2116">
        <v>0</v>
      </c>
      <c r="AA2116">
        <v>0</v>
      </c>
      <c r="AB2116">
        <v>0</v>
      </c>
      <c r="AC2116">
        <v>0</v>
      </c>
      <c r="AD2116">
        <v>0</v>
      </c>
      <c r="AE2116">
        <v>0</v>
      </c>
      <c r="AF2116">
        <v>0</v>
      </c>
      <c r="AG2116">
        <v>0</v>
      </c>
      <c r="AH2116">
        <v>0</v>
      </c>
      <c r="AI2116">
        <v>0</v>
      </c>
      <c r="AJ2116">
        <v>0</v>
      </c>
      <c r="AK2116">
        <v>0</v>
      </c>
      <c r="AL2116">
        <v>0</v>
      </c>
      <c r="AM2116">
        <v>18.13</v>
      </c>
      <c r="AN2116">
        <v>0</v>
      </c>
      <c r="AO2116">
        <v>0</v>
      </c>
      <c r="AP2116">
        <v>0</v>
      </c>
      <c r="AQ2116">
        <v>0</v>
      </c>
      <c r="AR2116">
        <v>0</v>
      </c>
      <c r="AS2116">
        <v>0</v>
      </c>
      <c r="AT2116">
        <v>0</v>
      </c>
      <c r="AU2116">
        <v>0</v>
      </c>
      <c r="AV2116">
        <v>0</v>
      </c>
      <c r="AW2116">
        <v>0</v>
      </c>
      <c r="AX2116">
        <v>0</v>
      </c>
      <c r="AY2116">
        <v>0</v>
      </c>
      <c r="AZ2116">
        <v>0</v>
      </c>
      <c r="BA2116">
        <v>0</v>
      </c>
      <c r="BB2116">
        <v>0</v>
      </c>
      <c r="BC2116">
        <v>0</v>
      </c>
      <c r="BD2116">
        <v>0</v>
      </c>
      <c r="BE2116">
        <v>0</v>
      </c>
      <c r="BF2116">
        <v>0</v>
      </c>
      <c r="BG2116">
        <v>0</v>
      </c>
      <c r="BH2116">
        <v>1</v>
      </c>
      <c r="BI2116">
        <v>10.5</v>
      </c>
      <c r="BJ2116">
        <v>29.1</v>
      </c>
      <c r="BK2116">
        <v>30</v>
      </c>
      <c r="BL2116" s="4">
        <v>111.56</v>
      </c>
      <c r="BM2116" s="4">
        <v>16.73</v>
      </c>
      <c r="BN2116" s="4">
        <v>128.29</v>
      </c>
      <c r="BO2116" s="4">
        <v>128.29</v>
      </c>
      <c r="BQ2116" t="s">
        <v>93</v>
      </c>
      <c r="BR2116" t="s">
        <v>105</v>
      </c>
      <c r="BS2116" s="3">
        <v>43809</v>
      </c>
      <c r="BT2116" s="5">
        <v>0.33333333333333331</v>
      </c>
      <c r="BU2116" t="s">
        <v>2386</v>
      </c>
      <c r="BV2116" t="s">
        <v>86</v>
      </c>
      <c r="BY2116">
        <v>145549.01</v>
      </c>
      <c r="CC2116" t="s">
        <v>668</v>
      </c>
      <c r="CD2116">
        <v>1759</v>
      </c>
      <c r="CE2116" t="s">
        <v>96</v>
      </c>
      <c r="CF2116" s="3">
        <v>43810</v>
      </c>
      <c r="CI2116">
        <v>1</v>
      </c>
      <c r="CJ2116">
        <v>1</v>
      </c>
      <c r="CK2116" t="s">
        <v>123</v>
      </c>
      <c r="CL2116" t="s">
        <v>89</v>
      </c>
    </row>
    <row r="2117" spans="1:90">
      <c r="A2117" t="s">
        <v>72</v>
      </c>
      <c r="B2117" t="s">
        <v>73</v>
      </c>
      <c r="C2117" t="s">
        <v>74</v>
      </c>
      <c r="E2117" t="str">
        <f>"FES1162728234"</f>
        <v>FES1162728234</v>
      </c>
      <c r="F2117" s="3">
        <v>43811</v>
      </c>
      <c r="G2117">
        <v>202006</v>
      </c>
      <c r="H2117" t="s">
        <v>75</v>
      </c>
      <c r="I2117" t="s">
        <v>76</v>
      </c>
      <c r="J2117" t="s">
        <v>100</v>
      </c>
      <c r="K2117" t="s">
        <v>78</v>
      </c>
      <c r="L2117" t="s">
        <v>332</v>
      </c>
      <c r="M2117" t="s">
        <v>333</v>
      </c>
      <c r="N2117" t="s">
        <v>2387</v>
      </c>
      <c r="O2117" t="s">
        <v>104</v>
      </c>
      <c r="P2117" t="str">
        <f>"2170719260                    "</f>
        <v xml:space="preserve">2170719260                    </v>
      </c>
      <c r="Q2117">
        <v>0</v>
      </c>
      <c r="R2117">
        <v>0</v>
      </c>
      <c r="S2117">
        <v>0</v>
      </c>
      <c r="T2117">
        <v>0</v>
      </c>
      <c r="U2117">
        <v>0</v>
      </c>
      <c r="V2117">
        <v>0</v>
      </c>
      <c r="W2117">
        <v>0</v>
      </c>
      <c r="X2117">
        <v>0</v>
      </c>
      <c r="Y2117">
        <v>0</v>
      </c>
      <c r="Z2117">
        <v>0</v>
      </c>
      <c r="AA2117">
        <v>0</v>
      </c>
      <c r="AB2117">
        <v>0</v>
      </c>
      <c r="AC2117">
        <v>0</v>
      </c>
      <c r="AD2117">
        <v>0</v>
      </c>
      <c r="AE2117">
        <v>0</v>
      </c>
      <c r="AF2117">
        <v>0</v>
      </c>
      <c r="AG2117">
        <v>0</v>
      </c>
      <c r="AH2117">
        <v>0</v>
      </c>
      <c r="AI2117">
        <v>0</v>
      </c>
      <c r="AJ2117">
        <v>0</v>
      </c>
      <c r="AK2117">
        <v>0</v>
      </c>
      <c r="AL2117">
        <v>0</v>
      </c>
      <c r="AM2117">
        <v>13.69</v>
      </c>
      <c r="AN2117">
        <v>0</v>
      </c>
      <c r="AO2117">
        <v>0</v>
      </c>
      <c r="AP2117">
        <v>0</v>
      </c>
      <c r="AQ2117">
        <v>0</v>
      </c>
      <c r="AR2117">
        <v>0</v>
      </c>
      <c r="AS2117">
        <v>0</v>
      </c>
      <c r="AT2117">
        <v>0</v>
      </c>
      <c r="AU2117">
        <v>0</v>
      </c>
      <c r="AV2117">
        <v>0</v>
      </c>
      <c r="AW2117">
        <v>0</v>
      </c>
      <c r="AX2117">
        <v>0</v>
      </c>
      <c r="AY2117">
        <v>0</v>
      </c>
      <c r="AZ2117">
        <v>0</v>
      </c>
      <c r="BA2117">
        <v>0</v>
      </c>
      <c r="BB2117">
        <v>0</v>
      </c>
      <c r="BC2117">
        <v>0</v>
      </c>
      <c r="BD2117">
        <v>0</v>
      </c>
      <c r="BE2117">
        <v>0</v>
      </c>
      <c r="BF2117">
        <v>0</v>
      </c>
      <c r="BG2117">
        <v>0</v>
      </c>
      <c r="BH2117">
        <v>1</v>
      </c>
      <c r="BI2117">
        <v>19</v>
      </c>
      <c r="BJ2117">
        <v>15.4</v>
      </c>
      <c r="BK2117">
        <v>19</v>
      </c>
      <c r="BL2117" s="4">
        <v>85.45</v>
      </c>
      <c r="BM2117" s="4">
        <v>12.82</v>
      </c>
      <c r="BN2117" s="4">
        <v>98.27</v>
      </c>
      <c r="BO2117" s="4">
        <v>98.27</v>
      </c>
      <c r="BR2117" t="s">
        <v>105</v>
      </c>
      <c r="BS2117" s="3">
        <v>43812</v>
      </c>
      <c r="BT2117" s="5">
        <v>0.41666666666666669</v>
      </c>
      <c r="BU2117" t="s">
        <v>1765</v>
      </c>
      <c r="BV2117" t="s">
        <v>86</v>
      </c>
      <c r="BY2117">
        <v>76760</v>
      </c>
      <c r="CC2117" t="s">
        <v>333</v>
      </c>
      <c r="CD2117">
        <v>2087</v>
      </c>
      <c r="CE2117" t="s">
        <v>116</v>
      </c>
      <c r="CF2117" s="3">
        <v>43816</v>
      </c>
      <c r="CI2117">
        <v>1</v>
      </c>
      <c r="CJ2117">
        <v>1</v>
      </c>
      <c r="CK2117" t="s">
        <v>123</v>
      </c>
      <c r="CL2117" t="s">
        <v>89</v>
      </c>
    </row>
    <row r="2118" spans="1:90">
      <c r="A2118" t="s">
        <v>72</v>
      </c>
      <c r="B2118" t="s">
        <v>73</v>
      </c>
      <c r="C2118" t="s">
        <v>74</v>
      </c>
      <c r="E2118" t="str">
        <f>"FES1162728605"</f>
        <v>FES1162728605</v>
      </c>
      <c r="F2118" s="3">
        <v>43816</v>
      </c>
      <c r="G2118">
        <v>202006</v>
      </c>
      <c r="H2118" t="s">
        <v>75</v>
      </c>
      <c r="I2118" t="s">
        <v>76</v>
      </c>
      <c r="J2118" t="s">
        <v>100</v>
      </c>
      <c r="K2118" t="s">
        <v>78</v>
      </c>
      <c r="L2118" t="s">
        <v>132</v>
      </c>
      <c r="M2118" t="s">
        <v>133</v>
      </c>
      <c r="N2118" t="s">
        <v>2388</v>
      </c>
      <c r="O2118" t="s">
        <v>104</v>
      </c>
      <c r="P2118" t="str">
        <f>"217071827                     "</f>
        <v xml:space="preserve">217071827                     </v>
      </c>
      <c r="Q2118">
        <v>0</v>
      </c>
      <c r="R2118">
        <v>0</v>
      </c>
      <c r="S2118">
        <v>0</v>
      </c>
      <c r="T2118">
        <v>0</v>
      </c>
      <c r="U2118">
        <v>0</v>
      </c>
      <c r="V2118">
        <v>0</v>
      </c>
      <c r="W2118">
        <v>0</v>
      </c>
      <c r="X2118">
        <v>0</v>
      </c>
      <c r="Y2118">
        <v>0</v>
      </c>
      <c r="Z2118">
        <v>0</v>
      </c>
      <c r="AA2118">
        <v>0</v>
      </c>
      <c r="AB2118">
        <v>0</v>
      </c>
      <c r="AC2118">
        <v>0</v>
      </c>
      <c r="AD2118">
        <v>0</v>
      </c>
      <c r="AE2118">
        <v>0</v>
      </c>
      <c r="AF2118">
        <v>0</v>
      </c>
      <c r="AG2118">
        <v>0</v>
      </c>
      <c r="AH2118">
        <v>0</v>
      </c>
      <c r="AI2118">
        <v>0</v>
      </c>
      <c r="AJ2118">
        <v>0</v>
      </c>
      <c r="AK2118">
        <v>0</v>
      </c>
      <c r="AL2118">
        <v>0</v>
      </c>
      <c r="AM2118">
        <v>14.75</v>
      </c>
      <c r="AN2118">
        <v>0</v>
      </c>
      <c r="AO2118">
        <v>0</v>
      </c>
      <c r="AP2118">
        <v>0</v>
      </c>
      <c r="AQ2118">
        <v>0</v>
      </c>
      <c r="AR2118">
        <v>0</v>
      </c>
      <c r="AS2118">
        <v>0</v>
      </c>
      <c r="AT2118">
        <v>0</v>
      </c>
      <c r="AU2118">
        <v>0</v>
      </c>
      <c r="AV2118">
        <v>0</v>
      </c>
      <c r="AW2118">
        <v>0</v>
      </c>
      <c r="AX2118">
        <v>0</v>
      </c>
      <c r="AY2118">
        <v>0</v>
      </c>
      <c r="AZ2118">
        <v>0</v>
      </c>
      <c r="BA2118">
        <v>0</v>
      </c>
      <c r="BB2118">
        <v>0</v>
      </c>
      <c r="BC2118">
        <v>0</v>
      </c>
      <c r="BD2118">
        <v>0</v>
      </c>
      <c r="BE2118">
        <v>0</v>
      </c>
      <c r="BF2118">
        <v>0</v>
      </c>
      <c r="BG2118">
        <v>0</v>
      </c>
      <c r="BH2118">
        <v>1</v>
      </c>
      <c r="BI2118">
        <v>3.6</v>
      </c>
      <c r="BJ2118">
        <v>6.8</v>
      </c>
      <c r="BK2118">
        <v>7</v>
      </c>
      <c r="BL2118" s="4">
        <v>91.71</v>
      </c>
      <c r="BM2118" s="4">
        <v>13.76</v>
      </c>
      <c r="BN2118" s="4">
        <v>105.47</v>
      </c>
      <c r="BO2118" s="4">
        <v>105.47</v>
      </c>
      <c r="BR2118" t="s">
        <v>105</v>
      </c>
      <c r="BS2118" s="3">
        <v>43817</v>
      </c>
      <c r="BT2118" s="5">
        <v>0.40763888888888888</v>
      </c>
      <c r="BU2118" t="s">
        <v>2389</v>
      </c>
      <c r="BV2118" t="s">
        <v>86</v>
      </c>
      <c r="BY2118">
        <v>34028.620000000003</v>
      </c>
      <c r="CA2118" t="s">
        <v>973</v>
      </c>
      <c r="CC2118" t="s">
        <v>133</v>
      </c>
      <c r="CD2118">
        <v>157</v>
      </c>
      <c r="CE2118" t="s">
        <v>116</v>
      </c>
      <c r="CF2118" s="3">
        <v>43818</v>
      </c>
      <c r="CI2118">
        <v>0</v>
      </c>
      <c r="CJ2118">
        <v>0</v>
      </c>
      <c r="CK2118" t="s">
        <v>108</v>
      </c>
      <c r="CL2118" t="s">
        <v>89</v>
      </c>
    </row>
    <row r="2119" spans="1:90">
      <c r="A2119" t="s">
        <v>72</v>
      </c>
      <c r="B2119" t="s">
        <v>73</v>
      </c>
      <c r="C2119" t="s">
        <v>74</v>
      </c>
      <c r="E2119" t="str">
        <f>"009935712077"</f>
        <v>009935712077</v>
      </c>
      <c r="F2119" s="3">
        <v>43809</v>
      </c>
      <c r="G2119">
        <v>202006</v>
      </c>
      <c r="H2119" t="s">
        <v>75</v>
      </c>
      <c r="I2119" t="s">
        <v>76</v>
      </c>
      <c r="J2119" t="s">
        <v>100</v>
      </c>
      <c r="K2119" t="s">
        <v>78</v>
      </c>
      <c r="L2119" t="s">
        <v>332</v>
      </c>
      <c r="M2119" t="s">
        <v>333</v>
      </c>
      <c r="N2119" t="s">
        <v>2390</v>
      </c>
      <c r="O2119" t="s">
        <v>104</v>
      </c>
      <c r="P2119" t="str">
        <f>"1162723401                    "</f>
        <v xml:space="preserve">1162723401                    </v>
      </c>
      <c r="Q2119">
        <v>0</v>
      </c>
      <c r="R2119">
        <v>0</v>
      </c>
      <c r="S2119">
        <v>0</v>
      </c>
      <c r="T2119">
        <v>0</v>
      </c>
      <c r="U2119">
        <v>0</v>
      </c>
      <c r="V2119">
        <v>0</v>
      </c>
      <c r="W2119">
        <v>0</v>
      </c>
      <c r="X2119">
        <v>0</v>
      </c>
      <c r="Y2119">
        <v>0</v>
      </c>
      <c r="Z2119">
        <v>0</v>
      </c>
      <c r="AA2119">
        <v>0</v>
      </c>
      <c r="AB2119">
        <v>0</v>
      </c>
      <c r="AC2119">
        <v>0</v>
      </c>
      <c r="AD2119">
        <v>0</v>
      </c>
      <c r="AE2119">
        <v>0</v>
      </c>
      <c r="AF2119">
        <v>0</v>
      </c>
      <c r="AG2119">
        <v>0</v>
      </c>
      <c r="AH2119">
        <v>0</v>
      </c>
      <c r="AI2119">
        <v>0</v>
      </c>
      <c r="AJ2119">
        <v>0</v>
      </c>
      <c r="AK2119">
        <v>0</v>
      </c>
      <c r="AL2119">
        <v>0</v>
      </c>
      <c r="AM2119">
        <v>14.49</v>
      </c>
      <c r="AN2119">
        <v>0</v>
      </c>
      <c r="AO2119">
        <v>0</v>
      </c>
      <c r="AP2119">
        <v>0</v>
      </c>
      <c r="AQ2119">
        <v>0</v>
      </c>
      <c r="AR2119">
        <v>0</v>
      </c>
      <c r="AS2119">
        <v>0</v>
      </c>
      <c r="AT2119">
        <v>0</v>
      </c>
      <c r="AU2119">
        <v>0</v>
      </c>
      <c r="AV2119">
        <v>0</v>
      </c>
      <c r="AW2119">
        <v>0</v>
      </c>
      <c r="AX2119">
        <v>0</v>
      </c>
      <c r="AY2119">
        <v>0</v>
      </c>
      <c r="AZ2119">
        <v>0</v>
      </c>
      <c r="BA2119">
        <v>0</v>
      </c>
      <c r="BB2119">
        <v>0</v>
      </c>
      <c r="BC2119">
        <v>0</v>
      </c>
      <c r="BD2119">
        <v>0</v>
      </c>
      <c r="BE2119">
        <v>0</v>
      </c>
      <c r="BF2119">
        <v>0</v>
      </c>
      <c r="BG2119">
        <v>0</v>
      </c>
      <c r="BH2119">
        <v>1</v>
      </c>
      <c r="BI2119">
        <v>20.100000000000001</v>
      </c>
      <c r="BJ2119">
        <v>9.1</v>
      </c>
      <c r="BK2119">
        <v>21</v>
      </c>
      <c r="BL2119" s="4">
        <v>90.19</v>
      </c>
      <c r="BM2119" s="4">
        <v>13.53</v>
      </c>
      <c r="BN2119" s="4">
        <v>103.72</v>
      </c>
      <c r="BO2119" s="4">
        <v>103.72</v>
      </c>
      <c r="BP2119" t="s">
        <v>2391</v>
      </c>
      <c r="BQ2119" t="s">
        <v>2392</v>
      </c>
      <c r="BR2119" t="s">
        <v>105</v>
      </c>
      <c r="BS2119" s="3">
        <v>43812</v>
      </c>
      <c r="BT2119" s="5">
        <v>0.39166666666666666</v>
      </c>
      <c r="BU2119" t="s">
        <v>2393</v>
      </c>
      <c r="BV2119" t="s">
        <v>89</v>
      </c>
      <c r="BW2119" t="s">
        <v>506</v>
      </c>
      <c r="BX2119" t="s">
        <v>1163</v>
      </c>
      <c r="BY2119">
        <v>45373.99</v>
      </c>
      <c r="CC2119" t="s">
        <v>333</v>
      </c>
      <c r="CD2119">
        <v>2093</v>
      </c>
      <c r="CE2119" t="s">
        <v>96</v>
      </c>
      <c r="CF2119" s="3">
        <v>43816</v>
      </c>
      <c r="CI2119">
        <v>1</v>
      </c>
      <c r="CJ2119">
        <v>3</v>
      </c>
      <c r="CK2119" t="s">
        <v>123</v>
      </c>
      <c r="CL2119" t="s">
        <v>89</v>
      </c>
    </row>
    <row r="2120" spans="1:90">
      <c r="A2120" t="s">
        <v>72</v>
      </c>
      <c r="B2120" t="s">
        <v>73</v>
      </c>
      <c r="C2120" t="s">
        <v>74</v>
      </c>
      <c r="E2120" t="str">
        <f>"FES1162727198"</f>
        <v>FES1162727198</v>
      </c>
      <c r="F2120" s="3">
        <v>43808</v>
      </c>
      <c r="G2120">
        <v>202006</v>
      </c>
      <c r="H2120" t="s">
        <v>75</v>
      </c>
      <c r="I2120" t="s">
        <v>76</v>
      </c>
      <c r="J2120" t="s">
        <v>100</v>
      </c>
      <c r="K2120" t="s">
        <v>78</v>
      </c>
      <c r="L2120" t="s">
        <v>332</v>
      </c>
      <c r="M2120" t="s">
        <v>333</v>
      </c>
      <c r="N2120" t="s">
        <v>701</v>
      </c>
      <c r="O2120" t="s">
        <v>104</v>
      </c>
      <c r="P2120" t="str">
        <f>"21707120675                   "</f>
        <v xml:space="preserve">21707120675                   </v>
      </c>
      <c r="Q2120">
        <v>0</v>
      </c>
      <c r="R2120">
        <v>0</v>
      </c>
      <c r="S2120">
        <v>0</v>
      </c>
      <c r="T2120">
        <v>0</v>
      </c>
      <c r="U2120">
        <v>0</v>
      </c>
      <c r="V2120">
        <v>0</v>
      </c>
      <c r="W2120">
        <v>0</v>
      </c>
      <c r="X2120">
        <v>0</v>
      </c>
      <c r="Y2120">
        <v>0</v>
      </c>
      <c r="Z2120">
        <v>0</v>
      </c>
      <c r="AA2120">
        <v>0</v>
      </c>
      <c r="AB2120">
        <v>0</v>
      </c>
      <c r="AC2120">
        <v>0</v>
      </c>
      <c r="AD2120">
        <v>0</v>
      </c>
      <c r="AE2120">
        <v>0</v>
      </c>
      <c r="AF2120">
        <v>0</v>
      </c>
      <c r="AG2120">
        <v>0</v>
      </c>
      <c r="AH2120">
        <v>0</v>
      </c>
      <c r="AI2120">
        <v>0</v>
      </c>
      <c r="AJ2120">
        <v>0</v>
      </c>
      <c r="AK2120">
        <v>0</v>
      </c>
      <c r="AL2120">
        <v>0</v>
      </c>
      <c r="AM2120">
        <v>13.69</v>
      </c>
      <c r="AN2120">
        <v>0</v>
      </c>
      <c r="AO2120">
        <v>0</v>
      </c>
      <c r="AP2120">
        <v>0</v>
      </c>
      <c r="AQ2120">
        <v>0</v>
      </c>
      <c r="AR2120">
        <v>0</v>
      </c>
      <c r="AS2120">
        <v>0</v>
      </c>
      <c r="AT2120">
        <v>0</v>
      </c>
      <c r="AU2120">
        <v>0</v>
      </c>
      <c r="AV2120">
        <v>0</v>
      </c>
      <c r="AW2120">
        <v>0</v>
      </c>
      <c r="AX2120">
        <v>0</v>
      </c>
      <c r="AY2120">
        <v>0</v>
      </c>
      <c r="AZ2120">
        <v>0</v>
      </c>
      <c r="BA2120">
        <v>0</v>
      </c>
      <c r="BB2120">
        <v>0</v>
      </c>
      <c r="BC2120">
        <v>0</v>
      </c>
      <c r="BD2120">
        <v>0</v>
      </c>
      <c r="BE2120">
        <v>0</v>
      </c>
      <c r="BF2120">
        <v>0</v>
      </c>
      <c r="BG2120">
        <v>0</v>
      </c>
      <c r="BH2120">
        <v>1</v>
      </c>
      <c r="BI2120">
        <v>18.5</v>
      </c>
      <c r="BJ2120">
        <v>8.3000000000000007</v>
      </c>
      <c r="BK2120">
        <v>19</v>
      </c>
      <c r="BL2120" s="4">
        <v>85.45</v>
      </c>
      <c r="BM2120" s="4">
        <v>12.82</v>
      </c>
      <c r="BN2120" s="4">
        <v>98.27</v>
      </c>
      <c r="BO2120" s="4">
        <v>98.27</v>
      </c>
      <c r="BQ2120" t="s">
        <v>93</v>
      </c>
      <c r="BR2120" t="s">
        <v>105</v>
      </c>
      <c r="BS2120" s="3">
        <v>43809</v>
      </c>
      <c r="BT2120" s="5">
        <v>0.375</v>
      </c>
      <c r="BU2120" t="s">
        <v>1327</v>
      </c>
      <c r="BV2120" t="s">
        <v>86</v>
      </c>
      <c r="BY2120">
        <v>41460.400000000001</v>
      </c>
      <c r="CC2120" t="s">
        <v>333</v>
      </c>
      <c r="CD2120">
        <v>2094</v>
      </c>
      <c r="CE2120" t="s">
        <v>96</v>
      </c>
      <c r="CF2120" s="3">
        <v>43810</v>
      </c>
      <c r="CI2120">
        <v>1</v>
      </c>
      <c r="CJ2120">
        <v>1</v>
      </c>
      <c r="CK2120" t="s">
        <v>123</v>
      </c>
      <c r="CL2120" t="s">
        <v>89</v>
      </c>
    </row>
    <row r="2121" spans="1:90">
      <c r="A2121" t="s">
        <v>72</v>
      </c>
      <c r="B2121" t="s">
        <v>73</v>
      </c>
      <c r="C2121" t="s">
        <v>74</v>
      </c>
      <c r="E2121" t="str">
        <f>"FES1162728154"</f>
        <v>FES1162728154</v>
      </c>
      <c r="F2121" s="3">
        <v>43811</v>
      </c>
      <c r="G2121">
        <v>202006</v>
      </c>
      <c r="H2121" t="s">
        <v>75</v>
      </c>
      <c r="I2121" t="s">
        <v>76</v>
      </c>
      <c r="J2121" t="s">
        <v>100</v>
      </c>
      <c r="K2121" t="s">
        <v>78</v>
      </c>
      <c r="L2121" t="s">
        <v>79</v>
      </c>
      <c r="M2121" t="s">
        <v>80</v>
      </c>
      <c r="N2121" t="s">
        <v>129</v>
      </c>
      <c r="O2121" t="s">
        <v>104</v>
      </c>
      <c r="P2121" t="str">
        <f>"2170718964                    "</f>
        <v xml:space="preserve">2170718964                    </v>
      </c>
      <c r="Q2121">
        <v>0</v>
      </c>
      <c r="R2121">
        <v>0</v>
      </c>
      <c r="S2121">
        <v>0</v>
      </c>
      <c r="T2121">
        <v>0</v>
      </c>
      <c r="U2121">
        <v>0</v>
      </c>
      <c r="V2121">
        <v>0</v>
      </c>
      <c r="W2121">
        <v>0</v>
      </c>
      <c r="X2121">
        <v>0</v>
      </c>
      <c r="Y2121">
        <v>0</v>
      </c>
      <c r="Z2121">
        <v>0</v>
      </c>
      <c r="AA2121">
        <v>0</v>
      </c>
      <c r="AB2121">
        <v>0</v>
      </c>
      <c r="AC2121">
        <v>0</v>
      </c>
      <c r="AD2121">
        <v>0</v>
      </c>
      <c r="AE2121">
        <v>0</v>
      </c>
      <c r="AF2121">
        <v>0</v>
      </c>
      <c r="AG2121">
        <v>0</v>
      </c>
      <c r="AH2121">
        <v>0</v>
      </c>
      <c r="AI2121">
        <v>0</v>
      </c>
      <c r="AJ2121">
        <v>0</v>
      </c>
      <c r="AK2121">
        <v>0</v>
      </c>
      <c r="AL2121">
        <v>0</v>
      </c>
      <c r="AM2121">
        <v>22.84</v>
      </c>
      <c r="AN2121">
        <v>0</v>
      </c>
      <c r="AO2121">
        <v>0</v>
      </c>
      <c r="AP2121">
        <v>0</v>
      </c>
      <c r="AQ2121">
        <v>0</v>
      </c>
      <c r="AR2121">
        <v>0</v>
      </c>
      <c r="AS2121">
        <v>0</v>
      </c>
      <c r="AT2121">
        <v>0</v>
      </c>
      <c r="AU2121">
        <v>0</v>
      </c>
      <c r="AV2121">
        <v>0</v>
      </c>
      <c r="AW2121">
        <v>0</v>
      </c>
      <c r="AX2121">
        <v>0</v>
      </c>
      <c r="AY2121">
        <v>0</v>
      </c>
      <c r="AZ2121">
        <v>0</v>
      </c>
      <c r="BA2121">
        <v>0</v>
      </c>
      <c r="BB2121">
        <v>0</v>
      </c>
      <c r="BC2121">
        <v>0</v>
      </c>
      <c r="BD2121">
        <v>0</v>
      </c>
      <c r="BE2121">
        <v>0</v>
      </c>
      <c r="BF2121">
        <v>0</v>
      </c>
      <c r="BG2121">
        <v>0</v>
      </c>
      <c r="BH2121">
        <v>1</v>
      </c>
      <c r="BI2121">
        <v>21.3</v>
      </c>
      <c r="BJ2121">
        <v>16.100000000000001</v>
      </c>
      <c r="BK2121">
        <v>22</v>
      </c>
      <c r="BL2121" s="4">
        <v>139.24</v>
      </c>
      <c r="BM2121" s="4">
        <v>20.89</v>
      </c>
      <c r="BN2121" s="4">
        <v>160.13</v>
      </c>
      <c r="BO2121" s="4">
        <v>160.13</v>
      </c>
      <c r="BQ2121" t="s">
        <v>93</v>
      </c>
      <c r="BR2121" t="s">
        <v>105</v>
      </c>
      <c r="BS2121" s="3">
        <v>43812</v>
      </c>
      <c r="BT2121" s="5">
        <v>0.38541666666666669</v>
      </c>
      <c r="BU2121" t="s">
        <v>1648</v>
      </c>
      <c r="BV2121" t="s">
        <v>86</v>
      </c>
      <c r="BY2121">
        <v>80693.14</v>
      </c>
      <c r="CA2121" t="s">
        <v>131</v>
      </c>
      <c r="CC2121" t="s">
        <v>80</v>
      </c>
      <c r="CD2121">
        <v>6001</v>
      </c>
      <c r="CE2121" t="s">
        <v>96</v>
      </c>
      <c r="CF2121" s="3">
        <v>43816</v>
      </c>
      <c r="CI2121">
        <v>2</v>
      </c>
      <c r="CJ2121">
        <v>1</v>
      </c>
      <c r="CK2121" t="s">
        <v>113</v>
      </c>
      <c r="CL2121" t="s">
        <v>89</v>
      </c>
    </row>
    <row r="2122" spans="1:90">
      <c r="A2122" t="s">
        <v>72</v>
      </c>
      <c r="B2122" t="s">
        <v>73</v>
      </c>
      <c r="C2122" t="s">
        <v>74</v>
      </c>
      <c r="E2122" t="str">
        <f>"FES1162727094"</f>
        <v>FES1162727094</v>
      </c>
      <c r="F2122" s="3">
        <v>43808</v>
      </c>
      <c r="G2122">
        <v>202006</v>
      </c>
      <c r="H2122" t="s">
        <v>75</v>
      </c>
      <c r="I2122" t="s">
        <v>76</v>
      </c>
      <c r="J2122" t="s">
        <v>100</v>
      </c>
      <c r="K2122" t="s">
        <v>78</v>
      </c>
      <c r="L2122" t="s">
        <v>75</v>
      </c>
      <c r="M2122" t="s">
        <v>76</v>
      </c>
      <c r="N2122" t="s">
        <v>1320</v>
      </c>
      <c r="O2122" t="s">
        <v>104</v>
      </c>
      <c r="P2122" t="str">
        <f>"21707120560                   "</f>
        <v xml:space="preserve">21707120560                   </v>
      </c>
      <c r="Q2122">
        <v>0</v>
      </c>
      <c r="R2122">
        <v>0</v>
      </c>
      <c r="S2122">
        <v>0</v>
      </c>
      <c r="T2122">
        <v>0</v>
      </c>
      <c r="U2122">
        <v>0</v>
      </c>
      <c r="V2122">
        <v>0</v>
      </c>
      <c r="W2122">
        <v>0</v>
      </c>
      <c r="X2122">
        <v>0</v>
      </c>
      <c r="Y2122">
        <v>0</v>
      </c>
      <c r="Z2122">
        <v>0</v>
      </c>
      <c r="AA2122">
        <v>0</v>
      </c>
      <c r="AB2122">
        <v>0</v>
      </c>
      <c r="AC2122">
        <v>0</v>
      </c>
      <c r="AD2122">
        <v>0</v>
      </c>
      <c r="AE2122">
        <v>0</v>
      </c>
      <c r="AF2122">
        <v>0</v>
      </c>
      <c r="AG2122">
        <v>0</v>
      </c>
      <c r="AH2122">
        <v>0</v>
      </c>
      <c r="AI2122">
        <v>0</v>
      </c>
      <c r="AJ2122">
        <v>0</v>
      </c>
      <c r="AK2122">
        <v>0</v>
      </c>
      <c r="AL2122">
        <v>0</v>
      </c>
      <c r="AM2122">
        <v>17.72</v>
      </c>
      <c r="AN2122">
        <v>0</v>
      </c>
      <c r="AO2122">
        <v>0</v>
      </c>
      <c r="AP2122">
        <v>0</v>
      </c>
      <c r="AQ2122">
        <v>0</v>
      </c>
      <c r="AR2122">
        <v>0</v>
      </c>
      <c r="AS2122">
        <v>0</v>
      </c>
      <c r="AT2122">
        <v>0</v>
      </c>
      <c r="AU2122">
        <v>0</v>
      </c>
      <c r="AV2122">
        <v>0</v>
      </c>
      <c r="AW2122">
        <v>0</v>
      </c>
      <c r="AX2122">
        <v>0</v>
      </c>
      <c r="AY2122">
        <v>0</v>
      </c>
      <c r="AZ2122">
        <v>0</v>
      </c>
      <c r="BA2122">
        <v>0</v>
      </c>
      <c r="BB2122">
        <v>0</v>
      </c>
      <c r="BC2122">
        <v>0</v>
      </c>
      <c r="BD2122">
        <v>0</v>
      </c>
      <c r="BE2122">
        <v>0</v>
      </c>
      <c r="BF2122">
        <v>0</v>
      </c>
      <c r="BG2122">
        <v>0</v>
      </c>
      <c r="BH2122">
        <v>1</v>
      </c>
      <c r="BI2122">
        <v>14.9</v>
      </c>
      <c r="BJ2122">
        <v>29.1</v>
      </c>
      <c r="BK2122">
        <v>29</v>
      </c>
      <c r="BL2122" s="4">
        <v>109.18</v>
      </c>
      <c r="BM2122" s="4">
        <v>16.38</v>
      </c>
      <c r="BN2122" s="4">
        <v>125.56</v>
      </c>
      <c r="BO2122" s="4">
        <v>125.56</v>
      </c>
      <c r="BQ2122" t="s">
        <v>93</v>
      </c>
      <c r="BR2122" t="s">
        <v>105</v>
      </c>
      <c r="BS2122" s="3">
        <v>43809</v>
      </c>
      <c r="BT2122" s="5">
        <v>0.36458333333333331</v>
      </c>
      <c r="BU2122" t="s">
        <v>1515</v>
      </c>
      <c r="BV2122" t="s">
        <v>86</v>
      </c>
      <c r="BY2122">
        <v>145273.63</v>
      </c>
      <c r="CA2122" t="s">
        <v>588</v>
      </c>
      <c r="CC2122" t="s">
        <v>76</v>
      </c>
      <c r="CD2122">
        <v>1600</v>
      </c>
      <c r="CE2122" t="s">
        <v>96</v>
      </c>
      <c r="CF2122" s="3">
        <v>43810</v>
      </c>
      <c r="CI2122">
        <v>1</v>
      </c>
      <c r="CJ2122">
        <v>1</v>
      </c>
      <c r="CK2122" t="s">
        <v>123</v>
      </c>
      <c r="CL2122" t="s">
        <v>89</v>
      </c>
    </row>
    <row r="2123" spans="1:90">
      <c r="A2123" t="s">
        <v>72</v>
      </c>
      <c r="B2123" t="s">
        <v>73</v>
      </c>
      <c r="C2123" t="s">
        <v>74</v>
      </c>
      <c r="E2123" t="str">
        <f>"FES1162727563"</f>
        <v>FES1162727563</v>
      </c>
      <c r="F2123" s="3">
        <v>43809</v>
      </c>
      <c r="G2123">
        <v>202006</v>
      </c>
      <c r="H2123" t="s">
        <v>75</v>
      </c>
      <c r="I2123" t="s">
        <v>76</v>
      </c>
      <c r="J2123" t="s">
        <v>100</v>
      </c>
      <c r="K2123" t="s">
        <v>78</v>
      </c>
      <c r="L2123" t="s">
        <v>101</v>
      </c>
      <c r="M2123" t="s">
        <v>102</v>
      </c>
      <c r="N2123" t="s">
        <v>324</v>
      </c>
      <c r="O2123" t="s">
        <v>104</v>
      </c>
      <c r="P2123" t="str">
        <f>"2170712043                    "</f>
        <v xml:space="preserve">2170712043                    </v>
      </c>
      <c r="Q2123">
        <v>0</v>
      </c>
      <c r="R2123">
        <v>0</v>
      </c>
      <c r="S2123">
        <v>0</v>
      </c>
      <c r="T2123">
        <v>0</v>
      </c>
      <c r="U2123">
        <v>0</v>
      </c>
      <c r="V2123">
        <v>0</v>
      </c>
      <c r="W2123">
        <v>0</v>
      </c>
      <c r="X2123">
        <v>0</v>
      </c>
      <c r="Y2123">
        <v>0</v>
      </c>
      <c r="Z2123">
        <v>0</v>
      </c>
      <c r="AA2123">
        <v>0</v>
      </c>
      <c r="AB2123">
        <v>0</v>
      </c>
      <c r="AC2123">
        <v>0</v>
      </c>
      <c r="AD2123">
        <v>0</v>
      </c>
      <c r="AE2123">
        <v>0</v>
      </c>
      <c r="AF2123">
        <v>0</v>
      </c>
      <c r="AG2123">
        <v>0</v>
      </c>
      <c r="AH2123">
        <v>0</v>
      </c>
      <c r="AI2123">
        <v>0</v>
      </c>
      <c r="AJ2123">
        <v>0</v>
      </c>
      <c r="AK2123">
        <v>0</v>
      </c>
      <c r="AL2123">
        <v>0</v>
      </c>
      <c r="AM2123">
        <v>14.75</v>
      </c>
      <c r="AN2123">
        <v>0</v>
      </c>
      <c r="AO2123">
        <v>0</v>
      </c>
      <c r="AP2123">
        <v>0</v>
      </c>
      <c r="AQ2123">
        <v>0</v>
      </c>
      <c r="AR2123">
        <v>0</v>
      </c>
      <c r="AS2123">
        <v>0</v>
      </c>
      <c r="AT2123">
        <v>0</v>
      </c>
      <c r="AU2123">
        <v>0</v>
      </c>
      <c r="AV2123">
        <v>0</v>
      </c>
      <c r="AW2123">
        <v>0</v>
      </c>
      <c r="AX2123">
        <v>0</v>
      </c>
      <c r="AY2123">
        <v>0</v>
      </c>
      <c r="AZ2123">
        <v>0</v>
      </c>
      <c r="BA2123">
        <v>0</v>
      </c>
      <c r="BB2123">
        <v>0</v>
      </c>
      <c r="BC2123">
        <v>0</v>
      </c>
      <c r="BD2123">
        <v>0</v>
      </c>
      <c r="BE2123">
        <v>0</v>
      </c>
      <c r="BF2123">
        <v>0</v>
      </c>
      <c r="BG2123">
        <v>0</v>
      </c>
      <c r="BH2123">
        <v>1</v>
      </c>
      <c r="BI2123">
        <v>14.5</v>
      </c>
      <c r="BJ2123">
        <v>14.6</v>
      </c>
      <c r="BK2123">
        <v>15</v>
      </c>
      <c r="BL2123" s="4">
        <v>91.71</v>
      </c>
      <c r="BM2123" s="4">
        <v>13.76</v>
      </c>
      <c r="BN2123" s="4">
        <v>105.47</v>
      </c>
      <c r="BO2123" s="4">
        <v>105.47</v>
      </c>
      <c r="BQ2123" t="s">
        <v>93</v>
      </c>
      <c r="BR2123" t="s">
        <v>105</v>
      </c>
      <c r="BS2123" s="3">
        <v>43810</v>
      </c>
      <c r="BT2123" s="5">
        <v>0.4284722222222222</v>
      </c>
      <c r="BU2123" t="s">
        <v>1985</v>
      </c>
      <c r="BV2123" t="s">
        <v>86</v>
      </c>
      <c r="BY2123">
        <v>73090.559999999998</v>
      </c>
      <c r="CA2123" t="s">
        <v>1357</v>
      </c>
      <c r="CC2123" t="s">
        <v>102</v>
      </c>
      <c r="CD2123">
        <v>200</v>
      </c>
      <c r="CE2123" t="s">
        <v>116</v>
      </c>
      <c r="CF2123" s="3">
        <v>43811</v>
      </c>
      <c r="CI2123">
        <v>0</v>
      </c>
      <c r="CJ2123">
        <v>0</v>
      </c>
      <c r="CK2123" t="s">
        <v>108</v>
      </c>
      <c r="CL2123" t="s">
        <v>89</v>
      </c>
    </row>
    <row r="2124" spans="1:90">
      <c r="A2124" t="s">
        <v>72</v>
      </c>
      <c r="B2124" t="s">
        <v>73</v>
      </c>
      <c r="C2124" t="s">
        <v>74</v>
      </c>
      <c r="E2124" t="str">
        <f>"FES1162727425"</f>
        <v>FES1162727425</v>
      </c>
      <c r="F2124" s="3">
        <v>43808</v>
      </c>
      <c r="G2124">
        <v>202006</v>
      </c>
      <c r="H2124" t="s">
        <v>75</v>
      </c>
      <c r="I2124" t="s">
        <v>76</v>
      </c>
      <c r="J2124" t="s">
        <v>100</v>
      </c>
      <c r="K2124" t="s">
        <v>78</v>
      </c>
      <c r="L2124" t="s">
        <v>101</v>
      </c>
      <c r="M2124" t="s">
        <v>102</v>
      </c>
      <c r="N2124" t="s">
        <v>1871</v>
      </c>
      <c r="O2124" t="s">
        <v>104</v>
      </c>
      <c r="P2124" t="str">
        <f>"21707102447                   "</f>
        <v xml:space="preserve">21707102447                   </v>
      </c>
      <c r="Q2124">
        <v>0</v>
      </c>
      <c r="R2124">
        <v>0</v>
      </c>
      <c r="S2124">
        <v>0</v>
      </c>
      <c r="T2124">
        <v>0</v>
      </c>
      <c r="U2124">
        <v>0</v>
      </c>
      <c r="V2124">
        <v>0</v>
      </c>
      <c r="W2124">
        <v>0</v>
      </c>
      <c r="X2124">
        <v>0</v>
      </c>
      <c r="Y2124">
        <v>0</v>
      </c>
      <c r="Z2124">
        <v>0</v>
      </c>
      <c r="AA2124">
        <v>0</v>
      </c>
      <c r="AB2124">
        <v>0</v>
      </c>
      <c r="AC2124">
        <v>0</v>
      </c>
      <c r="AD2124">
        <v>0</v>
      </c>
      <c r="AE2124">
        <v>0</v>
      </c>
      <c r="AF2124">
        <v>0</v>
      </c>
      <c r="AG2124">
        <v>0</v>
      </c>
      <c r="AH2124">
        <v>0</v>
      </c>
      <c r="AI2124">
        <v>0</v>
      </c>
      <c r="AJ2124">
        <v>0</v>
      </c>
      <c r="AK2124">
        <v>0</v>
      </c>
      <c r="AL2124">
        <v>0</v>
      </c>
      <c r="AM2124">
        <v>15.67</v>
      </c>
      <c r="AN2124">
        <v>0</v>
      </c>
      <c r="AO2124">
        <v>0</v>
      </c>
      <c r="AP2124">
        <v>0</v>
      </c>
      <c r="AQ2124">
        <v>0</v>
      </c>
      <c r="AR2124">
        <v>0</v>
      </c>
      <c r="AS2124">
        <v>0</v>
      </c>
      <c r="AT2124">
        <v>0</v>
      </c>
      <c r="AU2124">
        <v>0</v>
      </c>
      <c r="AV2124">
        <v>0</v>
      </c>
      <c r="AW2124">
        <v>0</v>
      </c>
      <c r="AX2124">
        <v>0</v>
      </c>
      <c r="AY2124">
        <v>0</v>
      </c>
      <c r="AZ2124">
        <v>0</v>
      </c>
      <c r="BA2124">
        <v>0</v>
      </c>
      <c r="BB2124">
        <v>0</v>
      </c>
      <c r="BC2124">
        <v>0</v>
      </c>
      <c r="BD2124">
        <v>0</v>
      </c>
      <c r="BE2124">
        <v>0</v>
      </c>
      <c r="BF2124">
        <v>0</v>
      </c>
      <c r="BG2124">
        <v>0</v>
      </c>
      <c r="BH2124">
        <v>1</v>
      </c>
      <c r="BI2124">
        <v>16.8</v>
      </c>
      <c r="BJ2124">
        <v>16.3</v>
      </c>
      <c r="BK2124">
        <v>17</v>
      </c>
      <c r="BL2124" s="4">
        <v>97.09</v>
      </c>
      <c r="BM2124" s="4">
        <v>14.56</v>
      </c>
      <c r="BN2124" s="4">
        <v>111.65</v>
      </c>
      <c r="BO2124" s="4">
        <v>111.65</v>
      </c>
      <c r="BQ2124" t="s">
        <v>93</v>
      </c>
      <c r="BR2124" t="s">
        <v>105</v>
      </c>
      <c r="BS2124" s="3">
        <v>43809</v>
      </c>
      <c r="BT2124" s="5">
        <v>0.44791666666666669</v>
      </c>
      <c r="BU2124" t="s">
        <v>2394</v>
      </c>
      <c r="BV2124" t="s">
        <v>86</v>
      </c>
      <c r="BY2124">
        <v>81659.839999999997</v>
      </c>
      <c r="CA2124" t="s">
        <v>328</v>
      </c>
      <c r="CC2124" t="s">
        <v>102</v>
      </c>
      <c r="CD2124">
        <v>186</v>
      </c>
      <c r="CE2124" t="s">
        <v>96</v>
      </c>
      <c r="CF2124" s="3">
        <v>43810</v>
      </c>
      <c r="CI2124">
        <v>0</v>
      </c>
      <c r="CJ2124">
        <v>0</v>
      </c>
      <c r="CK2124" t="s">
        <v>108</v>
      </c>
      <c r="CL2124" t="s">
        <v>89</v>
      </c>
    </row>
    <row r="2125" spans="1:90">
      <c r="A2125" t="s">
        <v>72</v>
      </c>
      <c r="B2125" t="s">
        <v>73</v>
      </c>
      <c r="C2125" t="s">
        <v>74</v>
      </c>
      <c r="E2125" t="str">
        <f>"FES1162728529"</f>
        <v>FES1162728529</v>
      </c>
      <c r="F2125" s="3">
        <v>43816</v>
      </c>
      <c r="G2125">
        <v>202006</v>
      </c>
      <c r="H2125" t="s">
        <v>75</v>
      </c>
      <c r="I2125" t="s">
        <v>76</v>
      </c>
      <c r="J2125" t="s">
        <v>100</v>
      </c>
      <c r="K2125" t="s">
        <v>78</v>
      </c>
      <c r="L2125" t="s">
        <v>101</v>
      </c>
      <c r="M2125" t="s">
        <v>102</v>
      </c>
      <c r="N2125" t="s">
        <v>324</v>
      </c>
      <c r="O2125" t="s">
        <v>104</v>
      </c>
      <c r="P2125" t="str">
        <f>"21707120285                   "</f>
        <v xml:space="preserve">21707120285                   </v>
      </c>
      <c r="Q2125">
        <v>0</v>
      </c>
      <c r="R2125">
        <v>0</v>
      </c>
      <c r="S2125">
        <v>0</v>
      </c>
      <c r="T2125">
        <v>0</v>
      </c>
      <c r="U2125">
        <v>0</v>
      </c>
      <c r="V2125">
        <v>0</v>
      </c>
      <c r="W2125">
        <v>0</v>
      </c>
      <c r="X2125">
        <v>0</v>
      </c>
      <c r="Y2125">
        <v>0</v>
      </c>
      <c r="Z2125">
        <v>0</v>
      </c>
      <c r="AA2125">
        <v>0</v>
      </c>
      <c r="AB2125">
        <v>0</v>
      </c>
      <c r="AC2125">
        <v>0</v>
      </c>
      <c r="AD2125">
        <v>0</v>
      </c>
      <c r="AE2125">
        <v>0</v>
      </c>
      <c r="AF2125">
        <v>0</v>
      </c>
      <c r="AG2125">
        <v>0</v>
      </c>
      <c r="AH2125">
        <v>0</v>
      </c>
      <c r="AI2125">
        <v>0</v>
      </c>
      <c r="AJ2125">
        <v>0</v>
      </c>
      <c r="AK2125">
        <v>0</v>
      </c>
      <c r="AL2125">
        <v>0</v>
      </c>
      <c r="AM2125">
        <v>14.75</v>
      </c>
      <c r="AN2125">
        <v>0</v>
      </c>
      <c r="AO2125">
        <v>0</v>
      </c>
      <c r="AP2125">
        <v>0</v>
      </c>
      <c r="AQ2125">
        <v>0</v>
      </c>
      <c r="AR2125">
        <v>0</v>
      </c>
      <c r="AS2125">
        <v>0</v>
      </c>
      <c r="AT2125">
        <v>0</v>
      </c>
      <c r="AU2125">
        <v>0</v>
      </c>
      <c r="AV2125">
        <v>0</v>
      </c>
      <c r="AW2125">
        <v>0</v>
      </c>
      <c r="AX2125">
        <v>0</v>
      </c>
      <c r="AY2125">
        <v>0</v>
      </c>
      <c r="AZ2125">
        <v>0</v>
      </c>
      <c r="BA2125">
        <v>0</v>
      </c>
      <c r="BB2125">
        <v>0</v>
      </c>
      <c r="BC2125">
        <v>0</v>
      </c>
      <c r="BD2125">
        <v>0</v>
      </c>
      <c r="BE2125">
        <v>0</v>
      </c>
      <c r="BF2125">
        <v>0</v>
      </c>
      <c r="BG2125">
        <v>0</v>
      </c>
      <c r="BH2125">
        <v>1</v>
      </c>
      <c r="BI2125">
        <v>10.3</v>
      </c>
      <c r="BJ2125">
        <v>1.5</v>
      </c>
      <c r="BK2125">
        <v>11</v>
      </c>
      <c r="BL2125" s="4">
        <v>91.71</v>
      </c>
      <c r="BM2125" s="4">
        <v>13.76</v>
      </c>
      <c r="BN2125" s="4">
        <v>105.47</v>
      </c>
      <c r="BO2125" s="4">
        <v>105.47</v>
      </c>
      <c r="BQ2125" t="s">
        <v>93</v>
      </c>
      <c r="BR2125" t="s">
        <v>105</v>
      </c>
      <c r="BS2125" s="3">
        <v>43817</v>
      </c>
      <c r="BT2125" s="5">
        <v>0.4201388888888889</v>
      </c>
      <c r="BU2125" t="s">
        <v>1985</v>
      </c>
      <c r="BV2125" t="s">
        <v>86</v>
      </c>
      <c r="BY2125">
        <v>7615.76</v>
      </c>
      <c r="CA2125" t="s">
        <v>1357</v>
      </c>
      <c r="CC2125" t="s">
        <v>102</v>
      </c>
      <c r="CD2125">
        <v>200</v>
      </c>
      <c r="CE2125" t="s">
        <v>96</v>
      </c>
      <c r="CF2125" s="3">
        <v>43818</v>
      </c>
      <c r="CI2125">
        <v>0</v>
      </c>
      <c r="CJ2125">
        <v>0</v>
      </c>
      <c r="CK2125" t="s">
        <v>108</v>
      </c>
      <c r="CL2125" t="s">
        <v>89</v>
      </c>
    </row>
    <row r="2126" spans="1:90">
      <c r="A2126" t="s">
        <v>72</v>
      </c>
      <c r="B2126" t="s">
        <v>73</v>
      </c>
      <c r="C2126" t="s">
        <v>74</v>
      </c>
      <c r="E2126" t="str">
        <f>"FES1162729218"</f>
        <v>FES1162729218</v>
      </c>
      <c r="F2126" s="3">
        <v>43818</v>
      </c>
      <c r="G2126">
        <v>202006</v>
      </c>
      <c r="H2126" t="s">
        <v>75</v>
      </c>
      <c r="I2126" t="s">
        <v>76</v>
      </c>
      <c r="J2126" t="s">
        <v>77</v>
      </c>
      <c r="K2126" t="s">
        <v>78</v>
      </c>
      <c r="L2126" t="s">
        <v>577</v>
      </c>
      <c r="M2126" t="s">
        <v>578</v>
      </c>
      <c r="N2126" t="s">
        <v>2395</v>
      </c>
      <c r="O2126" t="s">
        <v>82</v>
      </c>
      <c r="P2126" t="str">
        <f>"2170722198                    "</f>
        <v xml:space="preserve">2170722198                    </v>
      </c>
      <c r="Q2126">
        <v>0</v>
      </c>
      <c r="R2126">
        <v>0</v>
      </c>
      <c r="S2126">
        <v>0</v>
      </c>
      <c r="T2126">
        <v>0</v>
      </c>
      <c r="U2126">
        <v>0</v>
      </c>
      <c r="V2126">
        <v>0</v>
      </c>
      <c r="W2126">
        <v>0</v>
      </c>
      <c r="X2126">
        <v>0</v>
      </c>
      <c r="Y2126">
        <v>0</v>
      </c>
      <c r="Z2126">
        <v>0</v>
      </c>
      <c r="AA2126">
        <v>0</v>
      </c>
      <c r="AB2126">
        <v>0</v>
      </c>
      <c r="AC2126">
        <v>0</v>
      </c>
      <c r="AD2126">
        <v>0</v>
      </c>
      <c r="AE2126">
        <v>0</v>
      </c>
      <c r="AF2126">
        <v>0</v>
      </c>
      <c r="AG2126">
        <v>0</v>
      </c>
      <c r="AH2126">
        <v>0</v>
      </c>
      <c r="AI2126">
        <v>0</v>
      </c>
      <c r="AJ2126">
        <v>0</v>
      </c>
      <c r="AK2126">
        <v>0</v>
      </c>
      <c r="AL2126">
        <v>0</v>
      </c>
      <c r="AM2126">
        <v>8.58</v>
      </c>
      <c r="AN2126">
        <v>0</v>
      </c>
      <c r="AO2126">
        <v>0</v>
      </c>
      <c r="AP2126">
        <v>0</v>
      </c>
      <c r="AQ2126">
        <v>0</v>
      </c>
      <c r="AR2126">
        <v>0</v>
      </c>
      <c r="AS2126">
        <v>0</v>
      </c>
      <c r="AT2126">
        <v>0</v>
      </c>
      <c r="AU2126">
        <v>0</v>
      </c>
      <c r="AV2126">
        <v>0</v>
      </c>
      <c r="AW2126">
        <v>0</v>
      </c>
      <c r="AX2126">
        <v>0</v>
      </c>
      <c r="AY2126">
        <v>0</v>
      </c>
      <c r="AZ2126">
        <v>0</v>
      </c>
      <c r="BA2126">
        <v>0</v>
      </c>
      <c r="BB2126">
        <v>0</v>
      </c>
      <c r="BC2126">
        <v>0</v>
      </c>
      <c r="BD2126">
        <v>0</v>
      </c>
      <c r="BE2126">
        <v>0</v>
      </c>
      <c r="BF2126">
        <v>0</v>
      </c>
      <c r="BG2126">
        <v>0</v>
      </c>
      <c r="BH2126">
        <v>1</v>
      </c>
      <c r="BI2126">
        <v>2</v>
      </c>
      <c r="BJ2126">
        <v>2</v>
      </c>
      <c r="BK2126">
        <v>2</v>
      </c>
      <c r="BL2126" s="4">
        <v>50.45</v>
      </c>
      <c r="BM2126" s="4">
        <v>7.57</v>
      </c>
      <c r="BN2126" s="4">
        <v>58.02</v>
      </c>
      <c r="BO2126" s="4">
        <v>58.02</v>
      </c>
      <c r="BR2126" t="s">
        <v>84</v>
      </c>
      <c r="BS2126" s="3">
        <v>43819</v>
      </c>
      <c r="BT2126" s="5">
        <v>0.41875000000000001</v>
      </c>
      <c r="BU2126" t="s">
        <v>2396</v>
      </c>
      <c r="BV2126" t="s">
        <v>86</v>
      </c>
      <c r="BY2126">
        <v>9918</v>
      </c>
      <c r="CC2126" t="s">
        <v>578</v>
      </c>
      <c r="CD2126">
        <v>6529</v>
      </c>
      <c r="CE2126" t="s">
        <v>96</v>
      </c>
      <c r="CF2126" s="3">
        <v>43822</v>
      </c>
      <c r="CI2126">
        <v>1</v>
      </c>
      <c r="CJ2126">
        <v>1</v>
      </c>
      <c r="CK2126">
        <v>21</v>
      </c>
      <c r="CL2126" t="s">
        <v>89</v>
      </c>
    </row>
    <row r="2127" spans="1:90">
      <c r="A2127" t="s">
        <v>72</v>
      </c>
      <c r="B2127" t="s">
        <v>73</v>
      </c>
      <c r="C2127" t="s">
        <v>74</v>
      </c>
      <c r="E2127" t="str">
        <f>"RFES1162728329"</f>
        <v>RFES1162728329</v>
      </c>
      <c r="F2127" s="3">
        <v>43818</v>
      </c>
      <c r="G2127">
        <v>202006</v>
      </c>
      <c r="H2127" t="s">
        <v>198</v>
      </c>
      <c r="I2127" t="s">
        <v>199</v>
      </c>
      <c r="J2127" t="s">
        <v>1884</v>
      </c>
      <c r="K2127" t="s">
        <v>78</v>
      </c>
      <c r="L2127" t="s">
        <v>75</v>
      </c>
      <c r="M2127" t="s">
        <v>76</v>
      </c>
      <c r="N2127" t="s">
        <v>77</v>
      </c>
      <c r="O2127" t="s">
        <v>82</v>
      </c>
      <c r="P2127" t="str">
        <f>"2170719631                    "</f>
        <v xml:space="preserve">2170719631                    </v>
      </c>
      <c r="Q2127">
        <v>0</v>
      </c>
      <c r="R2127">
        <v>0</v>
      </c>
      <c r="S2127">
        <v>0</v>
      </c>
      <c r="T2127">
        <v>0</v>
      </c>
      <c r="U2127">
        <v>0</v>
      </c>
      <c r="V2127">
        <v>0</v>
      </c>
      <c r="W2127">
        <v>0</v>
      </c>
      <c r="X2127">
        <v>0</v>
      </c>
      <c r="Y2127">
        <v>0</v>
      </c>
      <c r="Z2127">
        <v>0</v>
      </c>
      <c r="AA2127">
        <v>0</v>
      </c>
      <c r="AB2127">
        <v>0</v>
      </c>
      <c r="AC2127">
        <v>0</v>
      </c>
      <c r="AD2127">
        <v>0</v>
      </c>
      <c r="AE2127">
        <v>0</v>
      </c>
      <c r="AF2127">
        <v>0</v>
      </c>
      <c r="AG2127">
        <v>0</v>
      </c>
      <c r="AH2127">
        <v>0</v>
      </c>
      <c r="AI2127">
        <v>0</v>
      </c>
      <c r="AJ2127">
        <v>0</v>
      </c>
      <c r="AK2127">
        <v>0</v>
      </c>
      <c r="AL2127">
        <v>0</v>
      </c>
      <c r="AM2127">
        <v>8.58</v>
      </c>
      <c r="AN2127">
        <v>0</v>
      </c>
      <c r="AO2127">
        <v>0</v>
      </c>
      <c r="AP2127">
        <v>0</v>
      </c>
      <c r="AQ2127">
        <v>0</v>
      </c>
      <c r="AR2127">
        <v>0</v>
      </c>
      <c r="AS2127">
        <v>0</v>
      </c>
      <c r="AT2127">
        <v>0</v>
      </c>
      <c r="AU2127">
        <v>0</v>
      </c>
      <c r="AV2127">
        <v>0</v>
      </c>
      <c r="AW2127">
        <v>0</v>
      </c>
      <c r="AX2127">
        <v>0</v>
      </c>
      <c r="AY2127">
        <v>0</v>
      </c>
      <c r="AZ2127">
        <v>0</v>
      </c>
      <c r="BA2127">
        <v>0</v>
      </c>
      <c r="BB2127">
        <v>0</v>
      </c>
      <c r="BC2127">
        <v>0</v>
      </c>
      <c r="BD2127">
        <v>0</v>
      </c>
      <c r="BE2127">
        <v>0</v>
      </c>
      <c r="BF2127">
        <v>0</v>
      </c>
      <c r="BG2127">
        <v>0</v>
      </c>
      <c r="BH2127">
        <v>1</v>
      </c>
      <c r="BI2127">
        <v>1</v>
      </c>
      <c r="BJ2127">
        <v>0.2</v>
      </c>
      <c r="BK2127">
        <v>1</v>
      </c>
      <c r="BL2127" s="4">
        <v>50.45</v>
      </c>
      <c r="BM2127" s="4">
        <v>7.57</v>
      </c>
      <c r="BN2127" s="4">
        <v>58.02</v>
      </c>
      <c r="BO2127" s="4">
        <v>58.02</v>
      </c>
      <c r="BQ2127" t="s">
        <v>84</v>
      </c>
      <c r="BR2127" t="s">
        <v>93</v>
      </c>
      <c r="BS2127" s="3">
        <v>43819</v>
      </c>
      <c r="BT2127" s="5">
        <v>0.39027777777777778</v>
      </c>
      <c r="BU2127" t="s">
        <v>154</v>
      </c>
      <c r="BV2127" t="s">
        <v>86</v>
      </c>
      <c r="BY2127">
        <v>1200</v>
      </c>
      <c r="CA2127" t="s">
        <v>155</v>
      </c>
      <c r="CC2127" t="s">
        <v>76</v>
      </c>
      <c r="CD2127">
        <v>1601</v>
      </c>
      <c r="CE2127">
        <v>1</v>
      </c>
      <c r="CF2127" s="3">
        <v>43822</v>
      </c>
      <c r="CI2127">
        <v>1</v>
      </c>
      <c r="CJ2127">
        <v>1</v>
      </c>
      <c r="CK2127">
        <v>21</v>
      </c>
      <c r="CL2127" t="s">
        <v>89</v>
      </c>
    </row>
    <row r="2128" spans="1:90">
      <c r="A2128" t="s">
        <v>72</v>
      </c>
      <c r="B2128" t="s">
        <v>73</v>
      </c>
      <c r="C2128" t="s">
        <v>74</v>
      </c>
      <c r="E2128" t="str">
        <f>"FES1162729277"</f>
        <v>FES1162729277</v>
      </c>
      <c r="F2128" s="3">
        <v>43818</v>
      </c>
      <c r="G2128">
        <v>202006</v>
      </c>
      <c r="H2128" t="s">
        <v>75</v>
      </c>
      <c r="I2128" t="s">
        <v>76</v>
      </c>
      <c r="J2128" t="s">
        <v>77</v>
      </c>
      <c r="K2128" t="s">
        <v>78</v>
      </c>
      <c r="L2128" t="s">
        <v>75</v>
      </c>
      <c r="M2128" t="s">
        <v>76</v>
      </c>
      <c r="N2128" t="s">
        <v>312</v>
      </c>
      <c r="O2128" t="s">
        <v>82</v>
      </c>
      <c r="P2128" t="str">
        <f>"2170722279                    "</f>
        <v xml:space="preserve">2170722279                    </v>
      </c>
      <c r="Q2128">
        <v>0</v>
      </c>
      <c r="R2128">
        <v>0</v>
      </c>
      <c r="S2128">
        <v>0</v>
      </c>
      <c r="T2128">
        <v>0</v>
      </c>
      <c r="U2128">
        <v>0</v>
      </c>
      <c r="V2128">
        <v>0</v>
      </c>
      <c r="W2128">
        <v>0</v>
      </c>
      <c r="X2128">
        <v>0</v>
      </c>
      <c r="Y2128">
        <v>0</v>
      </c>
      <c r="Z2128">
        <v>0</v>
      </c>
      <c r="AA2128">
        <v>0</v>
      </c>
      <c r="AB2128">
        <v>0</v>
      </c>
      <c r="AC2128">
        <v>0</v>
      </c>
      <c r="AD2128">
        <v>0</v>
      </c>
      <c r="AE2128">
        <v>0</v>
      </c>
      <c r="AF2128">
        <v>0</v>
      </c>
      <c r="AG2128">
        <v>0</v>
      </c>
      <c r="AH2128">
        <v>0</v>
      </c>
      <c r="AI2128">
        <v>0</v>
      </c>
      <c r="AJ2128">
        <v>0</v>
      </c>
      <c r="AK2128">
        <v>0</v>
      </c>
      <c r="AL2128">
        <v>0</v>
      </c>
      <c r="AM2128">
        <v>6.71</v>
      </c>
      <c r="AN2128">
        <v>0</v>
      </c>
      <c r="AO2128">
        <v>0</v>
      </c>
      <c r="AP2128">
        <v>0</v>
      </c>
      <c r="AQ2128">
        <v>0</v>
      </c>
      <c r="AR2128">
        <v>0</v>
      </c>
      <c r="AS2128">
        <v>0</v>
      </c>
      <c r="AT2128">
        <v>0</v>
      </c>
      <c r="AU2128">
        <v>0</v>
      </c>
      <c r="AV2128">
        <v>0</v>
      </c>
      <c r="AW2128">
        <v>0</v>
      </c>
      <c r="AX2128">
        <v>0</v>
      </c>
      <c r="AY2128">
        <v>0</v>
      </c>
      <c r="AZ2128">
        <v>0</v>
      </c>
      <c r="BA2128">
        <v>0</v>
      </c>
      <c r="BB2128">
        <v>0</v>
      </c>
      <c r="BC2128">
        <v>0</v>
      </c>
      <c r="BD2128">
        <v>0</v>
      </c>
      <c r="BE2128">
        <v>0</v>
      </c>
      <c r="BF2128">
        <v>0</v>
      </c>
      <c r="BG2128">
        <v>0</v>
      </c>
      <c r="BH2128">
        <v>1</v>
      </c>
      <c r="BI2128">
        <v>1.5</v>
      </c>
      <c r="BJ2128">
        <v>1.2</v>
      </c>
      <c r="BK2128">
        <v>1.5</v>
      </c>
      <c r="BL2128" s="4">
        <v>39.42</v>
      </c>
      <c r="BM2128" s="4">
        <v>5.91</v>
      </c>
      <c r="BN2128" s="4">
        <v>45.33</v>
      </c>
      <c r="BO2128" s="4">
        <v>45.33</v>
      </c>
      <c r="BQ2128" t="s">
        <v>147</v>
      </c>
      <c r="BR2128" t="s">
        <v>84</v>
      </c>
      <c r="BS2128" s="3">
        <v>43832</v>
      </c>
      <c r="BT2128" s="5">
        <v>0.77916666666666667</v>
      </c>
      <c r="BU2128" t="s">
        <v>617</v>
      </c>
      <c r="BV2128" t="s">
        <v>89</v>
      </c>
      <c r="BY2128">
        <v>6211.35</v>
      </c>
      <c r="CA2128" t="s">
        <v>620</v>
      </c>
      <c r="CC2128" t="s">
        <v>76</v>
      </c>
      <c r="CD2128">
        <v>1609</v>
      </c>
      <c r="CE2128" t="s">
        <v>96</v>
      </c>
      <c r="CI2128">
        <v>1</v>
      </c>
      <c r="CJ2128">
        <v>10</v>
      </c>
      <c r="CK2128">
        <v>22</v>
      </c>
      <c r="CL2128" t="s">
        <v>89</v>
      </c>
    </row>
    <row r="2129" spans="1:90">
      <c r="A2129" t="s">
        <v>72</v>
      </c>
      <c r="B2129" t="s">
        <v>73</v>
      </c>
      <c r="C2129" t="s">
        <v>74</v>
      </c>
      <c r="E2129" t="str">
        <f>"RFES1162728355"</f>
        <v>RFES1162728355</v>
      </c>
      <c r="F2129" s="3">
        <v>43818</v>
      </c>
      <c r="G2129">
        <v>202006</v>
      </c>
      <c r="H2129" t="s">
        <v>201</v>
      </c>
      <c r="I2129" t="s">
        <v>202</v>
      </c>
      <c r="J2129" t="s">
        <v>1716</v>
      </c>
      <c r="K2129" t="s">
        <v>78</v>
      </c>
      <c r="L2129" t="s">
        <v>75</v>
      </c>
      <c r="M2129" t="s">
        <v>76</v>
      </c>
      <c r="N2129" t="s">
        <v>77</v>
      </c>
      <c r="O2129" t="s">
        <v>82</v>
      </c>
      <c r="P2129" t="str">
        <f>"2170721651                    "</f>
        <v xml:space="preserve">2170721651                    </v>
      </c>
      <c r="Q2129">
        <v>0</v>
      </c>
      <c r="R2129">
        <v>0</v>
      </c>
      <c r="S2129">
        <v>0</v>
      </c>
      <c r="T2129">
        <v>0</v>
      </c>
      <c r="U2129">
        <v>0</v>
      </c>
      <c r="V2129">
        <v>0</v>
      </c>
      <c r="W2129">
        <v>0</v>
      </c>
      <c r="X2129">
        <v>0</v>
      </c>
      <c r="Y2129">
        <v>0</v>
      </c>
      <c r="Z2129">
        <v>0</v>
      </c>
      <c r="AA2129">
        <v>0</v>
      </c>
      <c r="AB2129">
        <v>0</v>
      </c>
      <c r="AC2129">
        <v>0</v>
      </c>
      <c r="AD2129">
        <v>0</v>
      </c>
      <c r="AE2129">
        <v>0</v>
      </c>
      <c r="AF2129">
        <v>0</v>
      </c>
      <c r="AG2129">
        <v>0</v>
      </c>
      <c r="AH2129">
        <v>0</v>
      </c>
      <c r="AI2129">
        <v>0</v>
      </c>
      <c r="AJ2129">
        <v>0</v>
      </c>
      <c r="AK2129">
        <v>0</v>
      </c>
      <c r="AL2129">
        <v>0</v>
      </c>
      <c r="AM2129">
        <v>8.58</v>
      </c>
      <c r="AN2129">
        <v>0</v>
      </c>
      <c r="AO2129">
        <v>0</v>
      </c>
      <c r="AP2129">
        <v>0</v>
      </c>
      <c r="AQ2129">
        <v>0</v>
      </c>
      <c r="AR2129">
        <v>0</v>
      </c>
      <c r="AS2129">
        <v>0</v>
      </c>
      <c r="AT2129">
        <v>0</v>
      </c>
      <c r="AU2129">
        <v>0</v>
      </c>
      <c r="AV2129">
        <v>0</v>
      </c>
      <c r="AW2129">
        <v>0</v>
      </c>
      <c r="AX2129">
        <v>0</v>
      </c>
      <c r="AY2129">
        <v>0</v>
      </c>
      <c r="AZ2129">
        <v>0</v>
      </c>
      <c r="BA2129">
        <v>0</v>
      </c>
      <c r="BB2129">
        <v>0</v>
      </c>
      <c r="BC2129">
        <v>0</v>
      </c>
      <c r="BD2129">
        <v>0</v>
      </c>
      <c r="BE2129">
        <v>0</v>
      </c>
      <c r="BF2129">
        <v>0</v>
      </c>
      <c r="BG2129">
        <v>0</v>
      </c>
      <c r="BH2129">
        <v>1</v>
      </c>
      <c r="BI2129">
        <v>1</v>
      </c>
      <c r="BJ2129">
        <v>0.2</v>
      </c>
      <c r="BK2129">
        <v>1</v>
      </c>
      <c r="BL2129" s="4">
        <v>50.45</v>
      </c>
      <c r="BM2129" s="4">
        <v>7.57</v>
      </c>
      <c r="BN2129" s="4">
        <v>58.02</v>
      </c>
      <c r="BO2129" s="4">
        <v>58.02</v>
      </c>
      <c r="BQ2129" t="s">
        <v>84</v>
      </c>
      <c r="BR2129" t="s">
        <v>147</v>
      </c>
      <c r="BS2129" s="3">
        <v>43819</v>
      </c>
      <c r="BT2129" s="5">
        <v>0.3923611111111111</v>
      </c>
      <c r="BU2129" t="s">
        <v>154</v>
      </c>
      <c r="BV2129" t="s">
        <v>86</v>
      </c>
      <c r="BY2129">
        <v>1200</v>
      </c>
      <c r="CA2129" t="s">
        <v>155</v>
      </c>
      <c r="CC2129" t="s">
        <v>76</v>
      </c>
      <c r="CD2129">
        <v>1601</v>
      </c>
      <c r="CE2129">
        <v>1</v>
      </c>
      <c r="CF2129" s="3">
        <v>43822</v>
      </c>
      <c r="CI2129">
        <v>1</v>
      </c>
      <c r="CJ2129">
        <v>1</v>
      </c>
      <c r="CK2129">
        <v>21</v>
      </c>
      <c r="CL2129" t="s">
        <v>89</v>
      </c>
    </row>
    <row r="2130" spans="1:90">
      <c r="A2130" t="s">
        <v>72</v>
      </c>
      <c r="B2130" t="s">
        <v>73</v>
      </c>
      <c r="C2130" t="s">
        <v>74</v>
      </c>
      <c r="E2130" t="str">
        <f>"FES1162729174"</f>
        <v>FES1162729174</v>
      </c>
      <c r="F2130" s="3">
        <v>43818</v>
      </c>
      <c r="G2130">
        <v>202006</v>
      </c>
      <c r="H2130" t="s">
        <v>75</v>
      </c>
      <c r="I2130" t="s">
        <v>76</v>
      </c>
      <c r="J2130" t="s">
        <v>77</v>
      </c>
      <c r="K2130" t="s">
        <v>78</v>
      </c>
      <c r="L2130" t="s">
        <v>198</v>
      </c>
      <c r="M2130" t="s">
        <v>199</v>
      </c>
      <c r="N2130" t="s">
        <v>280</v>
      </c>
      <c r="O2130" t="s">
        <v>82</v>
      </c>
      <c r="P2130" t="str">
        <f>"2170722162                    "</f>
        <v xml:space="preserve">2170722162                    </v>
      </c>
      <c r="Q2130">
        <v>0</v>
      </c>
      <c r="R2130">
        <v>0</v>
      </c>
      <c r="S2130">
        <v>0</v>
      </c>
      <c r="T2130">
        <v>0</v>
      </c>
      <c r="U2130">
        <v>0</v>
      </c>
      <c r="V2130">
        <v>0</v>
      </c>
      <c r="W2130">
        <v>0</v>
      </c>
      <c r="X2130">
        <v>0</v>
      </c>
      <c r="Y2130">
        <v>0</v>
      </c>
      <c r="Z2130">
        <v>0</v>
      </c>
      <c r="AA2130">
        <v>0</v>
      </c>
      <c r="AB2130">
        <v>0</v>
      </c>
      <c r="AC2130">
        <v>0</v>
      </c>
      <c r="AD2130">
        <v>0</v>
      </c>
      <c r="AE2130">
        <v>0</v>
      </c>
      <c r="AF2130">
        <v>0</v>
      </c>
      <c r="AG2130">
        <v>0</v>
      </c>
      <c r="AH2130">
        <v>0</v>
      </c>
      <c r="AI2130">
        <v>0</v>
      </c>
      <c r="AJ2130">
        <v>0</v>
      </c>
      <c r="AK2130">
        <v>0</v>
      </c>
      <c r="AL2130">
        <v>0</v>
      </c>
      <c r="AM2130">
        <v>8.58</v>
      </c>
      <c r="AN2130">
        <v>0</v>
      </c>
      <c r="AO2130">
        <v>0</v>
      </c>
      <c r="AP2130">
        <v>0</v>
      </c>
      <c r="AQ2130">
        <v>0</v>
      </c>
      <c r="AR2130">
        <v>0</v>
      </c>
      <c r="AS2130">
        <v>0</v>
      </c>
      <c r="AT2130">
        <v>0</v>
      </c>
      <c r="AU2130">
        <v>0</v>
      </c>
      <c r="AV2130">
        <v>0</v>
      </c>
      <c r="AW2130">
        <v>0</v>
      </c>
      <c r="AX2130">
        <v>0</v>
      </c>
      <c r="AY2130">
        <v>0</v>
      </c>
      <c r="AZ2130">
        <v>0</v>
      </c>
      <c r="BA2130">
        <v>0</v>
      </c>
      <c r="BB2130">
        <v>0</v>
      </c>
      <c r="BC2130">
        <v>0</v>
      </c>
      <c r="BD2130">
        <v>0</v>
      </c>
      <c r="BE2130">
        <v>0</v>
      </c>
      <c r="BF2130">
        <v>0</v>
      </c>
      <c r="BG2130">
        <v>0</v>
      </c>
      <c r="BH2130">
        <v>1</v>
      </c>
      <c r="BI2130">
        <v>1</v>
      </c>
      <c r="BJ2130">
        <v>0.2</v>
      </c>
      <c r="BK2130">
        <v>1</v>
      </c>
      <c r="BL2130" s="4">
        <v>50.45</v>
      </c>
      <c r="BM2130" s="4">
        <v>7.57</v>
      </c>
      <c r="BN2130" s="4">
        <v>58.02</v>
      </c>
      <c r="BO2130" s="4">
        <v>58.02</v>
      </c>
      <c r="BQ2130" t="s">
        <v>147</v>
      </c>
      <c r="BR2130" t="s">
        <v>84</v>
      </c>
      <c r="BS2130" s="3">
        <v>43822</v>
      </c>
      <c r="BT2130" s="5">
        <v>0.53333333333333333</v>
      </c>
      <c r="BU2130" t="s">
        <v>2397</v>
      </c>
      <c r="BV2130" t="s">
        <v>89</v>
      </c>
      <c r="BW2130" t="s">
        <v>506</v>
      </c>
      <c r="BX2130" t="s">
        <v>507</v>
      </c>
      <c r="BY2130">
        <v>1200</v>
      </c>
      <c r="CA2130" t="s">
        <v>281</v>
      </c>
      <c r="CC2130" t="s">
        <v>199</v>
      </c>
      <c r="CD2130">
        <v>4001</v>
      </c>
      <c r="CE2130" t="s">
        <v>88</v>
      </c>
      <c r="CF2130" s="3">
        <v>43823</v>
      </c>
      <c r="CI2130">
        <v>1</v>
      </c>
      <c r="CJ2130">
        <v>2</v>
      </c>
      <c r="CK2130">
        <v>21</v>
      </c>
      <c r="CL2130" t="s">
        <v>89</v>
      </c>
    </row>
    <row r="2131" spans="1:90">
      <c r="A2131" t="s">
        <v>72</v>
      </c>
      <c r="B2131" t="s">
        <v>73</v>
      </c>
      <c r="C2131" t="s">
        <v>74</v>
      </c>
      <c r="E2131" t="str">
        <f>"RFES1162728488"</f>
        <v>RFES1162728488</v>
      </c>
      <c r="F2131" s="3">
        <v>43818</v>
      </c>
      <c r="G2131">
        <v>202006</v>
      </c>
      <c r="H2131" t="s">
        <v>198</v>
      </c>
      <c r="I2131" t="s">
        <v>199</v>
      </c>
      <c r="J2131" t="s">
        <v>1932</v>
      </c>
      <c r="K2131" t="s">
        <v>78</v>
      </c>
      <c r="L2131" t="s">
        <v>75</v>
      </c>
      <c r="M2131" t="s">
        <v>76</v>
      </c>
      <c r="N2131" t="s">
        <v>77</v>
      </c>
      <c r="O2131" t="s">
        <v>82</v>
      </c>
      <c r="P2131" t="str">
        <f>"2170721711                    "</f>
        <v xml:space="preserve">2170721711                    </v>
      </c>
      <c r="Q2131">
        <v>0</v>
      </c>
      <c r="R2131">
        <v>0</v>
      </c>
      <c r="S2131">
        <v>0</v>
      </c>
      <c r="T2131">
        <v>0</v>
      </c>
      <c r="U2131">
        <v>0</v>
      </c>
      <c r="V2131">
        <v>0</v>
      </c>
      <c r="W2131">
        <v>0</v>
      </c>
      <c r="X2131">
        <v>0</v>
      </c>
      <c r="Y2131">
        <v>0</v>
      </c>
      <c r="Z2131">
        <v>0</v>
      </c>
      <c r="AA2131">
        <v>0</v>
      </c>
      <c r="AB2131">
        <v>0</v>
      </c>
      <c r="AC2131">
        <v>0</v>
      </c>
      <c r="AD2131">
        <v>0</v>
      </c>
      <c r="AE2131">
        <v>0</v>
      </c>
      <c r="AF2131">
        <v>0</v>
      </c>
      <c r="AG2131">
        <v>0</v>
      </c>
      <c r="AH2131">
        <v>0</v>
      </c>
      <c r="AI2131">
        <v>0</v>
      </c>
      <c r="AJ2131">
        <v>0</v>
      </c>
      <c r="AK2131">
        <v>0</v>
      </c>
      <c r="AL2131">
        <v>0</v>
      </c>
      <c r="AM2131">
        <v>8.58</v>
      </c>
      <c r="AN2131">
        <v>0</v>
      </c>
      <c r="AO2131">
        <v>0</v>
      </c>
      <c r="AP2131">
        <v>0</v>
      </c>
      <c r="AQ2131">
        <v>0</v>
      </c>
      <c r="AR2131">
        <v>0</v>
      </c>
      <c r="AS2131">
        <v>0</v>
      </c>
      <c r="AT2131">
        <v>0</v>
      </c>
      <c r="AU2131">
        <v>0</v>
      </c>
      <c r="AV2131">
        <v>0</v>
      </c>
      <c r="AW2131">
        <v>0</v>
      </c>
      <c r="AX2131">
        <v>0</v>
      </c>
      <c r="AY2131">
        <v>0</v>
      </c>
      <c r="AZ2131">
        <v>0</v>
      </c>
      <c r="BA2131">
        <v>0</v>
      </c>
      <c r="BB2131">
        <v>0</v>
      </c>
      <c r="BC2131">
        <v>0</v>
      </c>
      <c r="BD2131">
        <v>0</v>
      </c>
      <c r="BE2131">
        <v>0</v>
      </c>
      <c r="BF2131">
        <v>0</v>
      </c>
      <c r="BG2131">
        <v>0</v>
      </c>
      <c r="BH2131">
        <v>1</v>
      </c>
      <c r="BI2131">
        <v>0.6</v>
      </c>
      <c r="BJ2131">
        <v>2</v>
      </c>
      <c r="BK2131">
        <v>2</v>
      </c>
      <c r="BL2131" s="4">
        <v>50.45</v>
      </c>
      <c r="BM2131" s="4">
        <v>7.57</v>
      </c>
      <c r="BN2131" s="4">
        <v>58.02</v>
      </c>
      <c r="BO2131" s="4">
        <v>58.02</v>
      </c>
      <c r="BQ2131" t="s">
        <v>84</v>
      </c>
      <c r="BR2131" t="s">
        <v>93</v>
      </c>
      <c r="BS2131" s="3">
        <v>43819</v>
      </c>
      <c r="BT2131" s="5">
        <v>0.39027777777777778</v>
      </c>
      <c r="BU2131" t="s">
        <v>154</v>
      </c>
      <c r="BV2131" t="s">
        <v>86</v>
      </c>
      <c r="BY2131">
        <v>10055.24</v>
      </c>
      <c r="BZ2131" t="s">
        <v>27</v>
      </c>
      <c r="CA2131" t="s">
        <v>155</v>
      </c>
      <c r="CC2131" t="s">
        <v>76</v>
      </c>
      <c r="CD2131">
        <v>1601</v>
      </c>
      <c r="CE2131" t="s">
        <v>88</v>
      </c>
      <c r="CF2131" s="3">
        <v>43822</v>
      </c>
      <c r="CI2131">
        <v>1</v>
      </c>
      <c r="CJ2131">
        <v>1</v>
      </c>
      <c r="CK2131">
        <v>21</v>
      </c>
      <c r="CL2131" t="s">
        <v>89</v>
      </c>
    </row>
    <row r="2132" spans="1:90">
      <c r="A2132" t="s">
        <v>72</v>
      </c>
      <c r="B2132" t="s">
        <v>73</v>
      </c>
      <c r="C2132" t="s">
        <v>74</v>
      </c>
      <c r="E2132" t="str">
        <f>"FES1162728571"</f>
        <v>FES1162728571</v>
      </c>
      <c r="F2132" s="3">
        <v>43818</v>
      </c>
      <c r="G2132">
        <v>202006</v>
      </c>
      <c r="H2132" t="s">
        <v>75</v>
      </c>
      <c r="I2132" t="s">
        <v>76</v>
      </c>
      <c r="J2132" t="s">
        <v>77</v>
      </c>
      <c r="K2132" t="s">
        <v>78</v>
      </c>
      <c r="L2132" t="s">
        <v>75</v>
      </c>
      <c r="M2132" t="s">
        <v>76</v>
      </c>
      <c r="N2132" t="s">
        <v>703</v>
      </c>
      <c r="O2132" t="s">
        <v>82</v>
      </c>
      <c r="P2132" t="str">
        <f>"2170720552                    "</f>
        <v xml:space="preserve">2170720552                    </v>
      </c>
      <c r="Q2132">
        <v>0</v>
      </c>
      <c r="R2132">
        <v>0</v>
      </c>
      <c r="S2132">
        <v>0</v>
      </c>
      <c r="T2132">
        <v>0</v>
      </c>
      <c r="U2132">
        <v>0</v>
      </c>
      <c r="V2132">
        <v>0</v>
      </c>
      <c r="W2132">
        <v>0</v>
      </c>
      <c r="X2132">
        <v>0</v>
      </c>
      <c r="Y2132">
        <v>0</v>
      </c>
      <c r="Z2132">
        <v>0</v>
      </c>
      <c r="AA2132">
        <v>0</v>
      </c>
      <c r="AB2132">
        <v>0</v>
      </c>
      <c r="AC2132">
        <v>0</v>
      </c>
      <c r="AD2132">
        <v>0</v>
      </c>
      <c r="AE2132">
        <v>0</v>
      </c>
      <c r="AF2132">
        <v>0</v>
      </c>
      <c r="AG2132">
        <v>0</v>
      </c>
      <c r="AH2132">
        <v>0</v>
      </c>
      <c r="AI2132">
        <v>0</v>
      </c>
      <c r="AJ2132">
        <v>0</v>
      </c>
      <c r="AK2132">
        <v>0</v>
      </c>
      <c r="AL2132">
        <v>0</v>
      </c>
      <c r="AM2132">
        <v>6.71</v>
      </c>
      <c r="AN2132">
        <v>0</v>
      </c>
      <c r="AO2132">
        <v>0</v>
      </c>
      <c r="AP2132">
        <v>0</v>
      </c>
      <c r="AQ2132">
        <v>0</v>
      </c>
      <c r="AR2132">
        <v>0</v>
      </c>
      <c r="AS2132">
        <v>0</v>
      </c>
      <c r="AT2132">
        <v>0</v>
      </c>
      <c r="AU2132">
        <v>0</v>
      </c>
      <c r="AV2132">
        <v>0</v>
      </c>
      <c r="AW2132">
        <v>0</v>
      </c>
      <c r="AX2132">
        <v>0</v>
      </c>
      <c r="AY2132">
        <v>0</v>
      </c>
      <c r="AZ2132">
        <v>0</v>
      </c>
      <c r="BA2132">
        <v>0</v>
      </c>
      <c r="BB2132">
        <v>0</v>
      </c>
      <c r="BC2132">
        <v>0</v>
      </c>
      <c r="BD2132">
        <v>0</v>
      </c>
      <c r="BE2132">
        <v>0</v>
      </c>
      <c r="BF2132">
        <v>0</v>
      </c>
      <c r="BG2132">
        <v>0</v>
      </c>
      <c r="BH2132">
        <v>1</v>
      </c>
      <c r="BI2132">
        <v>1</v>
      </c>
      <c r="BJ2132">
        <v>0.2</v>
      </c>
      <c r="BK2132">
        <v>1</v>
      </c>
      <c r="BL2132" s="4">
        <v>39.42</v>
      </c>
      <c r="BM2132" s="4">
        <v>5.91</v>
      </c>
      <c r="BN2132" s="4">
        <v>45.33</v>
      </c>
      <c r="BO2132" s="4">
        <v>45.33</v>
      </c>
      <c r="BQ2132" t="s">
        <v>93</v>
      </c>
      <c r="BR2132" t="s">
        <v>84</v>
      </c>
      <c r="BS2132" s="3">
        <v>43819</v>
      </c>
      <c r="BT2132" s="5">
        <v>0.29166666666666669</v>
      </c>
      <c r="BU2132" t="s">
        <v>1468</v>
      </c>
      <c r="BV2132" t="s">
        <v>86</v>
      </c>
      <c r="BY2132">
        <v>1200</v>
      </c>
      <c r="CA2132" t="s">
        <v>320</v>
      </c>
      <c r="CC2132" t="s">
        <v>76</v>
      </c>
      <c r="CD2132">
        <v>1665</v>
      </c>
      <c r="CE2132" t="s">
        <v>88</v>
      </c>
      <c r="CF2132" s="3">
        <v>43822</v>
      </c>
      <c r="CI2132">
        <v>1</v>
      </c>
      <c r="CJ2132">
        <v>1</v>
      </c>
      <c r="CK2132">
        <v>22</v>
      </c>
      <c r="CL2132" t="s">
        <v>89</v>
      </c>
    </row>
    <row r="2133" spans="1:90">
      <c r="A2133" t="s">
        <v>72</v>
      </c>
      <c r="B2133" t="s">
        <v>73</v>
      </c>
      <c r="C2133" t="s">
        <v>74</v>
      </c>
      <c r="E2133" t="str">
        <f>"RFES1162728581"</f>
        <v>RFES1162728581</v>
      </c>
      <c r="F2133" s="3">
        <v>43818</v>
      </c>
      <c r="G2133">
        <v>202006</v>
      </c>
      <c r="H2133" t="s">
        <v>332</v>
      </c>
      <c r="I2133" t="s">
        <v>333</v>
      </c>
      <c r="J2133" t="s">
        <v>1756</v>
      </c>
      <c r="K2133" t="s">
        <v>78</v>
      </c>
      <c r="L2133" t="s">
        <v>75</v>
      </c>
      <c r="M2133" t="s">
        <v>76</v>
      </c>
      <c r="N2133" t="s">
        <v>77</v>
      </c>
      <c r="O2133" t="s">
        <v>82</v>
      </c>
      <c r="P2133" t="str">
        <f>"2170712507                    "</f>
        <v xml:space="preserve">2170712507                    </v>
      </c>
      <c r="Q2133">
        <v>0</v>
      </c>
      <c r="R2133">
        <v>0</v>
      </c>
      <c r="S2133">
        <v>0</v>
      </c>
      <c r="T2133">
        <v>0</v>
      </c>
      <c r="U2133">
        <v>0</v>
      </c>
      <c r="V2133">
        <v>0</v>
      </c>
      <c r="W2133">
        <v>0</v>
      </c>
      <c r="X2133">
        <v>0</v>
      </c>
      <c r="Y2133">
        <v>0</v>
      </c>
      <c r="Z2133">
        <v>0</v>
      </c>
      <c r="AA2133">
        <v>0</v>
      </c>
      <c r="AB2133">
        <v>0</v>
      </c>
      <c r="AC2133">
        <v>0</v>
      </c>
      <c r="AD2133">
        <v>0</v>
      </c>
      <c r="AE2133">
        <v>0</v>
      </c>
      <c r="AF2133">
        <v>0</v>
      </c>
      <c r="AG2133">
        <v>0</v>
      </c>
      <c r="AH2133">
        <v>0</v>
      </c>
      <c r="AI2133">
        <v>0</v>
      </c>
      <c r="AJ2133">
        <v>0</v>
      </c>
      <c r="AK2133">
        <v>0</v>
      </c>
      <c r="AL2133">
        <v>0</v>
      </c>
      <c r="AM2133">
        <v>6.71</v>
      </c>
      <c r="AN2133">
        <v>0</v>
      </c>
      <c r="AO2133">
        <v>0</v>
      </c>
      <c r="AP2133">
        <v>0</v>
      </c>
      <c r="AQ2133">
        <v>0</v>
      </c>
      <c r="AR2133">
        <v>0</v>
      </c>
      <c r="AS2133">
        <v>0</v>
      </c>
      <c r="AT2133">
        <v>0</v>
      </c>
      <c r="AU2133">
        <v>0</v>
      </c>
      <c r="AV2133">
        <v>0</v>
      </c>
      <c r="AW2133">
        <v>0</v>
      </c>
      <c r="AX2133">
        <v>0</v>
      </c>
      <c r="AY2133">
        <v>0</v>
      </c>
      <c r="AZ2133">
        <v>0</v>
      </c>
      <c r="BA2133">
        <v>0</v>
      </c>
      <c r="BB2133">
        <v>0</v>
      </c>
      <c r="BC2133">
        <v>0</v>
      </c>
      <c r="BD2133">
        <v>0</v>
      </c>
      <c r="BE2133">
        <v>0</v>
      </c>
      <c r="BF2133">
        <v>0</v>
      </c>
      <c r="BG2133">
        <v>0</v>
      </c>
      <c r="BH2133">
        <v>1</v>
      </c>
      <c r="BI2133">
        <v>1</v>
      </c>
      <c r="BJ2133">
        <v>0.2</v>
      </c>
      <c r="BK2133">
        <v>1</v>
      </c>
      <c r="BL2133" s="4">
        <v>39.42</v>
      </c>
      <c r="BM2133" s="4">
        <v>5.91</v>
      </c>
      <c r="BN2133" s="4">
        <v>45.33</v>
      </c>
      <c r="BO2133" s="4">
        <v>45.33</v>
      </c>
      <c r="BQ2133" t="s">
        <v>84</v>
      </c>
      <c r="BR2133" t="s">
        <v>135</v>
      </c>
      <c r="BS2133" s="3">
        <v>43819</v>
      </c>
      <c r="BT2133" s="5">
        <v>0.39305555555555555</v>
      </c>
      <c r="BU2133" t="s">
        <v>154</v>
      </c>
      <c r="BV2133" t="s">
        <v>86</v>
      </c>
      <c r="BY2133">
        <v>1200</v>
      </c>
      <c r="CA2133" t="s">
        <v>155</v>
      </c>
      <c r="CC2133" t="s">
        <v>76</v>
      </c>
      <c r="CD2133">
        <v>1601</v>
      </c>
      <c r="CE2133" t="s">
        <v>88</v>
      </c>
      <c r="CF2133" s="3">
        <v>43822</v>
      </c>
      <c r="CI2133">
        <v>1</v>
      </c>
      <c r="CJ2133">
        <v>1</v>
      </c>
      <c r="CK2133">
        <v>22</v>
      </c>
      <c r="CL2133" t="s">
        <v>89</v>
      </c>
    </row>
    <row r="2134" spans="1:90">
      <c r="A2134" t="s">
        <v>72</v>
      </c>
      <c r="B2134" t="s">
        <v>73</v>
      </c>
      <c r="C2134" t="s">
        <v>74</v>
      </c>
      <c r="E2134" t="str">
        <f>"FES1162729164"</f>
        <v>FES1162729164</v>
      </c>
      <c r="F2134" s="3">
        <v>43818</v>
      </c>
      <c r="G2134">
        <v>202006</v>
      </c>
      <c r="H2134" t="s">
        <v>75</v>
      </c>
      <c r="I2134" t="s">
        <v>76</v>
      </c>
      <c r="J2134" t="s">
        <v>77</v>
      </c>
      <c r="K2134" t="s">
        <v>78</v>
      </c>
      <c r="L2134" t="s">
        <v>201</v>
      </c>
      <c r="M2134" t="s">
        <v>202</v>
      </c>
      <c r="N2134" t="s">
        <v>1585</v>
      </c>
      <c r="O2134" t="s">
        <v>82</v>
      </c>
      <c r="P2134" t="str">
        <f>"2170722151                    "</f>
        <v xml:space="preserve">2170722151                    </v>
      </c>
      <c r="Q2134">
        <v>0</v>
      </c>
      <c r="R2134">
        <v>0</v>
      </c>
      <c r="S2134">
        <v>0</v>
      </c>
      <c r="T2134">
        <v>0</v>
      </c>
      <c r="U2134">
        <v>0</v>
      </c>
      <c r="V2134">
        <v>0</v>
      </c>
      <c r="W2134">
        <v>0</v>
      </c>
      <c r="X2134">
        <v>0</v>
      </c>
      <c r="Y2134">
        <v>0</v>
      </c>
      <c r="Z2134">
        <v>0</v>
      </c>
      <c r="AA2134">
        <v>0</v>
      </c>
      <c r="AB2134">
        <v>0</v>
      </c>
      <c r="AC2134">
        <v>0</v>
      </c>
      <c r="AD2134">
        <v>0</v>
      </c>
      <c r="AE2134">
        <v>0</v>
      </c>
      <c r="AF2134">
        <v>0</v>
      </c>
      <c r="AG2134">
        <v>0</v>
      </c>
      <c r="AH2134">
        <v>0</v>
      </c>
      <c r="AI2134">
        <v>0</v>
      </c>
      <c r="AJ2134">
        <v>0</v>
      </c>
      <c r="AK2134">
        <v>0</v>
      </c>
      <c r="AL2134">
        <v>0</v>
      </c>
      <c r="AM2134">
        <v>21.45</v>
      </c>
      <c r="AN2134">
        <v>0</v>
      </c>
      <c r="AO2134">
        <v>0</v>
      </c>
      <c r="AP2134">
        <v>0</v>
      </c>
      <c r="AQ2134">
        <v>0</v>
      </c>
      <c r="AR2134">
        <v>0</v>
      </c>
      <c r="AS2134">
        <v>0</v>
      </c>
      <c r="AT2134">
        <v>0</v>
      </c>
      <c r="AU2134">
        <v>0</v>
      </c>
      <c r="AV2134">
        <v>0</v>
      </c>
      <c r="AW2134">
        <v>0</v>
      </c>
      <c r="AX2134">
        <v>0</v>
      </c>
      <c r="AY2134">
        <v>0</v>
      </c>
      <c r="AZ2134">
        <v>0</v>
      </c>
      <c r="BA2134">
        <v>0</v>
      </c>
      <c r="BB2134">
        <v>0</v>
      </c>
      <c r="BC2134">
        <v>0</v>
      </c>
      <c r="BD2134">
        <v>0</v>
      </c>
      <c r="BE2134">
        <v>0</v>
      </c>
      <c r="BF2134">
        <v>0</v>
      </c>
      <c r="BG2134">
        <v>0</v>
      </c>
      <c r="BH2134">
        <v>1</v>
      </c>
      <c r="BI2134">
        <v>4.8</v>
      </c>
      <c r="BJ2134">
        <v>2.9</v>
      </c>
      <c r="BK2134">
        <v>5</v>
      </c>
      <c r="BL2134" s="4">
        <v>126.08</v>
      </c>
      <c r="BM2134" s="4">
        <v>18.91</v>
      </c>
      <c r="BN2134" s="4">
        <v>144.99</v>
      </c>
      <c r="BO2134" s="4">
        <v>144.99</v>
      </c>
      <c r="BQ2134" t="s">
        <v>1586</v>
      </c>
      <c r="BR2134" t="s">
        <v>84</v>
      </c>
      <c r="BS2134" s="3">
        <v>43819</v>
      </c>
      <c r="BT2134" s="5">
        <v>0.36458333333333331</v>
      </c>
      <c r="BU2134" t="s">
        <v>2398</v>
      </c>
      <c r="BV2134" t="s">
        <v>86</v>
      </c>
      <c r="BY2134">
        <v>14566.46</v>
      </c>
      <c r="CA2134" t="s">
        <v>205</v>
      </c>
      <c r="CC2134" t="s">
        <v>202</v>
      </c>
      <c r="CD2134">
        <v>3600</v>
      </c>
      <c r="CE2134" t="s">
        <v>96</v>
      </c>
      <c r="CF2134" s="3">
        <v>43823</v>
      </c>
      <c r="CI2134">
        <v>1</v>
      </c>
      <c r="CJ2134">
        <v>1</v>
      </c>
      <c r="CK2134">
        <v>21</v>
      </c>
      <c r="CL2134" t="s">
        <v>89</v>
      </c>
    </row>
    <row r="2135" spans="1:90">
      <c r="A2135" t="s">
        <v>72</v>
      </c>
      <c r="B2135" t="s">
        <v>73</v>
      </c>
      <c r="C2135" t="s">
        <v>74</v>
      </c>
      <c r="E2135" t="str">
        <f>"FES1162729278"</f>
        <v>FES1162729278</v>
      </c>
      <c r="F2135" s="3">
        <v>43818</v>
      </c>
      <c r="G2135">
        <v>202006</v>
      </c>
      <c r="H2135" t="s">
        <v>75</v>
      </c>
      <c r="I2135" t="s">
        <v>76</v>
      </c>
      <c r="J2135" t="s">
        <v>77</v>
      </c>
      <c r="K2135" t="s">
        <v>78</v>
      </c>
      <c r="L2135" t="s">
        <v>198</v>
      </c>
      <c r="M2135" t="s">
        <v>199</v>
      </c>
      <c r="N2135" t="s">
        <v>280</v>
      </c>
      <c r="O2135" t="s">
        <v>82</v>
      </c>
      <c r="P2135" t="str">
        <f>"2170722280                    "</f>
        <v xml:space="preserve">2170722280                    </v>
      </c>
      <c r="Q2135">
        <v>0</v>
      </c>
      <c r="R2135">
        <v>0</v>
      </c>
      <c r="S2135">
        <v>0</v>
      </c>
      <c r="T2135">
        <v>0</v>
      </c>
      <c r="U2135">
        <v>0</v>
      </c>
      <c r="V2135">
        <v>0</v>
      </c>
      <c r="W2135">
        <v>0</v>
      </c>
      <c r="X2135">
        <v>0</v>
      </c>
      <c r="Y2135">
        <v>0</v>
      </c>
      <c r="Z2135">
        <v>0</v>
      </c>
      <c r="AA2135">
        <v>0</v>
      </c>
      <c r="AB2135">
        <v>0</v>
      </c>
      <c r="AC2135">
        <v>0</v>
      </c>
      <c r="AD2135">
        <v>0</v>
      </c>
      <c r="AE2135">
        <v>0</v>
      </c>
      <c r="AF2135">
        <v>0</v>
      </c>
      <c r="AG2135">
        <v>0</v>
      </c>
      <c r="AH2135">
        <v>0</v>
      </c>
      <c r="AI2135">
        <v>0</v>
      </c>
      <c r="AJ2135">
        <v>0</v>
      </c>
      <c r="AK2135">
        <v>0</v>
      </c>
      <c r="AL2135">
        <v>0</v>
      </c>
      <c r="AM2135">
        <v>8.58</v>
      </c>
      <c r="AN2135">
        <v>0</v>
      </c>
      <c r="AO2135">
        <v>0</v>
      </c>
      <c r="AP2135">
        <v>0</v>
      </c>
      <c r="AQ2135">
        <v>0</v>
      </c>
      <c r="AR2135">
        <v>0</v>
      </c>
      <c r="AS2135">
        <v>0</v>
      </c>
      <c r="AT2135">
        <v>0</v>
      </c>
      <c r="AU2135">
        <v>0</v>
      </c>
      <c r="AV2135">
        <v>0</v>
      </c>
      <c r="AW2135">
        <v>0</v>
      </c>
      <c r="AX2135">
        <v>0</v>
      </c>
      <c r="AY2135">
        <v>0</v>
      </c>
      <c r="AZ2135">
        <v>0</v>
      </c>
      <c r="BA2135">
        <v>0</v>
      </c>
      <c r="BB2135">
        <v>0</v>
      </c>
      <c r="BC2135">
        <v>0</v>
      </c>
      <c r="BD2135">
        <v>0</v>
      </c>
      <c r="BE2135">
        <v>0</v>
      </c>
      <c r="BF2135">
        <v>0</v>
      </c>
      <c r="BG2135">
        <v>0</v>
      </c>
      <c r="BH2135">
        <v>1</v>
      </c>
      <c r="BI2135">
        <v>1.5</v>
      </c>
      <c r="BJ2135">
        <v>1.2</v>
      </c>
      <c r="BK2135">
        <v>1.5</v>
      </c>
      <c r="BL2135" s="4">
        <v>50.45</v>
      </c>
      <c r="BM2135" s="4">
        <v>7.57</v>
      </c>
      <c r="BN2135" s="4">
        <v>58.02</v>
      </c>
      <c r="BO2135" s="4">
        <v>58.02</v>
      </c>
      <c r="BQ2135" t="s">
        <v>147</v>
      </c>
      <c r="BR2135" t="s">
        <v>84</v>
      </c>
      <c r="BS2135" s="3">
        <v>43836</v>
      </c>
      <c r="BT2135" s="5">
        <v>0.34652777777777777</v>
      </c>
      <c r="BU2135" t="s">
        <v>1887</v>
      </c>
      <c r="BV2135" t="s">
        <v>89</v>
      </c>
      <c r="BY2135">
        <v>6006.24</v>
      </c>
      <c r="CA2135" t="s">
        <v>281</v>
      </c>
      <c r="CC2135" t="s">
        <v>199</v>
      </c>
      <c r="CD2135">
        <v>4001</v>
      </c>
      <c r="CE2135" t="s">
        <v>116</v>
      </c>
      <c r="CI2135">
        <v>1</v>
      </c>
      <c r="CJ2135">
        <v>12</v>
      </c>
      <c r="CK2135">
        <v>21</v>
      </c>
      <c r="CL2135" t="s">
        <v>89</v>
      </c>
    </row>
    <row r="2136" spans="1:90">
      <c r="A2136" t="s">
        <v>72</v>
      </c>
      <c r="B2136" t="s">
        <v>73</v>
      </c>
      <c r="C2136" t="s">
        <v>74</v>
      </c>
      <c r="E2136" t="str">
        <f>"FES1162729279"</f>
        <v>FES1162729279</v>
      </c>
      <c r="F2136" s="3">
        <v>43818</v>
      </c>
      <c r="G2136">
        <v>202006</v>
      </c>
      <c r="H2136" t="s">
        <v>75</v>
      </c>
      <c r="I2136" t="s">
        <v>76</v>
      </c>
      <c r="J2136" t="s">
        <v>77</v>
      </c>
      <c r="K2136" t="s">
        <v>78</v>
      </c>
      <c r="L2136" t="s">
        <v>90</v>
      </c>
      <c r="M2136" t="s">
        <v>91</v>
      </c>
      <c r="N2136" t="s">
        <v>751</v>
      </c>
      <c r="O2136" t="s">
        <v>82</v>
      </c>
      <c r="P2136" t="str">
        <f>"2170722290                    "</f>
        <v xml:space="preserve">2170722290                    </v>
      </c>
      <c r="Q2136">
        <v>0</v>
      </c>
      <c r="R2136">
        <v>0</v>
      </c>
      <c r="S2136">
        <v>0</v>
      </c>
      <c r="T2136">
        <v>0</v>
      </c>
      <c r="U2136">
        <v>0</v>
      </c>
      <c r="V2136">
        <v>0</v>
      </c>
      <c r="W2136">
        <v>0</v>
      </c>
      <c r="X2136">
        <v>0</v>
      </c>
      <c r="Y2136">
        <v>0</v>
      </c>
      <c r="Z2136">
        <v>0</v>
      </c>
      <c r="AA2136">
        <v>0</v>
      </c>
      <c r="AB2136">
        <v>0</v>
      </c>
      <c r="AC2136">
        <v>0</v>
      </c>
      <c r="AD2136">
        <v>0</v>
      </c>
      <c r="AE2136">
        <v>0</v>
      </c>
      <c r="AF2136">
        <v>0</v>
      </c>
      <c r="AG2136">
        <v>0</v>
      </c>
      <c r="AH2136">
        <v>0</v>
      </c>
      <c r="AI2136">
        <v>0</v>
      </c>
      <c r="AJ2136">
        <v>0</v>
      </c>
      <c r="AK2136">
        <v>0</v>
      </c>
      <c r="AL2136">
        <v>0</v>
      </c>
      <c r="AM2136">
        <v>8.58</v>
      </c>
      <c r="AN2136">
        <v>0</v>
      </c>
      <c r="AO2136">
        <v>0</v>
      </c>
      <c r="AP2136">
        <v>0</v>
      </c>
      <c r="AQ2136">
        <v>0</v>
      </c>
      <c r="AR2136">
        <v>0</v>
      </c>
      <c r="AS2136">
        <v>0</v>
      </c>
      <c r="AT2136">
        <v>0</v>
      </c>
      <c r="AU2136">
        <v>0</v>
      </c>
      <c r="AV2136">
        <v>0</v>
      </c>
      <c r="AW2136">
        <v>0</v>
      </c>
      <c r="AX2136">
        <v>0</v>
      </c>
      <c r="AY2136">
        <v>0</v>
      </c>
      <c r="AZ2136">
        <v>0</v>
      </c>
      <c r="BA2136">
        <v>0</v>
      </c>
      <c r="BB2136">
        <v>0</v>
      </c>
      <c r="BC2136">
        <v>0</v>
      </c>
      <c r="BD2136">
        <v>0</v>
      </c>
      <c r="BE2136">
        <v>0</v>
      </c>
      <c r="BF2136">
        <v>0</v>
      </c>
      <c r="BG2136">
        <v>0</v>
      </c>
      <c r="BH2136">
        <v>1</v>
      </c>
      <c r="BI2136">
        <v>1</v>
      </c>
      <c r="BJ2136">
        <v>0.2</v>
      </c>
      <c r="BK2136">
        <v>1</v>
      </c>
      <c r="BL2136" s="4">
        <v>50.45</v>
      </c>
      <c r="BM2136" s="4">
        <v>7.57</v>
      </c>
      <c r="BN2136" s="4">
        <v>58.02</v>
      </c>
      <c r="BO2136" s="4">
        <v>58.02</v>
      </c>
      <c r="BQ2136" t="s">
        <v>93</v>
      </c>
      <c r="BR2136" t="s">
        <v>84</v>
      </c>
      <c r="BS2136" s="3">
        <v>43819</v>
      </c>
      <c r="BT2136" s="5">
        <v>0.42986111111111108</v>
      </c>
      <c r="BU2136" t="s">
        <v>2399</v>
      </c>
      <c r="BV2136" t="s">
        <v>86</v>
      </c>
      <c r="BY2136">
        <v>1200</v>
      </c>
      <c r="CA2136" t="s">
        <v>1901</v>
      </c>
      <c r="CC2136" t="s">
        <v>91</v>
      </c>
      <c r="CD2136">
        <v>7500</v>
      </c>
      <c r="CE2136" t="s">
        <v>88</v>
      </c>
      <c r="CF2136" s="3">
        <v>43822</v>
      </c>
      <c r="CI2136">
        <v>1</v>
      </c>
      <c r="CJ2136">
        <v>1</v>
      </c>
      <c r="CK2136">
        <v>21</v>
      </c>
      <c r="CL2136" t="s">
        <v>89</v>
      </c>
    </row>
    <row r="2137" spans="1:90">
      <c r="A2137" t="s">
        <v>72</v>
      </c>
      <c r="B2137" t="s">
        <v>73</v>
      </c>
      <c r="C2137" t="s">
        <v>74</v>
      </c>
      <c r="E2137" t="str">
        <f>"FES1162728431"</f>
        <v>FES1162728431</v>
      </c>
      <c r="F2137" s="3">
        <v>43818</v>
      </c>
      <c r="G2137">
        <v>202006</v>
      </c>
      <c r="H2137" t="s">
        <v>75</v>
      </c>
      <c r="I2137" t="s">
        <v>76</v>
      </c>
      <c r="J2137" t="s">
        <v>77</v>
      </c>
      <c r="K2137" t="s">
        <v>78</v>
      </c>
      <c r="L2137" t="s">
        <v>671</v>
      </c>
      <c r="M2137" t="s">
        <v>672</v>
      </c>
      <c r="N2137" t="s">
        <v>1417</v>
      </c>
      <c r="O2137" t="s">
        <v>82</v>
      </c>
      <c r="P2137" t="str">
        <f>"2170719293                    "</f>
        <v xml:space="preserve">2170719293                    </v>
      </c>
      <c r="Q2137">
        <v>0</v>
      </c>
      <c r="R2137">
        <v>0</v>
      </c>
      <c r="S2137">
        <v>0</v>
      </c>
      <c r="T2137">
        <v>0</v>
      </c>
      <c r="U2137">
        <v>0</v>
      </c>
      <c r="V2137">
        <v>0</v>
      </c>
      <c r="W2137">
        <v>0</v>
      </c>
      <c r="X2137">
        <v>0</v>
      </c>
      <c r="Y2137">
        <v>0</v>
      </c>
      <c r="Z2137">
        <v>0</v>
      </c>
      <c r="AA2137">
        <v>0</v>
      </c>
      <c r="AB2137">
        <v>0</v>
      </c>
      <c r="AC2137">
        <v>0</v>
      </c>
      <c r="AD2137">
        <v>0</v>
      </c>
      <c r="AE2137">
        <v>0</v>
      </c>
      <c r="AF2137">
        <v>0</v>
      </c>
      <c r="AG2137">
        <v>0</v>
      </c>
      <c r="AH2137">
        <v>0</v>
      </c>
      <c r="AI2137">
        <v>0</v>
      </c>
      <c r="AJ2137">
        <v>0</v>
      </c>
      <c r="AK2137">
        <v>0</v>
      </c>
      <c r="AL2137">
        <v>0</v>
      </c>
      <c r="AM2137">
        <v>16.63</v>
      </c>
      <c r="AN2137">
        <v>0</v>
      </c>
      <c r="AO2137">
        <v>0</v>
      </c>
      <c r="AP2137">
        <v>0</v>
      </c>
      <c r="AQ2137">
        <v>0</v>
      </c>
      <c r="AR2137">
        <v>0</v>
      </c>
      <c r="AS2137">
        <v>0</v>
      </c>
      <c r="AT2137">
        <v>0</v>
      </c>
      <c r="AU2137">
        <v>0</v>
      </c>
      <c r="AV2137">
        <v>0</v>
      </c>
      <c r="AW2137">
        <v>0</v>
      </c>
      <c r="AX2137">
        <v>0</v>
      </c>
      <c r="AY2137">
        <v>0</v>
      </c>
      <c r="AZ2137">
        <v>0</v>
      </c>
      <c r="BA2137">
        <v>0</v>
      </c>
      <c r="BB2137">
        <v>0</v>
      </c>
      <c r="BC2137">
        <v>0</v>
      </c>
      <c r="BD2137">
        <v>0</v>
      </c>
      <c r="BE2137">
        <v>0</v>
      </c>
      <c r="BF2137">
        <v>0</v>
      </c>
      <c r="BG2137">
        <v>0</v>
      </c>
      <c r="BH2137">
        <v>1</v>
      </c>
      <c r="BI2137">
        <v>1</v>
      </c>
      <c r="BJ2137">
        <v>0.2</v>
      </c>
      <c r="BK2137">
        <v>1</v>
      </c>
      <c r="BL2137" s="4">
        <v>97.75</v>
      </c>
      <c r="BM2137" s="4">
        <v>14.66</v>
      </c>
      <c r="BN2137" s="4">
        <v>112.41</v>
      </c>
      <c r="BO2137" s="4">
        <v>112.41</v>
      </c>
      <c r="BQ2137" t="s">
        <v>93</v>
      </c>
      <c r="BR2137" t="s">
        <v>84</v>
      </c>
      <c r="BS2137" s="3">
        <v>43819</v>
      </c>
      <c r="BT2137" s="5">
        <v>0.33333333333333331</v>
      </c>
      <c r="BU2137" t="s">
        <v>774</v>
      </c>
      <c r="BV2137" t="s">
        <v>86</v>
      </c>
      <c r="BY2137">
        <v>1200</v>
      </c>
      <c r="CA2137" t="s">
        <v>946</v>
      </c>
      <c r="CC2137" t="s">
        <v>672</v>
      </c>
      <c r="CD2137">
        <v>1900</v>
      </c>
      <c r="CE2137" t="s">
        <v>88</v>
      </c>
      <c r="CF2137" s="3">
        <v>43822</v>
      </c>
      <c r="CI2137">
        <v>1</v>
      </c>
      <c r="CJ2137">
        <v>1</v>
      </c>
      <c r="CK2137">
        <v>23</v>
      </c>
      <c r="CL2137" t="s">
        <v>89</v>
      </c>
    </row>
    <row r="2138" spans="1:90">
      <c r="A2138" t="s">
        <v>72</v>
      </c>
      <c r="B2138" t="s">
        <v>73</v>
      </c>
      <c r="C2138" t="s">
        <v>74</v>
      </c>
      <c r="E2138" t="str">
        <f>"FES1162729192"</f>
        <v>FES1162729192</v>
      </c>
      <c r="F2138" s="3">
        <v>43818</v>
      </c>
      <c r="G2138">
        <v>202006</v>
      </c>
      <c r="H2138" t="s">
        <v>75</v>
      </c>
      <c r="I2138" t="s">
        <v>76</v>
      </c>
      <c r="J2138" t="s">
        <v>77</v>
      </c>
      <c r="K2138" t="s">
        <v>78</v>
      </c>
      <c r="L2138" t="s">
        <v>849</v>
      </c>
      <c r="M2138" t="s">
        <v>850</v>
      </c>
      <c r="N2138" t="s">
        <v>851</v>
      </c>
      <c r="O2138" t="s">
        <v>82</v>
      </c>
      <c r="P2138" t="str">
        <f>"2170722178                    "</f>
        <v xml:space="preserve">2170722178                    </v>
      </c>
      <c r="Q2138">
        <v>0</v>
      </c>
      <c r="R2138">
        <v>0</v>
      </c>
      <c r="S2138">
        <v>0</v>
      </c>
      <c r="T2138">
        <v>0</v>
      </c>
      <c r="U2138">
        <v>0</v>
      </c>
      <c r="V2138">
        <v>0</v>
      </c>
      <c r="W2138">
        <v>0</v>
      </c>
      <c r="X2138">
        <v>0</v>
      </c>
      <c r="Y2138">
        <v>0</v>
      </c>
      <c r="Z2138">
        <v>0</v>
      </c>
      <c r="AA2138">
        <v>0</v>
      </c>
      <c r="AB2138">
        <v>0</v>
      </c>
      <c r="AC2138">
        <v>0</v>
      </c>
      <c r="AD2138">
        <v>0</v>
      </c>
      <c r="AE2138">
        <v>0</v>
      </c>
      <c r="AF2138">
        <v>0</v>
      </c>
      <c r="AG2138">
        <v>0</v>
      </c>
      <c r="AH2138">
        <v>0</v>
      </c>
      <c r="AI2138">
        <v>0</v>
      </c>
      <c r="AJ2138">
        <v>0</v>
      </c>
      <c r="AK2138">
        <v>0</v>
      </c>
      <c r="AL2138">
        <v>0</v>
      </c>
      <c r="AM2138">
        <v>8.58</v>
      </c>
      <c r="AN2138">
        <v>0</v>
      </c>
      <c r="AO2138">
        <v>0</v>
      </c>
      <c r="AP2138">
        <v>0</v>
      </c>
      <c r="AQ2138">
        <v>0</v>
      </c>
      <c r="AR2138">
        <v>0</v>
      </c>
      <c r="AS2138">
        <v>0</v>
      </c>
      <c r="AT2138">
        <v>0</v>
      </c>
      <c r="AU2138">
        <v>0</v>
      </c>
      <c r="AV2138">
        <v>0</v>
      </c>
      <c r="AW2138">
        <v>0</v>
      </c>
      <c r="AX2138">
        <v>0</v>
      </c>
      <c r="AY2138">
        <v>0</v>
      </c>
      <c r="AZ2138">
        <v>0</v>
      </c>
      <c r="BA2138">
        <v>0</v>
      </c>
      <c r="BB2138">
        <v>0</v>
      </c>
      <c r="BC2138">
        <v>0</v>
      </c>
      <c r="BD2138">
        <v>0</v>
      </c>
      <c r="BE2138">
        <v>0</v>
      </c>
      <c r="BF2138">
        <v>0</v>
      </c>
      <c r="BG2138">
        <v>0</v>
      </c>
      <c r="BH2138">
        <v>1</v>
      </c>
      <c r="BI2138">
        <v>1</v>
      </c>
      <c r="BJ2138">
        <v>0.2</v>
      </c>
      <c r="BK2138">
        <v>1</v>
      </c>
      <c r="BL2138" s="4">
        <v>50.45</v>
      </c>
      <c r="BM2138" s="4">
        <v>7.57</v>
      </c>
      <c r="BN2138" s="4">
        <v>58.02</v>
      </c>
      <c r="BO2138" s="4">
        <v>58.02</v>
      </c>
      <c r="BQ2138" t="s">
        <v>147</v>
      </c>
      <c r="BR2138" t="s">
        <v>84</v>
      </c>
      <c r="BS2138" s="3">
        <v>43819</v>
      </c>
      <c r="BT2138" s="5">
        <v>0.42083333333333334</v>
      </c>
      <c r="BU2138" t="s">
        <v>528</v>
      </c>
      <c r="BV2138" t="s">
        <v>86</v>
      </c>
      <c r="BY2138">
        <v>1200</v>
      </c>
      <c r="CA2138" t="s">
        <v>2400</v>
      </c>
      <c r="CC2138" t="s">
        <v>850</v>
      </c>
      <c r="CD2138">
        <v>3290</v>
      </c>
      <c r="CE2138" t="s">
        <v>88</v>
      </c>
      <c r="CF2138" s="3">
        <v>43822</v>
      </c>
      <c r="CI2138">
        <v>1</v>
      </c>
      <c r="CJ2138">
        <v>1</v>
      </c>
      <c r="CK2138">
        <v>21</v>
      </c>
      <c r="CL2138" t="s">
        <v>89</v>
      </c>
    </row>
    <row r="2139" spans="1:90">
      <c r="A2139" t="s">
        <v>72</v>
      </c>
      <c r="B2139" t="s">
        <v>73</v>
      </c>
      <c r="C2139" t="s">
        <v>74</v>
      </c>
      <c r="E2139" t="str">
        <f>"FES1162729161"</f>
        <v>FES1162729161</v>
      </c>
      <c r="F2139" s="3">
        <v>43818</v>
      </c>
      <c r="G2139">
        <v>202006</v>
      </c>
      <c r="H2139" t="s">
        <v>75</v>
      </c>
      <c r="I2139" t="s">
        <v>76</v>
      </c>
      <c r="J2139" t="s">
        <v>77</v>
      </c>
      <c r="K2139" t="s">
        <v>78</v>
      </c>
      <c r="L2139" t="s">
        <v>198</v>
      </c>
      <c r="M2139" t="s">
        <v>199</v>
      </c>
      <c r="N2139" t="s">
        <v>280</v>
      </c>
      <c r="O2139" t="s">
        <v>82</v>
      </c>
      <c r="P2139" t="str">
        <f>"2170722150                    "</f>
        <v xml:space="preserve">2170722150                    </v>
      </c>
      <c r="Q2139">
        <v>0</v>
      </c>
      <c r="R2139">
        <v>0</v>
      </c>
      <c r="S2139">
        <v>0</v>
      </c>
      <c r="T2139">
        <v>0</v>
      </c>
      <c r="U2139">
        <v>0</v>
      </c>
      <c r="V2139">
        <v>0</v>
      </c>
      <c r="W2139">
        <v>0</v>
      </c>
      <c r="X2139">
        <v>0</v>
      </c>
      <c r="Y2139">
        <v>0</v>
      </c>
      <c r="Z2139">
        <v>0</v>
      </c>
      <c r="AA2139">
        <v>0</v>
      </c>
      <c r="AB2139">
        <v>0</v>
      </c>
      <c r="AC2139">
        <v>0</v>
      </c>
      <c r="AD2139">
        <v>0</v>
      </c>
      <c r="AE2139">
        <v>0</v>
      </c>
      <c r="AF2139">
        <v>0</v>
      </c>
      <c r="AG2139">
        <v>0</v>
      </c>
      <c r="AH2139">
        <v>0</v>
      </c>
      <c r="AI2139">
        <v>0</v>
      </c>
      <c r="AJ2139">
        <v>0</v>
      </c>
      <c r="AK2139">
        <v>0</v>
      </c>
      <c r="AL2139">
        <v>0</v>
      </c>
      <c r="AM2139">
        <v>8.58</v>
      </c>
      <c r="AN2139">
        <v>0</v>
      </c>
      <c r="AO2139">
        <v>0</v>
      </c>
      <c r="AP2139">
        <v>0</v>
      </c>
      <c r="AQ2139">
        <v>0</v>
      </c>
      <c r="AR2139">
        <v>0</v>
      </c>
      <c r="AS2139">
        <v>0</v>
      </c>
      <c r="AT2139">
        <v>0</v>
      </c>
      <c r="AU2139">
        <v>0</v>
      </c>
      <c r="AV2139">
        <v>0</v>
      </c>
      <c r="AW2139">
        <v>0</v>
      </c>
      <c r="AX2139">
        <v>0</v>
      </c>
      <c r="AY2139">
        <v>0</v>
      </c>
      <c r="AZ2139">
        <v>0</v>
      </c>
      <c r="BA2139">
        <v>0</v>
      </c>
      <c r="BB2139">
        <v>0</v>
      </c>
      <c r="BC2139">
        <v>0</v>
      </c>
      <c r="BD2139">
        <v>0</v>
      </c>
      <c r="BE2139">
        <v>0</v>
      </c>
      <c r="BF2139">
        <v>0</v>
      </c>
      <c r="BG2139">
        <v>0</v>
      </c>
      <c r="BH2139">
        <v>1</v>
      </c>
      <c r="BI2139">
        <v>1</v>
      </c>
      <c r="BJ2139">
        <v>0.2</v>
      </c>
      <c r="BK2139">
        <v>1</v>
      </c>
      <c r="BL2139" s="4">
        <v>50.45</v>
      </c>
      <c r="BM2139" s="4">
        <v>7.57</v>
      </c>
      <c r="BN2139" s="4">
        <v>58.02</v>
      </c>
      <c r="BO2139" s="4">
        <v>58.02</v>
      </c>
      <c r="BQ2139" t="s">
        <v>147</v>
      </c>
      <c r="BR2139" t="s">
        <v>84</v>
      </c>
      <c r="BS2139" s="3">
        <v>43822</v>
      </c>
      <c r="BT2139" s="5">
        <v>0.53402777777777777</v>
      </c>
      <c r="BU2139" t="s">
        <v>2397</v>
      </c>
      <c r="BV2139" t="s">
        <v>89</v>
      </c>
      <c r="BW2139" t="s">
        <v>506</v>
      </c>
      <c r="BX2139" t="s">
        <v>507</v>
      </c>
      <c r="BY2139">
        <v>1200</v>
      </c>
      <c r="CA2139" t="s">
        <v>281</v>
      </c>
      <c r="CC2139" t="s">
        <v>199</v>
      </c>
      <c r="CD2139">
        <v>4001</v>
      </c>
      <c r="CE2139" t="s">
        <v>88</v>
      </c>
      <c r="CF2139" s="3">
        <v>43823</v>
      </c>
      <c r="CI2139">
        <v>1</v>
      </c>
      <c r="CJ2139">
        <v>2</v>
      </c>
      <c r="CK2139">
        <v>21</v>
      </c>
      <c r="CL2139" t="s">
        <v>89</v>
      </c>
    </row>
    <row r="2140" spans="1:90">
      <c r="A2140" t="s">
        <v>72</v>
      </c>
      <c r="B2140" t="s">
        <v>73</v>
      </c>
      <c r="C2140" t="s">
        <v>74</v>
      </c>
      <c r="E2140" t="str">
        <f>"FES1162728410"</f>
        <v>FES1162728410</v>
      </c>
      <c r="F2140" s="3">
        <v>43818</v>
      </c>
      <c r="G2140">
        <v>202006</v>
      </c>
      <c r="H2140" t="s">
        <v>75</v>
      </c>
      <c r="I2140" t="s">
        <v>76</v>
      </c>
      <c r="J2140" t="s">
        <v>77</v>
      </c>
      <c r="K2140" t="s">
        <v>78</v>
      </c>
      <c r="L2140" t="s">
        <v>138</v>
      </c>
      <c r="M2140" t="s">
        <v>139</v>
      </c>
      <c r="N2140" t="s">
        <v>2401</v>
      </c>
      <c r="O2140" t="s">
        <v>82</v>
      </c>
      <c r="P2140" t="str">
        <f>"2170718606                    "</f>
        <v xml:space="preserve">2170718606                    </v>
      </c>
      <c r="Q2140">
        <v>0</v>
      </c>
      <c r="R2140">
        <v>0</v>
      </c>
      <c r="S2140">
        <v>0</v>
      </c>
      <c r="T2140">
        <v>0</v>
      </c>
      <c r="U2140">
        <v>0</v>
      </c>
      <c r="V2140">
        <v>0</v>
      </c>
      <c r="W2140">
        <v>0</v>
      </c>
      <c r="X2140">
        <v>0</v>
      </c>
      <c r="Y2140">
        <v>0</v>
      </c>
      <c r="Z2140">
        <v>0</v>
      </c>
      <c r="AA2140">
        <v>0</v>
      </c>
      <c r="AB2140">
        <v>0</v>
      </c>
      <c r="AC2140">
        <v>0</v>
      </c>
      <c r="AD2140">
        <v>0</v>
      </c>
      <c r="AE2140">
        <v>0</v>
      </c>
      <c r="AF2140">
        <v>0</v>
      </c>
      <c r="AG2140">
        <v>0</v>
      </c>
      <c r="AH2140">
        <v>0</v>
      </c>
      <c r="AI2140">
        <v>0</v>
      </c>
      <c r="AJ2140">
        <v>0</v>
      </c>
      <c r="AK2140">
        <v>0</v>
      </c>
      <c r="AL2140">
        <v>0</v>
      </c>
      <c r="AM2140">
        <v>6.71</v>
      </c>
      <c r="AN2140">
        <v>0</v>
      </c>
      <c r="AO2140">
        <v>0</v>
      </c>
      <c r="AP2140">
        <v>0</v>
      </c>
      <c r="AQ2140">
        <v>0</v>
      </c>
      <c r="AR2140">
        <v>0</v>
      </c>
      <c r="AS2140">
        <v>0</v>
      </c>
      <c r="AT2140">
        <v>0</v>
      </c>
      <c r="AU2140">
        <v>0</v>
      </c>
      <c r="AV2140">
        <v>0</v>
      </c>
      <c r="AW2140">
        <v>0</v>
      </c>
      <c r="AX2140">
        <v>0</v>
      </c>
      <c r="AY2140">
        <v>0</v>
      </c>
      <c r="AZ2140">
        <v>0</v>
      </c>
      <c r="BA2140">
        <v>0</v>
      </c>
      <c r="BB2140">
        <v>0</v>
      </c>
      <c r="BC2140">
        <v>0</v>
      </c>
      <c r="BD2140">
        <v>0</v>
      </c>
      <c r="BE2140">
        <v>0</v>
      </c>
      <c r="BF2140">
        <v>0</v>
      </c>
      <c r="BG2140">
        <v>0</v>
      </c>
      <c r="BH2140">
        <v>1</v>
      </c>
      <c r="BI2140">
        <v>1</v>
      </c>
      <c r="BJ2140">
        <v>0.2</v>
      </c>
      <c r="BK2140">
        <v>1</v>
      </c>
      <c r="BL2140" s="4">
        <v>39.42</v>
      </c>
      <c r="BM2140" s="4">
        <v>5.91</v>
      </c>
      <c r="BN2140" s="4">
        <v>45.33</v>
      </c>
      <c r="BO2140" s="4">
        <v>45.33</v>
      </c>
      <c r="BQ2140" t="s">
        <v>93</v>
      </c>
      <c r="BR2140" t="s">
        <v>84</v>
      </c>
      <c r="BS2140" s="3">
        <v>43819</v>
      </c>
      <c r="BT2140" s="5">
        <v>0.64722222222222225</v>
      </c>
      <c r="BU2140" t="s">
        <v>2402</v>
      </c>
      <c r="BV2140" t="s">
        <v>89</v>
      </c>
      <c r="BW2140" t="s">
        <v>149</v>
      </c>
      <c r="BX2140" t="s">
        <v>2005</v>
      </c>
      <c r="BY2140">
        <v>1200</v>
      </c>
      <c r="CA2140" t="s">
        <v>314</v>
      </c>
      <c r="CC2140" t="s">
        <v>139</v>
      </c>
      <c r="CD2140">
        <v>1401</v>
      </c>
      <c r="CE2140" t="s">
        <v>88</v>
      </c>
      <c r="CF2140" s="3">
        <v>43822</v>
      </c>
      <c r="CI2140">
        <v>1</v>
      </c>
      <c r="CJ2140">
        <v>1</v>
      </c>
      <c r="CK2140">
        <v>22</v>
      </c>
      <c r="CL2140" t="s">
        <v>89</v>
      </c>
    </row>
    <row r="2141" spans="1:90">
      <c r="A2141" t="s">
        <v>72</v>
      </c>
      <c r="B2141" t="s">
        <v>73</v>
      </c>
      <c r="C2141" t="s">
        <v>74</v>
      </c>
      <c r="E2141" t="str">
        <f>"FES1162729274"</f>
        <v>FES1162729274</v>
      </c>
      <c r="F2141" s="3">
        <v>43818</v>
      </c>
      <c r="G2141">
        <v>202006</v>
      </c>
      <c r="H2141" t="s">
        <v>75</v>
      </c>
      <c r="I2141" t="s">
        <v>76</v>
      </c>
      <c r="J2141" t="s">
        <v>77</v>
      </c>
      <c r="K2141" t="s">
        <v>78</v>
      </c>
      <c r="L2141" t="s">
        <v>198</v>
      </c>
      <c r="M2141" t="s">
        <v>199</v>
      </c>
      <c r="N2141" t="s">
        <v>297</v>
      </c>
      <c r="O2141" t="s">
        <v>82</v>
      </c>
      <c r="P2141" t="str">
        <f>"2170722274                    "</f>
        <v xml:space="preserve">2170722274                    </v>
      </c>
      <c r="Q2141">
        <v>0</v>
      </c>
      <c r="R2141">
        <v>0</v>
      </c>
      <c r="S2141">
        <v>0</v>
      </c>
      <c r="T2141">
        <v>0</v>
      </c>
      <c r="U2141">
        <v>0</v>
      </c>
      <c r="V2141">
        <v>0</v>
      </c>
      <c r="W2141">
        <v>0</v>
      </c>
      <c r="X2141">
        <v>0</v>
      </c>
      <c r="Y2141">
        <v>0</v>
      </c>
      <c r="Z2141">
        <v>0</v>
      </c>
      <c r="AA2141">
        <v>0</v>
      </c>
      <c r="AB2141">
        <v>0</v>
      </c>
      <c r="AC2141">
        <v>0</v>
      </c>
      <c r="AD2141">
        <v>0</v>
      </c>
      <c r="AE2141">
        <v>0</v>
      </c>
      <c r="AF2141">
        <v>0</v>
      </c>
      <c r="AG2141">
        <v>0</v>
      </c>
      <c r="AH2141">
        <v>0</v>
      </c>
      <c r="AI2141">
        <v>0</v>
      </c>
      <c r="AJ2141">
        <v>0</v>
      </c>
      <c r="AK2141">
        <v>0</v>
      </c>
      <c r="AL2141">
        <v>0</v>
      </c>
      <c r="AM2141">
        <v>8.58</v>
      </c>
      <c r="AN2141">
        <v>0</v>
      </c>
      <c r="AO2141">
        <v>0</v>
      </c>
      <c r="AP2141">
        <v>0</v>
      </c>
      <c r="AQ2141">
        <v>0</v>
      </c>
      <c r="AR2141">
        <v>0</v>
      </c>
      <c r="AS2141">
        <v>0</v>
      </c>
      <c r="AT2141">
        <v>0</v>
      </c>
      <c r="AU2141">
        <v>0</v>
      </c>
      <c r="AV2141">
        <v>0</v>
      </c>
      <c r="AW2141">
        <v>0</v>
      </c>
      <c r="AX2141">
        <v>0</v>
      </c>
      <c r="AY2141">
        <v>0</v>
      </c>
      <c r="AZ2141">
        <v>0</v>
      </c>
      <c r="BA2141">
        <v>0</v>
      </c>
      <c r="BB2141">
        <v>0</v>
      </c>
      <c r="BC2141">
        <v>0</v>
      </c>
      <c r="BD2141">
        <v>0</v>
      </c>
      <c r="BE2141">
        <v>0</v>
      </c>
      <c r="BF2141">
        <v>0</v>
      </c>
      <c r="BG2141">
        <v>0</v>
      </c>
      <c r="BH2141">
        <v>1</v>
      </c>
      <c r="BI2141">
        <v>1</v>
      </c>
      <c r="BJ2141">
        <v>0.2</v>
      </c>
      <c r="BK2141">
        <v>1</v>
      </c>
      <c r="BL2141" s="4">
        <v>50.45</v>
      </c>
      <c r="BM2141" s="4">
        <v>7.57</v>
      </c>
      <c r="BN2141" s="4">
        <v>58.02</v>
      </c>
      <c r="BO2141" s="4">
        <v>58.02</v>
      </c>
      <c r="BQ2141" t="s">
        <v>172</v>
      </c>
      <c r="BR2141" t="s">
        <v>84</v>
      </c>
      <c r="BS2141" s="3">
        <v>43819</v>
      </c>
      <c r="BT2141" s="5">
        <v>0.3888888888888889</v>
      </c>
      <c r="BU2141" t="s">
        <v>542</v>
      </c>
      <c r="BV2141" t="s">
        <v>86</v>
      </c>
      <c r="BY2141">
        <v>1200</v>
      </c>
      <c r="CA2141" t="s">
        <v>299</v>
      </c>
      <c r="CC2141" t="s">
        <v>199</v>
      </c>
      <c r="CD2141">
        <v>4000</v>
      </c>
      <c r="CE2141" t="s">
        <v>88</v>
      </c>
      <c r="CF2141" s="3">
        <v>43823</v>
      </c>
      <c r="CI2141">
        <v>1</v>
      </c>
      <c r="CJ2141">
        <v>1</v>
      </c>
      <c r="CK2141">
        <v>21</v>
      </c>
      <c r="CL2141" t="s">
        <v>89</v>
      </c>
    </row>
    <row r="2142" spans="1:90">
      <c r="A2142" t="s">
        <v>72</v>
      </c>
      <c r="B2142" t="s">
        <v>73</v>
      </c>
      <c r="C2142" t="s">
        <v>74</v>
      </c>
      <c r="E2142" t="str">
        <f>"FES1162729094"</f>
        <v>FES1162729094</v>
      </c>
      <c r="F2142" s="3">
        <v>43818</v>
      </c>
      <c r="G2142">
        <v>202006</v>
      </c>
      <c r="H2142" t="s">
        <v>75</v>
      </c>
      <c r="I2142" t="s">
        <v>76</v>
      </c>
      <c r="J2142" t="s">
        <v>77</v>
      </c>
      <c r="K2142" t="s">
        <v>78</v>
      </c>
      <c r="L2142" t="s">
        <v>491</v>
      </c>
      <c r="M2142" t="s">
        <v>492</v>
      </c>
      <c r="N2142" t="s">
        <v>2403</v>
      </c>
      <c r="O2142" t="s">
        <v>82</v>
      </c>
      <c r="P2142" t="str">
        <f>"2170720479                    "</f>
        <v xml:space="preserve">2170720479                    </v>
      </c>
      <c r="Q2142">
        <v>0</v>
      </c>
      <c r="R2142">
        <v>0</v>
      </c>
      <c r="S2142">
        <v>0</v>
      </c>
      <c r="T2142">
        <v>0</v>
      </c>
      <c r="U2142">
        <v>0</v>
      </c>
      <c r="V2142">
        <v>0</v>
      </c>
      <c r="W2142">
        <v>0</v>
      </c>
      <c r="X2142">
        <v>0</v>
      </c>
      <c r="Y2142">
        <v>0</v>
      </c>
      <c r="Z2142">
        <v>0</v>
      </c>
      <c r="AA2142">
        <v>0</v>
      </c>
      <c r="AB2142">
        <v>0</v>
      </c>
      <c r="AC2142">
        <v>0</v>
      </c>
      <c r="AD2142">
        <v>0</v>
      </c>
      <c r="AE2142">
        <v>0</v>
      </c>
      <c r="AF2142">
        <v>0</v>
      </c>
      <c r="AG2142">
        <v>0</v>
      </c>
      <c r="AH2142">
        <v>0</v>
      </c>
      <c r="AI2142">
        <v>0</v>
      </c>
      <c r="AJ2142">
        <v>0</v>
      </c>
      <c r="AK2142">
        <v>0</v>
      </c>
      <c r="AL2142">
        <v>0</v>
      </c>
      <c r="AM2142">
        <v>17.149999999999999</v>
      </c>
      <c r="AN2142">
        <v>0</v>
      </c>
      <c r="AO2142">
        <v>0</v>
      </c>
      <c r="AP2142">
        <v>0</v>
      </c>
      <c r="AQ2142">
        <v>0</v>
      </c>
      <c r="AR2142">
        <v>0</v>
      </c>
      <c r="AS2142">
        <v>0</v>
      </c>
      <c r="AT2142">
        <v>0</v>
      </c>
      <c r="AU2142">
        <v>0</v>
      </c>
      <c r="AV2142">
        <v>0</v>
      </c>
      <c r="AW2142">
        <v>0</v>
      </c>
      <c r="AX2142">
        <v>0</v>
      </c>
      <c r="AY2142">
        <v>0</v>
      </c>
      <c r="AZ2142">
        <v>0</v>
      </c>
      <c r="BA2142">
        <v>0</v>
      </c>
      <c r="BB2142">
        <v>0</v>
      </c>
      <c r="BC2142">
        <v>0</v>
      </c>
      <c r="BD2142">
        <v>0</v>
      </c>
      <c r="BE2142">
        <v>0</v>
      </c>
      <c r="BF2142">
        <v>0</v>
      </c>
      <c r="BG2142">
        <v>0</v>
      </c>
      <c r="BH2142">
        <v>1</v>
      </c>
      <c r="BI2142">
        <v>6.1</v>
      </c>
      <c r="BJ2142">
        <v>8.3000000000000007</v>
      </c>
      <c r="BK2142">
        <v>8.5</v>
      </c>
      <c r="BL2142" s="4">
        <v>100.82</v>
      </c>
      <c r="BM2142" s="4">
        <v>15.12</v>
      </c>
      <c r="BN2142" s="4">
        <v>115.94</v>
      </c>
      <c r="BO2142" s="4">
        <v>115.94</v>
      </c>
      <c r="BQ2142" t="s">
        <v>2404</v>
      </c>
      <c r="BR2142" t="s">
        <v>84</v>
      </c>
      <c r="BS2142" s="3">
        <v>43819</v>
      </c>
      <c r="BT2142" s="5">
        <v>0.43402777777777773</v>
      </c>
      <c r="BU2142" t="s">
        <v>804</v>
      </c>
      <c r="BV2142" t="s">
        <v>86</v>
      </c>
      <c r="BY2142">
        <v>41288.18</v>
      </c>
      <c r="CA2142" t="s">
        <v>1658</v>
      </c>
      <c r="CC2142" t="s">
        <v>492</v>
      </c>
      <c r="CD2142">
        <v>1725</v>
      </c>
      <c r="CE2142" t="s">
        <v>96</v>
      </c>
      <c r="CF2142" s="3">
        <v>43822</v>
      </c>
      <c r="CI2142">
        <v>1</v>
      </c>
      <c r="CJ2142">
        <v>1</v>
      </c>
      <c r="CK2142">
        <v>22</v>
      </c>
      <c r="CL2142" t="s">
        <v>89</v>
      </c>
    </row>
    <row r="2143" spans="1:90">
      <c r="A2143" t="s">
        <v>72</v>
      </c>
      <c r="B2143" t="s">
        <v>73</v>
      </c>
      <c r="C2143" t="s">
        <v>74</v>
      </c>
      <c r="E2143" t="str">
        <f>"FES1162729275"</f>
        <v>FES1162729275</v>
      </c>
      <c r="F2143" s="3">
        <v>43818</v>
      </c>
      <c r="G2143">
        <v>202006</v>
      </c>
      <c r="H2143" t="s">
        <v>75</v>
      </c>
      <c r="I2143" t="s">
        <v>76</v>
      </c>
      <c r="J2143" t="s">
        <v>77</v>
      </c>
      <c r="K2143" t="s">
        <v>78</v>
      </c>
      <c r="L2143" t="s">
        <v>198</v>
      </c>
      <c r="M2143" t="s">
        <v>199</v>
      </c>
      <c r="N2143" t="s">
        <v>297</v>
      </c>
      <c r="O2143" t="s">
        <v>82</v>
      </c>
      <c r="P2143" t="str">
        <f>"21707222275                   "</f>
        <v xml:space="preserve">21707222275                   </v>
      </c>
      <c r="Q2143">
        <v>0</v>
      </c>
      <c r="R2143">
        <v>0</v>
      </c>
      <c r="S2143">
        <v>0</v>
      </c>
      <c r="T2143">
        <v>0</v>
      </c>
      <c r="U2143">
        <v>0</v>
      </c>
      <c r="V2143">
        <v>0</v>
      </c>
      <c r="W2143">
        <v>0</v>
      </c>
      <c r="X2143">
        <v>0</v>
      </c>
      <c r="Y2143">
        <v>0</v>
      </c>
      <c r="Z2143">
        <v>0</v>
      </c>
      <c r="AA2143">
        <v>0</v>
      </c>
      <c r="AB2143">
        <v>0</v>
      </c>
      <c r="AC2143">
        <v>0</v>
      </c>
      <c r="AD2143">
        <v>0</v>
      </c>
      <c r="AE2143">
        <v>0</v>
      </c>
      <c r="AF2143">
        <v>0</v>
      </c>
      <c r="AG2143">
        <v>0</v>
      </c>
      <c r="AH2143">
        <v>0</v>
      </c>
      <c r="AI2143">
        <v>0</v>
      </c>
      <c r="AJ2143">
        <v>0</v>
      </c>
      <c r="AK2143">
        <v>0</v>
      </c>
      <c r="AL2143">
        <v>0</v>
      </c>
      <c r="AM2143">
        <v>23.59</v>
      </c>
      <c r="AN2143">
        <v>0</v>
      </c>
      <c r="AO2143">
        <v>0</v>
      </c>
      <c r="AP2143">
        <v>0</v>
      </c>
      <c r="AQ2143">
        <v>0</v>
      </c>
      <c r="AR2143">
        <v>0</v>
      </c>
      <c r="AS2143">
        <v>0</v>
      </c>
      <c r="AT2143">
        <v>0</v>
      </c>
      <c r="AU2143">
        <v>0</v>
      </c>
      <c r="AV2143">
        <v>0</v>
      </c>
      <c r="AW2143">
        <v>0</v>
      </c>
      <c r="AX2143">
        <v>0</v>
      </c>
      <c r="AY2143">
        <v>0</v>
      </c>
      <c r="AZ2143">
        <v>0</v>
      </c>
      <c r="BA2143">
        <v>0</v>
      </c>
      <c r="BB2143">
        <v>0</v>
      </c>
      <c r="BC2143">
        <v>0</v>
      </c>
      <c r="BD2143">
        <v>0</v>
      </c>
      <c r="BE2143">
        <v>0</v>
      </c>
      <c r="BF2143">
        <v>0</v>
      </c>
      <c r="BG2143">
        <v>0</v>
      </c>
      <c r="BH2143">
        <v>1</v>
      </c>
      <c r="BI2143">
        <v>5.0999999999999996</v>
      </c>
      <c r="BJ2143">
        <v>1.2</v>
      </c>
      <c r="BK2143">
        <v>5.5</v>
      </c>
      <c r="BL2143" s="4">
        <v>138.68</v>
      </c>
      <c r="BM2143" s="4">
        <v>20.8</v>
      </c>
      <c r="BN2143" s="4">
        <v>159.47999999999999</v>
      </c>
      <c r="BO2143" s="4">
        <v>159.47999999999999</v>
      </c>
      <c r="BQ2143" t="s">
        <v>172</v>
      </c>
      <c r="BR2143" t="s">
        <v>84</v>
      </c>
      <c r="BS2143" s="3">
        <v>43819</v>
      </c>
      <c r="BT2143" s="5">
        <v>0.3888888888888889</v>
      </c>
      <c r="BU2143" t="s">
        <v>542</v>
      </c>
      <c r="BV2143" t="s">
        <v>86</v>
      </c>
      <c r="BY2143">
        <v>5803.39</v>
      </c>
      <c r="CA2143" t="s">
        <v>299</v>
      </c>
      <c r="CC2143" t="s">
        <v>199</v>
      </c>
      <c r="CD2143">
        <v>4000</v>
      </c>
      <c r="CE2143" t="s">
        <v>96</v>
      </c>
      <c r="CF2143" s="3">
        <v>43823</v>
      </c>
      <c r="CI2143">
        <v>1</v>
      </c>
      <c r="CJ2143">
        <v>1</v>
      </c>
      <c r="CK2143">
        <v>21</v>
      </c>
      <c r="CL2143" t="s">
        <v>89</v>
      </c>
    </row>
    <row r="2144" spans="1:90">
      <c r="A2144" t="s">
        <v>72</v>
      </c>
      <c r="B2144" t="s">
        <v>73</v>
      </c>
      <c r="C2144" t="s">
        <v>74</v>
      </c>
      <c r="E2144" t="str">
        <f>"FES1162729003"</f>
        <v>FES1162729003</v>
      </c>
      <c r="F2144" s="3">
        <v>43818</v>
      </c>
      <c r="G2144">
        <v>202006</v>
      </c>
      <c r="H2144" t="s">
        <v>75</v>
      </c>
      <c r="I2144" t="s">
        <v>76</v>
      </c>
      <c r="J2144" t="s">
        <v>77</v>
      </c>
      <c r="K2144" t="s">
        <v>78</v>
      </c>
      <c r="L2144" t="s">
        <v>714</v>
      </c>
      <c r="M2144" t="s">
        <v>715</v>
      </c>
      <c r="N2144" t="s">
        <v>1018</v>
      </c>
      <c r="O2144" t="s">
        <v>82</v>
      </c>
      <c r="P2144" t="str">
        <f>"2170721756                    "</f>
        <v xml:space="preserve">2170721756                    </v>
      </c>
      <c r="Q2144">
        <v>0</v>
      </c>
      <c r="R2144">
        <v>0</v>
      </c>
      <c r="S2144">
        <v>0</v>
      </c>
      <c r="T2144">
        <v>0</v>
      </c>
      <c r="U2144">
        <v>0</v>
      </c>
      <c r="V2144">
        <v>0</v>
      </c>
      <c r="W2144">
        <v>0</v>
      </c>
      <c r="X2144">
        <v>0</v>
      </c>
      <c r="Y2144">
        <v>0</v>
      </c>
      <c r="Z2144">
        <v>0</v>
      </c>
      <c r="AA2144">
        <v>0</v>
      </c>
      <c r="AB2144">
        <v>0</v>
      </c>
      <c r="AC2144">
        <v>0</v>
      </c>
      <c r="AD2144">
        <v>0</v>
      </c>
      <c r="AE2144">
        <v>0</v>
      </c>
      <c r="AF2144">
        <v>0</v>
      </c>
      <c r="AG2144">
        <v>0</v>
      </c>
      <c r="AH2144">
        <v>0</v>
      </c>
      <c r="AI2144">
        <v>0</v>
      </c>
      <c r="AJ2144">
        <v>0</v>
      </c>
      <c r="AK2144">
        <v>0</v>
      </c>
      <c r="AL2144">
        <v>0</v>
      </c>
      <c r="AM2144">
        <v>6.71</v>
      </c>
      <c r="AN2144">
        <v>0</v>
      </c>
      <c r="AO2144">
        <v>0</v>
      </c>
      <c r="AP2144">
        <v>0</v>
      </c>
      <c r="AQ2144">
        <v>0</v>
      </c>
      <c r="AR2144">
        <v>0</v>
      </c>
      <c r="AS2144">
        <v>0</v>
      </c>
      <c r="AT2144">
        <v>0</v>
      </c>
      <c r="AU2144">
        <v>0</v>
      </c>
      <c r="AV2144">
        <v>0</v>
      </c>
      <c r="AW2144">
        <v>0</v>
      </c>
      <c r="AX2144">
        <v>0</v>
      </c>
      <c r="AY2144">
        <v>0</v>
      </c>
      <c r="AZ2144">
        <v>0</v>
      </c>
      <c r="BA2144">
        <v>0</v>
      </c>
      <c r="BB2144">
        <v>0</v>
      </c>
      <c r="BC2144">
        <v>0</v>
      </c>
      <c r="BD2144">
        <v>0</v>
      </c>
      <c r="BE2144">
        <v>0</v>
      </c>
      <c r="BF2144">
        <v>0</v>
      </c>
      <c r="BG2144">
        <v>0</v>
      </c>
      <c r="BH2144">
        <v>1</v>
      </c>
      <c r="BI2144">
        <v>1</v>
      </c>
      <c r="BJ2144">
        <v>0.2</v>
      </c>
      <c r="BK2144">
        <v>1</v>
      </c>
      <c r="BL2144" s="4">
        <v>39.42</v>
      </c>
      <c r="BM2144" s="4">
        <v>5.91</v>
      </c>
      <c r="BN2144" s="4">
        <v>45.33</v>
      </c>
      <c r="BO2144" s="4">
        <v>45.33</v>
      </c>
      <c r="BQ2144" t="s">
        <v>147</v>
      </c>
      <c r="BR2144" t="s">
        <v>84</v>
      </c>
      <c r="BS2144" s="3">
        <v>43819</v>
      </c>
      <c r="BT2144" s="5">
        <v>0.4375</v>
      </c>
      <c r="BU2144" t="s">
        <v>945</v>
      </c>
      <c r="BV2144" t="s">
        <v>86</v>
      </c>
      <c r="BY2144">
        <v>1200</v>
      </c>
      <c r="CC2144" t="s">
        <v>715</v>
      </c>
      <c r="CD2144">
        <v>1559</v>
      </c>
      <c r="CE2144" t="s">
        <v>88</v>
      </c>
      <c r="CF2144" s="3">
        <v>43822</v>
      </c>
      <c r="CI2144">
        <v>1</v>
      </c>
      <c r="CJ2144">
        <v>1</v>
      </c>
      <c r="CK2144">
        <v>22</v>
      </c>
      <c r="CL2144" t="s">
        <v>89</v>
      </c>
    </row>
    <row r="2145" spans="1:90">
      <c r="A2145" t="s">
        <v>72</v>
      </c>
      <c r="B2145" t="s">
        <v>73</v>
      </c>
      <c r="C2145" t="s">
        <v>74</v>
      </c>
      <c r="E2145" t="str">
        <f>"FES1162729060"</f>
        <v>FES1162729060</v>
      </c>
      <c r="F2145" s="3">
        <v>43818</v>
      </c>
      <c r="G2145">
        <v>202006</v>
      </c>
      <c r="H2145" t="s">
        <v>75</v>
      </c>
      <c r="I2145" t="s">
        <v>76</v>
      </c>
      <c r="J2145" t="s">
        <v>77</v>
      </c>
      <c r="K2145" t="s">
        <v>78</v>
      </c>
      <c r="L2145" t="s">
        <v>169</v>
      </c>
      <c r="M2145" t="s">
        <v>170</v>
      </c>
      <c r="N2145" t="s">
        <v>1048</v>
      </c>
      <c r="O2145" t="s">
        <v>82</v>
      </c>
      <c r="P2145" t="str">
        <f>"2170720242                    "</f>
        <v xml:space="preserve">2170720242                    </v>
      </c>
      <c r="Q2145">
        <v>0</v>
      </c>
      <c r="R2145">
        <v>0</v>
      </c>
      <c r="S2145">
        <v>0</v>
      </c>
      <c r="T2145">
        <v>0</v>
      </c>
      <c r="U2145">
        <v>0</v>
      </c>
      <c r="V2145">
        <v>0</v>
      </c>
      <c r="W2145">
        <v>0</v>
      </c>
      <c r="X2145">
        <v>0</v>
      </c>
      <c r="Y2145">
        <v>0</v>
      </c>
      <c r="Z2145">
        <v>0</v>
      </c>
      <c r="AA2145">
        <v>0</v>
      </c>
      <c r="AB2145">
        <v>0</v>
      </c>
      <c r="AC2145">
        <v>0</v>
      </c>
      <c r="AD2145">
        <v>0</v>
      </c>
      <c r="AE2145">
        <v>0</v>
      </c>
      <c r="AF2145">
        <v>0</v>
      </c>
      <c r="AG2145">
        <v>0</v>
      </c>
      <c r="AH2145">
        <v>0</v>
      </c>
      <c r="AI2145">
        <v>0</v>
      </c>
      <c r="AJ2145">
        <v>0</v>
      </c>
      <c r="AK2145">
        <v>0</v>
      </c>
      <c r="AL2145">
        <v>0</v>
      </c>
      <c r="AM2145">
        <v>6.71</v>
      </c>
      <c r="AN2145">
        <v>0</v>
      </c>
      <c r="AO2145">
        <v>0</v>
      </c>
      <c r="AP2145">
        <v>0</v>
      </c>
      <c r="AQ2145">
        <v>0</v>
      </c>
      <c r="AR2145">
        <v>0</v>
      </c>
      <c r="AS2145">
        <v>0</v>
      </c>
      <c r="AT2145">
        <v>0</v>
      </c>
      <c r="AU2145">
        <v>0</v>
      </c>
      <c r="AV2145">
        <v>0</v>
      </c>
      <c r="AW2145">
        <v>0</v>
      </c>
      <c r="AX2145">
        <v>0</v>
      </c>
      <c r="AY2145">
        <v>0</v>
      </c>
      <c r="AZ2145">
        <v>0</v>
      </c>
      <c r="BA2145">
        <v>0</v>
      </c>
      <c r="BB2145">
        <v>0</v>
      </c>
      <c r="BC2145">
        <v>0</v>
      </c>
      <c r="BD2145">
        <v>0</v>
      </c>
      <c r="BE2145">
        <v>0</v>
      </c>
      <c r="BF2145">
        <v>0</v>
      </c>
      <c r="BG2145">
        <v>0</v>
      </c>
      <c r="BH2145">
        <v>1</v>
      </c>
      <c r="BI2145">
        <v>1.6</v>
      </c>
      <c r="BJ2145">
        <v>0.8</v>
      </c>
      <c r="BK2145">
        <v>2</v>
      </c>
      <c r="BL2145" s="4">
        <v>39.42</v>
      </c>
      <c r="BM2145" s="4">
        <v>5.91</v>
      </c>
      <c r="BN2145" s="4">
        <v>45.33</v>
      </c>
      <c r="BO2145" s="4">
        <v>45.33</v>
      </c>
      <c r="BR2145" t="s">
        <v>84</v>
      </c>
      <c r="BS2145" s="3">
        <v>43832</v>
      </c>
      <c r="BT2145" s="5">
        <v>0.76874999999999993</v>
      </c>
      <c r="BU2145" t="s">
        <v>617</v>
      </c>
      <c r="BV2145" t="s">
        <v>89</v>
      </c>
      <c r="BW2145" t="s">
        <v>618</v>
      </c>
      <c r="BX2145" t="s">
        <v>619</v>
      </c>
      <c r="BY2145">
        <v>3949.96</v>
      </c>
      <c r="CA2145" t="s">
        <v>620</v>
      </c>
      <c r="CC2145" t="s">
        <v>170</v>
      </c>
      <c r="CD2145">
        <v>1460</v>
      </c>
      <c r="CE2145" t="s">
        <v>116</v>
      </c>
      <c r="CI2145">
        <v>1</v>
      </c>
      <c r="CJ2145">
        <v>10</v>
      </c>
      <c r="CK2145">
        <v>22</v>
      </c>
      <c r="CL2145" t="s">
        <v>89</v>
      </c>
    </row>
    <row r="2146" spans="1:90">
      <c r="A2146" t="s">
        <v>72</v>
      </c>
      <c r="B2146" t="s">
        <v>73</v>
      </c>
      <c r="C2146" t="s">
        <v>74</v>
      </c>
      <c r="E2146" t="str">
        <f>"FES1162729208"</f>
        <v>FES1162729208</v>
      </c>
      <c r="F2146" s="3">
        <v>43818</v>
      </c>
      <c r="G2146">
        <v>202006</v>
      </c>
      <c r="H2146" t="s">
        <v>75</v>
      </c>
      <c r="I2146" t="s">
        <v>76</v>
      </c>
      <c r="J2146" t="s">
        <v>77</v>
      </c>
      <c r="K2146" t="s">
        <v>78</v>
      </c>
      <c r="L2146" t="s">
        <v>198</v>
      </c>
      <c r="M2146" t="s">
        <v>199</v>
      </c>
      <c r="N2146" t="s">
        <v>525</v>
      </c>
      <c r="O2146" t="s">
        <v>82</v>
      </c>
      <c r="P2146" t="str">
        <f>"2170722194                    "</f>
        <v xml:space="preserve">2170722194                    </v>
      </c>
      <c r="Q2146">
        <v>0</v>
      </c>
      <c r="R2146">
        <v>0</v>
      </c>
      <c r="S2146">
        <v>0</v>
      </c>
      <c r="T2146">
        <v>0</v>
      </c>
      <c r="U2146">
        <v>0</v>
      </c>
      <c r="V2146">
        <v>0</v>
      </c>
      <c r="W2146">
        <v>0</v>
      </c>
      <c r="X2146">
        <v>0</v>
      </c>
      <c r="Y2146">
        <v>0</v>
      </c>
      <c r="Z2146">
        <v>0</v>
      </c>
      <c r="AA2146">
        <v>0</v>
      </c>
      <c r="AB2146">
        <v>0</v>
      </c>
      <c r="AC2146">
        <v>0</v>
      </c>
      <c r="AD2146">
        <v>0</v>
      </c>
      <c r="AE2146">
        <v>0</v>
      </c>
      <c r="AF2146">
        <v>0</v>
      </c>
      <c r="AG2146">
        <v>0</v>
      </c>
      <c r="AH2146">
        <v>0</v>
      </c>
      <c r="AI2146">
        <v>0</v>
      </c>
      <c r="AJ2146">
        <v>0</v>
      </c>
      <c r="AK2146">
        <v>0</v>
      </c>
      <c r="AL2146">
        <v>0</v>
      </c>
      <c r="AM2146">
        <v>8.58</v>
      </c>
      <c r="AN2146">
        <v>0</v>
      </c>
      <c r="AO2146">
        <v>0</v>
      </c>
      <c r="AP2146">
        <v>0</v>
      </c>
      <c r="AQ2146">
        <v>0</v>
      </c>
      <c r="AR2146">
        <v>0</v>
      </c>
      <c r="AS2146">
        <v>0</v>
      </c>
      <c r="AT2146">
        <v>0</v>
      </c>
      <c r="AU2146">
        <v>0</v>
      </c>
      <c r="AV2146">
        <v>0</v>
      </c>
      <c r="AW2146">
        <v>0</v>
      </c>
      <c r="AX2146">
        <v>0</v>
      </c>
      <c r="AY2146">
        <v>0</v>
      </c>
      <c r="AZ2146">
        <v>0</v>
      </c>
      <c r="BA2146">
        <v>0</v>
      </c>
      <c r="BB2146">
        <v>0</v>
      </c>
      <c r="BC2146">
        <v>0</v>
      </c>
      <c r="BD2146">
        <v>0</v>
      </c>
      <c r="BE2146">
        <v>0</v>
      </c>
      <c r="BF2146">
        <v>0</v>
      </c>
      <c r="BG2146">
        <v>0</v>
      </c>
      <c r="BH2146">
        <v>1</v>
      </c>
      <c r="BI2146">
        <v>1</v>
      </c>
      <c r="BJ2146">
        <v>0.2</v>
      </c>
      <c r="BK2146">
        <v>1</v>
      </c>
      <c r="BL2146" s="4">
        <v>50.45</v>
      </c>
      <c r="BM2146" s="4">
        <v>7.57</v>
      </c>
      <c r="BN2146" s="4">
        <v>58.02</v>
      </c>
      <c r="BO2146" s="4">
        <v>58.02</v>
      </c>
      <c r="BQ2146" t="s">
        <v>147</v>
      </c>
      <c r="BR2146" t="s">
        <v>84</v>
      </c>
      <c r="BS2146" t="s">
        <v>717</v>
      </c>
      <c r="BY2146">
        <v>1200</v>
      </c>
      <c r="CC2146" t="s">
        <v>199</v>
      </c>
      <c r="CD2146">
        <v>4001</v>
      </c>
      <c r="CE2146" t="s">
        <v>88</v>
      </c>
      <c r="CI2146">
        <v>1</v>
      </c>
      <c r="CJ2146" t="s">
        <v>717</v>
      </c>
      <c r="CK2146">
        <v>21</v>
      </c>
      <c r="CL2146" t="s">
        <v>89</v>
      </c>
    </row>
    <row r="2147" spans="1:90">
      <c r="A2147" t="s">
        <v>72</v>
      </c>
      <c r="B2147" t="s">
        <v>73</v>
      </c>
      <c r="C2147" t="s">
        <v>74</v>
      </c>
      <c r="E2147" t="str">
        <f>"FES1162729205"</f>
        <v>FES1162729205</v>
      </c>
      <c r="F2147" s="3">
        <v>43818</v>
      </c>
      <c r="G2147">
        <v>202006</v>
      </c>
      <c r="H2147" t="s">
        <v>75</v>
      </c>
      <c r="I2147" t="s">
        <v>76</v>
      </c>
      <c r="J2147" t="s">
        <v>77</v>
      </c>
      <c r="K2147" t="s">
        <v>78</v>
      </c>
      <c r="L2147" t="s">
        <v>201</v>
      </c>
      <c r="M2147" t="s">
        <v>202</v>
      </c>
      <c r="N2147" t="s">
        <v>315</v>
      </c>
      <c r="O2147" t="s">
        <v>82</v>
      </c>
      <c r="P2147" t="str">
        <f>"21707221791                   "</f>
        <v xml:space="preserve">21707221791                   </v>
      </c>
      <c r="Q2147">
        <v>0</v>
      </c>
      <c r="R2147">
        <v>0</v>
      </c>
      <c r="S2147">
        <v>0</v>
      </c>
      <c r="T2147">
        <v>0</v>
      </c>
      <c r="U2147">
        <v>0</v>
      </c>
      <c r="V2147">
        <v>0</v>
      </c>
      <c r="W2147">
        <v>0</v>
      </c>
      <c r="X2147">
        <v>0</v>
      </c>
      <c r="Y2147">
        <v>0</v>
      </c>
      <c r="Z2147">
        <v>0</v>
      </c>
      <c r="AA2147">
        <v>0</v>
      </c>
      <c r="AB2147">
        <v>0</v>
      </c>
      <c r="AC2147">
        <v>0</v>
      </c>
      <c r="AD2147">
        <v>0</v>
      </c>
      <c r="AE2147">
        <v>0</v>
      </c>
      <c r="AF2147">
        <v>0</v>
      </c>
      <c r="AG2147">
        <v>0</v>
      </c>
      <c r="AH2147">
        <v>0</v>
      </c>
      <c r="AI2147">
        <v>0</v>
      </c>
      <c r="AJ2147">
        <v>0</v>
      </c>
      <c r="AK2147">
        <v>0</v>
      </c>
      <c r="AL2147">
        <v>0</v>
      </c>
      <c r="AM2147">
        <v>8.58</v>
      </c>
      <c r="AN2147">
        <v>0</v>
      </c>
      <c r="AO2147">
        <v>0</v>
      </c>
      <c r="AP2147">
        <v>0</v>
      </c>
      <c r="AQ2147">
        <v>0</v>
      </c>
      <c r="AR2147">
        <v>0</v>
      </c>
      <c r="AS2147">
        <v>0</v>
      </c>
      <c r="AT2147">
        <v>0</v>
      </c>
      <c r="AU2147">
        <v>0</v>
      </c>
      <c r="AV2147">
        <v>0</v>
      </c>
      <c r="AW2147">
        <v>0</v>
      </c>
      <c r="AX2147">
        <v>0</v>
      </c>
      <c r="AY2147">
        <v>0</v>
      </c>
      <c r="AZ2147">
        <v>0</v>
      </c>
      <c r="BA2147">
        <v>0</v>
      </c>
      <c r="BB2147">
        <v>0</v>
      </c>
      <c r="BC2147">
        <v>0</v>
      </c>
      <c r="BD2147">
        <v>0</v>
      </c>
      <c r="BE2147">
        <v>0</v>
      </c>
      <c r="BF2147">
        <v>0</v>
      </c>
      <c r="BG2147">
        <v>0</v>
      </c>
      <c r="BH2147">
        <v>1</v>
      </c>
      <c r="BI2147">
        <v>1</v>
      </c>
      <c r="BJ2147">
        <v>0.2</v>
      </c>
      <c r="BK2147">
        <v>1</v>
      </c>
      <c r="BL2147" s="4">
        <v>50.45</v>
      </c>
      <c r="BM2147" s="4">
        <v>7.57</v>
      </c>
      <c r="BN2147" s="4">
        <v>58.02</v>
      </c>
      <c r="BO2147" s="4">
        <v>58.02</v>
      </c>
      <c r="BQ2147" t="s">
        <v>610</v>
      </c>
      <c r="BR2147" t="s">
        <v>84</v>
      </c>
      <c r="BS2147" s="3">
        <v>43819</v>
      </c>
      <c r="BT2147" s="5">
        <v>0.42499999999999999</v>
      </c>
      <c r="BU2147" t="s">
        <v>611</v>
      </c>
      <c r="BV2147" t="s">
        <v>86</v>
      </c>
      <c r="BY2147">
        <v>1200</v>
      </c>
      <c r="CA2147" t="s">
        <v>205</v>
      </c>
      <c r="CC2147" t="s">
        <v>202</v>
      </c>
      <c r="CD2147">
        <v>3610</v>
      </c>
      <c r="CE2147" t="s">
        <v>88</v>
      </c>
      <c r="CF2147" s="3">
        <v>43823</v>
      </c>
      <c r="CI2147">
        <v>1</v>
      </c>
      <c r="CJ2147">
        <v>1</v>
      </c>
      <c r="CK2147">
        <v>21</v>
      </c>
      <c r="CL2147" t="s">
        <v>89</v>
      </c>
    </row>
    <row r="2148" spans="1:90">
      <c r="A2148" t="s">
        <v>72</v>
      </c>
      <c r="B2148" t="s">
        <v>73</v>
      </c>
      <c r="C2148" t="s">
        <v>74</v>
      </c>
      <c r="E2148" t="str">
        <f>"FES1162729167"</f>
        <v>FES1162729167</v>
      </c>
      <c r="F2148" s="3">
        <v>43818</v>
      </c>
      <c r="G2148">
        <v>202006</v>
      </c>
      <c r="H2148" t="s">
        <v>75</v>
      </c>
      <c r="I2148" t="s">
        <v>76</v>
      </c>
      <c r="J2148" t="s">
        <v>77</v>
      </c>
      <c r="K2148" t="s">
        <v>78</v>
      </c>
      <c r="L2148" t="s">
        <v>198</v>
      </c>
      <c r="M2148" t="s">
        <v>199</v>
      </c>
      <c r="N2148" t="s">
        <v>297</v>
      </c>
      <c r="O2148" t="s">
        <v>82</v>
      </c>
      <c r="P2148" t="str">
        <f>"2170722155                    "</f>
        <v xml:space="preserve">2170722155                    </v>
      </c>
      <c r="Q2148">
        <v>0</v>
      </c>
      <c r="R2148">
        <v>0</v>
      </c>
      <c r="S2148">
        <v>0</v>
      </c>
      <c r="T2148">
        <v>0</v>
      </c>
      <c r="U2148">
        <v>0</v>
      </c>
      <c r="V2148">
        <v>0</v>
      </c>
      <c r="W2148">
        <v>0</v>
      </c>
      <c r="X2148">
        <v>0</v>
      </c>
      <c r="Y2148">
        <v>0</v>
      </c>
      <c r="Z2148">
        <v>0</v>
      </c>
      <c r="AA2148">
        <v>0</v>
      </c>
      <c r="AB2148">
        <v>0</v>
      </c>
      <c r="AC2148">
        <v>0</v>
      </c>
      <c r="AD2148">
        <v>0</v>
      </c>
      <c r="AE2148">
        <v>0</v>
      </c>
      <c r="AF2148">
        <v>0</v>
      </c>
      <c r="AG2148">
        <v>0</v>
      </c>
      <c r="AH2148">
        <v>0</v>
      </c>
      <c r="AI2148">
        <v>0</v>
      </c>
      <c r="AJ2148">
        <v>0</v>
      </c>
      <c r="AK2148">
        <v>0</v>
      </c>
      <c r="AL2148">
        <v>0</v>
      </c>
      <c r="AM2148">
        <v>12.87</v>
      </c>
      <c r="AN2148">
        <v>0</v>
      </c>
      <c r="AO2148">
        <v>0</v>
      </c>
      <c r="AP2148">
        <v>0</v>
      </c>
      <c r="AQ2148">
        <v>0</v>
      </c>
      <c r="AR2148">
        <v>0</v>
      </c>
      <c r="AS2148">
        <v>0</v>
      </c>
      <c r="AT2148">
        <v>0</v>
      </c>
      <c r="AU2148">
        <v>0</v>
      </c>
      <c r="AV2148">
        <v>0</v>
      </c>
      <c r="AW2148">
        <v>0</v>
      </c>
      <c r="AX2148">
        <v>0</v>
      </c>
      <c r="AY2148">
        <v>0</v>
      </c>
      <c r="AZ2148">
        <v>0</v>
      </c>
      <c r="BA2148">
        <v>0</v>
      </c>
      <c r="BB2148">
        <v>0</v>
      </c>
      <c r="BC2148">
        <v>0</v>
      </c>
      <c r="BD2148">
        <v>0</v>
      </c>
      <c r="BE2148">
        <v>0</v>
      </c>
      <c r="BF2148">
        <v>0</v>
      </c>
      <c r="BG2148">
        <v>0</v>
      </c>
      <c r="BH2148">
        <v>1</v>
      </c>
      <c r="BI2148">
        <v>3</v>
      </c>
      <c r="BJ2148">
        <v>1.2</v>
      </c>
      <c r="BK2148">
        <v>3</v>
      </c>
      <c r="BL2148" s="4">
        <v>75.66</v>
      </c>
      <c r="BM2148" s="4">
        <v>11.35</v>
      </c>
      <c r="BN2148" s="4">
        <v>87.01</v>
      </c>
      <c r="BO2148" s="4">
        <v>87.01</v>
      </c>
      <c r="BQ2148" t="s">
        <v>172</v>
      </c>
      <c r="BR2148" t="s">
        <v>84</v>
      </c>
      <c r="BS2148" s="3">
        <v>43819</v>
      </c>
      <c r="BT2148" s="5">
        <v>0.3888888888888889</v>
      </c>
      <c r="BU2148" t="s">
        <v>542</v>
      </c>
      <c r="BV2148" t="s">
        <v>86</v>
      </c>
      <c r="BY2148">
        <v>5954.76</v>
      </c>
      <c r="CA2148" t="s">
        <v>299</v>
      </c>
      <c r="CC2148" t="s">
        <v>199</v>
      </c>
      <c r="CD2148">
        <v>4000</v>
      </c>
      <c r="CE2148" t="s">
        <v>116</v>
      </c>
      <c r="CF2148" s="3">
        <v>43823</v>
      </c>
      <c r="CI2148">
        <v>1</v>
      </c>
      <c r="CJ2148">
        <v>1</v>
      </c>
      <c r="CK2148">
        <v>21</v>
      </c>
      <c r="CL2148" t="s">
        <v>89</v>
      </c>
    </row>
    <row r="2149" spans="1:90">
      <c r="A2149" t="s">
        <v>72</v>
      </c>
      <c r="B2149" t="s">
        <v>73</v>
      </c>
      <c r="C2149" t="s">
        <v>74</v>
      </c>
      <c r="E2149" t="str">
        <f>"FES1162729276"</f>
        <v>FES1162729276</v>
      </c>
      <c r="F2149" s="3">
        <v>43818</v>
      </c>
      <c r="G2149">
        <v>202006</v>
      </c>
      <c r="H2149" t="s">
        <v>75</v>
      </c>
      <c r="I2149" t="s">
        <v>76</v>
      </c>
      <c r="J2149" t="s">
        <v>77</v>
      </c>
      <c r="K2149" t="s">
        <v>78</v>
      </c>
      <c r="L2149" t="s">
        <v>446</v>
      </c>
      <c r="M2149" t="s">
        <v>447</v>
      </c>
      <c r="N2149" t="s">
        <v>2405</v>
      </c>
      <c r="O2149" t="s">
        <v>82</v>
      </c>
      <c r="P2149" t="str">
        <f>"2170722278                    "</f>
        <v xml:space="preserve">2170722278                    </v>
      </c>
      <c r="Q2149">
        <v>0</v>
      </c>
      <c r="R2149">
        <v>0</v>
      </c>
      <c r="S2149">
        <v>0</v>
      </c>
      <c r="T2149">
        <v>0</v>
      </c>
      <c r="U2149">
        <v>0</v>
      </c>
      <c r="V2149">
        <v>0</v>
      </c>
      <c r="W2149">
        <v>0</v>
      </c>
      <c r="X2149">
        <v>0</v>
      </c>
      <c r="Y2149">
        <v>0</v>
      </c>
      <c r="Z2149">
        <v>0</v>
      </c>
      <c r="AA2149">
        <v>0</v>
      </c>
      <c r="AB2149">
        <v>0</v>
      </c>
      <c r="AC2149">
        <v>0</v>
      </c>
      <c r="AD2149">
        <v>0</v>
      </c>
      <c r="AE2149">
        <v>0</v>
      </c>
      <c r="AF2149">
        <v>0</v>
      </c>
      <c r="AG2149">
        <v>0</v>
      </c>
      <c r="AH2149">
        <v>0</v>
      </c>
      <c r="AI2149">
        <v>0</v>
      </c>
      <c r="AJ2149">
        <v>0</v>
      </c>
      <c r="AK2149">
        <v>0</v>
      </c>
      <c r="AL2149">
        <v>0</v>
      </c>
      <c r="AM2149">
        <v>8.58</v>
      </c>
      <c r="AN2149">
        <v>0</v>
      </c>
      <c r="AO2149">
        <v>0</v>
      </c>
      <c r="AP2149">
        <v>0</v>
      </c>
      <c r="AQ2149">
        <v>0</v>
      </c>
      <c r="AR2149">
        <v>0</v>
      </c>
      <c r="AS2149">
        <v>0</v>
      </c>
      <c r="AT2149">
        <v>0</v>
      </c>
      <c r="AU2149">
        <v>0</v>
      </c>
      <c r="AV2149">
        <v>0</v>
      </c>
      <c r="AW2149">
        <v>0</v>
      </c>
      <c r="AX2149">
        <v>0</v>
      </c>
      <c r="AY2149">
        <v>0</v>
      </c>
      <c r="AZ2149">
        <v>0</v>
      </c>
      <c r="BA2149">
        <v>0</v>
      </c>
      <c r="BB2149">
        <v>0</v>
      </c>
      <c r="BC2149">
        <v>0</v>
      </c>
      <c r="BD2149">
        <v>0</v>
      </c>
      <c r="BE2149">
        <v>0</v>
      </c>
      <c r="BF2149">
        <v>0</v>
      </c>
      <c r="BG2149">
        <v>0</v>
      </c>
      <c r="BH2149">
        <v>1</v>
      </c>
      <c r="BI2149">
        <v>1</v>
      </c>
      <c r="BJ2149">
        <v>0.2</v>
      </c>
      <c r="BK2149">
        <v>1</v>
      </c>
      <c r="BL2149" s="4">
        <v>50.45</v>
      </c>
      <c r="BM2149" s="4">
        <v>7.57</v>
      </c>
      <c r="BN2149" s="4">
        <v>58.02</v>
      </c>
      <c r="BO2149" s="4">
        <v>58.02</v>
      </c>
      <c r="BQ2149" t="s">
        <v>2406</v>
      </c>
      <c r="BR2149" t="s">
        <v>84</v>
      </c>
      <c r="BS2149" s="3">
        <v>43819</v>
      </c>
      <c r="BT2149" s="5">
        <v>0.42638888888888887</v>
      </c>
      <c r="BU2149" t="s">
        <v>2407</v>
      </c>
      <c r="BV2149" t="s">
        <v>86</v>
      </c>
      <c r="BY2149">
        <v>1200</v>
      </c>
      <c r="CA2149" t="s">
        <v>212</v>
      </c>
      <c r="CC2149" t="s">
        <v>447</v>
      </c>
      <c r="CD2149">
        <v>4133</v>
      </c>
      <c r="CE2149" t="s">
        <v>88</v>
      </c>
      <c r="CF2149" s="3">
        <v>43822</v>
      </c>
      <c r="CI2149">
        <v>1</v>
      </c>
      <c r="CJ2149">
        <v>1</v>
      </c>
      <c r="CK2149">
        <v>21</v>
      </c>
      <c r="CL2149" t="s">
        <v>89</v>
      </c>
    </row>
    <row r="2150" spans="1:90">
      <c r="A2150" t="s">
        <v>72</v>
      </c>
      <c r="B2150" t="s">
        <v>73</v>
      </c>
      <c r="C2150" t="s">
        <v>74</v>
      </c>
      <c r="E2150" t="str">
        <f>"FES1162729055"</f>
        <v>FES1162729055</v>
      </c>
      <c r="F2150" s="3">
        <v>43818</v>
      </c>
      <c r="G2150">
        <v>202006</v>
      </c>
      <c r="H2150" t="s">
        <v>75</v>
      </c>
      <c r="I2150" t="s">
        <v>76</v>
      </c>
      <c r="J2150" t="s">
        <v>77</v>
      </c>
      <c r="K2150" t="s">
        <v>78</v>
      </c>
      <c r="L2150" t="s">
        <v>1051</v>
      </c>
      <c r="M2150" t="s">
        <v>1052</v>
      </c>
      <c r="N2150" t="s">
        <v>2358</v>
      </c>
      <c r="O2150" t="s">
        <v>82</v>
      </c>
      <c r="P2150" t="str">
        <f>"2170720210                    "</f>
        <v xml:space="preserve">2170720210                    </v>
      </c>
      <c r="Q2150">
        <v>0</v>
      </c>
      <c r="R2150">
        <v>0</v>
      </c>
      <c r="S2150">
        <v>0</v>
      </c>
      <c r="T2150">
        <v>0</v>
      </c>
      <c r="U2150">
        <v>0</v>
      </c>
      <c r="V2150">
        <v>0</v>
      </c>
      <c r="W2150">
        <v>0</v>
      </c>
      <c r="X2150">
        <v>0</v>
      </c>
      <c r="Y2150">
        <v>0</v>
      </c>
      <c r="Z2150">
        <v>0</v>
      </c>
      <c r="AA2150">
        <v>0</v>
      </c>
      <c r="AB2150">
        <v>0</v>
      </c>
      <c r="AC2150">
        <v>0</v>
      </c>
      <c r="AD2150">
        <v>0</v>
      </c>
      <c r="AE2150">
        <v>0</v>
      </c>
      <c r="AF2150">
        <v>0</v>
      </c>
      <c r="AG2150">
        <v>0</v>
      </c>
      <c r="AH2150">
        <v>0</v>
      </c>
      <c r="AI2150">
        <v>0</v>
      </c>
      <c r="AJ2150">
        <v>0</v>
      </c>
      <c r="AK2150">
        <v>0</v>
      </c>
      <c r="AL2150">
        <v>0</v>
      </c>
      <c r="AM2150">
        <v>12.07</v>
      </c>
      <c r="AN2150">
        <v>0</v>
      </c>
      <c r="AO2150">
        <v>0</v>
      </c>
      <c r="AP2150">
        <v>0</v>
      </c>
      <c r="AQ2150">
        <v>0</v>
      </c>
      <c r="AR2150">
        <v>0</v>
      </c>
      <c r="AS2150">
        <v>0</v>
      </c>
      <c r="AT2150">
        <v>0</v>
      </c>
      <c r="AU2150">
        <v>0</v>
      </c>
      <c r="AV2150">
        <v>0</v>
      </c>
      <c r="AW2150">
        <v>0</v>
      </c>
      <c r="AX2150">
        <v>0</v>
      </c>
      <c r="AY2150">
        <v>0</v>
      </c>
      <c r="AZ2150">
        <v>0</v>
      </c>
      <c r="BA2150">
        <v>0</v>
      </c>
      <c r="BB2150">
        <v>0</v>
      </c>
      <c r="BC2150">
        <v>0</v>
      </c>
      <c r="BD2150">
        <v>0</v>
      </c>
      <c r="BE2150">
        <v>0</v>
      </c>
      <c r="BF2150">
        <v>0</v>
      </c>
      <c r="BG2150">
        <v>0</v>
      </c>
      <c r="BH2150">
        <v>1</v>
      </c>
      <c r="BI2150">
        <v>1.1000000000000001</v>
      </c>
      <c r="BJ2150">
        <v>0.8</v>
      </c>
      <c r="BK2150">
        <v>1.5</v>
      </c>
      <c r="BL2150" s="4">
        <v>70.95</v>
      </c>
      <c r="BM2150" s="4">
        <v>10.64</v>
      </c>
      <c r="BN2150" s="4">
        <v>81.59</v>
      </c>
      <c r="BO2150" s="4">
        <v>81.59</v>
      </c>
      <c r="BQ2150" t="s">
        <v>135</v>
      </c>
      <c r="BR2150" t="s">
        <v>84</v>
      </c>
      <c r="BS2150" s="3">
        <v>43819</v>
      </c>
      <c r="BT2150" s="5">
        <v>0.35416666666666669</v>
      </c>
      <c r="BU2150" t="s">
        <v>2359</v>
      </c>
      <c r="BV2150" t="s">
        <v>86</v>
      </c>
      <c r="BY2150">
        <v>4039.31</v>
      </c>
      <c r="CC2150" t="s">
        <v>1052</v>
      </c>
      <c r="CD2150">
        <v>1739</v>
      </c>
      <c r="CE2150" t="s">
        <v>116</v>
      </c>
      <c r="CI2150">
        <v>1</v>
      </c>
      <c r="CJ2150">
        <v>1</v>
      </c>
      <c r="CK2150">
        <v>24</v>
      </c>
      <c r="CL2150" t="s">
        <v>89</v>
      </c>
    </row>
    <row r="2151" spans="1:90">
      <c r="A2151" t="s">
        <v>72</v>
      </c>
      <c r="B2151" t="s">
        <v>73</v>
      </c>
      <c r="C2151" t="s">
        <v>74</v>
      </c>
      <c r="E2151" t="str">
        <f>"FES1162729155"</f>
        <v>FES1162729155</v>
      </c>
      <c r="F2151" s="3">
        <v>43818</v>
      </c>
      <c r="G2151">
        <v>202006</v>
      </c>
      <c r="H2151" t="s">
        <v>75</v>
      </c>
      <c r="I2151" t="s">
        <v>76</v>
      </c>
      <c r="J2151" t="s">
        <v>77</v>
      </c>
      <c r="K2151" t="s">
        <v>78</v>
      </c>
      <c r="L2151" t="s">
        <v>1183</v>
      </c>
      <c r="M2151" t="s">
        <v>1184</v>
      </c>
      <c r="N2151" t="s">
        <v>1185</v>
      </c>
      <c r="O2151" t="s">
        <v>82</v>
      </c>
      <c r="P2151" t="str">
        <f>"2170722140                    "</f>
        <v xml:space="preserve">2170722140                    </v>
      </c>
      <c r="Q2151">
        <v>0</v>
      </c>
      <c r="R2151">
        <v>0</v>
      </c>
      <c r="S2151">
        <v>0</v>
      </c>
      <c r="T2151">
        <v>0</v>
      </c>
      <c r="U2151">
        <v>0</v>
      </c>
      <c r="V2151">
        <v>0</v>
      </c>
      <c r="W2151">
        <v>0</v>
      </c>
      <c r="X2151">
        <v>0</v>
      </c>
      <c r="Y2151">
        <v>0</v>
      </c>
      <c r="Z2151">
        <v>0</v>
      </c>
      <c r="AA2151">
        <v>0</v>
      </c>
      <c r="AB2151">
        <v>0</v>
      </c>
      <c r="AC2151">
        <v>0</v>
      </c>
      <c r="AD2151">
        <v>0</v>
      </c>
      <c r="AE2151">
        <v>0</v>
      </c>
      <c r="AF2151">
        <v>0</v>
      </c>
      <c r="AG2151">
        <v>0</v>
      </c>
      <c r="AH2151">
        <v>0</v>
      </c>
      <c r="AI2151">
        <v>0</v>
      </c>
      <c r="AJ2151">
        <v>0</v>
      </c>
      <c r="AK2151">
        <v>0</v>
      </c>
      <c r="AL2151">
        <v>0</v>
      </c>
      <c r="AM2151">
        <v>16.63</v>
      </c>
      <c r="AN2151">
        <v>0</v>
      </c>
      <c r="AO2151">
        <v>0</v>
      </c>
      <c r="AP2151">
        <v>0</v>
      </c>
      <c r="AQ2151">
        <v>0</v>
      </c>
      <c r="AR2151">
        <v>0</v>
      </c>
      <c r="AS2151">
        <v>0</v>
      </c>
      <c r="AT2151">
        <v>0</v>
      </c>
      <c r="AU2151">
        <v>0</v>
      </c>
      <c r="AV2151">
        <v>0</v>
      </c>
      <c r="AW2151">
        <v>0</v>
      </c>
      <c r="AX2151">
        <v>0</v>
      </c>
      <c r="AY2151">
        <v>0</v>
      </c>
      <c r="AZ2151">
        <v>0</v>
      </c>
      <c r="BA2151">
        <v>0</v>
      </c>
      <c r="BB2151">
        <v>0</v>
      </c>
      <c r="BC2151">
        <v>0</v>
      </c>
      <c r="BD2151">
        <v>0</v>
      </c>
      <c r="BE2151">
        <v>0</v>
      </c>
      <c r="BF2151">
        <v>0</v>
      </c>
      <c r="BG2151">
        <v>0</v>
      </c>
      <c r="BH2151">
        <v>1</v>
      </c>
      <c r="BI2151">
        <v>1</v>
      </c>
      <c r="BJ2151">
        <v>0.2</v>
      </c>
      <c r="BK2151">
        <v>1</v>
      </c>
      <c r="BL2151" s="4">
        <v>97.75</v>
      </c>
      <c r="BM2151" s="4">
        <v>14.66</v>
      </c>
      <c r="BN2151" s="4">
        <v>112.41</v>
      </c>
      <c r="BO2151" s="4">
        <v>112.41</v>
      </c>
      <c r="BQ2151" t="s">
        <v>93</v>
      </c>
      <c r="BR2151" t="s">
        <v>84</v>
      </c>
      <c r="BS2151" s="3">
        <v>43819</v>
      </c>
      <c r="BT2151" s="5">
        <v>0.41666666666666669</v>
      </c>
      <c r="BU2151" t="s">
        <v>2131</v>
      </c>
      <c r="BV2151" t="s">
        <v>86</v>
      </c>
      <c r="BY2151">
        <v>1200</v>
      </c>
      <c r="CA2151" t="s">
        <v>1187</v>
      </c>
      <c r="CC2151" t="s">
        <v>1184</v>
      </c>
      <c r="CD2151">
        <v>3370</v>
      </c>
      <c r="CE2151" t="s">
        <v>88</v>
      </c>
      <c r="CF2151" s="3">
        <v>43823</v>
      </c>
      <c r="CI2151">
        <v>3</v>
      </c>
      <c r="CJ2151">
        <v>1</v>
      </c>
      <c r="CK2151">
        <v>23</v>
      </c>
      <c r="CL2151" t="s">
        <v>89</v>
      </c>
    </row>
    <row r="2152" spans="1:90">
      <c r="A2152" t="s">
        <v>72</v>
      </c>
      <c r="B2152" t="s">
        <v>73</v>
      </c>
      <c r="C2152" t="s">
        <v>74</v>
      </c>
      <c r="E2152" t="str">
        <f>"FES1162729217"</f>
        <v>FES1162729217</v>
      </c>
      <c r="F2152" s="3">
        <v>43818</v>
      </c>
      <c r="G2152">
        <v>202006</v>
      </c>
      <c r="H2152" t="s">
        <v>75</v>
      </c>
      <c r="I2152" t="s">
        <v>76</v>
      </c>
      <c r="J2152" t="s">
        <v>77</v>
      </c>
      <c r="K2152" t="s">
        <v>78</v>
      </c>
      <c r="L2152" t="s">
        <v>221</v>
      </c>
      <c r="M2152" t="s">
        <v>222</v>
      </c>
      <c r="N2152" t="s">
        <v>845</v>
      </c>
      <c r="O2152" t="s">
        <v>82</v>
      </c>
      <c r="P2152" t="str">
        <f>"2170722202                    "</f>
        <v xml:space="preserve">2170722202                    </v>
      </c>
      <c r="Q2152">
        <v>0</v>
      </c>
      <c r="R2152">
        <v>0</v>
      </c>
      <c r="S2152">
        <v>0</v>
      </c>
      <c r="T2152">
        <v>0</v>
      </c>
      <c r="U2152">
        <v>0</v>
      </c>
      <c r="V2152">
        <v>0</v>
      </c>
      <c r="W2152">
        <v>0</v>
      </c>
      <c r="X2152">
        <v>0</v>
      </c>
      <c r="Y2152">
        <v>0</v>
      </c>
      <c r="Z2152">
        <v>0</v>
      </c>
      <c r="AA2152">
        <v>0</v>
      </c>
      <c r="AB2152">
        <v>0</v>
      </c>
      <c r="AC2152">
        <v>0</v>
      </c>
      <c r="AD2152">
        <v>0</v>
      </c>
      <c r="AE2152">
        <v>0</v>
      </c>
      <c r="AF2152">
        <v>0</v>
      </c>
      <c r="AG2152">
        <v>0</v>
      </c>
      <c r="AH2152">
        <v>0</v>
      </c>
      <c r="AI2152">
        <v>0</v>
      </c>
      <c r="AJ2152">
        <v>0</v>
      </c>
      <c r="AK2152">
        <v>0</v>
      </c>
      <c r="AL2152">
        <v>0</v>
      </c>
      <c r="AM2152">
        <v>17.16</v>
      </c>
      <c r="AN2152">
        <v>0</v>
      </c>
      <c r="AO2152">
        <v>0</v>
      </c>
      <c r="AP2152">
        <v>0</v>
      </c>
      <c r="AQ2152">
        <v>0</v>
      </c>
      <c r="AR2152">
        <v>0</v>
      </c>
      <c r="AS2152">
        <v>0</v>
      </c>
      <c r="AT2152">
        <v>0</v>
      </c>
      <c r="AU2152">
        <v>0</v>
      </c>
      <c r="AV2152">
        <v>0</v>
      </c>
      <c r="AW2152">
        <v>0</v>
      </c>
      <c r="AX2152">
        <v>0</v>
      </c>
      <c r="AY2152">
        <v>0</v>
      </c>
      <c r="AZ2152">
        <v>0</v>
      </c>
      <c r="BA2152">
        <v>0</v>
      </c>
      <c r="BB2152">
        <v>0</v>
      </c>
      <c r="BC2152">
        <v>0</v>
      </c>
      <c r="BD2152">
        <v>0</v>
      </c>
      <c r="BE2152">
        <v>0</v>
      </c>
      <c r="BF2152">
        <v>0</v>
      </c>
      <c r="BG2152">
        <v>0</v>
      </c>
      <c r="BH2152">
        <v>1</v>
      </c>
      <c r="BI2152">
        <v>3.8</v>
      </c>
      <c r="BJ2152">
        <v>3.7</v>
      </c>
      <c r="BK2152">
        <v>4</v>
      </c>
      <c r="BL2152" s="4">
        <v>100.87</v>
      </c>
      <c r="BM2152" s="4">
        <v>15.13</v>
      </c>
      <c r="BN2152" s="4">
        <v>116</v>
      </c>
      <c r="BO2152" s="4">
        <v>116</v>
      </c>
      <c r="BQ2152" t="s">
        <v>93</v>
      </c>
      <c r="BR2152" t="s">
        <v>84</v>
      </c>
      <c r="BS2152" s="3">
        <v>43819</v>
      </c>
      <c r="BT2152" s="5">
        <v>0.33333333333333331</v>
      </c>
      <c r="BU2152" t="s">
        <v>846</v>
      </c>
      <c r="BV2152" t="s">
        <v>86</v>
      </c>
      <c r="BY2152">
        <v>18386.37</v>
      </c>
      <c r="CA2152" t="s">
        <v>847</v>
      </c>
      <c r="CC2152" t="s">
        <v>222</v>
      </c>
      <c r="CD2152">
        <v>3201</v>
      </c>
      <c r="CE2152" t="s">
        <v>96</v>
      </c>
      <c r="CF2152" s="3">
        <v>43822</v>
      </c>
      <c r="CI2152">
        <v>1</v>
      </c>
      <c r="CJ2152">
        <v>1</v>
      </c>
      <c r="CK2152">
        <v>21</v>
      </c>
      <c r="CL2152" t="s">
        <v>89</v>
      </c>
    </row>
    <row r="2153" spans="1:90">
      <c r="A2153" t="s">
        <v>72</v>
      </c>
      <c r="B2153" t="s">
        <v>73</v>
      </c>
      <c r="C2153" t="s">
        <v>74</v>
      </c>
      <c r="E2153" t="str">
        <f>"FES1162729189"</f>
        <v>FES1162729189</v>
      </c>
      <c r="F2153" s="3">
        <v>43818</v>
      </c>
      <c r="G2153">
        <v>202006</v>
      </c>
      <c r="H2153" t="s">
        <v>75</v>
      </c>
      <c r="I2153" t="s">
        <v>76</v>
      </c>
      <c r="J2153" t="s">
        <v>77</v>
      </c>
      <c r="K2153" t="s">
        <v>78</v>
      </c>
      <c r="L2153" t="s">
        <v>564</v>
      </c>
      <c r="M2153" t="s">
        <v>565</v>
      </c>
      <c r="N2153" t="s">
        <v>2408</v>
      </c>
      <c r="O2153" t="s">
        <v>82</v>
      </c>
      <c r="P2153" t="str">
        <f>"217201173                     "</f>
        <v xml:space="preserve">217201173                     </v>
      </c>
      <c r="Q2153">
        <v>0</v>
      </c>
      <c r="R2153">
        <v>0</v>
      </c>
      <c r="S2153">
        <v>0</v>
      </c>
      <c r="T2153">
        <v>0</v>
      </c>
      <c r="U2153">
        <v>0</v>
      </c>
      <c r="V2153">
        <v>0</v>
      </c>
      <c r="W2153">
        <v>0</v>
      </c>
      <c r="X2153">
        <v>0</v>
      </c>
      <c r="Y2153">
        <v>0</v>
      </c>
      <c r="Z2153">
        <v>0</v>
      </c>
      <c r="AA2153">
        <v>0</v>
      </c>
      <c r="AB2153">
        <v>0</v>
      </c>
      <c r="AC2153">
        <v>0</v>
      </c>
      <c r="AD2153">
        <v>0</v>
      </c>
      <c r="AE2153">
        <v>0</v>
      </c>
      <c r="AF2153">
        <v>0</v>
      </c>
      <c r="AG2153">
        <v>0</v>
      </c>
      <c r="AH2153">
        <v>0</v>
      </c>
      <c r="AI2153">
        <v>0</v>
      </c>
      <c r="AJ2153">
        <v>0</v>
      </c>
      <c r="AK2153">
        <v>0</v>
      </c>
      <c r="AL2153">
        <v>0</v>
      </c>
      <c r="AM2153">
        <v>24.14</v>
      </c>
      <c r="AN2153">
        <v>0</v>
      </c>
      <c r="AO2153">
        <v>0</v>
      </c>
      <c r="AP2153">
        <v>0</v>
      </c>
      <c r="AQ2153">
        <v>0</v>
      </c>
      <c r="AR2153">
        <v>0</v>
      </c>
      <c r="AS2153">
        <v>0</v>
      </c>
      <c r="AT2153">
        <v>0</v>
      </c>
      <c r="AU2153">
        <v>0</v>
      </c>
      <c r="AV2153">
        <v>0</v>
      </c>
      <c r="AW2153">
        <v>0</v>
      </c>
      <c r="AX2153">
        <v>0</v>
      </c>
      <c r="AY2153">
        <v>0</v>
      </c>
      <c r="AZ2153">
        <v>0</v>
      </c>
      <c r="BA2153">
        <v>0</v>
      </c>
      <c r="BB2153">
        <v>0</v>
      </c>
      <c r="BC2153">
        <v>0</v>
      </c>
      <c r="BD2153">
        <v>0</v>
      </c>
      <c r="BE2153">
        <v>0</v>
      </c>
      <c r="BF2153">
        <v>0</v>
      </c>
      <c r="BG2153">
        <v>0</v>
      </c>
      <c r="BH2153">
        <v>1</v>
      </c>
      <c r="BI2153">
        <v>3</v>
      </c>
      <c r="BJ2153">
        <v>1.5</v>
      </c>
      <c r="BK2153">
        <v>3</v>
      </c>
      <c r="BL2153" s="4">
        <v>141.9</v>
      </c>
      <c r="BM2153" s="4">
        <v>21.29</v>
      </c>
      <c r="BN2153" s="4">
        <v>163.19</v>
      </c>
      <c r="BO2153" s="4">
        <v>163.19</v>
      </c>
      <c r="BQ2153" t="s">
        <v>277</v>
      </c>
      <c r="BR2153" t="s">
        <v>84</v>
      </c>
      <c r="BS2153" t="s">
        <v>717</v>
      </c>
      <c r="BY2153">
        <v>7616.7</v>
      </c>
      <c r="CC2153" t="s">
        <v>565</v>
      </c>
      <c r="CD2153">
        <v>4270</v>
      </c>
      <c r="CE2153" t="s">
        <v>116</v>
      </c>
      <c r="CI2153">
        <v>1</v>
      </c>
      <c r="CJ2153" t="s">
        <v>717</v>
      </c>
      <c r="CK2153">
        <v>23</v>
      </c>
      <c r="CL2153" t="s">
        <v>89</v>
      </c>
    </row>
    <row r="2154" spans="1:90">
      <c r="A2154" t="s">
        <v>72</v>
      </c>
      <c r="B2154" t="s">
        <v>73</v>
      </c>
      <c r="C2154" t="s">
        <v>74</v>
      </c>
      <c r="E2154" t="str">
        <f>"FES1162729232"</f>
        <v>FES1162729232</v>
      </c>
      <c r="F2154" s="3">
        <v>43818</v>
      </c>
      <c r="G2154">
        <v>202006</v>
      </c>
      <c r="H2154" t="s">
        <v>75</v>
      </c>
      <c r="I2154" t="s">
        <v>76</v>
      </c>
      <c r="J2154" t="s">
        <v>77</v>
      </c>
      <c r="K2154" t="s">
        <v>78</v>
      </c>
      <c r="L2154" t="s">
        <v>332</v>
      </c>
      <c r="M2154" t="s">
        <v>333</v>
      </c>
      <c r="N2154" t="s">
        <v>790</v>
      </c>
      <c r="O2154" t="s">
        <v>82</v>
      </c>
      <c r="P2154" t="str">
        <f>"2170722224                    "</f>
        <v xml:space="preserve">2170722224                    </v>
      </c>
      <c r="Q2154">
        <v>0</v>
      </c>
      <c r="R2154">
        <v>0</v>
      </c>
      <c r="S2154">
        <v>0</v>
      </c>
      <c r="T2154">
        <v>0</v>
      </c>
      <c r="U2154">
        <v>0</v>
      </c>
      <c r="V2154">
        <v>0</v>
      </c>
      <c r="W2154">
        <v>0</v>
      </c>
      <c r="X2154">
        <v>0</v>
      </c>
      <c r="Y2154">
        <v>0</v>
      </c>
      <c r="Z2154">
        <v>0</v>
      </c>
      <c r="AA2154">
        <v>0</v>
      </c>
      <c r="AB2154">
        <v>0</v>
      </c>
      <c r="AC2154">
        <v>0</v>
      </c>
      <c r="AD2154">
        <v>0</v>
      </c>
      <c r="AE2154">
        <v>0</v>
      </c>
      <c r="AF2154">
        <v>0</v>
      </c>
      <c r="AG2154">
        <v>0</v>
      </c>
      <c r="AH2154">
        <v>0</v>
      </c>
      <c r="AI2154">
        <v>0</v>
      </c>
      <c r="AJ2154">
        <v>0</v>
      </c>
      <c r="AK2154">
        <v>0</v>
      </c>
      <c r="AL2154">
        <v>0</v>
      </c>
      <c r="AM2154">
        <v>6.71</v>
      </c>
      <c r="AN2154">
        <v>0</v>
      </c>
      <c r="AO2154">
        <v>0</v>
      </c>
      <c r="AP2154">
        <v>0</v>
      </c>
      <c r="AQ2154">
        <v>0</v>
      </c>
      <c r="AR2154">
        <v>0</v>
      </c>
      <c r="AS2154">
        <v>0</v>
      </c>
      <c r="AT2154">
        <v>0</v>
      </c>
      <c r="AU2154">
        <v>0</v>
      </c>
      <c r="AV2154">
        <v>0</v>
      </c>
      <c r="AW2154">
        <v>0</v>
      </c>
      <c r="AX2154">
        <v>0</v>
      </c>
      <c r="AY2154">
        <v>0</v>
      </c>
      <c r="AZ2154">
        <v>0</v>
      </c>
      <c r="BA2154">
        <v>0</v>
      </c>
      <c r="BB2154">
        <v>0</v>
      </c>
      <c r="BC2154">
        <v>0</v>
      </c>
      <c r="BD2154">
        <v>0</v>
      </c>
      <c r="BE2154">
        <v>0</v>
      </c>
      <c r="BF2154">
        <v>0</v>
      </c>
      <c r="BG2154">
        <v>0</v>
      </c>
      <c r="BH2154">
        <v>1</v>
      </c>
      <c r="BI2154">
        <v>1.3</v>
      </c>
      <c r="BJ2154">
        <v>1</v>
      </c>
      <c r="BK2154">
        <v>1.5</v>
      </c>
      <c r="BL2154" s="4">
        <v>39.42</v>
      </c>
      <c r="BM2154" s="4">
        <v>5.91</v>
      </c>
      <c r="BN2154" s="4">
        <v>45.33</v>
      </c>
      <c r="BO2154" s="4">
        <v>45.33</v>
      </c>
      <c r="BQ2154" t="s">
        <v>147</v>
      </c>
      <c r="BR2154" t="s">
        <v>84</v>
      </c>
      <c r="BS2154" s="3">
        <v>43819</v>
      </c>
      <c r="BT2154" s="5">
        <v>0.41666666666666669</v>
      </c>
      <c r="BU2154" t="s">
        <v>2409</v>
      </c>
      <c r="BV2154" t="s">
        <v>86</v>
      </c>
      <c r="BY2154">
        <v>4837.04</v>
      </c>
      <c r="CC2154" t="s">
        <v>333</v>
      </c>
      <c r="CD2154">
        <v>2091</v>
      </c>
      <c r="CE2154" t="s">
        <v>116</v>
      </c>
      <c r="CF2154" s="3">
        <v>43822</v>
      </c>
      <c r="CI2154">
        <v>1</v>
      </c>
      <c r="CJ2154">
        <v>1</v>
      </c>
      <c r="CK2154">
        <v>22</v>
      </c>
      <c r="CL2154" t="s">
        <v>89</v>
      </c>
    </row>
    <row r="2155" spans="1:90">
      <c r="A2155" t="s">
        <v>72</v>
      </c>
      <c r="B2155" t="s">
        <v>73</v>
      </c>
      <c r="C2155" t="s">
        <v>74</v>
      </c>
      <c r="E2155" t="str">
        <f>"FES1162729056"</f>
        <v>FES1162729056</v>
      </c>
      <c r="F2155" s="3">
        <v>43818</v>
      </c>
      <c r="G2155">
        <v>202006</v>
      </c>
      <c r="H2155" t="s">
        <v>75</v>
      </c>
      <c r="I2155" t="s">
        <v>76</v>
      </c>
      <c r="J2155" t="s">
        <v>77</v>
      </c>
      <c r="K2155" t="s">
        <v>78</v>
      </c>
      <c r="L2155" t="s">
        <v>75</v>
      </c>
      <c r="M2155" t="s">
        <v>76</v>
      </c>
      <c r="N2155" t="s">
        <v>1038</v>
      </c>
      <c r="O2155" t="s">
        <v>82</v>
      </c>
      <c r="P2155" t="str">
        <f>"2170720212                    "</f>
        <v xml:space="preserve">2170720212                    </v>
      </c>
      <c r="Q2155">
        <v>0</v>
      </c>
      <c r="R2155">
        <v>0</v>
      </c>
      <c r="S2155">
        <v>0</v>
      </c>
      <c r="T2155">
        <v>0</v>
      </c>
      <c r="U2155">
        <v>0</v>
      </c>
      <c r="V2155">
        <v>0</v>
      </c>
      <c r="W2155">
        <v>0</v>
      </c>
      <c r="X2155">
        <v>0</v>
      </c>
      <c r="Y2155">
        <v>0</v>
      </c>
      <c r="Z2155">
        <v>0</v>
      </c>
      <c r="AA2155">
        <v>0</v>
      </c>
      <c r="AB2155">
        <v>0</v>
      </c>
      <c r="AC2155">
        <v>0</v>
      </c>
      <c r="AD2155">
        <v>0</v>
      </c>
      <c r="AE2155">
        <v>0</v>
      </c>
      <c r="AF2155">
        <v>0</v>
      </c>
      <c r="AG2155">
        <v>0</v>
      </c>
      <c r="AH2155">
        <v>0</v>
      </c>
      <c r="AI2155">
        <v>0</v>
      </c>
      <c r="AJ2155">
        <v>0</v>
      </c>
      <c r="AK2155">
        <v>0</v>
      </c>
      <c r="AL2155">
        <v>0</v>
      </c>
      <c r="AM2155">
        <v>6.71</v>
      </c>
      <c r="AN2155">
        <v>0</v>
      </c>
      <c r="AO2155">
        <v>0</v>
      </c>
      <c r="AP2155">
        <v>0</v>
      </c>
      <c r="AQ2155">
        <v>0</v>
      </c>
      <c r="AR2155">
        <v>0</v>
      </c>
      <c r="AS2155">
        <v>0</v>
      </c>
      <c r="AT2155">
        <v>0</v>
      </c>
      <c r="AU2155">
        <v>0</v>
      </c>
      <c r="AV2155">
        <v>0</v>
      </c>
      <c r="AW2155">
        <v>0</v>
      </c>
      <c r="AX2155">
        <v>0</v>
      </c>
      <c r="AY2155">
        <v>0</v>
      </c>
      <c r="AZ2155">
        <v>0</v>
      </c>
      <c r="BA2155">
        <v>0</v>
      </c>
      <c r="BB2155">
        <v>0</v>
      </c>
      <c r="BC2155">
        <v>0</v>
      </c>
      <c r="BD2155">
        <v>0</v>
      </c>
      <c r="BE2155">
        <v>0</v>
      </c>
      <c r="BF2155">
        <v>0</v>
      </c>
      <c r="BG2155">
        <v>0</v>
      </c>
      <c r="BH2155">
        <v>1</v>
      </c>
      <c r="BI2155">
        <v>1.2</v>
      </c>
      <c r="BJ2155">
        <v>0.9</v>
      </c>
      <c r="BK2155">
        <v>1.5</v>
      </c>
      <c r="BL2155" s="4">
        <v>39.42</v>
      </c>
      <c r="BM2155" s="4">
        <v>5.91</v>
      </c>
      <c r="BN2155" s="4">
        <v>45.33</v>
      </c>
      <c r="BO2155" s="4">
        <v>45.33</v>
      </c>
      <c r="BQ2155" t="s">
        <v>93</v>
      </c>
      <c r="BR2155" t="s">
        <v>84</v>
      </c>
      <c r="BS2155" s="3">
        <v>43819</v>
      </c>
      <c r="BT2155" s="5">
        <v>0.37222222222222223</v>
      </c>
      <c r="BU2155" t="s">
        <v>1039</v>
      </c>
      <c r="BV2155" t="s">
        <v>86</v>
      </c>
      <c r="BY2155">
        <v>4336.29</v>
      </c>
      <c r="CA2155" t="s">
        <v>588</v>
      </c>
      <c r="CC2155" t="s">
        <v>76</v>
      </c>
      <c r="CD2155">
        <v>1625</v>
      </c>
      <c r="CE2155" t="s">
        <v>96</v>
      </c>
      <c r="CF2155" s="3">
        <v>43823</v>
      </c>
      <c r="CI2155">
        <v>1</v>
      </c>
      <c r="CJ2155">
        <v>1</v>
      </c>
      <c r="CK2155">
        <v>22</v>
      </c>
      <c r="CL2155" t="s">
        <v>89</v>
      </c>
    </row>
    <row r="2156" spans="1:90">
      <c r="A2156" t="s">
        <v>72</v>
      </c>
      <c r="B2156" t="s">
        <v>73</v>
      </c>
      <c r="C2156" t="s">
        <v>74</v>
      </c>
      <c r="E2156" t="str">
        <f>"FES1162729228"</f>
        <v>FES1162729228</v>
      </c>
      <c r="F2156" s="3">
        <v>43818</v>
      </c>
      <c r="G2156">
        <v>202006</v>
      </c>
      <c r="H2156" t="s">
        <v>75</v>
      </c>
      <c r="I2156" t="s">
        <v>76</v>
      </c>
      <c r="J2156" t="s">
        <v>77</v>
      </c>
      <c r="K2156" t="s">
        <v>78</v>
      </c>
      <c r="L2156" t="s">
        <v>164</v>
      </c>
      <c r="M2156" t="s">
        <v>165</v>
      </c>
      <c r="N2156" t="s">
        <v>263</v>
      </c>
      <c r="O2156" t="s">
        <v>82</v>
      </c>
      <c r="P2156" t="str">
        <f>"2170722217                    "</f>
        <v xml:space="preserve">2170722217                    </v>
      </c>
      <c r="Q2156">
        <v>0</v>
      </c>
      <c r="R2156">
        <v>0</v>
      </c>
      <c r="S2156">
        <v>0</v>
      </c>
      <c r="T2156">
        <v>0</v>
      </c>
      <c r="U2156">
        <v>0</v>
      </c>
      <c r="V2156">
        <v>0</v>
      </c>
      <c r="W2156">
        <v>0</v>
      </c>
      <c r="X2156">
        <v>0</v>
      </c>
      <c r="Y2156">
        <v>0</v>
      </c>
      <c r="Z2156">
        <v>0</v>
      </c>
      <c r="AA2156">
        <v>0</v>
      </c>
      <c r="AB2156">
        <v>0</v>
      </c>
      <c r="AC2156">
        <v>0</v>
      </c>
      <c r="AD2156">
        <v>0</v>
      </c>
      <c r="AE2156">
        <v>0</v>
      </c>
      <c r="AF2156">
        <v>0</v>
      </c>
      <c r="AG2156">
        <v>0</v>
      </c>
      <c r="AH2156">
        <v>0</v>
      </c>
      <c r="AI2156">
        <v>0</v>
      </c>
      <c r="AJ2156">
        <v>0</v>
      </c>
      <c r="AK2156">
        <v>0</v>
      </c>
      <c r="AL2156">
        <v>0</v>
      </c>
      <c r="AM2156">
        <v>72.91</v>
      </c>
      <c r="AN2156">
        <v>0</v>
      </c>
      <c r="AO2156">
        <v>0</v>
      </c>
      <c r="AP2156">
        <v>0</v>
      </c>
      <c r="AQ2156">
        <v>0</v>
      </c>
      <c r="AR2156">
        <v>0</v>
      </c>
      <c r="AS2156">
        <v>0</v>
      </c>
      <c r="AT2156">
        <v>0</v>
      </c>
      <c r="AU2156">
        <v>0</v>
      </c>
      <c r="AV2156">
        <v>0</v>
      </c>
      <c r="AW2156">
        <v>0</v>
      </c>
      <c r="AX2156">
        <v>0</v>
      </c>
      <c r="AY2156">
        <v>0</v>
      </c>
      <c r="AZ2156">
        <v>0</v>
      </c>
      <c r="BA2156">
        <v>0</v>
      </c>
      <c r="BB2156">
        <v>0</v>
      </c>
      <c r="BC2156">
        <v>0</v>
      </c>
      <c r="BD2156">
        <v>0</v>
      </c>
      <c r="BE2156">
        <v>0</v>
      </c>
      <c r="BF2156">
        <v>0</v>
      </c>
      <c r="BG2156">
        <v>0</v>
      </c>
      <c r="BH2156">
        <v>1</v>
      </c>
      <c r="BI2156">
        <v>7.7</v>
      </c>
      <c r="BJ2156">
        <v>16.899999999999999</v>
      </c>
      <c r="BK2156">
        <v>17</v>
      </c>
      <c r="BL2156" s="4">
        <v>428.58</v>
      </c>
      <c r="BM2156" s="4">
        <v>64.290000000000006</v>
      </c>
      <c r="BN2156" s="4">
        <v>492.87</v>
      </c>
      <c r="BO2156" s="4">
        <v>492.87</v>
      </c>
      <c r="BQ2156" t="s">
        <v>147</v>
      </c>
      <c r="BR2156" t="s">
        <v>84</v>
      </c>
      <c r="BS2156" s="3">
        <v>43819</v>
      </c>
      <c r="BT2156" s="5">
        <v>0.35486111111111113</v>
      </c>
      <c r="BU2156" t="s">
        <v>1827</v>
      </c>
      <c r="BV2156" t="s">
        <v>86</v>
      </c>
      <c r="BY2156">
        <v>84578.13</v>
      </c>
      <c r="CA2156" t="s">
        <v>371</v>
      </c>
      <c r="CC2156" t="s">
        <v>165</v>
      </c>
      <c r="CD2156">
        <v>5201</v>
      </c>
      <c r="CE2156" t="s">
        <v>96</v>
      </c>
      <c r="CF2156" s="3">
        <v>43822</v>
      </c>
      <c r="CI2156">
        <v>1</v>
      </c>
      <c r="CJ2156">
        <v>1</v>
      </c>
      <c r="CK2156">
        <v>21</v>
      </c>
      <c r="CL2156" t="s">
        <v>89</v>
      </c>
    </row>
    <row r="2157" spans="1:90">
      <c r="A2157" t="s">
        <v>72</v>
      </c>
      <c r="B2157" t="s">
        <v>73</v>
      </c>
      <c r="C2157" t="s">
        <v>74</v>
      </c>
      <c r="E2157" t="str">
        <f>"FES1162729243"</f>
        <v>FES1162729243</v>
      </c>
      <c r="F2157" s="3">
        <v>43818</v>
      </c>
      <c r="G2157">
        <v>202006</v>
      </c>
      <c r="H2157" t="s">
        <v>75</v>
      </c>
      <c r="I2157" t="s">
        <v>76</v>
      </c>
      <c r="J2157" t="s">
        <v>77</v>
      </c>
      <c r="K2157" t="s">
        <v>78</v>
      </c>
      <c r="L2157" t="s">
        <v>164</v>
      </c>
      <c r="M2157" t="s">
        <v>165</v>
      </c>
      <c r="N2157" t="s">
        <v>369</v>
      </c>
      <c r="O2157" t="s">
        <v>82</v>
      </c>
      <c r="P2157" t="str">
        <f>"2170722222                    "</f>
        <v xml:space="preserve">2170722222                    </v>
      </c>
      <c r="Q2157">
        <v>0</v>
      </c>
      <c r="R2157">
        <v>0</v>
      </c>
      <c r="S2157">
        <v>0</v>
      </c>
      <c r="T2157">
        <v>0</v>
      </c>
      <c r="U2157">
        <v>0</v>
      </c>
      <c r="V2157">
        <v>0</v>
      </c>
      <c r="W2157">
        <v>0</v>
      </c>
      <c r="X2157">
        <v>0</v>
      </c>
      <c r="Y2157">
        <v>0</v>
      </c>
      <c r="Z2157">
        <v>0</v>
      </c>
      <c r="AA2157">
        <v>0</v>
      </c>
      <c r="AB2157">
        <v>0</v>
      </c>
      <c r="AC2157">
        <v>0</v>
      </c>
      <c r="AD2157">
        <v>0</v>
      </c>
      <c r="AE2157">
        <v>0</v>
      </c>
      <c r="AF2157">
        <v>0</v>
      </c>
      <c r="AG2157">
        <v>0</v>
      </c>
      <c r="AH2157">
        <v>0</v>
      </c>
      <c r="AI2157">
        <v>0</v>
      </c>
      <c r="AJ2157">
        <v>0</v>
      </c>
      <c r="AK2157">
        <v>0</v>
      </c>
      <c r="AL2157">
        <v>0</v>
      </c>
      <c r="AM2157">
        <v>8.58</v>
      </c>
      <c r="AN2157">
        <v>0</v>
      </c>
      <c r="AO2157">
        <v>0</v>
      </c>
      <c r="AP2157">
        <v>0</v>
      </c>
      <c r="AQ2157">
        <v>0</v>
      </c>
      <c r="AR2157">
        <v>0</v>
      </c>
      <c r="AS2157">
        <v>0</v>
      </c>
      <c r="AT2157">
        <v>0</v>
      </c>
      <c r="AU2157">
        <v>0</v>
      </c>
      <c r="AV2157">
        <v>0</v>
      </c>
      <c r="AW2157">
        <v>0</v>
      </c>
      <c r="AX2157">
        <v>0</v>
      </c>
      <c r="AY2157">
        <v>0</v>
      </c>
      <c r="AZ2157">
        <v>0</v>
      </c>
      <c r="BA2157">
        <v>0</v>
      </c>
      <c r="BB2157">
        <v>0</v>
      </c>
      <c r="BC2157">
        <v>0</v>
      </c>
      <c r="BD2157">
        <v>0</v>
      </c>
      <c r="BE2157">
        <v>0</v>
      </c>
      <c r="BF2157">
        <v>0</v>
      </c>
      <c r="BG2157">
        <v>0</v>
      </c>
      <c r="BH2157">
        <v>1</v>
      </c>
      <c r="BI2157">
        <v>1</v>
      </c>
      <c r="BJ2157">
        <v>0.2</v>
      </c>
      <c r="BK2157">
        <v>1</v>
      </c>
      <c r="BL2157" s="4">
        <v>50.45</v>
      </c>
      <c r="BM2157" s="4">
        <v>7.57</v>
      </c>
      <c r="BN2157" s="4">
        <v>58.02</v>
      </c>
      <c r="BO2157" s="4">
        <v>58.02</v>
      </c>
      <c r="BQ2157" t="s">
        <v>93</v>
      </c>
      <c r="BR2157" t="s">
        <v>84</v>
      </c>
      <c r="BS2157" s="3">
        <v>43819</v>
      </c>
      <c r="BT2157" s="5">
        <v>0.43124999999999997</v>
      </c>
      <c r="BU2157" t="s">
        <v>2330</v>
      </c>
      <c r="BV2157" t="s">
        <v>86</v>
      </c>
      <c r="BY2157">
        <v>1200</v>
      </c>
      <c r="CA2157" t="s">
        <v>766</v>
      </c>
      <c r="CC2157" t="s">
        <v>165</v>
      </c>
      <c r="CD2157">
        <v>5201</v>
      </c>
      <c r="CE2157" t="s">
        <v>88</v>
      </c>
      <c r="CF2157" s="3">
        <v>43823</v>
      </c>
      <c r="CI2157">
        <v>1</v>
      </c>
      <c r="CJ2157">
        <v>1</v>
      </c>
      <c r="CK2157">
        <v>21</v>
      </c>
      <c r="CL2157" t="s">
        <v>89</v>
      </c>
    </row>
    <row r="2158" spans="1:90">
      <c r="A2158" t="s">
        <v>72</v>
      </c>
      <c r="B2158" t="s">
        <v>73</v>
      </c>
      <c r="C2158" t="s">
        <v>74</v>
      </c>
      <c r="E2158" t="str">
        <f>"FES1162729172"</f>
        <v>FES1162729172</v>
      </c>
      <c r="F2158" s="3">
        <v>43818</v>
      </c>
      <c r="G2158">
        <v>202006</v>
      </c>
      <c r="H2158" t="s">
        <v>75</v>
      </c>
      <c r="I2158" t="s">
        <v>76</v>
      </c>
      <c r="J2158" t="s">
        <v>77</v>
      </c>
      <c r="K2158" t="s">
        <v>78</v>
      </c>
      <c r="L2158" t="s">
        <v>90</v>
      </c>
      <c r="M2158" t="s">
        <v>91</v>
      </c>
      <c r="N2158" t="s">
        <v>2410</v>
      </c>
      <c r="O2158" t="s">
        <v>82</v>
      </c>
      <c r="P2158" t="str">
        <f>"2170722131                    "</f>
        <v xml:space="preserve">2170722131                    </v>
      </c>
      <c r="Q2158">
        <v>0</v>
      </c>
      <c r="R2158">
        <v>0</v>
      </c>
      <c r="S2158">
        <v>0</v>
      </c>
      <c r="T2158">
        <v>0</v>
      </c>
      <c r="U2158">
        <v>0</v>
      </c>
      <c r="V2158">
        <v>0</v>
      </c>
      <c r="W2158">
        <v>0</v>
      </c>
      <c r="X2158">
        <v>0</v>
      </c>
      <c r="Y2158">
        <v>0</v>
      </c>
      <c r="Z2158">
        <v>0</v>
      </c>
      <c r="AA2158">
        <v>0</v>
      </c>
      <c r="AB2158">
        <v>0</v>
      </c>
      <c r="AC2158">
        <v>0</v>
      </c>
      <c r="AD2158">
        <v>0</v>
      </c>
      <c r="AE2158">
        <v>0</v>
      </c>
      <c r="AF2158">
        <v>0</v>
      </c>
      <c r="AG2158">
        <v>0</v>
      </c>
      <c r="AH2158">
        <v>0</v>
      </c>
      <c r="AI2158">
        <v>0</v>
      </c>
      <c r="AJ2158">
        <v>0</v>
      </c>
      <c r="AK2158">
        <v>0</v>
      </c>
      <c r="AL2158">
        <v>0</v>
      </c>
      <c r="AM2158">
        <v>8.58</v>
      </c>
      <c r="AN2158">
        <v>0</v>
      </c>
      <c r="AO2158">
        <v>0</v>
      </c>
      <c r="AP2158">
        <v>0</v>
      </c>
      <c r="AQ2158">
        <v>0</v>
      </c>
      <c r="AR2158">
        <v>0</v>
      </c>
      <c r="AS2158">
        <v>0</v>
      </c>
      <c r="AT2158">
        <v>0</v>
      </c>
      <c r="AU2158">
        <v>0</v>
      </c>
      <c r="AV2158">
        <v>0</v>
      </c>
      <c r="AW2158">
        <v>0</v>
      </c>
      <c r="AX2158">
        <v>0</v>
      </c>
      <c r="AY2158">
        <v>0</v>
      </c>
      <c r="AZ2158">
        <v>0</v>
      </c>
      <c r="BA2158">
        <v>0</v>
      </c>
      <c r="BB2158">
        <v>0</v>
      </c>
      <c r="BC2158">
        <v>0</v>
      </c>
      <c r="BD2158">
        <v>0</v>
      </c>
      <c r="BE2158">
        <v>0</v>
      </c>
      <c r="BF2158">
        <v>0</v>
      </c>
      <c r="BG2158">
        <v>0</v>
      </c>
      <c r="BH2158">
        <v>1</v>
      </c>
      <c r="BI2158">
        <v>1</v>
      </c>
      <c r="BJ2158">
        <v>0.2</v>
      </c>
      <c r="BK2158">
        <v>1</v>
      </c>
      <c r="BL2158" s="4">
        <v>50.45</v>
      </c>
      <c r="BM2158" s="4">
        <v>7.57</v>
      </c>
      <c r="BN2158" s="4">
        <v>58.02</v>
      </c>
      <c r="BO2158" s="4">
        <v>58.02</v>
      </c>
      <c r="BR2158" t="s">
        <v>84</v>
      </c>
      <c r="BS2158" s="3">
        <v>43819</v>
      </c>
      <c r="BT2158" s="5">
        <v>0.31736111111111115</v>
      </c>
      <c r="BU2158" t="s">
        <v>2411</v>
      </c>
      <c r="BV2158" t="s">
        <v>86</v>
      </c>
      <c r="BY2158">
        <v>1200</v>
      </c>
      <c r="CA2158" t="s">
        <v>2076</v>
      </c>
      <c r="CC2158" t="s">
        <v>91</v>
      </c>
      <c r="CD2158">
        <v>7500</v>
      </c>
      <c r="CE2158" t="s">
        <v>88</v>
      </c>
      <c r="CF2158" s="3">
        <v>43822</v>
      </c>
      <c r="CI2158">
        <v>1</v>
      </c>
      <c r="CJ2158">
        <v>1</v>
      </c>
      <c r="CK2158">
        <v>21</v>
      </c>
      <c r="CL2158" t="s">
        <v>89</v>
      </c>
    </row>
    <row r="2159" spans="1:90">
      <c r="A2159" t="s">
        <v>72</v>
      </c>
      <c r="B2159" t="s">
        <v>73</v>
      </c>
      <c r="C2159" t="s">
        <v>74</v>
      </c>
      <c r="E2159" t="str">
        <f>"FES1162728785"</f>
        <v>FES1162728785</v>
      </c>
      <c r="F2159" s="3">
        <v>43818</v>
      </c>
      <c r="G2159">
        <v>202006</v>
      </c>
      <c r="H2159" t="s">
        <v>75</v>
      </c>
      <c r="I2159" t="s">
        <v>76</v>
      </c>
      <c r="J2159" t="s">
        <v>77</v>
      </c>
      <c r="K2159" t="s">
        <v>78</v>
      </c>
      <c r="L2159" t="s">
        <v>169</v>
      </c>
      <c r="M2159" t="s">
        <v>170</v>
      </c>
      <c r="N2159" t="s">
        <v>890</v>
      </c>
      <c r="O2159" t="s">
        <v>82</v>
      </c>
      <c r="P2159" t="str">
        <f>"2170721974                    "</f>
        <v xml:space="preserve">2170721974                    </v>
      </c>
      <c r="Q2159">
        <v>0</v>
      </c>
      <c r="R2159">
        <v>0</v>
      </c>
      <c r="S2159">
        <v>0</v>
      </c>
      <c r="T2159">
        <v>0</v>
      </c>
      <c r="U2159">
        <v>0</v>
      </c>
      <c r="V2159">
        <v>0</v>
      </c>
      <c r="W2159">
        <v>0</v>
      </c>
      <c r="X2159">
        <v>0</v>
      </c>
      <c r="Y2159">
        <v>0</v>
      </c>
      <c r="Z2159">
        <v>0</v>
      </c>
      <c r="AA2159">
        <v>0</v>
      </c>
      <c r="AB2159">
        <v>0</v>
      </c>
      <c r="AC2159">
        <v>0</v>
      </c>
      <c r="AD2159">
        <v>0</v>
      </c>
      <c r="AE2159">
        <v>0</v>
      </c>
      <c r="AF2159">
        <v>0</v>
      </c>
      <c r="AG2159">
        <v>0</v>
      </c>
      <c r="AH2159">
        <v>0</v>
      </c>
      <c r="AI2159">
        <v>0</v>
      </c>
      <c r="AJ2159">
        <v>0</v>
      </c>
      <c r="AK2159">
        <v>0</v>
      </c>
      <c r="AL2159">
        <v>0</v>
      </c>
      <c r="AM2159">
        <v>9.1199999999999992</v>
      </c>
      <c r="AN2159">
        <v>0</v>
      </c>
      <c r="AO2159">
        <v>0</v>
      </c>
      <c r="AP2159">
        <v>0</v>
      </c>
      <c r="AQ2159">
        <v>0</v>
      </c>
      <c r="AR2159">
        <v>0</v>
      </c>
      <c r="AS2159">
        <v>0</v>
      </c>
      <c r="AT2159">
        <v>0</v>
      </c>
      <c r="AU2159">
        <v>0</v>
      </c>
      <c r="AV2159">
        <v>0</v>
      </c>
      <c r="AW2159">
        <v>0</v>
      </c>
      <c r="AX2159">
        <v>0</v>
      </c>
      <c r="AY2159">
        <v>0</v>
      </c>
      <c r="AZ2159">
        <v>0</v>
      </c>
      <c r="BA2159">
        <v>0</v>
      </c>
      <c r="BB2159">
        <v>0</v>
      </c>
      <c r="BC2159">
        <v>0</v>
      </c>
      <c r="BD2159">
        <v>0</v>
      </c>
      <c r="BE2159">
        <v>0</v>
      </c>
      <c r="BF2159">
        <v>0</v>
      </c>
      <c r="BG2159">
        <v>0</v>
      </c>
      <c r="BH2159">
        <v>1</v>
      </c>
      <c r="BI2159">
        <v>1.4</v>
      </c>
      <c r="BJ2159">
        <v>3.2</v>
      </c>
      <c r="BK2159">
        <v>3.5</v>
      </c>
      <c r="BL2159" s="4">
        <v>53.59</v>
      </c>
      <c r="BM2159" s="4">
        <v>8.0399999999999991</v>
      </c>
      <c r="BN2159" s="4">
        <v>61.63</v>
      </c>
      <c r="BO2159" s="4">
        <v>61.63</v>
      </c>
      <c r="BQ2159" t="s">
        <v>891</v>
      </c>
      <c r="BR2159" t="s">
        <v>84</v>
      </c>
      <c r="BS2159" s="3">
        <v>43819</v>
      </c>
      <c r="BT2159" s="5">
        <v>0.35138888888888892</v>
      </c>
      <c r="BU2159" t="s">
        <v>2329</v>
      </c>
      <c r="BV2159" t="s">
        <v>86</v>
      </c>
      <c r="BY2159">
        <v>15807.7</v>
      </c>
      <c r="CC2159" t="s">
        <v>170</v>
      </c>
      <c r="CD2159">
        <v>1459</v>
      </c>
      <c r="CE2159" t="s">
        <v>96</v>
      </c>
      <c r="CF2159" s="3">
        <v>43822</v>
      </c>
      <c r="CI2159">
        <v>1</v>
      </c>
      <c r="CJ2159">
        <v>1</v>
      </c>
      <c r="CK2159">
        <v>22</v>
      </c>
      <c r="CL2159" t="s">
        <v>89</v>
      </c>
    </row>
    <row r="2160" spans="1:90">
      <c r="A2160" t="s">
        <v>72</v>
      </c>
      <c r="B2160" t="s">
        <v>73</v>
      </c>
      <c r="C2160" t="s">
        <v>74</v>
      </c>
      <c r="E2160" t="str">
        <f>"FES1162729214"</f>
        <v>FES1162729214</v>
      </c>
      <c r="F2160" s="3">
        <v>43818</v>
      </c>
      <c r="G2160">
        <v>202006</v>
      </c>
      <c r="H2160" t="s">
        <v>75</v>
      </c>
      <c r="I2160" t="s">
        <v>76</v>
      </c>
      <c r="J2160" t="s">
        <v>77</v>
      </c>
      <c r="K2160" t="s">
        <v>78</v>
      </c>
      <c r="L2160" t="s">
        <v>577</v>
      </c>
      <c r="M2160" t="s">
        <v>578</v>
      </c>
      <c r="N2160" t="s">
        <v>579</v>
      </c>
      <c r="O2160" t="s">
        <v>82</v>
      </c>
      <c r="P2160" t="str">
        <f>"2170722196                    "</f>
        <v xml:space="preserve">2170722196                    </v>
      </c>
      <c r="Q2160">
        <v>0</v>
      </c>
      <c r="R2160">
        <v>0</v>
      </c>
      <c r="S2160">
        <v>0</v>
      </c>
      <c r="T2160">
        <v>0</v>
      </c>
      <c r="U2160">
        <v>0</v>
      </c>
      <c r="V2160">
        <v>0</v>
      </c>
      <c r="W2160">
        <v>0</v>
      </c>
      <c r="X2160">
        <v>0</v>
      </c>
      <c r="Y2160">
        <v>0</v>
      </c>
      <c r="Z2160">
        <v>0</v>
      </c>
      <c r="AA2160">
        <v>0</v>
      </c>
      <c r="AB2160">
        <v>0</v>
      </c>
      <c r="AC2160">
        <v>0</v>
      </c>
      <c r="AD2160">
        <v>0</v>
      </c>
      <c r="AE2160">
        <v>0</v>
      </c>
      <c r="AF2160">
        <v>0</v>
      </c>
      <c r="AG2160">
        <v>0</v>
      </c>
      <c r="AH2160">
        <v>0</v>
      </c>
      <c r="AI2160">
        <v>0</v>
      </c>
      <c r="AJ2160">
        <v>0</v>
      </c>
      <c r="AK2160">
        <v>0</v>
      </c>
      <c r="AL2160">
        <v>0</v>
      </c>
      <c r="AM2160">
        <v>8.58</v>
      </c>
      <c r="AN2160">
        <v>0</v>
      </c>
      <c r="AO2160">
        <v>0</v>
      </c>
      <c r="AP2160">
        <v>0</v>
      </c>
      <c r="AQ2160">
        <v>0</v>
      </c>
      <c r="AR2160">
        <v>0</v>
      </c>
      <c r="AS2160">
        <v>0</v>
      </c>
      <c r="AT2160">
        <v>0</v>
      </c>
      <c r="AU2160">
        <v>0</v>
      </c>
      <c r="AV2160">
        <v>0</v>
      </c>
      <c r="AW2160">
        <v>0</v>
      </c>
      <c r="AX2160">
        <v>0</v>
      </c>
      <c r="AY2160">
        <v>0</v>
      </c>
      <c r="AZ2160">
        <v>0</v>
      </c>
      <c r="BA2160">
        <v>0</v>
      </c>
      <c r="BB2160">
        <v>0</v>
      </c>
      <c r="BC2160">
        <v>0</v>
      </c>
      <c r="BD2160">
        <v>0</v>
      </c>
      <c r="BE2160">
        <v>0</v>
      </c>
      <c r="BF2160">
        <v>0</v>
      </c>
      <c r="BG2160">
        <v>0</v>
      </c>
      <c r="BH2160">
        <v>1</v>
      </c>
      <c r="BI2160">
        <v>0.9</v>
      </c>
      <c r="BJ2160">
        <v>1.9</v>
      </c>
      <c r="BK2160">
        <v>2</v>
      </c>
      <c r="BL2160" s="4">
        <v>50.45</v>
      </c>
      <c r="BM2160" s="4">
        <v>7.57</v>
      </c>
      <c r="BN2160" s="4">
        <v>58.02</v>
      </c>
      <c r="BO2160" s="4">
        <v>58.02</v>
      </c>
      <c r="BQ2160" t="s">
        <v>147</v>
      </c>
      <c r="BR2160" t="s">
        <v>84</v>
      </c>
      <c r="BS2160" s="3">
        <v>43819</v>
      </c>
      <c r="BT2160" s="5">
        <v>0.42430555555555555</v>
      </c>
      <c r="BU2160" t="s">
        <v>1253</v>
      </c>
      <c r="BV2160" t="s">
        <v>86</v>
      </c>
      <c r="BY2160">
        <v>9303.84</v>
      </c>
      <c r="CC2160" t="s">
        <v>578</v>
      </c>
      <c r="CD2160">
        <v>6536</v>
      </c>
      <c r="CE2160" t="s">
        <v>96</v>
      </c>
      <c r="CF2160" s="3">
        <v>43822</v>
      </c>
      <c r="CI2160">
        <v>1</v>
      </c>
      <c r="CJ2160">
        <v>1</v>
      </c>
      <c r="CK2160">
        <v>21</v>
      </c>
      <c r="CL2160" t="s">
        <v>89</v>
      </c>
    </row>
    <row r="2161" spans="1:90">
      <c r="A2161" t="s">
        <v>72</v>
      </c>
      <c r="B2161" t="s">
        <v>73</v>
      </c>
      <c r="C2161" t="s">
        <v>74</v>
      </c>
      <c r="E2161" t="str">
        <f>"FES1162729170"</f>
        <v>FES1162729170</v>
      </c>
      <c r="F2161" s="3">
        <v>43818</v>
      </c>
      <c r="G2161">
        <v>202006</v>
      </c>
      <c r="H2161" t="s">
        <v>75</v>
      </c>
      <c r="I2161" t="s">
        <v>76</v>
      </c>
      <c r="J2161" t="s">
        <v>77</v>
      </c>
      <c r="K2161" t="s">
        <v>78</v>
      </c>
      <c r="L2161" t="s">
        <v>515</v>
      </c>
      <c r="M2161" t="s">
        <v>516</v>
      </c>
      <c r="N2161" t="s">
        <v>517</v>
      </c>
      <c r="O2161" t="s">
        <v>82</v>
      </c>
      <c r="P2161" t="str">
        <f>"2170722144                    "</f>
        <v xml:space="preserve">2170722144                    </v>
      </c>
      <c r="Q2161">
        <v>0</v>
      </c>
      <c r="R2161">
        <v>0</v>
      </c>
      <c r="S2161">
        <v>0</v>
      </c>
      <c r="T2161">
        <v>0</v>
      </c>
      <c r="U2161">
        <v>0</v>
      </c>
      <c r="V2161">
        <v>0</v>
      </c>
      <c r="W2161">
        <v>0</v>
      </c>
      <c r="X2161">
        <v>0</v>
      </c>
      <c r="Y2161">
        <v>0</v>
      </c>
      <c r="Z2161">
        <v>0</v>
      </c>
      <c r="AA2161">
        <v>0</v>
      </c>
      <c r="AB2161">
        <v>0</v>
      </c>
      <c r="AC2161">
        <v>0</v>
      </c>
      <c r="AD2161">
        <v>0</v>
      </c>
      <c r="AE2161">
        <v>0</v>
      </c>
      <c r="AF2161">
        <v>0</v>
      </c>
      <c r="AG2161">
        <v>0</v>
      </c>
      <c r="AH2161">
        <v>0</v>
      </c>
      <c r="AI2161">
        <v>0</v>
      </c>
      <c r="AJ2161">
        <v>0</v>
      </c>
      <c r="AK2161">
        <v>0</v>
      </c>
      <c r="AL2161">
        <v>0</v>
      </c>
      <c r="AM2161">
        <v>23.59</v>
      </c>
      <c r="AN2161">
        <v>0</v>
      </c>
      <c r="AO2161">
        <v>0</v>
      </c>
      <c r="AP2161">
        <v>0</v>
      </c>
      <c r="AQ2161">
        <v>0</v>
      </c>
      <c r="AR2161">
        <v>0</v>
      </c>
      <c r="AS2161">
        <v>0</v>
      </c>
      <c r="AT2161">
        <v>0</v>
      </c>
      <c r="AU2161">
        <v>0</v>
      </c>
      <c r="AV2161">
        <v>0</v>
      </c>
      <c r="AW2161">
        <v>0</v>
      </c>
      <c r="AX2161">
        <v>0</v>
      </c>
      <c r="AY2161">
        <v>0</v>
      </c>
      <c r="AZ2161">
        <v>0</v>
      </c>
      <c r="BA2161">
        <v>0</v>
      </c>
      <c r="BB2161">
        <v>0</v>
      </c>
      <c r="BC2161">
        <v>0</v>
      </c>
      <c r="BD2161">
        <v>0</v>
      </c>
      <c r="BE2161">
        <v>0</v>
      </c>
      <c r="BF2161">
        <v>0</v>
      </c>
      <c r="BG2161">
        <v>0</v>
      </c>
      <c r="BH2161">
        <v>1</v>
      </c>
      <c r="BI2161">
        <v>3.5</v>
      </c>
      <c r="BJ2161">
        <v>5.3</v>
      </c>
      <c r="BK2161">
        <v>5.5</v>
      </c>
      <c r="BL2161" s="4">
        <v>138.68</v>
      </c>
      <c r="BM2161" s="4">
        <v>20.8</v>
      </c>
      <c r="BN2161" s="4">
        <v>159.47999999999999</v>
      </c>
      <c r="BO2161" s="4">
        <v>159.47999999999999</v>
      </c>
      <c r="BQ2161" t="s">
        <v>147</v>
      </c>
      <c r="BR2161" t="s">
        <v>84</v>
      </c>
      <c r="BS2161" s="3">
        <v>43819</v>
      </c>
      <c r="BT2161" s="5">
        <v>0.32847222222222222</v>
      </c>
      <c r="BU2161" t="s">
        <v>2412</v>
      </c>
      <c r="BV2161" t="s">
        <v>86</v>
      </c>
      <c r="BY2161">
        <v>26679.07</v>
      </c>
      <c r="CA2161" t="s">
        <v>212</v>
      </c>
      <c r="CC2161" t="s">
        <v>516</v>
      </c>
      <c r="CD2161">
        <v>4300</v>
      </c>
      <c r="CE2161" t="s">
        <v>116</v>
      </c>
      <c r="CF2161" s="3">
        <v>43822</v>
      </c>
      <c r="CI2161">
        <v>1</v>
      </c>
      <c r="CJ2161">
        <v>1</v>
      </c>
      <c r="CK2161">
        <v>21</v>
      </c>
      <c r="CL2161" t="s">
        <v>89</v>
      </c>
    </row>
    <row r="2162" spans="1:90">
      <c r="A2162" t="s">
        <v>72</v>
      </c>
      <c r="B2162" t="s">
        <v>73</v>
      </c>
      <c r="C2162" t="s">
        <v>74</v>
      </c>
      <c r="E2162" t="str">
        <f>"FES1162729191"</f>
        <v>FES1162729191</v>
      </c>
      <c r="F2162" s="3">
        <v>43818</v>
      </c>
      <c r="G2162">
        <v>202006</v>
      </c>
      <c r="H2162" t="s">
        <v>75</v>
      </c>
      <c r="I2162" t="s">
        <v>76</v>
      </c>
      <c r="J2162" t="s">
        <v>77</v>
      </c>
      <c r="K2162" t="s">
        <v>78</v>
      </c>
      <c r="L2162" t="s">
        <v>849</v>
      </c>
      <c r="M2162" t="s">
        <v>850</v>
      </c>
      <c r="N2162" t="s">
        <v>851</v>
      </c>
      <c r="O2162" t="s">
        <v>82</v>
      </c>
      <c r="P2162" t="str">
        <f>"2170715262                    "</f>
        <v xml:space="preserve">2170715262                    </v>
      </c>
      <c r="Q2162">
        <v>0</v>
      </c>
      <c r="R2162">
        <v>0</v>
      </c>
      <c r="S2162">
        <v>0</v>
      </c>
      <c r="T2162">
        <v>0</v>
      </c>
      <c r="U2162">
        <v>0</v>
      </c>
      <c r="V2162">
        <v>0</v>
      </c>
      <c r="W2162">
        <v>0</v>
      </c>
      <c r="X2162">
        <v>0</v>
      </c>
      <c r="Y2162">
        <v>0</v>
      </c>
      <c r="Z2162">
        <v>0</v>
      </c>
      <c r="AA2162">
        <v>0</v>
      </c>
      <c r="AB2162">
        <v>0</v>
      </c>
      <c r="AC2162">
        <v>0</v>
      </c>
      <c r="AD2162">
        <v>0</v>
      </c>
      <c r="AE2162">
        <v>0</v>
      </c>
      <c r="AF2162">
        <v>0</v>
      </c>
      <c r="AG2162">
        <v>0</v>
      </c>
      <c r="AH2162">
        <v>0</v>
      </c>
      <c r="AI2162">
        <v>0</v>
      </c>
      <c r="AJ2162">
        <v>0</v>
      </c>
      <c r="AK2162">
        <v>0</v>
      </c>
      <c r="AL2162">
        <v>0</v>
      </c>
      <c r="AM2162">
        <v>17.16</v>
      </c>
      <c r="AN2162">
        <v>0</v>
      </c>
      <c r="AO2162">
        <v>0</v>
      </c>
      <c r="AP2162">
        <v>0</v>
      </c>
      <c r="AQ2162">
        <v>0</v>
      </c>
      <c r="AR2162">
        <v>0</v>
      </c>
      <c r="AS2162">
        <v>0</v>
      </c>
      <c r="AT2162">
        <v>0</v>
      </c>
      <c r="AU2162">
        <v>0</v>
      </c>
      <c r="AV2162">
        <v>0</v>
      </c>
      <c r="AW2162">
        <v>0</v>
      </c>
      <c r="AX2162">
        <v>0</v>
      </c>
      <c r="AY2162">
        <v>0</v>
      </c>
      <c r="AZ2162">
        <v>0</v>
      </c>
      <c r="BA2162">
        <v>0</v>
      </c>
      <c r="BB2162">
        <v>0</v>
      </c>
      <c r="BC2162">
        <v>0</v>
      </c>
      <c r="BD2162">
        <v>0</v>
      </c>
      <c r="BE2162">
        <v>0</v>
      </c>
      <c r="BF2162">
        <v>0</v>
      </c>
      <c r="BG2162">
        <v>0</v>
      </c>
      <c r="BH2162">
        <v>1</v>
      </c>
      <c r="BI2162">
        <v>2.8</v>
      </c>
      <c r="BJ2162">
        <v>3.8</v>
      </c>
      <c r="BK2162">
        <v>4</v>
      </c>
      <c r="BL2162" s="4">
        <v>100.87</v>
      </c>
      <c r="BM2162" s="4">
        <v>15.13</v>
      </c>
      <c r="BN2162" s="4">
        <v>116</v>
      </c>
      <c r="BO2162" s="4">
        <v>116</v>
      </c>
      <c r="BQ2162" t="s">
        <v>147</v>
      </c>
      <c r="BR2162" t="s">
        <v>84</v>
      </c>
      <c r="BS2162" s="3">
        <v>43819</v>
      </c>
      <c r="BT2162" s="5">
        <v>0.42083333333333334</v>
      </c>
      <c r="BU2162" t="s">
        <v>528</v>
      </c>
      <c r="BV2162" t="s">
        <v>86</v>
      </c>
      <c r="BY2162">
        <v>18996.05</v>
      </c>
      <c r="CA2162" t="s">
        <v>2400</v>
      </c>
      <c r="CC2162" t="s">
        <v>850</v>
      </c>
      <c r="CD2162">
        <v>3290</v>
      </c>
      <c r="CE2162" t="s">
        <v>116</v>
      </c>
      <c r="CF2162" s="3">
        <v>43822</v>
      </c>
      <c r="CI2162">
        <v>1</v>
      </c>
      <c r="CJ2162">
        <v>1</v>
      </c>
      <c r="CK2162">
        <v>21</v>
      </c>
      <c r="CL2162" t="s">
        <v>89</v>
      </c>
    </row>
    <row r="2163" spans="1:90">
      <c r="A2163" t="s">
        <v>72</v>
      </c>
      <c r="B2163" t="s">
        <v>73</v>
      </c>
      <c r="C2163" t="s">
        <v>74</v>
      </c>
      <c r="E2163" t="str">
        <f>"FES1162729183"</f>
        <v>FES1162729183</v>
      </c>
      <c r="F2163" s="3">
        <v>43818</v>
      </c>
      <c r="G2163">
        <v>202006</v>
      </c>
      <c r="H2163" t="s">
        <v>75</v>
      </c>
      <c r="I2163" t="s">
        <v>76</v>
      </c>
      <c r="J2163" t="s">
        <v>77</v>
      </c>
      <c r="K2163" t="s">
        <v>78</v>
      </c>
      <c r="L2163" t="s">
        <v>198</v>
      </c>
      <c r="M2163" t="s">
        <v>199</v>
      </c>
      <c r="N2163" t="s">
        <v>2413</v>
      </c>
      <c r="O2163" t="s">
        <v>82</v>
      </c>
      <c r="P2163" t="str">
        <f>"2170722172                    "</f>
        <v xml:space="preserve">2170722172                    </v>
      </c>
      <c r="Q2163">
        <v>0</v>
      </c>
      <c r="R2163">
        <v>0</v>
      </c>
      <c r="S2163">
        <v>0</v>
      </c>
      <c r="T2163">
        <v>0</v>
      </c>
      <c r="U2163">
        <v>0</v>
      </c>
      <c r="V2163">
        <v>0</v>
      </c>
      <c r="W2163">
        <v>0</v>
      </c>
      <c r="X2163">
        <v>0</v>
      </c>
      <c r="Y2163">
        <v>0</v>
      </c>
      <c r="Z2163">
        <v>0</v>
      </c>
      <c r="AA2163">
        <v>0</v>
      </c>
      <c r="AB2163">
        <v>0</v>
      </c>
      <c r="AC2163">
        <v>0</v>
      </c>
      <c r="AD2163">
        <v>0</v>
      </c>
      <c r="AE2163">
        <v>0</v>
      </c>
      <c r="AF2163">
        <v>0</v>
      </c>
      <c r="AG2163">
        <v>0</v>
      </c>
      <c r="AH2163">
        <v>0</v>
      </c>
      <c r="AI2163">
        <v>0</v>
      </c>
      <c r="AJ2163">
        <v>0</v>
      </c>
      <c r="AK2163">
        <v>0</v>
      </c>
      <c r="AL2163">
        <v>0</v>
      </c>
      <c r="AM2163">
        <v>19.3</v>
      </c>
      <c r="AN2163">
        <v>0</v>
      </c>
      <c r="AO2163">
        <v>0</v>
      </c>
      <c r="AP2163">
        <v>0</v>
      </c>
      <c r="AQ2163">
        <v>0</v>
      </c>
      <c r="AR2163">
        <v>0</v>
      </c>
      <c r="AS2163">
        <v>0</v>
      </c>
      <c r="AT2163">
        <v>0</v>
      </c>
      <c r="AU2163">
        <v>0</v>
      </c>
      <c r="AV2163">
        <v>0</v>
      </c>
      <c r="AW2163">
        <v>0</v>
      </c>
      <c r="AX2163">
        <v>0</v>
      </c>
      <c r="AY2163">
        <v>0</v>
      </c>
      <c r="AZ2163">
        <v>0</v>
      </c>
      <c r="BA2163">
        <v>0</v>
      </c>
      <c r="BB2163">
        <v>0</v>
      </c>
      <c r="BC2163">
        <v>0</v>
      </c>
      <c r="BD2163">
        <v>0</v>
      </c>
      <c r="BE2163">
        <v>0</v>
      </c>
      <c r="BF2163">
        <v>0</v>
      </c>
      <c r="BG2163">
        <v>0</v>
      </c>
      <c r="BH2163">
        <v>1</v>
      </c>
      <c r="BI2163">
        <v>1.8</v>
      </c>
      <c r="BJ2163">
        <v>4.0999999999999996</v>
      </c>
      <c r="BK2163">
        <v>4.5</v>
      </c>
      <c r="BL2163" s="4">
        <v>113.47</v>
      </c>
      <c r="BM2163" s="4">
        <v>17.02</v>
      </c>
      <c r="BN2163" s="4">
        <v>130.49</v>
      </c>
      <c r="BO2163" s="4">
        <v>130.49</v>
      </c>
      <c r="BR2163" t="s">
        <v>84</v>
      </c>
      <c r="BS2163" s="3">
        <v>43819</v>
      </c>
      <c r="BT2163" s="5">
        <v>0.83680555555555547</v>
      </c>
      <c r="BU2163" t="s">
        <v>2414</v>
      </c>
      <c r="BV2163" t="s">
        <v>89</v>
      </c>
      <c r="BW2163" t="s">
        <v>149</v>
      </c>
      <c r="BX2163" t="s">
        <v>1354</v>
      </c>
      <c r="BY2163">
        <v>20428.88</v>
      </c>
      <c r="CA2163" t="s">
        <v>569</v>
      </c>
      <c r="CC2163" t="s">
        <v>199</v>
      </c>
      <c r="CD2163">
        <v>4051</v>
      </c>
      <c r="CE2163" t="s">
        <v>116</v>
      </c>
      <c r="CF2163" s="3">
        <v>43823</v>
      </c>
      <c r="CI2163">
        <v>1</v>
      </c>
      <c r="CJ2163">
        <v>1</v>
      </c>
      <c r="CK2163">
        <v>21</v>
      </c>
      <c r="CL2163" t="s">
        <v>89</v>
      </c>
    </row>
    <row r="2164" spans="1:90">
      <c r="A2164" t="s">
        <v>72</v>
      </c>
      <c r="B2164" t="s">
        <v>73</v>
      </c>
      <c r="C2164" t="s">
        <v>74</v>
      </c>
      <c r="E2164" t="str">
        <f>"FES1162729077"</f>
        <v>FES1162729077</v>
      </c>
      <c r="F2164" s="3">
        <v>43818</v>
      </c>
      <c r="G2164">
        <v>202006</v>
      </c>
      <c r="H2164" t="s">
        <v>75</v>
      </c>
      <c r="I2164" t="s">
        <v>76</v>
      </c>
      <c r="J2164" t="s">
        <v>77</v>
      </c>
      <c r="K2164" t="s">
        <v>78</v>
      </c>
      <c r="L2164" t="s">
        <v>860</v>
      </c>
      <c r="M2164" t="s">
        <v>861</v>
      </c>
      <c r="N2164" t="s">
        <v>907</v>
      </c>
      <c r="O2164" t="s">
        <v>82</v>
      </c>
      <c r="P2164" t="str">
        <f>"2170720372                    "</f>
        <v xml:space="preserve">2170720372                    </v>
      </c>
      <c r="Q2164">
        <v>0</v>
      </c>
      <c r="R2164">
        <v>0</v>
      </c>
      <c r="S2164">
        <v>0</v>
      </c>
      <c r="T2164">
        <v>0</v>
      </c>
      <c r="U2164">
        <v>0</v>
      </c>
      <c r="V2164">
        <v>0</v>
      </c>
      <c r="W2164">
        <v>0</v>
      </c>
      <c r="X2164">
        <v>0</v>
      </c>
      <c r="Y2164">
        <v>0</v>
      </c>
      <c r="Z2164">
        <v>0</v>
      </c>
      <c r="AA2164">
        <v>0</v>
      </c>
      <c r="AB2164">
        <v>0</v>
      </c>
      <c r="AC2164">
        <v>0</v>
      </c>
      <c r="AD2164">
        <v>0</v>
      </c>
      <c r="AE2164">
        <v>0</v>
      </c>
      <c r="AF2164">
        <v>0</v>
      </c>
      <c r="AG2164">
        <v>0</v>
      </c>
      <c r="AH2164">
        <v>0</v>
      </c>
      <c r="AI2164">
        <v>0</v>
      </c>
      <c r="AJ2164">
        <v>0</v>
      </c>
      <c r="AK2164">
        <v>0</v>
      </c>
      <c r="AL2164">
        <v>0</v>
      </c>
      <c r="AM2164">
        <v>6.71</v>
      </c>
      <c r="AN2164">
        <v>0</v>
      </c>
      <c r="AO2164">
        <v>0</v>
      </c>
      <c r="AP2164">
        <v>0</v>
      </c>
      <c r="AQ2164">
        <v>0</v>
      </c>
      <c r="AR2164">
        <v>0</v>
      </c>
      <c r="AS2164">
        <v>0</v>
      </c>
      <c r="AT2164">
        <v>0</v>
      </c>
      <c r="AU2164">
        <v>0</v>
      </c>
      <c r="AV2164">
        <v>0</v>
      </c>
      <c r="AW2164">
        <v>0</v>
      </c>
      <c r="AX2164">
        <v>0</v>
      </c>
      <c r="AY2164">
        <v>0</v>
      </c>
      <c r="AZ2164">
        <v>0</v>
      </c>
      <c r="BA2164">
        <v>0</v>
      </c>
      <c r="BB2164">
        <v>0</v>
      </c>
      <c r="BC2164">
        <v>0</v>
      </c>
      <c r="BD2164">
        <v>0</v>
      </c>
      <c r="BE2164">
        <v>0</v>
      </c>
      <c r="BF2164">
        <v>0</v>
      </c>
      <c r="BG2164">
        <v>0</v>
      </c>
      <c r="BH2164">
        <v>1</v>
      </c>
      <c r="BI2164">
        <v>0.7</v>
      </c>
      <c r="BJ2164">
        <v>0.7</v>
      </c>
      <c r="BK2164">
        <v>1</v>
      </c>
      <c r="BL2164" s="4">
        <v>39.42</v>
      </c>
      <c r="BM2164" s="4">
        <v>5.91</v>
      </c>
      <c r="BN2164" s="4">
        <v>45.33</v>
      </c>
      <c r="BO2164" s="4">
        <v>45.33</v>
      </c>
      <c r="BR2164" t="s">
        <v>84</v>
      </c>
      <c r="BS2164" s="3">
        <v>43819</v>
      </c>
      <c r="BT2164" s="5">
        <v>0.31666666666666665</v>
      </c>
      <c r="BU2164" t="s">
        <v>2252</v>
      </c>
      <c r="BV2164" t="s">
        <v>86</v>
      </c>
      <c r="BY2164">
        <v>3692.17</v>
      </c>
      <c r="CC2164" t="s">
        <v>861</v>
      </c>
      <c r="CD2164">
        <v>2194</v>
      </c>
      <c r="CE2164" t="s">
        <v>116</v>
      </c>
      <c r="CF2164" s="3">
        <v>43822</v>
      </c>
      <c r="CI2164">
        <v>1</v>
      </c>
      <c r="CJ2164">
        <v>1</v>
      </c>
      <c r="CK2164">
        <v>22</v>
      </c>
      <c r="CL2164" t="s">
        <v>89</v>
      </c>
    </row>
    <row r="2165" spans="1:90">
      <c r="A2165" t="s">
        <v>72</v>
      </c>
      <c r="B2165" t="s">
        <v>73</v>
      </c>
      <c r="C2165" t="s">
        <v>74</v>
      </c>
      <c r="E2165" t="str">
        <f>"FES1162729065"</f>
        <v>FES1162729065</v>
      </c>
      <c r="F2165" s="3">
        <v>43818</v>
      </c>
      <c r="G2165">
        <v>202006</v>
      </c>
      <c r="H2165" t="s">
        <v>75</v>
      </c>
      <c r="I2165" t="s">
        <v>76</v>
      </c>
      <c r="J2165" t="s">
        <v>77</v>
      </c>
      <c r="K2165" t="s">
        <v>78</v>
      </c>
      <c r="L2165" t="s">
        <v>164</v>
      </c>
      <c r="M2165" t="s">
        <v>165</v>
      </c>
      <c r="N2165" t="s">
        <v>263</v>
      </c>
      <c r="O2165" t="s">
        <v>82</v>
      </c>
      <c r="P2165" t="str">
        <f>"2170720271                    "</f>
        <v xml:space="preserve">2170720271                    </v>
      </c>
      <c r="Q2165">
        <v>0</v>
      </c>
      <c r="R2165">
        <v>0</v>
      </c>
      <c r="S2165">
        <v>0</v>
      </c>
      <c r="T2165">
        <v>0</v>
      </c>
      <c r="U2165">
        <v>0</v>
      </c>
      <c r="V2165">
        <v>0</v>
      </c>
      <c r="W2165">
        <v>0</v>
      </c>
      <c r="X2165">
        <v>0</v>
      </c>
      <c r="Y2165">
        <v>0</v>
      </c>
      <c r="Z2165">
        <v>0</v>
      </c>
      <c r="AA2165">
        <v>0</v>
      </c>
      <c r="AB2165">
        <v>0</v>
      </c>
      <c r="AC2165">
        <v>0</v>
      </c>
      <c r="AD2165">
        <v>0</v>
      </c>
      <c r="AE2165">
        <v>0</v>
      </c>
      <c r="AF2165">
        <v>0</v>
      </c>
      <c r="AG2165">
        <v>0</v>
      </c>
      <c r="AH2165">
        <v>0</v>
      </c>
      <c r="AI2165">
        <v>0</v>
      </c>
      <c r="AJ2165">
        <v>0</v>
      </c>
      <c r="AK2165">
        <v>0</v>
      </c>
      <c r="AL2165">
        <v>0</v>
      </c>
      <c r="AM2165">
        <v>8.58</v>
      </c>
      <c r="AN2165">
        <v>0</v>
      </c>
      <c r="AO2165">
        <v>0</v>
      </c>
      <c r="AP2165">
        <v>0</v>
      </c>
      <c r="AQ2165">
        <v>0</v>
      </c>
      <c r="AR2165">
        <v>0</v>
      </c>
      <c r="AS2165">
        <v>0</v>
      </c>
      <c r="AT2165">
        <v>0</v>
      </c>
      <c r="AU2165">
        <v>0</v>
      </c>
      <c r="AV2165">
        <v>0</v>
      </c>
      <c r="AW2165">
        <v>0</v>
      </c>
      <c r="AX2165">
        <v>0</v>
      </c>
      <c r="AY2165">
        <v>0</v>
      </c>
      <c r="AZ2165">
        <v>0</v>
      </c>
      <c r="BA2165">
        <v>0</v>
      </c>
      <c r="BB2165">
        <v>0</v>
      </c>
      <c r="BC2165">
        <v>0</v>
      </c>
      <c r="BD2165">
        <v>0</v>
      </c>
      <c r="BE2165">
        <v>0</v>
      </c>
      <c r="BF2165">
        <v>0</v>
      </c>
      <c r="BG2165">
        <v>0</v>
      </c>
      <c r="BH2165">
        <v>1</v>
      </c>
      <c r="BI2165">
        <v>1</v>
      </c>
      <c r="BJ2165">
        <v>0.2</v>
      </c>
      <c r="BK2165">
        <v>1</v>
      </c>
      <c r="BL2165" s="4">
        <v>50.45</v>
      </c>
      <c r="BM2165" s="4">
        <v>7.57</v>
      </c>
      <c r="BN2165" s="4">
        <v>58.02</v>
      </c>
      <c r="BO2165" s="4">
        <v>58.02</v>
      </c>
      <c r="BQ2165" t="s">
        <v>147</v>
      </c>
      <c r="BR2165" t="s">
        <v>84</v>
      </c>
      <c r="BS2165" s="3">
        <v>43819</v>
      </c>
      <c r="BT2165" s="5">
        <v>0.43194444444444446</v>
      </c>
      <c r="BU2165" t="s">
        <v>1261</v>
      </c>
      <c r="BV2165" t="s">
        <v>86</v>
      </c>
      <c r="BY2165">
        <v>1200</v>
      </c>
      <c r="CA2165" t="s">
        <v>766</v>
      </c>
      <c r="CC2165" t="s">
        <v>165</v>
      </c>
      <c r="CD2165">
        <v>5201</v>
      </c>
      <c r="CE2165" t="s">
        <v>88</v>
      </c>
      <c r="CF2165" s="3">
        <v>43823</v>
      </c>
      <c r="CI2165">
        <v>1</v>
      </c>
      <c r="CJ2165">
        <v>1</v>
      </c>
      <c r="CK2165">
        <v>21</v>
      </c>
      <c r="CL2165" t="s">
        <v>89</v>
      </c>
    </row>
    <row r="2166" spans="1:90">
      <c r="A2166" t="s">
        <v>72</v>
      </c>
      <c r="B2166" t="s">
        <v>73</v>
      </c>
      <c r="C2166" t="s">
        <v>74</v>
      </c>
      <c r="E2166" t="str">
        <f>"FES1162729227"</f>
        <v>FES1162729227</v>
      </c>
      <c r="F2166" s="3">
        <v>43818</v>
      </c>
      <c r="G2166">
        <v>202006</v>
      </c>
      <c r="H2166" t="s">
        <v>75</v>
      </c>
      <c r="I2166" t="s">
        <v>76</v>
      </c>
      <c r="J2166" t="s">
        <v>77</v>
      </c>
      <c r="K2166" t="s">
        <v>78</v>
      </c>
      <c r="L2166" t="s">
        <v>198</v>
      </c>
      <c r="M2166" t="s">
        <v>199</v>
      </c>
      <c r="N2166" t="s">
        <v>842</v>
      </c>
      <c r="O2166" t="s">
        <v>82</v>
      </c>
      <c r="P2166" t="str">
        <f>"2170722215                    "</f>
        <v xml:space="preserve">2170722215                    </v>
      </c>
      <c r="Q2166">
        <v>0</v>
      </c>
      <c r="R2166">
        <v>0</v>
      </c>
      <c r="S2166">
        <v>0</v>
      </c>
      <c r="T2166">
        <v>0</v>
      </c>
      <c r="U2166">
        <v>0</v>
      </c>
      <c r="V2166">
        <v>0</v>
      </c>
      <c r="W2166">
        <v>0</v>
      </c>
      <c r="X2166">
        <v>0</v>
      </c>
      <c r="Y2166">
        <v>0</v>
      </c>
      <c r="Z2166">
        <v>0</v>
      </c>
      <c r="AA2166">
        <v>0</v>
      </c>
      <c r="AB2166">
        <v>0</v>
      </c>
      <c r="AC2166">
        <v>0</v>
      </c>
      <c r="AD2166">
        <v>0</v>
      </c>
      <c r="AE2166">
        <v>0</v>
      </c>
      <c r="AF2166">
        <v>0</v>
      </c>
      <c r="AG2166">
        <v>0</v>
      </c>
      <c r="AH2166">
        <v>0</v>
      </c>
      <c r="AI2166">
        <v>0</v>
      </c>
      <c r="AJ2166">
        <v>0</v>
      </c>
      <c r="AK2166">
        <v>0</v>
      </c>
      <c r="AL2166">
        <v>0</v>
      </c>
      <c r="AM2166">
        <v>8.58</v>
      </c>
      <c r="AN2166">
        <v>0</v>
      </c>
      <c r="AO2166">
        <v>0</v>
      </c>
      <c r="AP2166">
        <v>0</v>
      </c>
      <c r="AQ2166">
        <v>0</v>
      </c>
      <c r="AR2166">
        <v>0</v>
      </c>
      <c r="AS2166">
        <v>0</v>
      </c>
      <c r="AT2166">
        <v>0</v>
      </c>
      <c r="AU2166">
        <v>0</v>
      </c>
      <c r="AV2166">
        <v>0</v>
      </c>
      <c r="AW2166">
        <v>0</v>
      </c>
      <c r="AX2166">
        <v>0</v>
      </c>
      <c r="AY2166">
        <v>0</v>
      </c>
      <c r="AZ2166">
        <v>0</v>
      </c>
      <c r="BA2166">
        <v>0</v>
      </c>
      <c r="BB2166">
        <v>0</v>
      </c>
      <c r="BC2166">
        <v>0</v>
      </c>
      <c r="BD2166">
        <v>0</v>
      </c>
      <c r="BE2166">
        <v>0</v>
      </c>
      <c r="BF2166">
        <v>0</v>
      </c>
      <c r="BG2166">
        <v>0</v>
      </c>
      <c r="BH2166">
        <v>1</v>
      </c>
      <c r="BI2166">
        <v>1</v>
      </c>
      <c r="BJ2166">
        <v>0.2</v>
      </c>
      <c r="BK2166">
        <v>1</v>
      </c>
      <c r="BL2166" s="4">
        <v>50.45</v>
      </c>
      <c r="BM2166" s="4">
        <v>7.57</v>
      </c>
      <c r="BN2166" s="4">
        <v>58.02</v>
      </c>
      <c r="BO2166" s="4">
        <v>58.02</v>
      </c>
      <c r="BQ2166" t="s">
        <v>843</v>
      </c>
      <c r="BR2166" t="s">
        <v>84</v>
      </c>
      <c r="BS2166" s="3">
        <v>43819</v>
      </c>
      <c r="BT2166" s="5">
        <v>0.36805555555555558</v>
      </c>
      <c r="BU2166" t="s">
        <v>2332</v>
      </c>
      <c r="BV2166" t="s">
        <v>86</v>
      </c>
      <c r="BY2166">
        <v>1200</v>
      </c>
      <c r="CA2166" t="s">
        <v>299</v>
      </c>
      <c r="CC2166" t="s">
        <v>199</v>
      </c>
      <c r="CD2166">
        <v>4051</v>
      </c>
      <c r="CE2166" t="s">
        <v>88</v>
      </c>
      <c r="CF2166" s="3">
        <v>43823</v>
      </c>
      <c r="CI2166">
        <v>1</v>
      </c>
      <c r="CJ2166">
        <v>1</v>
      </c>
      <c r="CK2166">
        <v>21</v>
      </c>
      <c r="CL2166" t="s">
        <v>89</v>
      </c>
    </row>
    <row r="2167" spans="1:90">
      <c r="A2167" t="s">
        <v>72</v>
      </c>
      <c r="B2167" t="s">
        <v>73</v>
      </c>
      <c r="C2167" t="s">
        <v>74</v>
      </c>
      <c r="E2167" t="str">
        <f>"FES1162729261"</f>
        <v>FES1162729261</v>
      </c>
      <c r="F2167" s="3">
        <v>43818</v>
      </c>
      <c r="G2167">
        <v>202006</v>
      </c>
      <c r="H2167" t="s">
        <v>75</v>
      </c>
      <c r="I2167" t="s">
        <v>76</v>
      </c>
      <c r="J2167" t="s">
        <v>77</v>
      </c>
      <c r="K2167" t="s">
        <v>78</v>
      </c>
      <c r="L2167" t="s">
        <v>90</v>
      </c>
      <c r="M2167" t="s">
        <v>91</v>
      </c>
      <c r="N2167" t="s">
        <v>875</v>
      </c>
      <c r="O2167" t="s">
        <v>82</v>
      </c>
      <c r="P2167" t="str">
        <f>"2170722258                    "</f>
        <v xml:space="preserve">2170722258                    </v>
      </c>
      <c r="Q2167">
        <v>0</v>
      </c>
      <c r="R2167">
        <v>0</v>
      </c>
      <c r="S2167">
        <v>0</v>
      </c>
      <c r="T2167">
        <v>0</v>
      </c>
      <c r="U2167">
        <v>0</v>
      </c>
      <c r="V2167">
        <v>0</v>
      </c>
      <c r="W2167">
        <v>0</v>
      </c>
      <c r="X2167">
        <v>0</v>
      </c>
      <c r="Y2167">
        <v>0</v>
      </c>
      <c r="Z2167">
        <v>0</v>
      </c>
      <c r="AA2167">
        <v>0</v>
      </c>
      <c r="AB2167">
        <v>0</v>
      </c>
      <c r="AC2167">
        <v>0</v>
      </c>
      <c r="AD2167">
        <v>0</v>
      </c>
      <c r="AE2167">
        <v>0</v>
      </c>
      <c r="AF2167">
        <v>0</v>
      </c>
      <c r="AG2167">
        <v>0</v>
      </c>
      <c r="AH2167">
        <v>0</v>
      </c>
      <c r="AI2167">
        <v>0</v>
      </c>
      <c r="AJ2167">
        <v>0</v>
      </c>
      <c r="AK2167">
        <v>0</v>
      </c>
      <c r="AL2167">
        <v>0</v>
      </c>
      <c r="AM2167">
        <v>8.58</v>
      </c>
      <c r="AN2167">
        <v>0</v>
      </c>
      <c r="AO2167">
        <v>0</v>
      </c>
      <c r="AP2167">
        <v>0</v>
      </c>
      <c r="AQ2167">
        <v>0</v>
      </c>
      <c r="AR2167">
        <v>0</v>
      </c>
      <c r="AS2167">
        <v>0</v>
      </c>
      <c r="AT2167">
        <v>0</v>
      </c>
      <c r="AU2167">
        <v>0</v>
      </c>
      <c r="AV2167">
        <v>0</v>
      </c>
      <c r="AW2167">
        <v>0</v>
      </c>
      <c r="AX2167">
        <v>0</v>
      </c>
      <c r="AY2167">
        <v>0</v>
      </c>
      <c r="AZ2167">
        <v>0</v>
      </c>
      <c r="BA2167">
        <v>0</v>
      </c>
      <c r="BB2167">
        <v>0</v>
      </c>
      <c r="BC2167">
        <v>0</v>
      </c>
      <c r="BD2167">
        <v>0</v>
      </c>
      <c r="BE2167">
        <v>0</v>
      </c>
      <c r="BF2167">
        <v>0</v>
      </c>
      <c r="BG2167">
        <v>0</v>
      </c>
      <c r="BH2167">
        <v>1</v>
      </c>
      <c r="BI2167">
        <v>1</v>
      </c>
      <c r="BJ2167">
        <v>0.2</v>
      </c>
      <c r="BK2167">
        <v>1</v>
      </c>
      <c r="BL2167" s="4">
        <v>50.45</v>
      </c>
      <c r="BM2167" s="4">
        <v>7.57</v>
      </c>
      <c r="BN2167" s="4">
        <v>58.02</v>
      </c>
      <c r="BO2167" s="4">
        <v>58.02</v>
      </c>
      <c r="BQ2167" t="s">
        <v>147</v>
      </c>
      <c r="BR2167" t="s">
        <v>84</v>
      </c>
      <c r="BS2167" s="3">
        <v>43819</v>
      </c>
      <c r="BT2167" s="5">
        <v>0.38541666666666669</v>
      </c>
      <c r="BU2167" t="s">
        <v>876</v>
      </c>
      <c r="BV2167" t="s">
        <v>86</v>
      </c>
      <c r="BY2167">
        <v>1200</v>
      </c>
      <c r="CA2167" t="s">
        <v>809</v>
      </c>
      <c r="CC2167" t="s">
        <v>91</v>
      </c>
      <c r="CD2167">
        <v>7925</v>
      </c>
      <c r="CE2167" t="s">
        <v>88</v>
      </c>
      <c r="CF2167" s="3">
        <v>43822</v>
      </c>
      <c r="CI2167">
        <v>1</v>
      </c>
      <c r="CJ2167">
        <v>1</v>
      </c>
      <c r="CK2167">
        <v>21</v>
      </c>
      <c r="CL2167" t="s">
        <v>89</v>
      </c>
    </row>
    <row r="2168" spans="1:90">
      <c r="A2168" t="s">
        <v>72</v>
      </c>
      <c r="B2168" t="s">
        <v>73</v>
      </c>
      <c r="C2168" t="s">
        <v>74</v>
      </c>
      <c r="E2168" t="str">
        <f>"FES1162729223"</f>
        <v>FES1162729223</v>
      </c>
      <c r="F2168" s="3">
        <v>43818</v>
      </c>
      <c r="G2168">
        <v>202006</v>
      </c>
      <c r="H2168" t="s">
        <v>75</v>
      </c>
      <c r="I2168" t="s">
        <v>76</v>
      </c>
      <c r="J2168" t="s">
        <v>77</v>
      </c>
      <c r="K2168" t="s">
        <v>78</v>
      </c>
      <c r="L2168" t="s">
        <v>221</v>
      </c>
      <c r="M2168" t="s">
        <v>222</v>
      </c>
      <c r="N2168" t="s">
        <v>473</v>
      </c>
      <c r="O2168" t="s">
        <v>82</v>
      </c>
      <c r="P2168" t="str">
        <f>"2170722159                    "</f>
        <v xml:space="preserve">2170722159                    </v>
      </c>
      <c r="Q2168">
        <v>0</v>
      </c>
      <c r="R2168">
        <v>0</v>
      </c>
      <c r="S2168">
        <v>0</v>
      </c>
      <c r="T2168">
        <v>0</v>
      </c>
      <c r="U2168">
        <v>0</v>
      </c>
      <c r="V2168">
        <v>0</v>
      </c>
      <c r="W2168">
        <v>0</v>
      </c>
      <c r="X2168">
        <v>0</v>
      </c>
      <c r="Y2168">
        <v>0</v>
      </c>
      <c r="Z2168">
        <v>0</v>
      </c>
      <c r="AA2168">
        <v>0</v>
      </c>
      <c r="AB2168">
        <v>0</v>
      </c>
      <c r="AC2168">
        <v>0</v>
      </c>
      <c r="AD2168">
        <v>0</v>
      </c>
      <c r="AE2168">
        <v>0</v>
      </c>
      <c r="AF2168">
        <v>0</v>
      </c>
      <c r="AG2168">
        <v>0</v>
      </c>
      <c r="AH2168">
        <v>0</v>
      </c>
      <c r="AI2168">
        <v>0</v>
      </c>
      <c r="AJ2168">
        <v>0</v>
      </c>
      <c r="AK2168">
        <v>0</v>
      </c>
      <c r="AL2168">
        <v>0</v>
      </c>
      <c r="AM2168">
        <v>8.58</v>
      </c>
      <c r="AN2168">
        <v>0</v>
      </c>
      <c r="AO2168">
        <v>0</v>
      </c>
      <c r="AP2168">
        <v>0</v>
      </c>
      <c r="AQ2168">
        <v>0</v>
      </c>
      <c r="AR2168">
        <v>0</v>
      </c>
      <c r="AS2168">
        <v>0</v>
      </c>
      <c r="AT2168">
        <v>0</v>
      </c>
      <c r="AU2168">
        <v>0</v>
      </c>
      <c r="AV2168">
        <v>0</v>
      </c>
      <c r="AW2168">
        <v>0</v>
      </c>
      <c r="AX2168">
        <v>0</v>
      </c>
      <c r="AY2168">
        <v>0</v>
      </c>
      <c r="AZ2168">
        <v>0</v>
      </c>
      <c r="BA2168">
        <v>0</v>
      </c>
      <c r="BB2168">
        <v>0</v>
      </c>
      <c r="BC2168">
        <v>0</v>
      </c>
      <c r="BD2168">
        <v>0</v>
      </c>
      <c r="BE2168">
        <v>0</v>
      </c>
      <c r="BF2168">
        <v>0</v>
      </c>
      <c r="BG2168">
        <v>0</v>
      </c>
      <c r="BH2168">
        <v>1</v>
      </c>
      <c r="BI2168">
        <v>1</v>
      </c>
      <c r="BJ2168">
        <v>0.2</v>
      </c>
      <c r="BK2168">
        <v>1</v>
      </c>
      <c r="BL2168" s="4">
        <v>50.45</v>
      </c>
      <c r="BM2168" s="4">
        <v>7.57</v>
      </c>
      <c r="BN2168" s="4">
        <v>58.02</v>
      </c>
      <c r="BO2168" s="4">
        <v>58.02</v>
      </c>
      <c r="BQ2168" t="s">
        <v>147</v>
      </c>
      <c r="BR2168" t="s">
        <v>84</v>
      </c>
      <c r="BS2168" s="3">
        <v>43819</v>
      </c>
      <c r="BT2168" s="5">
        <v>0.39930555555555558</v>
      </c>
      <c r="BU2168" t="s">
        <v>1107</v>
      </c>
      <c r="BV2168" t="s">
        <v>86</v>
      </c>
      <c r="BY2168">
        <v>1200</v>
      </c>
      <c r="CA2168" t="s">
        <v>1488</v>
      </c>
      <c r="CC2168" t="s">
        <v>222</v>
      </c>
      <c r="CD2168">
        <v>3201</v>
      </c>
      <c r="CE2168" t="s">
        <v>88</v>
      </c>
      <c r="CF2168" s="3">
        <v>43822</v>
      </c>
      <c r="CI2168">
        <v>1</v>
      </c>
      <c r="CJ2168">
        <v>1</v>
      </c>
      <c r="CK2168">
        <v>21</v>
      </c>
      <c r="CL2168" t="s">
        <v>89</v>
      </c>
    </row>
    <row r="2169" spans="1:90">
      <c r="A2169" t="s">
        <v>72</v>
      </c>
      <c r="B2169" t="s">
        <v>73</v>
      </c>
      <c r="C2169" t="s">
        <v>74</v>
      </c>
      <c r="E2169" t="str">
        <f>"FES1162729264"</f>
        <v>FES1162729264</v>
      </c>
      <c r="F2169" s="3">
        <v>43818</v>
      </c>
      <c r="G2169">
        <v>202006</v>
      </c>
      <c r="H2169" t="s">
        <v>75</v>
      </c>
      <c r="I2169" t="s">
        <v>76</v>
      </c>
      <c r="J2169" t="s">
        <v>77</v>
      </c>
      <c r="K2169" t="s">
        <v>78</v>
      </c>
      <c r="L2169" t="s">
        <v>79</v>
      </c>
      <c r="M2169" t="s">
        <v>80</v>
      </c>
      <c r="N2169" t="s">
        <v>1597</v>
      </c>
      <c r="O2169" t="s">
        <v>82</v>
      </c>
      <c r="P2169" t="str">
        <f>"21707222266                   "</f>
        <v xml:space="preserve">21707222266                   </v>
      </c>
      <c r="Q2169">
        <v>0</v>
      </c>
      <c r="R2169">
        <v>0</v>
      </c>
      <c r="S2169">
        <v>0</v>
      </c>
      <c r="T2169">
        <v>0</v>
      </c>
      <c r="U2169">
        <v>0</v>
      </c>
      <c r="V2169">
        <v>0</v>
      </c>
      <c r="W2169">
        <v>0</v>
      </c>
      <c r="X2169">
        <v>0</v>
      </c>
      <c r="Y2169">
        <v>0</v>
      </c>
      <c r="Z2169">
        <v>0</v>
      </c>
      <c r="AA2169">
        <v>0</v>
      </c>
      <c r="AB2169">
        <v>0</v>
      </c>
      <c r="AC2169">
        <v>0</v>
      </c>
      <c r="AD2169">
        <v>0</v>
      </c>
      <c r="AE2169">
        <v>0</v>
      </c>
      <c r="AF2169">
        <v>0</v>
      </c>
      <c r="AG2169">
        <v>0</v>
      </c>
      <c r="AH2169">
        <v>0</v>
      </c>
      <c r="AI2169">
        <v>0</v>
      </c>
      <c r="AJ2169">
        <v>0</v>
      </c>
      <c r="AK2169">
        <v>0</v>
      </c>
      <c r="AL2169">
        <v>0</v>
      </c>
      <c r="AM2169">
        <v>8.58</v>
      </c>
      <c r="AN2169">
        <v>0</v>
      </c>
      <c r="AO2169">
        <v>0</v>
      </c>
      <c r="AP2169">
        <v>0</v>
      </c>
      <c r="AQ2169">
        <v>0</v>
      </c>
      <c r="AR2169">
        <v>0</v>
      </c>
      <c r="AS2169">
        <v>0</v>
      </c>
      <c r="AT2169">
        <v>0</v>
      </c>
      <c r="AU2169">
        <v>0</v>
      </c>
      <c r="AV2169">
        <v>0</v>
      </c>
      <c r="AW2169">
        <v>0</v>
      </c>
      <c r="AX2169">
        <v>0</v>
      </c>
      <c r="AY2169">
        <v>0</v>
      </c>
      <c r="AZ2169">
        <v>0</v>
      </c>
      <c r="BA2169">
        <v>0</v>
      </c>
      <c r="BB2169">
        <v>0</v>
      </c>
      <c r="BC2169">
        <v>0</v>
      </c>
      <c r="BD2169">
        <v>0</v>
      </c>
      <c r="BE2169">
        <v>0</v>
      </c>
      <c r="BF2169">
        <v>0</v>
      </c>
      <c r="BG2169">
        <v>0</v>
      </c>
      <c r="BH2169">
        <v>1</v>
      </c>
      <c r="BI2169">
        <v>1</v>
      </c>
      <c r="BJ2169">
        <v>0.2</v>
      </c>
      <c r="BK2169">
        <v>1</v>
      </c>
      <c r="BL2169" s="4">
        <v>50.45</v>
      </c>
      <c r="BM2169" s="4">
        <v>7.57</v>
      </c>
      <c r="BN2169" s="4">
        <v>58.02</v>
      </c>
      <c r="BO2169" s="4">
        <v>58.02</v>
      </c>
      <c r="BQ2169" t="s">
        <v>1598</v>
      </c>
      <c r="BR2169" t="s">
        <v>84</v>
      </c>
      <c r="BS2169" s="3">
        <v>43819</v>
      </c>
      <c r="BT2169" s="5">
        <v>0.38958333333333334</v>
      </c>
      <c r="BU2169" t="s">
        <v>2415</v>
      </c>
      <c r="BV2169" t="s">
        <v>86</v>
      </c>
      <c r="BY2169">
        <v>1200</v>
      </c>
      <c r="CA2169" t="s">
        <v>131</v>
      </c>
      <c r="CC2169" t="s">
        <v>80</v>
      </c>
      <c r="CD2169">
        <v>6001</v>
      </c>
      <c r="CE2169" t="s">
        <v>88</v>
      </c>
      <c r="CF2169" s="3">
        <v>43822</v>
      </c>
      <c r="CI2169">
        <v>1</v>
      </c>
      <c r="CJ2169">
        <v>1</v>
      </c>
      <c r="CK2169">
        <v>21</v>
      </c>
      <c r="CL2169" t="s">
        <v>89</v>
      </c>
    </row>
    <row r="2170" spans="1:90">
      <c r="A2170" t="s">
        <v>72</v>
      </c>
      <c r="B2170" t="s">
        <v>73</v>
      </c>
      <c r="C2170" t="s">
        <v>74</v>
      </c>
      <c r="E2170" t="str">
        <f>"FES1162729051"</f>
        <v>FES1162729051</v>
      </c>
      <c r="F2170" s="3">
        <v>43818</v>
      </c>
      <c r="G2170">
        <v>202006</v>
      </c>
      <c r="H2170" t="s">
        <v>75</v>
      </c>
      <c r="I2170" t="s">
        <v>76</v>
      </c>
      <c r="J2170" t="s">
        <v>77</v>
      </c>
      <c r="K2170" t="s">
        <v>78</v>
      </c>
      <c r="L2170" t="s">
        <v>1051</v>
      </c>
      <c r="M2170" t="s">
        <v>1052</v>
      </c>
      <c r="N2170" t="s">
        <v>2416</v>
      </c>
      <c r="O2170" t="s">
        <v>82</v>
      </c>
      <c r="P2170" t="str">
        <f>"2170720151                    "</f>
        <v xml:space="preserve">2170720151                    </v>
      </c>
      <c r="Q2170">
        <v>0</v>
      </c>
      <c r="R2170">
        <v>0</v>
      </c>
      <c r="S2170">
        <v>0</v>
      </c>
      <c r="T2170">
        <v>0</v>
      </c>
      <c r="U2170">
        <v>0</v>
      </c>
      <c r="V2170">
        <v>0</v>
      </c>
      <c r="W2170">
        <v>0</v>
      </c>
      <c r="X2170">
        <v>0</v>
      </c>
      <c r="Y2170">
        <v>0</v>
      </c>
      <c r="Z2170">
        <v>0</v>
      </c>
      <c r="AA2170">
        <v>0</v>
      </c>
      <c r="AB2170">
        <v>0</v>
      </c>
      <c r="AC2170">
        <v>0</v>
      </c>
      <c r="AD2170">
        <v>0</v>
      </c>
      <c r="AE2170">
        <v>0</v>
      </c>
      <c r="AF2170">
        <v>0</v>
      </c>
      <c r="AG2170">
        <v>0</v>
      </c>
      <c r="AH2170">
        <v>0</v>
      </c>
      <c r="AI2170">
        <v>0</v>
      </c>
      <c r="AJ2170">
        <v>0</v>
      </c>
      <c r="AK2170">
        <v>0</v>
      </c>
      <c r="AL2170">
        <v>0</v>
      </c>
      <c r="AM2170">
        <v>12.07</v>
      </c>
      <c r="AN2170">
        <v>0</v>
      </c>
      <c r="AO2170">
        <v>0</v>
      </c>
      <c r="AP2170">
        <v>0</v>
      </c>
      <c r="AQ2170">
        <v>0</v>
      </c>
      <c r="AR2170">
        <v>0</v>
      </c>
      <c r="AS2170">
        <v>0</v>
      </c>
      <c r="AT2170">
        <v>0</v>
      </c>
      <c r="AU2170">
        <v>0</v>
      </c>
      <c r="AV2170">
        <v>0</v>
      </c>
      <c r="AW2170">
        <v>0</v>
      </c>
      <c r="AX2170">
        <v>0</v>
      </c>
      <c r="AY2170">
        <v>0</v>
      </c>
      <c r="AZ2170">
        <v>0</v>
      </c>
      <c r="BA2170">
        <v>0</v>
      </c>
      <c r="BB2170">
        <v>0</v>
      </c>
      <c r="BC2170">
        <v>0</v>
      </c>
      <c r="BD2170">
        <v>0</v>
      </c>
      <c r="BE2170">
        <v>0</v>
      </c>
      <c r="BF2170">
        <v>0</v>
      </c>
      <c r="BG2170">
        <v>0</v>
      </c>
      <c r="BH2170">
        <v>1</v>
      </c>
      <c r="BI2170">
        <v>1</v>
      </c>
      <c r="BJ2170">
        <v>0.2</v>
      </c>
      <c r="BK2170">
        <v>1</v>
      </c>
      <c r="BL2170" s="4">
        <v>70.95</v>
      </c>
      <c r="BM2170" s="4">
        <v>10.64</v>
      </c>
      <c r="BN2170" s="4">
        <v>81.59</v>
      </c>
      <c r="BO2170" s="4">
        <v>81.59</v>
      </c>
      <c r="BR2170" t="s">
        <v>84</v>
      </c>
      <c r="BS2170" s="3">
        <v>43819</v>
      </c>
      <c r="BT2170" s="5">
        <v>0.33333333333333331</v>
      </c>
      <c r="BU2170" t="s">
        <v>2417</v>
      </c>
      <c r="BV2170" t="s">
        <v>86</v>
      </c>
      <c r="BY2170">
        <v>1200</v>
      </c>
      <c r="CA2170" t="s">
        <v>1397</v>
      </c>
      <c r="CC2170" t="s">
        <v>1052</v>
      </c>
      <c r="CD2170">
        <v>1748</v>
      </c>
      <c r="CE2170" t="s">
        <v>88</v>
      </c>
      <c r="CF2170" s="3">
        <v>43823</v>
      </c>
      <c r="CI2170">
        <v>1</v>
      </c>
      <c r="CJ2170">
        <v>1</v>
      </c>
      <c r="CK2170">
        <v>24</v>
      </c>
      <c r="CL2170" t="s">
        <v>89</v>
      </c>
    </row>
    <row r="2171" spans="1:90">
      <c r="A2171" t="s">
        <v>72</v>
      </c>
      <c r="B2171" t="s">
        <v>73</v>
      </c>
      <c r="C2171" t="s">
        <v>74</v>
      </c>
      <c r="E2171" t="str">
        <f>"FES1162729052"</f>
        <v>FES1162729052</v>
      </c>
      <c r="F2171" s="3">
        <v>43818</v>
      </c>
      <c r="G2171">
        <v>202006</v>
      </c>
      <c r="H2171" t="s">
        <v>75</v>
      </c>
      <c r="I2171" t="s">
        <v>76</v>
      </c>
      <c r="J2171" t="s">
        <v>77</v>
      </c>
      <c r="K2171" t="s">
        <v>78</v>
      </c>
      <c r="L2171" t="s">
        <v>709</v>
      </c>
      <c r="M2171" t="s">
        <v>710</v>
      </c>
      <c r="N2171" t="s">
        <v>1057</v>
      </c>
      <c r="O2171" t="s">
        <v>82</v>
      </c>
      <c r="P2171" t="str">
        <f>"2170720163                    "</f>
        <v xml:space="preserve">2170720163                    </v>
      </c>
      <c r="Q2171">
        <v>0</v>
      </c>
      <c r="R2171">
        <v>0</v>
      </c>
      <c r="S2171">
        <v>0</v>
      </c>
      <c r="T2171">
        <v>0</v>
      </c>
      <c r="U2171">
        <v>0</v>
      </c>
      <c r="V2171">
        <v>0</v>
      </c>
      <c r="W2171">
        <v>0</v>
      </c>
      <c r="X2171">
        <v>0</v>
      </c>
      <c r="Y2171">
        <v>0</v>
      </c>
      <c r="Z2171">
        <v>0</v>
      </c>
      <c r="AA2171">
        <v>0</v>
      </c>
      <c r="AB2171">
        <v>0</v>
      </c>
      <c r="AC2171">
        <v>0</v>
      </c>
      <c r="AD2171">
        <v>0</v>
      </c>
      <c r="AE2171">
        <v>0</v>
      </c>
      <c r="AF2171">
        <v>0</v>
      </c>
      <c r="AG2171">
        <v>0</v>
      </c>
      <c r="AH2171">
        <v>0</v>
      </c>
      <c r="AI2171">
        <v>0</v>
      </c>
      <c r="AJ2171">
        <v>0</v>
      </c>
      <c r="AK2171">
        <v>0</v>
      </c>
      <c r="AL2171">
        <v>0</v>
      </c>
      <c r="AM2171">
        <v>12.07</v>
      </c>
      <c r="AN2171">
        <v>0</v>
      </c>
      <c r="AO2171">
        <v>0</v>
      </c>
      <c r="AP2171">
        <v>0</v>
      </c>
      <c r="AQ2171">
        <v>0</v>
      </c>
      <c r="AR2171">
        <v>0</v>
      </c>
      <c r="AS2171">
        <v>0</v>
      </c>
      <c r="AT2171">
        <v>0</v>
      </c>
      <c r="AU2171">
        <v>0</v>
      </c>
      <c r="AV2171">
        <v>0</v>
      </c>
      <c r="AW2171">
        <v>0</v>
      </c>
      <c r="AX2171">
        <v>0</v>
      </c>
      <c r="AY2171">
        <v>0</v>
      </c>
      <c r="AZ2171">
        <v>0</v>
      </c>
      <c r="BA2171">
        <v>0</v>
      </c>
      <c r="BB2171">
        <v>0</v>
      </c>
      <c r="BC2171">
        <v>0</v>
      </c>
      <c r="BD2171">
        <v>0</v>
      </c>
      <c r="BE2171">
        <v>0</v>
      </c>
      <c r="BF2171">
        <v>0</v>
      </c>
      <c r="BG2171">
        <v>0</v>
      </c>
      <c r="BH2171">
        <v>1</v>
      </c>
      <c r="BI2171">
        <v>1</v>
      </c>
      <c r="BJ2171">
        <v>0.2</v>
      </c>
      <c r="BK2171">
        <v>1</v>
      </c>
      <c r="BL2171" s="4">
        <v>70.95</v>
      </c>
      <c r="BM2171" s="4">
        <v>10.64</v>
      </c>
      <c r="BN2171" s="4">
        <v>81.59</v>
      </c>
      <c r="BO2171" s="4">
        <v>81.59</v>
      </c>
      <c r="BQ2171" t="s">
        <v>147</v>
      </c>
      <c r="BR2171" t="s">
        <v>84</v>
      </c>
      <c r="BS2171" s="3">
        <v>43819</v>
      </c>
      <c r="BT2171" s="5">
        <v>0.33333333333333331</v>
      </c>
      <c r="BU2171" t="s">
        <v>2418</v>
      </c>
      <c r="BV2171" t="s">
        <v>86</v>
      </c>
      <c r="BY2171">
        <v>1200</v>
      </c>
      <c r="CA2171" t="s">
        <v>713</v>
      </c>
      <c r="CC2171" t="s">
        <v>710</v>
      </c>
      <c r="CD2171">
        <v>1873</v>
      </c>
      <c r="CE2171" t="s">
        <v>88</v>
      </c>
      <c r="CF2171" s="3">
        <v>43822</v>
      </c>
      <c r="CI2171">
        <v>1</v>
      </c>
      <c r="CJ2171">
        <v>1</v>
      </c>
      <c r="CK2171">
        <v>24</v>
      </c>
      <c r="CL2171" t="s">
        <v>89</v>
      </c>
    </row>
    <row r="2172" spans="1:90">
      <c r="A2172" t="s">
        <v>72</v>
      </c>
      <c r="B2172" t="s">
        <v>73</v>
      </c>
      <c r="C2172" t="s">
        <v>74</v>
      </c>
      <c r="E2172" t="str">
        <f>"FES1162729231"</f>
        <v>FES1162729231</v>
      </c>
      <c r="F2172" s="3">
        <v>43818</v>
      </c>
      <c r="G2172">
        <v>202006</v>
      </c>
      <c r="H2172" t="s">
        <v>75</v>
      </c>
      <c r="I2172" t="s">
        <v>76</v>
      </c>
      <c r="J2172" t="s">
        <v>77</v>
      </c>
      <c r="K2172" t="s">
        <v>78</v>
      </c>
      <c r="L2172" t="s">
        <v>332</v>
      </c>
      <c r="M2172" t="s">
        <v>333</v>
      </c>
      <c r="N2172" t="s">
        <v>701</v>
      </c>
      <c r="O2172" t="s">
        <v>82</v>
      </c>
      <c r="P2172" t="str">
        <f>"21707222223                   "</f>
        <v xml:space="preserve">21707222223                   </v>
      </c>
      <c r="Q2172">
        <v>0</v>
      </c>
      <c r="R2172">
        <v>0</v>
      </c>
      <c r="S2172">
        <v>0</v>
      </c>
      <c r="T2172">
        <v>0</v>
      </c>
      <c r="U2172">
        <v>0</v>
      </c>
      <c r="V2172">
        <v>0</v>
      </c>
      <c r="W2172">
        <v>0</v>
      </c>
      <c r="X2172">
        <v>0</v>
      </c>
      <c r="Y2172">
        <v>0</v>
      </c>
      <c r="Z2172">
        <v>0</v>
      </c>
      <c r="AA2172">
        <v>0</v>
      </c>
      <c r="AB2172">
        <v>0</v>
      </c>
      <c r="AC2172">
        <v>0</v>
      </c>
      <c r="AD2172">
        <v>0</v>
      </c>
      <c r="AE2172">
        <v>0</v>
      </c>
      <c r="AF2172">
        <v>0</v>
      </c>
      <c r="AG2172">
        <v>0</v>
      </c>
      <c r="AH2172">
        <v>0</v>
      </c>
      <c r="AI2172">
        <v>0</v>
      </c>
      <c r="AJ2172">
        <v>0</v>
      </c>
      <c r="AK2172">
        <v>0</v>
      </c>
      <c r="AL2172">
        <v>0</v>
      </c>
      <c r="AM2172">
        <v>6.71</v>
      </c>
      <c r="AN2172">
        <v>0</v>
      </c>
      <c r="AO2172">
        <v>0</v>
      </c>
      <c r="AP2172">
        <v>0</v>
      </c>
      <c r="AQ2172">
        <v>0</v>
      </c>
      <c r="AR2172">
        <v>0</v>
      </c>
      <c r="AS2172">
        <v>0</v>
      </c>
      <c r="AT2172">
        <v>0</v>
      </c>
      <c r="AU2172">
        <v>0</v>
      </c>
      <c r="AV2172">
        <v>0</v>
      </c>
      <c r="AW2172">
        <v>0</v>
      </c>
      <c r="AX2172">
        <v>0</v>
      </c>
      <c r="AY2172">
        <v>0</v>
      </c>
      <c r="AZ2172">
        <v>0</v>
      </c>
      <c r="BA2172">
        <v>0</v>
      </c>
      <c r="BB2172">
        <v>0</v>
      </c>
      <c r="BC2172">
        <v>0</v>
      </c>
      <c r="BD2172">
        <v>0</v>
      </c>
      <c r="BE2172">
        <v>0</v>
      </c>
      <c r="BF2172">
        <v>0</v>
      </c>
      <c r="BG2172">
        <v>0</v>
      </c>
      <c r="BH2172">
        <v>1</v>
      </c>
      <c r="BI2172">
        <v>1</v>
      </c>
      <c r="BJ2172">
        <v>0.2</v>
      </c>
      <c r="BK2172">
        <v>1</v>
      </c>
      <c r="BL2172" s="4">
        <v>39.42</v>
      </c>
      <c r="BM2172" s="4">
        <v>5.91</v>
      </c>
      <c r="BN2172" s="4">
        <v>45.33</v>
      </c>
      <c r="BO2172" s="4">
        <v>45.33</v>
      </c>
      <c r="BQ2172" t="s">
        <v>93</v>
      </c>
      <c r="BR2172" t="s">
        <v>84</v>
      </c>
      <c r="BS2172" s="3">
        <v>43819</v>
      </c>
      <c r="BT2172" s="5">
        <v>0.34513888888888888</v>
      </c>
      <c r="BU2172" t="s">
        <v>2333</v>
      </c>
      <c r="BV2172" t="s">
        <v>86</v>
      </c>
      <c r="BY2172">
        <v>1200</v>
      </c>
      <c r="CA2172" t="s">
        <v>700</v>
      </c>
      <c r="CC2172" t="s">
        <v>333</v>
      </c>
      <c r="CD2172">
        <v>2094</v>
      </c>
      <c r="CE2172" t="s">
        <v>88</v>
      </c>
      <c r="CF2172" s="3">
        <v>43822</v>
      </c>
      <c r="CI2172">
        <v>1</v>
      </c>
      <c r="CJ2172">
        <v>1</v>
      </c>
      <c r="CK2172">
        <v>22</v>
      </c>
      <c r="CL2172" t="s">
        <v>89</v>
      </c>
    </row>
    <row r="2173" spans="1:90">
      <c r="A2173" t="s">
        <v>72</v>
      </c>
      <c r="B2173" t="s">
        <v>73</v>
      </c>
      <c r="C2173" t="s">
        <v>74</v>
      </c>
      <c r="E2173" t="str">
        <f>"FES1162729242"</f>
        <v>FES1162729242</v>
      </c>
      <c r="F2173" s="3">
        <v>43818</v>
      </c>
      <c r="G2173">
        <v>202006</v>
      </c>
      <c r="H2173" t="s">
        <v>75</v>
      </c>
      <c r="I2173" t="s">
        <v>76</v>
      </c>
      <c r="J2173" t="s">
        <v>77</v>
      </c>
      <c r="K2173" t="s">
        <v>78</v>
      </c>
      <c r="L2173" t="s">
        <v>332</v>
      </c>
      <c r="M2173" t="s">
        <v>333</v>
      </c>
      <c r="N2173" t="s">
        <v>1655</v>
      </c>
      <c r="O2173" t="s">
        <v>82</v>
      </c>
      <c r="P2173" t="str">
        <f>"21707222221                   "</f>
        <v xml:space="preserve">21707222221                   </v>
      </c>
      <c r="Q2173">
        <v>0</v>
      </c>
      <c r="R2173">
        <v>0</v>
      </c>
      <c r="S2173">
        <v>0</v>
      </c>
      <c r="T2173">
        <v>0</v>
      </c>
      <c r="U2173">
        <v>0</v>
      </c>
      <c r="V2173">
        <v>0</v>
      </c>
      <c r="W2173">
        <v>0</v>
      </c>
      <c r="X2173">
        <v>0</v>
      </c>
      <c r="Y2173">
        <v>0</v>
      </c>
      <c r="Z2173">
        <v>0</v>
      </c>
      <c r="AA2173">
        <v>0</v>
      </c>
      <c r="AB2173">
        <v>0</v>
      </c>
      <c r="AC2173">
        <v>0</v>
      </c>
      <c r="AD2173">
        <v>0</v>
      </c>
      <c r="AE2173">
        <v>0</v>
      </c>
      <c r="AF2173">
        <v>0</v>
      </c>
      <c r="AG2173">
        <v>0</v>
      </c>
      <c r="AH2173">
        <v>0</v>
      </c>
      <c r="AI2173">
        <v>0</v>
      </c>
      <c r="AJ2173">
        <v>0</v>
      </c>
      <c r="AK2173">
        <v>0</v>
      </c>
      <c r="AL2173">
        <v>0</v>
      </c>
      <c r="AM2173">
        <v>6.71</v>
      </c>
      <c r="AN2173">
        <v>0</v>
      </c>
      <c r="AO2173">
        <v>0</v>
      </c>
      <c r="AP2173">
        <v>0</v>
      </c>
      <c r="AQ2173">
        <v>0</v>
      </c>
      <c r="AR2173">
        <v>0</v>
      </c>
      <c r="AS2173">
        <v>0</v>
      </c>
      <c r="AT2173">
        <v>0</v>
      </c>
      <c r="AU2173">
        <v>0</v>
      </c>
      <c r="AV2173">
        <v>0</v>
      </c>
      <c r="AW2173">
        <v>0</v>
      </c>
      <c r="AX2173">
        <v>0</v>
      </c>
      <c r="AY2173">
        <v>0</v>
      </c>
      <c r="AZ2173">
        <v>0</v>
      </c>
      <c r="BA2173">
        <v>0</v>
      </c>
      <c r="BB2173">
        <v>0</v>
      </c>
      <c r="BC2173">
        <v>0</v>
      </c>
      <c r="BD2173">
        <v>0</v>
      </c>
      <c r="BE2173">
        <v>0</v>
      </c>
      <c r="BF2173">
        <v>0</v>
      </c>
      <c r="BG2173">
        <v>0</v>
      </c>
      <c r="BH2173">
        <v>1</v>
      </c>
      <c r="BI2173">
        <v>1</v>
      </c>
      <c r="BJ2173">
        <v>0.2</v>
      </c>
      <c r="BK2173">
        <v>1</v>
      </c>
      <c r="BL2173" s="4">
        <v>39.42</v>
      </c>
      <c r="BM2173" s="4">
        <v>5.91</v>
      </c>
      <c r="BN2173" s="4">
        <v>45.33</v>
      </c>
      <c r="BO2173" s="4">
        <v>45.33</v>
      </c>
      <c r="BQ2173" t="s">
        <v>1656</v>
      </c>
      <c r="BR2173" t="s">
        <v>84</v>
      </c>
      <c r="BS2173" s="3">
        <v>43819</v>
      </c>
      <c r="BT2173" s="5">
        <v>0.36458333333333331</v>
      </c>
      <c r="BU2173" t="s">
        <v>1657</v>
      </c>
      <c r="BV2173" t="s">
        <v>86</v>
      </c>
      <c r="BY2173">
        <v>1200</v>
      </c>
      <c r="CA2173" t="s">
        <v>1658</v>
      </c>
      <c r="CC2173" t="s">
        <v>333</v>
      </c>
      <c r="CD2173">
        <v>2042</v>
      </c>
      <c r="CE2173" t="s">
        <v>88</v>
      </c>
      <c r="CF2173" s="3">
        <v>43822</v>
      </c>
      <c r="CI2173">
        <v>1</v>
      </c>
      <c r="CJ2173">
        <v>1</v>
      </c>
      <c r="CK2173">
        <v>22</v>
      </c>
      <c r="CL2173" t="s">
        <v>89</v>
      </c>
    </row>
    <row r="2174" spans="1:90">
      <c r="A2174" t="s">
        <v>72</v>
      </c>
      <c r="B2174" t="s">
        <v>73</v>
      </c>
      <c r="C2174" t="s">
        <v>74</v>
      </c>
      <c r="E2174" t="str">
        <f>"FES1162729211"</f>
        <v>FES1162729211</v>
      </c>
      <c r="F2174" s="3">
        <v>43818</v>
      </c>
      <c r="G2174">
        <v>202006</v>
      </c>
      <c r="H2174" t="s">
        <v>75</v>
      </c>
      <c r="I2174" t="s">
        <v>76</v>
      </c>
      <c r="J2174" t="s">
        <v>77</v>
      </c>
      <c r="K2174" t="s">
        <v>78</v>
      </c>
      <c r="L2174" t="s">
        <v>577</v>
      </c>
      <c r="M2174" t="s">
        <v>578</v>
      </c>
      <c r="N2174" t="s">
        <v>2395</v>
      </c>
      <c r="O2174" t="s">
        <v>82</v>
      </c>
      <c r="P2174" t="str">
        <f>"2170722199                    "</f>
        <v xml:space="preserve">2170722199                    </v>
      </c>
      <c r="Q2174">
        <v>0</v>
      </c>
      <c r="R2174">
        <v>0</v>
      </c>
      <c r="S2174">
        <v>0</v>
      </c>
      <c r="T2174">
        <v>0</v>
      </c>
      <c r="U2174">
        <v>0</v>
      </c>
      <c r="V2174">
        <v>0</v>
      </c>
      <c r="W2174">
        <v>0</v>
      </c>
      <c r="X2174">
        <v>0</v>
      </c>
      <c r="Y2174">
        <v>0</v>
      </c>
      <c r="Z2174">
        <v>0</v>
      </c>
      <c r="AA2174">
        <v>0</v>
      </c>
      <c r="AB2174">
        <v>0</v>
      </c>
      <c r="AC2174">
        <v>0</v>
      </c>
      <c r="AD2174">
        <v>0</v>
      </c>
      <c r="AE2174">
        <v>0</v>
      </c>
      <c r="AF2174">
        <v>0</v>
      </c>
      <c r="AG2174">
        <v>0</v>
      </c>
      <c r="AH2174">
        <v>0</v>
      </c>
      <c r="AI2174">
        <v>0</v>
      </c>
      <c r="AJ2174">
        <v>0</v>
      </c>
      <c r="AK2174">
        <v>0</v>
      </c>
      <c r="AL2174">
        <v>0</v>
      </c>
      <c r="AM2174">
        <v>8.58</v>
      </c>
      <c r="AN2174">
        <v>0</v>
      </c>
      <c r="AO2174">
        <v>0</v>
      </c>
      <c r="AP2174">
        <v>0</v>
      </c>
      <c r="AQ2174">
        <v>0</v>
      </c>
      <c r="AR2174">
        <v>0</v>
      </c>
      <c r="AS2174">
        <v>0</v>
      </c>
      <c r="AT2174">
        <v>0</v>
      </c>
      <c r="AU2174">
        <v>0</v>
      </c>
      <c r="AV2174">
        <v>0</v>
      </c>
      <c r="AW2174">
        <v>0</v>
      </c>
      <c r="AX2174">
        <v>0</v>
      </c>
      <c r="AY2174">
        <v>0</v>
      </c>
      <c r="AZ2174">
        <v>0</v>
      </c>
      <c r="BA2174">
        <v>0</v>
      </c>
      <c r="BB2174">
        <v>0</v>
      </c>
      <c r="BC2174">
        <v>0</v>
      </c>
      <c r="BD2174">
        <v>0</v>
      </c>
      <c r="BE2174">
        <v>0</v>
      </c>
      <c r="BF2174">
        <v>0</v>
      </c>
      <c r="BG2174">
        <v>0</v>
      </c>
      <c r="BH2174">
        <v>1</v>
      </c>
      <c r="BI2174">
        <v>1</v>
      </c>
      <c r="BJ2174">
        <v>0.2</v>
      </c>
      <c r="BK2174">
        <v>1</v>
      </c>
      <c r="BL2174" s="4">
        <v>50.45</v>
      </c>
      <c r="BM2174" s="4">
        <v>7.57</v>
      </c>
      <c r="BN2174" s="4">
        <v>58.02</v>
      </c>
      <c r="BO2174" s="4">
        <v>58.02</v>
      </c>
      <c r="BR2174" t="s">
        <v>84</v>
      </c>
      <c r="BS2174" s="3">
        <v>43819</v>
      </c>
      <c r="BT2174" s="5">
        <v>0.41875000000000001</v>
      </c>
      <c r="BU2174" t="s">
        <v>2396</v>
      </c>
      <c r="BV2174" t="s">
        <v>86</v>
      </c>
      <c r="BY2174">
        <v>1200</v>
      </c>
      <c r="CC2174" t="s">
        <v>578</v>
      </c>
      <c r="CD2174">
        <v>6529</v>
      </c>
      <c r="CE2174" t="s">
        <v>88</v>
      </c>
      <c r="CF2174" s="3">
        <v>43822</v>
      </c>
      <c r="CI2174">
        <v>1</v>
      </c>
      <c r="CJ2174">
        <v>1</v>
      </c>
      <c r="CK2174">
        <v>21</v>
      </c>
      <c r="CL2174" t="s">
        <v>89</v>
      </c>
    </row>
    <row r="2175" spans="1:90">
      <c r="A2175" t="s">
        <v>72</v>
      </c>
      <c r="B2175" t="s">
        <v>73</v>
      </c>
      <c r="C2175" t="s">
        <v>74</v>
      </c>
      <c r="E2175" t="str">
        <f>"FES1162729256"</f>
        <v>FES1162729256</v>
      </c>
      <c r="F2175" s="3">
        <v>43818</v>
      </c>
      <c r="G2175">
        <v>202006</v>
      </c>
      <c r="H2175" t="s">
        <v>75</v>
      </c>
      <c r="I2175" t="s">
        <v>76</v>
      </c>
      <c r="J2175" t="s">
        <v>77</v>
      </c>
      <c r="K2175" t="s">
        <v>78</v>
      </c>
      <c r="L2175" t="s">
        <v>90</v>
      </c>
      <c r="M2175" t="s">
        <v>91</v>
      </c>
      <c r="N2175" t="s">
        <v>110</v>
      </c>
      <c r="O2175" t="s">
        <v>82</v>
      </c>
      <c r="P2175" t="str">
        <f>"21707222254                   "</f>
        <v xml:space="preserve">21707222254                   </v>
      </c>
      <c r="Q2175">
        <v>0</v>
      </c>
      <c r="R2175">
        <v>0</v>
      </c>
      <c r="S2175">
        <v>0</v>
      </c>
      <c r="T2175">
        <v>0</v>
      </c>
      <c r="U2175">
        <v>0</v>
      </c>
      <c r="V2175">
        <v>0</v>
      </c>
      <c r="W2175">
        <v>0</v>
      </c>
      <c r="X2175">
        <v>0</v>
      </c>
      <c r="Y2175">
        <v>0</v>
      </c>
      <c r="Z2175">
        <v>0</v>
      </c>
      <c r="AA2175">
        <v>0</v>
      </c>
      <c r="AB2175">
        <v>0</v>
      </c>
      <c r="AC2175">
        <v>0</v>
      </c>
      <c r="AD2175">
        <v>0</v>
      </c>
      <c r="AE2175">
        <v>0</v>
      </c>
      <c r="AF2175">
        <v>0</v>
      </c>
      <c r="AG2175">
        <v>0</v>
      </c>
      <c r="AH2175">
        <v>0</v>
      </c>
      <c r="AI2175">
        <v>0</v>
      </c>
      <c r="AJ2175">
        <v>0</v>
      </c>
      <c r="AK2175">
        <v>0</v>
      </c>
      <c r="AL2175">
        <v>0</v>
      </c>
      <c r="AM2175">
        <v>8.58</v>
      </c>
      <c r="AN2175">
        <v>0</v>
      </c>
      <c r="AO2175">
        <v>0</v>
      </c>
      <c r="AP2175">
        <v>0</v>
      </c>
      <c r="AQ2175">
        <v>0</v>
      </c>
      <c r="AR2175">
        <v>0</v>
      </c>
      <c r="AS2175">
        <v>0</v>
      </c>
      <c r="AT2175">
        <v>0</v>
      </c>
      <c r="AU2175">
        <v>0</v>
      </c>
      <c r="AV2175">
        <v>0</v>
      </c>
      <c r="AW2175">
        <v>0</v>
      </c>
      <c r="AX2175">
        <v>0</v>
      </c>
      <c r="AY2175">
        <v>0</v>
      </c>
      <c r="AZ2175">
        <v>0</v>
      </c>
      <c r="BA2175">
        <v>0</v>
      </c>
      <c r="BB2175">
        <v>0</v>
      </c>
      <c r="BC2175">
        <v>0</v>
      </c>
      <c r="BD2175">
        <v>0</v>
      </c>
      <c r="BE2175">
        <v>0</v>
      </c>
      <c r="BF2175">
        <v>0</v>
      </c>
      <c r="BG2175">
        <v>0</v>
      </c>
      <c r="BH2175">
        <v>1</v>
      </c>
      <c r="BI2175">
        <v>1.7</v>
      </c>
      <c r="BJ2175">
        <v>0.8</v>
      </c>
      <c r="BK2175">
        <v>2</v>
      </c>
      <c r="BL2175" s="4">
        <v>50.45</v>
      </c>
      <c r="BM2175" s="4">
        <v>7.57</v>
      </c>
      <c r="BN2175" s="4">
        <v>58.02</v>
      </c>
      <c r="BO2175" s="4">
        <v>58.02</v>
      </c>
      <c r="BQ2175" t="s">
        <v>147</v>
      </c>
      <c r="BR2175" t="s">
        <v>84</v>
      </c>
      <c r="BS2175" s="3">
        <v>43822</v>
      </c>
      <c r="BT2175" s="5">
        <v>0.32569444444444445</v>
      </c>
      <c r="BU2175" t="s">
        <v>1830</v>
      </c>
      <c r="BV2175" t="s">
        <v>89</v>
      </c>
      <c r="BW2175" t="s">
        <v>1707</v>
      </c>
      <c r="BX2175" t="s">
        <v>692</v>
      </c>
      <c r="BY2175">
        <v>3850.11</v>
      </c>
      <c r="CA2175" t="s">
        <v>1831</v>
      </c>
      <c r="CC2175" t="s">
        <v>91</v>
      </c>
      <c r="CD2175">
        <v>7405</v>
      </c>
      <c r="CE2175" t="s">
        <v>556</v>
      </c>
      <c r="CF2175" s="3">
        <v>43823</v>
      </c>
      <c r="CI2175">
        <v>1</v>
      </c>
      <c r="CJ2175">
        <v>2</v>
      </c>
      <c r="CK2175">
        <v>21</v>
      </c>
      <c r="CL2175" t="s">
        <v>89</v>
      </c>
    </row>
    <row r="2176" spans="1:90">
      <c r="A2176" t="s">
        <v>72</v>
      </c>
      <c r="B2176" t="s">
        <v>73</v>
      </c>
      <c r="C2176" t="s">
        <v>74</v>
      </c>
      <c r="E2176" t="str">
        <f>"FES1162729262"</f>
        <v>FES1162729262</v>
      </c>
      <c r="F2176" s="3">
        <v>43818</v>
      </c>
      <c r="G2176">
        <v>202006</v>
      </c>
      <c r="H2176" t="s">
        <v>75</v>
      </c>
      <c r="I2176" t="s">
        <v>76</v>
      </c>
      <c r="J2176" t="s">
        <v>77</v>
      </c>
      <c r="K2176" t="s">
        <v>78</v>
      </c>
      <c r="L2176" t="s">
        <v>213</v>
      </c>
      <c r="M2176" t="s">
        <v>214</v>
      </c>
      <c r="N2176" t="s">
        <v>1888</v>
      </c>
      <c r="O2176" t="s">
        <v>82</v>
      </c>
      <c r="P2176" t="str">
        <f>"2170722264                    "</f>
        <v xml:space="preserve">2170722264                    </v>
      </c>
      <c r="Q2176">
        <v>0</v>
      </c>
      <c r="R2176">
        <v>0</v>
      </c>
      <c r="S2176">
        <v>0</v>
      </c>
      <c r="T2176">
        <v>0</v>
      </c>
      <c r="U2176">
        <v>0</v>
      </c>
      <c r="V2176">
        <v>0</v>
      </c>
      <c r="W2176">
        <v>0</v>
      </c>
      <c r="X2176">
        <v>0</v>
      </c>
      <c r="Y2176">
        <v>0</v>
      </c>
      <c r="Z2176">
        <v>0</v>
      </c>
      <c r="AA2176">
        <v>0</v>
      </c>
      <c r="AB2176">
        <v>0</v>
      </c>
      <c r="AC2176">
        <v>0</v>
      </c>
      <c r="AD2176">
        <v>0</v>
      </c>
      <c r="AE2176">
        <v>0</v>
      </c>
      <c r="AF2176">
        <v>0</v>
      </c>
      <c r="AG2176">
        <v>0</v>
      </c>
      <c r="AH2176">
        <v>0</v>
      </c>
      <c r="AI2176">
        <v>0</v>
      </c>
      <c r="AJ2176">
        <v>0</v>
      </c>
      <c r="AK2176">
        <v>0</v>
      </c>
      <c r="AL2176">
        <v>0</v>
      </c>
      <c r="AM2176">
        <v>36.46</v>
      </c>
      <c r="AN2176">
        <v>0</v>
      </c>
      <c r="AO2176">
        <v>0</v>
      </c>
      <c r="AP2176">
        <v>0</v>
      </c>
      <c r="AQ2176">
        <v>0</v>
      </c>
      <c r="AR2176">
        <v>0</v>
      </c>
      <c r="AS2176">
        <v>0</v>
      </c>
      <c r="AT2176">
        <v>0</v>
      </c>
      <c r="AU2176">
        <v>0</v>
      </c>
      <c r="AV2176">
        <v>0</v>
      </c>
      <c r="AW2176">
        <v>0</v>
      </c>
      <c r="AX2176">
        <v>0</v>
      </c>
      <c r="AY2176">
        <v>0</v>
      </c>
      <c r="AZ2176">
        <v>0</v>
      </c>
      <c r="BA2176">
        <v>0</v>
      </c>
      <c r="BB2176">
        <v>0</v>
      </c>
      <c r="BC2176">
        <v>0</v>
      </c>
      <c r="BD2176">
        <v>0</v>
      </c>
      <c r="BE2176">
        <v>0</v>
      </c>
      <c r="BF2176">
        <v>0</v>
      </c>
      <c r="BG2176">
        <v>0</v>
      </c>
      <c r="BH2176">
        <v>1</v>
      </c>
      <c r="BI2176">
        <v>5.6</v>
      </c>
      <c r="BJ2176">
        <v>8.3000000000000007</v>
      </c>
      <c r="BK2176">
        <v>8.5</v>
      </c>
      <c r="BL2176" s="4">
        <v>214.31</v>
      </c>
      <c r="BM2176" s="4">
        <v>32.15</v>
      </c>
      <c r="BN2176" s="4">
        <v>246.46</v>
      </c>
      <c r="BO2176" s="4">
        <v>246.46</v>
      </c>
      <c r="BQ2176" t="s">
        <v>135</v>
      </c>
      <c r="BR2176" t="s">
        <v>84</v>
      </c>
      <c r="BS2176" s="3">
        <v>43819</v>
      </c>
      <c r="BT2176" s="5">
        <v>0.36944444444444446</v>
      </c>
      <c r="BU2176" t="s">
        <v>2419</v>
      </c>
      <c r="BV2176" t="s">
        <v>86</v>
      </c>
      <c r="BY2176">
        <v>41651.949999999997</v>
      </c>
      <c r="CA2176" t="s">
        <v>99</v>
      </c>
      <c r="CC2176" t="s">
        <v>214</v>
      </c>
      <c r="CD2176">
        <v>6229</v>
      </c>
      <c r="CE2176" t="s">
        <v>96</v>
      </c>
      <c r="CF2176" s="3">
        <v>43822</v>
      </c>
      <c r="CI2176">
        <v>1</v>
      </c>
      <c r="CJ2176">
        <v>1</v>
      </c>
      <c r="CK2176">
        <v>21</v>
      </c>
      <c r="CL2176" t="s">
        <v>89</v>
      </c>
    </row>
    <row r="2177" spans="1:90">
      <c r="A2177" t="s">
        <v>72</v>
      </c>
      <c r="B2177" t="s">
        <v>73</v>
      </c>
      <c r="C2177" t="s">
        <v>74</v>
      </c>
      <c r="E2177" t="str">
        <f>"FES1162729252"</f>
        <v>FES1162729252</v>
      </c>
      <c r="F2177" s="3">
        <v>43818</v>
      </c>
      <c r="G2177">
        <v>202006</v>
      </c>
      <c r="H2177" t="s">
        <v>75</v>
      </c>
      <c r="I2177" t="s">
        <v>76</v>
      </c>
      <c r="J2177" t="s">
        <v>77</v>
      </c>
      <c r="K2177" t="s">
        <v>78</v>
      </c>
      <c r="L2177" t="s">
        <v>79</v>
      </c>
      <c r="M2177" t="s">
        <v>80</v>
      </c>
      <c r="N2177" t="s">
        <v>129</v>
      </c>
      <c r="O2177" t="s">
        <v>82</v>
      </c>
      <c r="P2177" t="str">
        <f>"2170722246                    "</f>
        <v xml:space="preserve">2170722246                    </v>
      </c>
      <c r="Q2177">
        <v>0</v>
      </c>
      <c r="R2177">
        <v>0</v>
      </c>
      <c r="S2177">
        <v>0</v>
      </c>
      <c r="T2177">
        <v>0</v>
      </c>
      <c r="U2177">
        <v>0</v>
      </c>
      <c r="V2177">
        <v>0</v>
      </c>
      <c r="W2177">
        <v>0</v>
      </c>
      <c r="X2177">
        <v>0</v>
      </c>
      <c r="Y2177">
        <v>0</v>
      </c>
      <c r="Z2177">
        <v>0</v>
      </c>
      <c r="AA2177">
        <v>0</v>
      </c>
      <c r="AB2177">
        <v>0</v>
      </c>
      <c r="AC2177">
        <v>0</v>
      </c>
      <c r="AD2177">
        <v>0</v>
      </c>
      <c r="AE2177">
        <v>0</v>
      </c>
      <c r="AF2177">
        <v>0</v>
      </c>
      <c r="AG2177">
        <v>0</v>
      </c>
      <c r="AH2177">
        <v>0</v>
      </c>
      <c r="AI2177">
        <v>0</v>
      </c>
      <c r="AJ2177">
        <v>0</v>
      </c>
      <c r="AK2177">
        <v>0</v>
      </c>
      <c r="AL2177">
        <v>0</v>
      </c>
      <c r="AM2177">
        <v>8.58</v>
      </c>
      <c r="AN2177">
        <v>0</v>
      </c>
      <c r="AO2177">
        <v>0</v>
      </c>
      <c r="AP2177">
        <v>0</v>
      </c>
      <c r="AQ2177">
        <v>0</v>
      </c>
      <c r="AR2177">
        <v>0</v>
      </c>
      <c r="AS2177">
        <v>0</v>
      </c>
      <c r="AT2177">
        <v>0</v>
      </c>
      <c r="AU2177">
        <v>0</v>
      </c>
      <c r="AV2177">
        <v>0</v>
      </c>
      <c r="AW2177">
        <v>0</v>
      </c>
      <c r="AX2177">
        <v>0</v>
      </c>
      <c r="AY2177">
        <v>0</v>
      </c>
      <c r="AZ2177">
        <v>0</v>
      </c>
      <c r="BA2177">
        <v>0</v>
      </c>
      <c r="BB2177">
        <v>0</v>
      </c>
      <c r="BC2177">
        <v>0</v>
      </c>
      <c r="BD2177">
        <v>0</v>
      </c>
      <c r="BE2177">
        <v>0</v>
      </c>
      <c r="BF2177">
        <v>0</v>
      </c>
      <c r="BG2177">
        <v>0</v>
      </c>
      <c r="BH2177">
        <v>1</v>
      </c>
      <c r="BI2177">
        <v>1</v>
      </c>
      <c r="BJ2177">
        <v>0.2</v>
      </c>
      <c r="BK2177">
        <v>1</v>
      </c>
      <c r="BL2177" s="4">
        <v>50.45</v>
      </c>
      <c r="BM2177" s="4">
        <v>7.57</v>
      </c>
      <c r="BN2177" s="4">
        <v>58.02</v>
      </c>
      <c r="BO2177" s="4">
        <v>58.02</v>
      </c>
      <c r="BQ2177" t="s">
        <v>147</v>
      </c>
      <c r="BR2177" t="s">
        <v>84</v>
      </c>
      <c r="BS2177" s="3">
        <v>43819</v>
      </c>
      <c r="BT2177" s="5">
        <v>0.37777777777777777</v>
      </c>
      <c r="BU2177" t="s">
        <v>130</v>
      </c>
      <c r="BV2177" t="s">
        <v>86</v>
      </c>
      <c r="BY2177">
        <v>1200</v>
      </c>
      <c r="CA2177" t="s">
        <v>131</v>
      </c>
      <c r="CC2177" t="s">
        <v>80</v>
      </c>
      <c r="CD2177">
        <v>6001</v>
      </c>
      <c r="CE2177" t="s">
        <v>88</v>
      </c>
      <c r="CF2177" s="3">
        <v>43822</v>
      </c>
      <c r="CI2177">
        <v>1</v>
      </c>
      <c r="CJ2177">
        <v>1</v>
      </c>
      <c r="CK2177">
        <v>21</v>
      </c>
      <c r="CL2177" t="s">
        <v>89</v>
      </c>
    </row>
    <row r="2178" spans="1:90">
      <c r="A2178" t="s">
        <v>72</v>
      </c>
      <c r="B2178" t="s">
        <v>73</v>
      </c>
      <c r="C2178" t="s">
        <v>74</v>
      </c>
      <c r="E2178" t="str">
        <f>"FES1162729255"</f>
        <v>FES1162729255</v>
      </c>
      <c r="F2178" s="3">
        <v>43818</v>
      </c>
      <c r="G2178">
        <v>202006</v>
      </c>
      <c r="H2178" t="s">
        <v>75</v>
      </c>
      <c r="I2178" t="s">
        <v>76</v>
      </c>
      <c r="J2178" t="s">
        <v>77</v>
      </c>
      <c r="K2178" t="s">
        <v>78</v>
      </c>
      <c r="L2178" t="s">
        <v>79</v>
      </c>
      <c r="M2178" t="s">
        <v>80</v>
      </c>
      <c r="N2178" t="s">
        <v>129</v>
      </c>
      <c r="O2178" t="s">
        <v>82</v>
      </c>
      <c r="P2178" t="str">
        <f>"2170722251                    "</f>
        <v xml:space="preserve">2170722251                    </v>
      </c>
      <c r="Q2178">
        <v>0</v>
      </c>
      <c r="R2178">
        <v>0</v>
      </c>
      <c r="S2178">
        <v>0</v>
      </c>
      <c r="T2178">
        <v>0</v>
      </c>
      <c r="U2178">
        <v>0</v>
      </c>
      <c r="V2178">
        <v>0</v>
      </c>
      <c r="W2178">
        <v>0</v>
      </c>
      <c r="X2178">
        <v>0</v>
      </c>
      <c r="Y2178">
        <v>0</v>
      </c>
      <c r="Z2178">
        <v>0</v>
      </c>
      <c r="AA2178">
        <v>0</v>
      </c>
      <c r="AB2178">
        <v>0</v>
      </c>
      <c r="AC2178">
        <v>0</v>
      </c>
      <c r="AD2178">
        <v>0</v>
      </c>
      <c r="AE2178">
        <v>0</v>
      </c>
      <c r="AF2178">
        <v>0</v>
      </c>
      <c r="AG2178">
        <v>0</v>
      </c>
      <c r="AH2178">
        <v>0</v>
      </c>
      <c r="AI2178">
        <v>0</v>
      </c>
      <c r="AJ2178">
        <v>0</v>
      </c>
      <c r="AK2178">
        <v>0</v>
      </c>
      <c r="AL2178">
        <v>0</v>
      </c>
      <c r="AM2178">
        <v>8.58</v>
      </c>
      <c r="AN2178">
        <v>0</v>
      </c>
      <c r="AO2178">
        <v>0</v>
      </c>
      <c r="AP2178">
        <v>0</v>
      </c>
      <c r="AQ2178">
        <v>0</v>
      </c>
      <c r="AR2178">
        <v>0</v>
      </c>
      <c r="AS2178">
        <v>0</v>
      </c>
      <c r="AT2178">
        <v>0</v>
      </c>
      <c r="AU2178">
        <v>0</v>
      </c>
      <c r="AV2178">
        <v>0</v>
      </c>
      <c r="AW2178">
        <v>0</v>
      </c>
      <c r="AX2178">
        <v>0</v>
      </c>
      <c r="AY2178">
        <v>0</v>
      </c>
      <c r="AZ2178">
        <v>0</v>
      </c>
      <c r="BA2178">
        <v>0</v>
      </c>
      <c r="BB2178">
        <v>0</v>
      </c>
      <c r="BC2178">
        <v>0</v>
      </c>
      <c r="BD2178">
        <v>0</v>
      </c>
      <c r="BE2178">
        <v>0</v>
      </c>
      <c r="BF2178">
        <v>0</v>
      </c>
      <c r="BG2178">
        <v>0</v>
      </c>
      <c r="BH2178">
        <v>1</v>
      </c>
      <c r="BI2178">
        <v>1</v>
      </c>
      <c r="BJ2178">
        <v>0.2</v>
      </c>
      <c r="BK2178">
        <v>1</v>
      </c>
      <c r="BL2178" s="4">
        <v>50.45</v>
      </c>
      <c r="BM2178" s="4">
        <v>7.57</v>
      </c>
      <c r="BN2178" s="4">
        <v>58.02</v>
      </c>
      <c r="BO2178" s="4">
        <v>58.02</v>
      </c>
      <c r="BQ2178" t="s">
        <v>147</v>
      </c>
      <c r="BR2178" t="s">
        <v>84</v>
      </c>
      <c r="BS2178" s="3">
        <v>43819</v>
      </c>
      <c r="BT2178" s="5">
        <v>0.37777777777777777</v>
      </c>
      <c r="BU2178" t="s">
        <v>130</v>
      </c>
      <c r="BV2178" t="s">
        <v>86</v>
      </c>
      <c r="BY2178">
        <v>1200</v>
      </c>
      <c r="CA2178" t="s">
        <v>131</v>
      </c>
      <c r="CC2178" t="s">
        <v>80</v>
      </c>
      <c r="CD2178">
        <v>6001</v>
      </c>
      <c r="CE2178" t="s">
        <v>88</v>
      </c>
      <c r="CF2178" s="3">
        <v>43822</v>
      </c>
      <c r="CI2178">
        <v>1</v>
      </c>
      <c r="CJ2178">
        <v>1</v>
      </c>
      <c r="CK2178">
        <v>21</v>
      </c>
      <c r="CL2178" t="s">
        <v>89</v>
      </c>
    </row>
    <row r="2179" spans="1:90">
      <c r="A2179" t="s">
        <v>72</v>
      </c>
      <c r="B2179" t="s">
        <v>73</v>
      </c>
      <c r="C2179" t="s">
        <v>74</v>
      </c>
      <c r="E2179" t="str">
        <f>"FES1162729226"</f>
        <v>FES1162729226</v>
      </c>
      <c r="F2179" s="3">
        <v>43818</v>
      </c>
      <c r="G2179">
        <v>202006</v>
      </c>
      <c r="H2179" t="s">
        <v>75</v>
      </c>
      <c r="I2179" t="s">
        <v>76</v>
      </c>
      <c r="J2179" t="s">
        <v>77</v>
      </c>
      <c r="K2179" t="s">
        <v>78</v>
      </c>
      <c r="L2179" t="s">
        <v>75</v>
      </c>
      <c r="M2179" t="s">
        <v>76</v>
      </c>
      <c r="N2179" t="s">
        <v>2420</v>
      </c>
      <c r="O2179" t="s">
        <v>82</v>
      </c>
      <c r="P2179" t="str">
        <f>"2170722214                    "</f>
        <v xml:space="preserve">2170722214                    </v>
      </c>
      <c r="Q2179">
        <v>0</v>
      </c>
      <c r="R2179">
        <v>0</v>
      </c>
      <c r="S2179">
        <v>0</v>
      </c>
      <c r="T2179">
        <v>0</v>
      </c>
      <c r="U2179">
        <v>0</v>
      </c>
      <c r="V2179">
        <v>0</v>
      </c>
      <c r="W2179">
        <v>0</v>
      </c>
      <c r="X2179">
        <v>0</v>
      </c>
      <c r="Y2179">
        <v>0</v>
      </c>
      <c r="Z2179">
        <v>0</v>
      </c>
      <c r="AA2179">
        <v>0</v>
      </c>
      <c r="AB2179">
        <v>0</v>
      </c>
      <c r="AC2179">
        <v>0</v>
      </c>
      <c r="AD2179">
        <v>0</v>
      </c>
      <c r="AE2179">
        <v>0</v>
      </c>
      <c r="AF2179">
        <v>0</v>
      </c>
      <c r="AG2179">
        <v>0</v>
      </c>
      <c r="AH2179">
        <v>0</v>
      </c>
      <c r="AI2179">
        <v>0</v>
      </c>
      <c r="AJ2179">
        <v>0</v>
      </c>
      <c r="AK2179">
        <v>0</v>
      </c>
      <c r="AL2179">
        <v>0</v>
      </c>
      <c r="AM2179">
        <v>6.71</v>
      </c>
      <c r="AN2179">
        <v>0</v>
      </c>
      <c r="AO2179">
        <v>0</v>
      </c>
      <c r="AP2179">
        <v>0</v>
      </c>
      <c r="AQ2179">
        <v>0</v>
      </c>
      <c r="AR2179">
        <v>0</v>
      </c>
      <c r="AS2179">
        <v>0</v>
      </c>
      <c r="AT2179">
        <v>0</v>
      </c>
      <c r="AU2179">
        <v>0</v>
      </c>
      <c r="AV2179">
        <v>0</v>
      </c>
      <c r="AW2179">
        <v>0</v>
      </c>
      <c r="AX2179">
        <v>0</v>
      </c>
      <c r="AY2179">
        <v>0</v>
      </c>
      <c r="AZ2179">
        <v>0</v>
      </c>
      <c r="BA2179">
        <v>0</v>
      </c>
      <c r="BB2179">
        <v>0</v>
      </c>
      <c r="BC2179">
        <v>0</v>
      </c>
      <c r="BD2179">
        <v>0</v>
      </c>
      <c r="BE2179">
        <v>0</v>
      </c>
      <c r="BF2179">
        <v>0</v>
      </c>
      <c r="BG2179">
        <v>0</v>
      </c>
      <c r="BH2179">
        <v>1</v>
      </c>
      <c r="BI2179">
        <v>1</v>
      </c>
      <c r="BJ2179">
        <v>0.2</v>
      </c>
      <c r="BK2179">
        <v>1</v>
      </c>
      <c r="BL2179" s="4">
        <v>39.42</v>
      </c>
      <c r="BM2179" s="4">
        <v>5.91</v>
      </c>
      <c r="BN2179" s="4">
        <v>45.33</v>
      </c>
      <c r="BO2179" s="4">
        <v>45.33</v>
      </c>
      <c r="BQ2179" t="s">
        <v>93</v>
      </c>
      <c r="BR2179" t="s">
        <v>84</v>
      </c>
      <c r="BS2179" s="3">
        <v>43819</v>
      </c>
      <c r="BT2179" s="5">
        <v>0.34513888888888888</v>
      </c>
      <c r="BU2179" t="s">
        <v>2421</v>
      </c>
      <c r="BV2179" t="s">
        <v>86</v>
      </c>
      <c r="BY2179">
        <v>1200</v>
      </c>
      <c r="CA2179" t="s">
        <v>320</v>
      </c>
      <c r="CC2179" t="s">
        <v>76</v>
      </c>
      <c r="CD2179">
        <v>1666</v>
      </c>
      <c r="CE2179" t="s">
        <v>88</v>
      </c>
      <c r="CF2179" s="3">
        <v>43822</v>
      </c>
      <c r="CI2179">
        <v>1</v>
      </c>
      <c r="CJ2179">
        <v>1</v>
      </c>
      <c r="CK2179">
        <v>22</v>
      </c>
      <c r="CL2179" t="s">
        <v>89</v>
      </c>
    </row>
    <row r="2180" spans="1:90">
      <c r="A2180" t="s">
        <v>72</v>
      </c>
      <c r="B2180" t="s">
        <v>73</v>
      </c>
      <c r="C2180" t="s">
        <v>74</v>
      </c>
      <c r="E2180" t="str">
        <f>"FES1162729251"</f>
        <v>FES1162729251</v>
      </c>
      <c r="F2180" s="3">
        <v>43818</v>
      </c>
      <c r="G2180">
        <v>202006</v>
      </c>
      <c r="H2180" t="s">
        <v>75</v>
      </c>
      <c r="I2180" t="s">
        <v>76</v>
      </c>
      <c r="J2180" t="s">
        <v>77</v>
      </c>
      <c r="K2180" t="s">
        <v>78</v>
      </c>
      <c r="L2180" t="s">
        <v>79</v>
      </c>
      <c r="M2180" t="s">
        <v>80</v>
      </c>
      <c r="N2180" t="s">
        <v>129</v>
      </c>
      <c r="O2180" t="s">
        <v>82</v>
      </c>
      <c r="P2180" t="str">
        <f>"2170722243                    "</f>
        <v xml:space="preserve">2170722243                    </v>
      </c>
      <c r="Q2180">
        <v>0</v>
      </c>
      <c r="R2180">
        <v>0</v>
      </c>
      <c r="S2180">
        <v>0</v>
      </c>
      <c r="T2180">
        <v>0</v>
      </c>
      <c r="U2180">
        <v>0</v>
      </c>
      <c r="V2180">
        <v>0</v>
      </c>
      <c r="W2180">
        <v>0</v>
      </c>
      <c r="X2180">
        <v>0</v>
      </c>
      <c r="Y2180">
        <v>0</v>
      </c>
      <c r="Z2180">
        <v>0</v>
      </c>
      <c r="AA2180">
        <v>0</v>
      </c>
      <c r="AB2180">
        <v>0</v>
      </c>
      <c r="AC2180">
        <v>0</v>
      </c>
      <c r="AD2180">
        <v>0</v>
      </c>
      <c r="AE2180">
        <v>0</v>
      </c>
      <c r="AF2180">
        <v>0</v>
      </c>
      <c r="AG2180">
        <v>0</v>
      </c>
      <c r="AH2180">
        <v>0</v>
      </c>
      <c r="AI2180">
        <v>0</v>
      </c>
      <c r="AJ2180">
        <v>0</v>
      </c>
      <c r="AK2180">
        <v>0</v>
      </c>
      <c r="AL2180">
        <v>0</v>
      </c>
      <c r="AM2180">
        <v>8.58</v>
      </c>
      <c r="AN2180">
        <v>0</v>
      </c>
      <c r="AO2180">
        <v>0</v>
      </c>
      <c r="AP2180">
        <v>0</v>
      </c>
      <c r="AQ2180">
        <v>0</v>
      </c>
      <c r="AR2180">
        <v>0</v>
      </c>
      <c r="AS2180">
        <v>0</v>
      </c>
      <c r="AT2180">
        <v>0</v>
      </c>
      <c r="AU2180">
        <v>0</v>
      </c>
      <c r="AV2180">
        <v>0</v>
      </c>
      <c r="AW2180">
        <v>0</v>
      </c>
      <c r="AX2180">
        <v>0</v>
      </c>
      <c r="AY2180">
        <v>0</v>
      </c>
      <c r="AZ2180">
        <v>0</v>
      </c>
      <c r="BA2180">
        <v>0</v>
      </c>
      <c r="BB2180">
        <v>0</v>
      </c>
      <c r="BC2180">
        <v>0</v>
      </c>
      <c r="BD2180">
        <v>0</v>
      </c>
      <c r="BE2180">
        <v>0</v>
      </c>
      <c r="BF2180">
        <v>0</v>
      </c>
      <c r="BG2180">
        <v>0</v>
      </c>
      <c r="BH2180">
        <v>1</v>
      </c>
      <c r="BI2180">
        <v>1</v>
      </c>
      <c r="BJ2180">
        <v>0.2</v>
      </c>
      <c r="BK2180">
        <v>1</v>
      </c>
      <c r="BL2180" s="4">
        <v>50.45</v>
      </c>
      <c r="BM2180" s="4">
        <v>7.57</v>
      </c>
      <c r="BN2180" s="4">
        <v>58.02</v>
      </c>
      <c r="BO2180" s="4">
        <v>58.02</v>
      </c>
      <c r="BQ2180" t="s">
        <v>147</v>
      </c>
      <c r="BR2180" t="s">
        <v>84</v>
      </c>
      <c r="BS2180" s="3">
        <v>43819</v>
      </c>
      <c r="BT2180" s="5">
        <v>0.37777777777777777</v>
      </c>
      <c r="BU2180" t="s">
        <v>130</v>
      </c>
      <c r="BV2180" t="s">
        <v>86</v>
      </c>
      <c r="BY2180">
        <v>1200</v>
      </c>
      <c r="CC2180" t="s">
        <v>80</v>
      </c>
      <c r="CD2180">
        <v>6001</v>
      </c>
      <c r="CE2180" t="s">
        <v>88</v>
      </c>
      <c r="CF2180" s="3">
        <v>43822</v>
      </c>
      <c r="CI2180">
        <v>1</v>
      </c>
      <c r="CJ2180">
        <v>1</v>
      </c>
      <c r="CK2180">
        <v>21</v>
      </c>
      <c r="CL2180" t="s">
        <v>89</v>
      </c>
    </row>
    <row r="2181" spans="1:90">
      <c r="A2181" t="s">
        <v>72</v>
      </c>
      <c r="B2181" t="s">
        <v>73</v>
      </c>
      <c r="C2181" t="s">
        <v>74</v>
      </c>
      <c r="E2181" t="str">
        <f>"FES1162729134"</f>
        <v>FES1162729134</v>
      </c>
      <c r="F2181" s="3">
        <v>43818</v>
      </c>
      <c r="G2181">
        <v>202006</v>
      </c>
      <c r="H2181" t="s">
        <v>75</v>
      </c>
      <c r="I2181" t="s">
        <v>76</v>
      </c>
      <c r="J2181" t="s">
        <v>77</v>
      </c>
      <c r="K2181" t="s">
        <v>78</v>
      </c>
      <c r="L2181" t="s">
        <v>469</v>
      </c>
      <c r="M2181" t="s">
        <v>470</v>
      </c>
      <c r="N2181" t="s">
        <v>471</v>
      </c>
      <c r="O2181" t="s">
        <v>82</v>
      </c>
      <c r="P2181" t="str">
        <f>"2170720848                    "</f>
        <v xml:space="preserve">2170720848                    </v>
      </c>
      <c r="Q2181">
        <v>0</v>
      </c>
      <c r="R2181">
        <v>0</v>
      </c>
      <c r="S2181">
        <v>0</v>
      </c>
      <c r="T2181">
        <v>0</v>
      </c>
      <c r="U2181">
        <v>0</v>
      </c>
      <c r="V2181">
        <v>0</v>
      </c>
      <c r="W2181">
        <v>0</v>
      </c>
      <c r="X2181">
        <v>0</v>
      </c>
      <c r="Y2181">
        <v>0</v>
      </c>
      <c r="Z2181">
        <v>0</v>
      </c>
      <c r="AA2181">
        <v>0</v>
      </c>
      <c r="AB2181">
        <v>0</v>
      </c>
      <c r="AC2181">
        <v>0</v>
      </c>
      <c r="AD2181">
        <v>0</v>
      </c>
      <c r="AE2181">
        <v>0</v>
      </c>
      <c r="AF2181">
        <v>0</v>
      </c>
      <c r="AG2181">
        <v>0</v>
      </c>
      <c r="AH2181">
        <v>0</v>
      </c>
      <c r="AI2181">
        <v>0</v>
      </c>
      <c r="AJ2181">
        <v>0</v>
      </c>
      <c r="AK2181">
        <v>0</v>
      </c>
      <c r="AL2181">
        <v>0</v>
      </c>
      <c r="AM2181">
        <v>46.67</v>
      </c>
      <c r="AN2181">
        <v>0</v>
      </c>
      <c r="AO2181">
        <v>0</v>
      </c>
      <c r="AP2181">
        <v>0</v>
      </c>
      <c r="AQ2181">
        <v>0</v>
      </c>
      <c r="AR2181">
        <v>0</v>
      </c>
      <c r="AS2181">
        <v>0</v>
      </c>
      <c r="AT2181">
        <v>0</v>
      </c>
      <c r="AU2181">
        <v>0</v>
      </c>
      <c r="AV2181">
        <v>0</v>
      </c>
      <c r="AW2181">
        <v>0</v>
      </c>
      <c r="AX2181">
        <v>0</v>
      </c>
      <c r="AY2181">
        <v>0</v>
      </c>
      <c r="AZ2181">
        <v>0</v>
      </c>
      <c r="BA2181">
        <v>0</v>
      </c>
      <c r="BB2181">
        <v>0</v>
      </c>
      <c r="BC2181">
        <v>0</v>
      </c>
      <c r="BD2181">
        <v>0</v>
      </c>
      <c r="BE2181">
        <v>0</v>
      </c>
      <c r="BF2181">
        <v>0</v>
      </c>
      <c r="BG2181">
        <v>0</v>
      </c>
      <c r="BH2181">
        <v>1</v>
      </c>
      <c r="BI2181">
        <v>5.9</v>
      </c>
      <c r="BJ2181">
        <v>3</v>
      </c>
      <c r="BK2181">
        <v>6</v>
      </c>
      <c r="BL2181" s="4">
        <v>274.35000000000002</v>
      </c>
      <c r="BM2181" s="4">
        <v>41.15</v>
      </c>
      <c r="BN2181" s="4">
        <v>315.5</v>
      </c>
      <c r="BO2181" s="4">
        <v>315.5</v>
      </c>
      <c r="BQ2181" t="s">
        <v>147</v>
      </c>
      <c r="BR2181" t="s">
        <v>84</v>
      </c>
      <c r="BS2181" s="3">
        <v>43819</v>
      </c>
      <c r="BT2181" s="5">
        <v>0.39583333333333331</v>
      </c>
      <c r="BU2181" t="s">
        <v>1393</v>
      </c>
      <c r="BV2181" t="s">
        <v>86</v>
      </c>
      <c r="BY2181">
        <v>14839</v>
      </c>
      <c r="CA2181" t="s">
        <v>2422</v>
      </c>
      <c r="CC2181" t="s">
        <v>470</v>
      </c>
      <c r="CD2181">
        <v>9880</v>
      </c>
      <c r="CE2181" t="s">
        <v>96</v>
      </c>
      <c r="CF2181" s="3">
        <v>43823</v>
      </c>
      <c r="CI2181">
        <v>1</v>
      </c>
      <c r="CJ2181">
        <v>1</v>
      </c>
      <c r="CK2181">
        <v>23</v>
      </c>
      <c r="CL2181" t="s">
        <v>89</v>
      </c>
    </row>
    <row r="2182" spans="1:90">
      <c r="A2182" t="s">
        <v>72</v>
      </c>
      <c r="B2182" t="s">
        <v>73</v>
      </c>
      <c r="C2182" t="s">
        <v>74</v>
      </c>
      <c r="E2182" t="str">
        <f>"FES1162729083"</f>
        <v>FES1162729083</v>
      </c>
      <c r="F2182" s="3">
        <v>43818</v>
      </c>
      <c r="G2182">
        <v>202006</v>
      </c>
      <c r="H2182" t="s">
        <v>75</v>
      </c>
      <c r="I2182" t="s">
        <v>76</v>
      </c>
      <c r="J2182" t="s">
        <v>77</v>
      </c>
      <c r="K2182" t="s">
        <v>78</v>
      </c>
      <c r="L2182" t="s">
        <v>849</v>
      </c>
      <c r="M2182" t="s">
        <v>850</v>
      </c>
      <c r="N2182" t="s">
        <v>2423</v>
      </c>
      <c r="O2182" t="s">
        <v>82</v>
      </c>
      <c r="P2182" t="str">
        <f>"2170714043                    "</f>
        <v xml:space="preserve">2170714043                    </v>
      </c>
      <c r="Q2182">
        <v>0</v>
      </c>
      <c r="R2182">
        <v>0</v>
      </c>
      <c r="S2182">
        <v>0</v>
      </c>
      <c r="T2182">
        <v>0</v>
      </c>
      <c r="U2182">
        <v>0</v>
      </c>
      <c r="V2182">
        <v>0</v>
      </c>
      <c r="W2182">
        <v>0</v>
      </c>
      <c r="X2182">
        <v>0</v>
      </c>
      <c r="Y2182">
        <v>0</v>
      </c>
      <c r="Z2182">
        <v>0</v>
      </c>
      <c r="AA2182">
        <v>0</v>
      </c>
      <c r="AB2182">
        <v>0</v>
      </c>
      <c r="AC2182">
        <v>0</v>
      </c>
      <c r="AD2182">
        <v>0</v>
      </c>
      <c r="AE2182">
        <v>0</v>
      </c>
      <c r="AF2182">
        <v>0</v>
      </c>
      <c r="AG2182">
        <v>0</v>
      </c>
      <c r="AH2182">
        <v>0</v>
      </c>
      <c r="AI2182">
        <v>0</v>
      </c>
      <c r="AJ2182">
        <v>0</v>
      </c>
      <c r="AK2182">
        <v>0</v>
      </c>
      <c r="AL2182">
        <v>0</v>
      </c>
      <c r="AM2182">
        <v>36.46</v>
      </c>
      <c r="AN2182">
        <v>0</v>
      </c>
      <c r="AO2182">
        <v>0</v>
      </c>
      <c r="AP2182">
        <v>0</v>
      </c>
      <c r="AQ2182">
        <v>0</v>
      </c>
      <c r="AR2182">
        <v>0</v>
      </c>
      <c r="AS2182">
        <v>0</v>
      </c>
      <c r="AT2182">
        <v>0</v>
      </c>
      <c r="AU2182">
        <v>0</v>
      </c>
      <c r="AV2182">
        <v>0</v>
      </c>
      <c r="AW2182">
        <v>0</v>
      </c>
      <c r="AX2182">
        <v>0</v>
      </c>
      <c r="AY2182">
        <v>0</v>
      </c>
      <c r="AZ2182">
        <v>0</v>
      </c>
      <c r="BA2182">
        <v>0</v>
      </c>
      <c r="BB2182">
        <v>0</v>
      </c>
      <c r="BC2182">
        <v>0</v>
      </c>
      <c r="BD2182">
        <v>0</v>
      </c>
      <c r="BE2182">
        <v>0</v>
      </c>
      <c r="BF2182">
        <v>0</v>
      </c>
      <c r="BG2182">
        <v>0</v>
      </c>
      <c r="BH2182">
        <v>1</v>
      </c>
      <c r="BI2182">
        <v>8.1</v>
      </c>
      <c r="BJ2182">
        <v>2</v>
      </c>
      <c r="BK2182">
        <v>8.5</v>
      </c>
      <c r="BL2182" s="4">
        <v>214.31</v>
      </c>
      <c r="BM2182" s="4">
        <v>32.15</v>
      </c>
      <c r="BN2182" s="4">
        <v>246.46</v>
      </c>
      <c r="BO2182" s="4">
        <v>246.46</v>
      </c>
      <c r="BR2182" t="s">
        <v>84</v>
      </c>
      <c r="BS2182" s="3">
        <v>43819</v>
      </c>
      <c r="BT2182" s="5">
        <v>0.4375</v>
      </c>
      <c r="BU2182" t="s">
        <v>2424</v>
      </c>
      <c r="BV2182" t="s">
        <v>86</v>
      </c>
      <c r="BY2182">
        <v>10088.15</v>
      </c>
      <c r="CA2182" t="s">
        <v>2400</v>
      </c>
      <c r="CC2182" t="s">
        <v>850</v>
      </c>
      <c r="CD2182">
        <v>3290</v>
      </c>
      <c r="CE2182" t="s">
        <v>96</v>
      </c>
      <c r="CF2182" s="3">
        <v>43822</v>
      </c>
      <c r="CI2182">
        <v>1</v>
      </c>
      <c r="CJ2182">
        <v>1</v>
      </c>
      <c r="CK2182">
        <v>21</v>
      </c>
      <c r="CL2182" t="s">
        <v>89</v>
      </c>
    </row>
    <row r="2183" spans="1:90">
      <c r="A2183" t="s">
        <v>72</v>
      </c>
      <c r="B2183" t="s">
        <v>73</v>
      </c>
      <c r="C2183" t="s">
        <v>74</v>
      </c>
      <c r="E2183" t="str">
        <f>"FES1162729230"</f>
        <v>FES1162729230</v>
      </c>
      <c r="F2183" s="3">
        <v>43818</v>
      </c>
      <c r="G2183">
        <v>202006</v>
      </c>
      <c r="H2183" t="s">
        <v>75</v>
      </c>
      <c r="I2183" t="s">
        <v>76</v>
      </c>
      <c r="J2183" t="s">
        <v>77</v>
      </c>
      <c r="K2183" t="s">
        <v>78</v>
      </c>
      <c r="L2183" t="s">
        <v>186</v>
      </c>
      <c r="M2183" t="s">
        <v>187</v>
      </c>
      <c r="N2183" t="s">
        <v>266</v>
      </c>
      <c r="O2183" t="s">
        <v>82</v>
      </c>
      <c r="P2183" t="str">
        <f>"2170722220                    "</f>
        <v xml:space="preserve">2170722220                    </v>
      </c>
      <c r="Q2183">
        <v>0</v>
      </c>
      <c r="R2183">
        <v>0</v>
      </c>
      <c r="S2183">
        <v>0</v>
      </c>
      <c r="T2183">
        <v>0</v>
      </c>
      <c r="U2183">
        <v>0</v>
      </c>
      <c r="V2183">
        <v>0</v>
      </c>
      <c r="W2183">
        <v>0</v>
      </c>
      <c r="X2183">
        <v>0</v>
      </c>
      <c r="Y2183">
        <v>0</v>
      </c>
      <c r="Z2183">
        <v>0</v>
      </c>
      <c r="AA2183">
        <v>0</v>
      </c>
      <c r="AB2183">
        <v>0</v>
      </c>
      <c r="AC2183">
        <v>0</v>
      </c>
      <c r="AD2183">
        <v>0</v>
      </c>
      <c r="AE2183">
        <v>0</v>
      </c>
      <c r="AF2183">
        <v>0</v>
      </c>
      <c r="AG2183">
        <v>0</v>
      </c>
      <c r="AH2183">
        <v>0</v>
      </c>
      <c r="AI2183">
        <v>0</v>
      </c>
      <c r="AJ2183">
        <v>0</v>
      </c>
      <c r="AK2183">
        <v>0</v>
      </c>
      <c r="AL2183">
        <v>0</v>
      </c>
      <c r="AM2183">
        <v>16.63</v>
      </c>
      <c r="AN2183">
        <v>0</v>
      </c>
      <c r="AO2183">
        <v>0</v>
      </c>
      <c r="AP2183">
        <v>0</v>
      </c>
      <c r="AQ2183">
        <v>0</v>
      </c>
      <c r="AR2183">
        <v>0</v>
      </c>
      <c r="AS2183">
        <v>0</v>
      </c>
      <c r="AT2183">
        <v>0</v>
      </c>
      <c r="AU2183">
        <v>0</v>
      </c>
      <c r="AV2183">
        <v>0</v>
      </c>
      <c r="AW2183">
        <v>0</v>
      </c>
      <c r="AX2183">
        <v>0</v>
      </c>
      <c r="AY2183">
        <v>0</v>
      </c>
      <c r="AZ2183">
        <v>0</v>
      </c>
      <c r="BA2183">
        <v>0</v>
      </c>
      <c r="BB2183">
        <v>0</v>
      </c>
      <c r="BC2183">
        <v>0</v>
      </c>
      <c r="BD2183">
        <v>0</v>
      </c>
      <c r="BE2183">
        <v>0</v>
      </c>
      <c r="BF2183">
        <v>0</v>
      </c>
      <c r="BG2183">
        <v>0</v>
      </c>
      <c r="BH2183">
        <v>1</v>
      </c>
      <c r="BI2183">
        <v>1</v>
      </c>
      <c r="BJ2183">
        <v>0.2</v>
      </c>
      <c r="BK2183">
        <v>1</v>
      </c>
      <c r="BL2183" s="4">
        <v>97.75</v>
      </c>
      <c r="BM2183" s="4">
        <v>14.66</v>
      </c>
      <c r="BN2183" s="4">
        <v>112.41</v>
      </c>
      <c r="BO2183" s="4">
        <v>112.41</v>
      </c>
      <c r="BQ2183" t="s">
        <v>135</v>
      </c>
      <c r="BR2183" t="s">
        <v>84</v>
      </c>
      <c r="BS2183" s="3">
        <v>43822</v>
      </c>
      <c r="BT2183" s="5">
        <v>0.44513888888888892</v>
      </c>
      <c r="BU2183" t="s">
        <v>2425</v>
      </c>
      <c r="BV2183" t="s">
        <v>86</v>
      </c>
      <c r="BY2183">
        <v>1200</v>
      </c>
      <c r="CA2183" t="s">
        <v>2426</v>
      </c>
      <c r="CC2183" t="s">
        <v>187</v>
      </c>
      <c r="CD2183">
        <v>6850</v>
      </c>
      <c r="CE2183" t="s">
        <v>88</v>
      </c>
      <c r="CF2183" s="3">
        <v>43826</v>
      </c>
      <c r="CI2183">
        <v>3</v>
      </c>
      <c r="CJ2183">
        <v>2</v>
      </c>
      <c r="CK2183">
        <v>23</v>
      </c>
      <c r="CL2183" t="s">
        <v>89</v>
      </c>
    </row>
    <row r="2184" spans="1:90">
      <c r="A2184" t="s">
        <v>72</v>
      </c>
      <c r="B2184" t="s">
        <v>73</v>
      </c>
      <c r="C2184" t="s">
        <v>74</v>
      </c>
      <c r="E2184" t="str">
        <f>"FES1162729253"</f>
        <v>FES1162729253</v>
      </c>
      <c r="F2184" s="3">
        <v>43818</v>
      </c>
      <c r="G2184">
        <v>202006</v>
      </c>
      <c r="H2184" t="s">
        <v>75</v>
      </c>
      <c r="I2184" t="s">
        <v>76</v>
      </c>
      <c r="J2184" t="s">
        <v>77</v>
      </c>
      <c r="K2184" t="s">
        <v>78</v>
      </c>
      <c r="L2184" t="s">
        <v>198</v>
      </c>
      <c r="M2184" t="s">
        <v>199</v>
      </c>
      <c r="N2184" t="s">
        <v>297</v>
      </c>
      <c r="O2184" t="s">
        <v>82</v>
      </c>
      <c r="P2184" t="str">
        <f>"2170721997                    "</f>
        <v xml:space="preserve">2170721997                    </v>
      </c>
      <c r="Q2184">
        <v>0</v>
      </c>
      <c r="R2184">
        <v>0</v>
      </c>
      <c r="S2184">
        <v>0</v>
      </c>
      <c r="T2184">
        <v>0</v>
      </c>
      <c r="U2184">
        <v>0</v>
      </c>
      <c r="V2184">
        <v>0</v>
      </c>
      <c r="W2184">
        <v>0</v>
      </c>
      <c r="X2184">
        <v>0</v>
      </c>
      <c r="Y2184">
        <v>0</v>
      </c>
      <c r="Z2184">
        <v>0</v>
      </c>
      <c r="AA2184">
        <v>0</v>
      </c>
      <c r="AB2184">
        <v>0</v>
      </c>
      <c r="AC2184">
        <v>0</v>
      </c>
      <c r="AD2184">
        <v>0</v>
      </c>
      <c r="AE2184">
        <v>0</v>
      </c>
      <c r="AF2184">
        <v>0</v>
      </c>
      <c r="AG2184">
        <v>0</v>
      </c>
      <c r="AH2184">
        <v>0</v>
      </c>
      <c r="AI2184">
        <v>0</v>
      </c>
      <c r="AJ2184">
        <v>0</v>
      </c>
      <c r="AK2184">
        <v>0</v>
      </c>
      <c r="AL2184">
        <v>0</v>
      </c>
      <c r="AM2184">
        <v>8.58</v>
      </c>
      <c r="AN2184">
        <v>0</v>
      </c>
      <c r="AO2184">
        <v>0</v>
      </c>
      <c r="AP2184">
        <v>0</v>
      </c>
      <c r="AQ2184">
        <v>0</v>
      </c>
      <c r="AR2184">
        <v>0</v>
      </c>
      <c r="AS2184">
        <v>0</v>
      </c>
      <c r="AT2184">
        <v>0</v>
      </c>
      <c r="AU2184">
        <v>0</v>
      </c>
      <c r="AV2184">
        <v>0</v>
      </c>
      <c r="AW2184">
        <v>0</v>
      </c>
      <c r="AX2184">
        <v>0</v>
      </c>
      <c r="AY2184">
        <v>0</v>
      </c>
      <c r="AZ2184">
        <v>0</v>
      </c>
      <c r="BA2184">
        <v>0</v>
      </c>
      <c r="BB2184">
        <v>0</v>
      </c>
      <c r="BC2184">
        <v>0</v>
      </c>
      <c r="BD2184">
        <v>0</v>
      </c>
      <c r="BE2184">
        <v>0</v>
      </c>
      <c r="BF2184">
        <v>0</v>
      </c>
      <c r="BG2184">
        <v>0</v>
      </c>
      <c r="BH2184">
        <v>1</v>
      </c>
      <c r="BI2184">
        <v>1</v>
      </c>
      <c r="BJ2184">
        <v>0.2</v>
      </c>
      <c r="BK2184">
        <v>1</v>
      </c>
      <c r="BL2184" s="4">
        <v>50.45</v>
      </c>
      <c r="BM2184" s="4">
        <v>7.57</v>
      </c>
      <c r="BN2184" s="4">
        <v>58.02</v>
      </c>
      <c r="BO2184" s="4">
        <v>58.02</v>
      </c>
      <c r="BQ2184" t="s">
        <v>172</v>
      </c>
      <c r="BR2184" t="s">
        <v>84</v>
      </c>
      <c r="BS2184" s="3">
        <v>43819</v>
      </c>
      <c r="BT2184" s="5">
        <v>0.3888888888888889</v>
      </c>
      <c r="BU2184" t="s">
        <v>542</v>
      </c>
      <c r="BV2184" t="s">
        <v>86</v>
      </c>
      <c r="BY2184">
        <v>1200</v>
      </c>
      <c r="CA2184" t="s">
        <v>299</v>
      </c>
      <c r="CC2184" t="s">
        <v>199</v>
      </c>
      <c r="CD2184">
        <v>4000</v>
      </c>
      <c r="CE2184" t="s">
        <v>88</v>
      </c>
      <c r="CF2184" s="3">
        <v>43823</v>
      </c>
      <c r="CI2184">
        <v>1</v>
      </c>
      <c r="CJ2184">
        <v>1</v>
      </c>
      <c r="CK2184">
        <v>21</v>
      </c>
      <c r="CL2184" t="s">
        <v>89</v>
      </c>
    </row>
    <row r="2185" spans="1:90">
      <c r="A2185" t="s">
        <v>72</v>
      </c>
      <c r="B2185" t="s">
        <v>73</v>
      </c>
      <c r="C2185" t="s">
        <v>74</v>
      </c>
      <c r="E2185" t="str">
        <f>"FES1162729248"</f>
        <v>FES1162729248</v>
      </c>
      <c r="F2185" s="3">
        <v>43818</v>
      </c>
      <c r="G2185">
        <v>202006</v>
      </c>
      <c r="H2185" t="s">
        <v>75</v>
      </c>
      <c r="I2185" t="s">
        <v>76</v>
      </c>
      <c r="J2185" t="s">
        <v>77</v>
      </c>
      <c r="K2185" t="s">
        <v>78</v>
      </c>
      <c r="L2185" t="s">
        <v>90</v>
      </c>
      <c r="M2185" t="s">
        <v>91</v>
      </c>
      <c r="N2185" t="s">
        <v>110</v>
      </c>
      <c r="O2185" t="s">
        <v>82</v>
      </c>
      <c r="P2185" t="str">
        <f>"2170722230                    "</f>
        <v xml:space="preserve">2170722230                    </v>
      </c>
      <c r="Q2185">
        <v>0</v>
      </c>
      <c r="R2185">
        <v>0</v>
      </c>
      <c r="S2185">
        <v>0</v>
      </c>
      <c r="T2185">
        <v>0</v>
      </c>
      <c r="U2185">
        <v>0</v>
      </c>
      <c r="V2185">
        <v>0</v>
      </c>
      <c r="W2185">
        <v>0</v>
      </c>
      <c r="X2185">
        <v>0</v>
      </c>
      <c r="Y2185">
        <v>0</v>
      </c>
      <c r="Z2185">
        <v>0</v>
      </c>
      <c r="AA2185">
        <v>0</v>
      </c>
      <c r="AB2185">
        <v>0</v>
      </c>
      <c r="AC2185">
        <v>0</v>
      </c>
      <c r="AD2185">
        <v>0</v>
      </c>
      <c r="AE2185">
        <v>0</v>
      </c>
      <c r="AF2185">
        <v>0</v>
      </c>
      <c r="AG2185">
        <v>0</v>
      </c>
      <c r="AH2185">
        <v>0</v>
      </c>
      <c r="AI2185">
        <v>0</v>
      </c>
      <c r="AJ2185">
        <v>0</v>
      </c>
      <c r="AK2185">
        <v>0</v>
      </c>
      <c r="AL2185">
        <v>0</v>
      </c>
      <c r="AM2185">
        <v>17.16</v>
      </c>
      <c r="AN2185">
        <v>0</v>
      </c>
      <c r="AO2185">
        <v>0</v>
      </c>
      <c r="AP2185">
        <v>0</v>
      </c>
      <c r="AQ2185">
        <v>0</v>
      </c>
      <c r="AR2185">
        <v>0</v>
      </c>
      <c r="AS2185">
        <v>0</v>
      </c>
      <c r="AT2185">
        <v>0</v>
      </c>
      <c r="AU2185">
        <v>0</v>
      </c>
      <c r="AV2185">
        <v>0</v>
      </c>
      <c r="AW2185">
        <v>0</v>
      </c>
      <c r="AX2185">
        <v>0</v>
      </c>
      <c r="AY2185">
        <v>0</v>
      </c>
      <c r="AZ2185">
        <v>0</v>
      </c>
      <c r="BA2185">
        <v>0</v>
      </c>
      <c r="BB2185">
        <v>0</v>
      </c>
      <c r="BC2185">
        <v>0</v>
      </c>
      <c r="BD2185">
        <v>0</v>
      </c>
      <c r="BE2185">
        <v>0</v>
      </c>
      <c r="BF2185">
        <v>0</v>
      </c>
      <c r="BG2185">
        <v>0</v>
      </c>
      <c r="BH2185">
        <v>1</v>
      </c>
      <c r="BI2185">
        <v>3.8</v>
      </c>
      <c r="BJ2185">
        <v>1.3</v>
      </c>
      <c r="BK2185">
        <v>4</v>
      </c>
      <c r="BL2185" s="4">
        <v>100.87</v>
      </c>
      <c r="BM2185" s="4">
        <v>15.13</v>
      </c>
      <c r="BN2185" s="4">
        <v>116</v>
      </c>
      <c r="BO2185" s="4">
        <v>116</v>
      </c>
      <c r="BQ2185" t="s">
        <v>147</v>
      </c>
      <c r="BR2185" t="s">
        <v>84</v>
      </c>
      <c r="BS2185" s="3">
        <v>43822</v>
      </c>
      <c r="BT2185" s="5">
        <v>0.3263888888888889</v>
      </c>
      <c r="BU2185" t="s">
        <v>1830</v>
      </c>
      <c r="BV2185" t="s">
        <v>89</v>
      </c>
      <c r="BW2185" t="s">
        <v>1707</v>
      </c>
      <c r="BX2185" t="s">
        <v>692</v>
      </c>
      <c r="BY2185">
        <v>6502.81</v>
      </c>
      <c r="CA2185" t="s">
        <v>1831</v>
      </c>
      <c r="CC2185" t="s">
        <v>91</v>
      </c>
      <c r="CD2185">
        <v>7405</v>
      </c>
      <c r="CE2185" t="s">
        <v>96</v>
      </c>
      <c r="CF2185" s="3">
        <v>43823</v>
      </c>
      <c r="CI2185">
        <v>1</v>
      </c>
      <c r="CJ2185">
        <v>2</v>
      </c>
      <c r="CK2185">
        <v>21</v>
      </c>
      <c r="CL2185" t="s">
        <v>89</v>
      </c>
    </row>
    <row r="2186" spans="1:90">
      <c r="A2186" t="s">
        <v>72</v>
      </c>
      <c r="B2186" t="s">
        <v>73</v>
      </c>
      <c r="C2186" t="s">
        <v>74</v>
      </c>
      <c r="E2186" t="str">
        <f>"FES1162729151"</f>
        <v>FES1162729151</v>
      </c>
      <c r="F2186" s="3">
        <v>43818</v>
      </c>
      <c r="G2186">
        <v>202006</v>
      </c>
      <c r="H2186" t="s">
        <v>75</v>
      </c>
      <c r="I2186" t="s">
        <v>76</v>
      </c>
      <c r="J2186" t="s">
        <v>77</v>
      </c>
      <c r="K2186" t="s">
        <v>78</v>
      </c>
      <c r="L2186" t="s">
        <v>455</v>
      </c>
      <c r="M2186" t="s">
        <v>456</v>
      </c>
      <c r="N2186" t="s">
        <v>457</v>
      </c>
      <c r="O2186" t="s">
        <v>82</v>
      </c>
      <c r="P2186" t="str">
        <f>"2170722083                    "</f>
        <v xml:space="preserve">2170722083                    </v>
      </c>
      <c r="Q2186">
        <v>0</v>
      </c>
      <c r="R2186">
        <v>0</v>
      </c>
      <c r="S2186">
        <v>0</v>
      </c>
      <c r="T2186">
        <v>0</v>
      </c>
      <c r="U2186">
        <v>0</v>
      </c>
      <c r="V2186">
        <v>0</v>
      </c>
      <c r="W2186">
        <v>0</v>
      </c>
      <c r="X2186">
        <v>0</v>
      </c>
      <c r="Y2186">
        <v>0</v>
      </c>
      <c r="Z2186">
        <v>0</v>
      </c>
      <c r="AA2186">
        <v>0</v>
      </c>
      <c r="AB2186">
        <v>0</v>
      </c>
      <c r="AC2186">
        <v>0</v>
      </c>
      <c r="AD2186">
        <v>0</v>
      </c>
      <c r="AE2186">
        <v>0</v>
      </c>
      <c r="AF2186">
        <v>0</v>
      </c>
      <c r="AG2186">
        <v>0</v>
      </c>
      <c r="AH2186">
        <v>0</v>
      </c>
      <c r="AI2186">
        <v>0</v>
      </c>
      <c r="AJ2186">
        <v>0</v>
      </c>
      <c r="AK2186">
        <v>0</v>
      </c>
      <c r="AL2186">
        <v>0</v>
      </c>
      <c r="AM2186">
        <v>12.87</v>
      </c>
      <c r="AN2186">
        <v>0</v>
      </c>
      <c r="AO2186">
        <v>0</v>
      </c>
      <c r="AP2186">
        <v>0</v>
      </c>
      <c r="AQ2186">
        <v>0</v>
      </c>
      <c r="AR2186">
        <v>0</v>
      </c>
      <c r="AS2186">
        <v>0</v>
      </c>
      <c r="AT2186">
        <v>0</v>
      </c>
      <c r="AU2186">
        <v>0</v>
      </c>
      <c r="AV2186">
        <v>0</v>
      </c>
      <c r="AW2186">
        <v>0</v>
      </c>
      <c r="AX2186">
        <v>0</v>
      </c>
      <c r="AY2186">
        <v>0</v>
      </c>
      <c r="AZ2186">
        <v>0</v>
      </c>
      <c r="BA2186">
        <v>0</v>
      </c>
      <c r="BB2186">
        <v>0</v>
      </c>
      <c r="BC2186">
        <v>0</v>
      </c>
      <c r="BD2186">
        <v>0</v>
      </c>
      <c r="BE2186">
        <v>0</v>
      </c>
      <c r="BF2186">
        <v>0</v>
      </c>
      <c r="BG2186">
        <v>0</v>
      </c>
      <c r="BH2186">
        <v>1</v>
      </c>
      <c r="BI2186">
        <v>1.4</v>
      </c>
      <c r="BJ2186">
        <v>3</v>
      </c>
      <c r="BK2186">
        <v>3</v>
      </c>
      <c r="BL2186" s="4">
        <v>75.66</v>
      </c>
      <c r="BM2186" s="4">
        <v>11.35</v>
      </c>
      <c r="BN2186" s="4">
        <v>87.01</v>
      </c>
      <c r="BO2186" s="4">
        <v>87.01</v>
      </c>
      <c r="BR2186" t="s">
        <v>84</v>
      </c>
      <c r="BS2186" s="3">
        <v>43819</v>
      </c>
      <c r="BT2186" s="5">
        <v>0.46875</v>
      </c>
      <c r="BU2186" t="s">
        <v>2427</v>
      </c>
      <c r="BV2186" t="s">
        <v>86</v>
      </c>
      <c r="BY2186">
        <v>14904.04</v>
      </c>
      <c r="CA2186" t="s">
        <v>344</v>
      </c>
      <c r="CC2186" t="s">
        <v>456</v>
      </c>
      <c r="CD2186">
        <v>3699</v>
      </c>
      <c r="CE2186" t="s">
        <v>116</v>
      </c>
      <c r="CF2186" s="3">
        <v>43822</v>
      </c>
      <c r="CI2186">
        <v>1</v>
      </c>
      <c r="CJ2186">
        <v>1</v>
      </c>
      <c r="CK2186">
        <v>21</v>
      </c>
      <c r="CL2186" t="s">
        <v>89</v>
      </c>
    </row>
    <row r="2187" spans="1:90">
      <c r="A2187" t="s">
        <v>72</v>
      </c>
      <c r="B2187" t="s">
        <v>73</v>
      </c>
      <c r="C2187" t="s">
        <v>74</v>
      </c>
      <c r="E2187" t="str">
        <f>"FES1162729041"</f>
        <v>FES1162729041</v>
      </c>
      <c r="F2187" s="3">
        <v>43818</v>
      </c>
      <c r="G2187">
        <v>202006</v>
      </c>
      <c r="H2187" t="s">
        <v>75</v>
      </c>
      <c r="I2187" t="s">
        <v>76</v>
      </c>
      <c r="J2187" t="s">
        <v>77</v>
      </c>
      <c r="K2187" t="s">
        <v>78</v>
      </c>
      <c r="L2187" t="s">
        <v>221</v>
      </c>
      <c r="M2187" t="s">
        <v>222</v>
      </c>
      <c r="N2187" t="s">
        <v>521</v>
      </c>
      <c r="O2187" t="s">
        <v>82</v>
      </c>
      <c r="P2187" t="str">
        <f>"217071669                     "</f>
        <v xml:space="preserve">217071669                     </v>
      </c>
      <c r="Q2187">
        <v>0</v>
      </c>
      <c r="R2187">
        <v>0</v>
      </c>
      <c r="S2187">
        <v>0</v>
      </c>
      <c r="T2187">
        <v>0</v>
      </c>
      <c r="U2187">
        <v>0</v>
      </c>
      <c r="V2187">
        <v>0</v>
      </c>
      <c r="W2187">
        <v>0</v>
      </c>
      <c r="X2187">
        <v>0</v>
      </c>
      <c r="Y2187">
        <v>0</v>
      </c>
      <c r="Z2187">
        <v>0</v>
      </c>
      <c r="AA2187">
        <v>0</v>
      </c>
      <c r="AB2187">
        <v>0</v>
      </c>
      <c r="AC2187">
        <v>0</v>
      </c>
      <c r="AD2187">
        <v>0</v>
      </c>
      <c r="AE2187">
        <v>0</v>
      </c>
      <c r="AF2187">
        <v>0</v>
      </c>
      <c r="AG2187">
        <v>0</v>
      </c>
      <c r="AH2187">
        <v>0</v>
      </c>
      <c r="AI2187">
        <v>0</v>
      </c>
      <c r="AJ2187">
        <v>0</v>
      </c>
      <c r="AK2187">
        <v>0</v>
      </c>
      <c r="AL2187">
        <v>0</v>
      </c>
      <c r="AM2187">
        <v>15.02</v>
      </c>
      <c r="AN2187">
        <v>0</v>
      </c>
      <c r="AO2187">
        <v>0</v>
      </c>
      <c r="AP2187">
        <v>0</v>
      </c>
      <c r="AQ2187">
        <v>0</v>
      </c>
      <c r="AR2187">
        <v>0</v>
      </c>
      <c r="AS2187">
        <v>0</v>
      </c>
      <c r="AT2187">
        <v>0</v>
      </c>
      <c r="AU2187">
        <v>0</v>
      </c>
      <c r="AV2187">
        <v>0</v>
      </c>
      <c r="AW2187">
        <v>0</v>
      </c>
      <c r="AX2187">
        <v>0</v>
      </c>
      <c r="AY2187">
        <v>0</v>
      </c>
      <c r="AZ2187">
        <v>0</v>
      </c>
      <c r="BA2187">
        <v>0</v>
      </c>
      <c r="BB2187">
        <v>0</v>
      </c>
      <c r="BC2187">
        <v>0</v>
      </c>
      <c r="BD2187">
        <v>0</v>
      </c>
      <c r="BE2187">
        <v>0</v>
      </c>
      <c r="BF2187">
        <v>0</v>
      </c>
      <c r="BG2187">
        <v>0</v>
      </c>
      <c r="BH2187">
        <v>1</v>
      </c>
      <c r="BI2187">
        <v>3.1</v>
      </c>
      <c r="BJ2187">
        <v>2.9</v>
      </c>
      <c r="BK2187">
        <v>3.5</v>
      </c>
      <c r="BL2187" s="4">
        <v>88.27</v>
      </c>
      <c r="BM2187" s="4">
        <v>13.24</v>
      </c>
      <c r="BN2187" s="4">
        <v>101.51</v>
      </c>
      <c r="BO2187" s="4">
        <v>101.51</v>
      </c>
      <c r="BQ2187" t="s">
        <v>522</v>
      </c>
      <c r="BR2187" t="s">
        <v>84</v>
      </c>
      <c r="BS2187" s="3">
        <v>43819</v>
      </c>
      <c r="BT2187" s="5">
        <v>0.50694444444444442</v>
      </c>
      <c r="BU2187" t="s">
        <v>522</v>
      </c>
      <c r="BV2187" t="s">
        <v>89</v>
      </c>
      <c r="BW2187" t="s">
        <v>506</v>
      </c>
      <c r="BX2187" t="s">
        <v>524</v>
      </c>
      <c r="BY2187">
        <v>14542.75</v>
      </c>
      <c r="CA2187" t="s">
        <v>475</v>
      </c>
      <c r="CC2187" t="s">
        <v>222</v>
      </c>
      <c r="CD2187">
        <v>3201</v>
      </c>
      <c r="CE2187" t="s">
        <v>96</v>
      </c>
      <c r="CF2187" s="3">
        <v>43822</v>
      </c>
      <c r="CI2187">
        <v>1</v>
      </c>
      <c r="CJ2187">
        <v>1</v>
      </c>
      <c r="CK2187">
        <v>21</v>
      </c>
      <c r="CL2187" t="s">
        <v>89</v>
      </c>
    </row>
    <row r="2188" spans="1:90">
      <c r="A2188" t="s">
        <v>72</v>
      </c>
      <c r="B2188" t="s">
        <v>73</v>
      </c>
      <c r="C2188" t="s">
        <v>74</v>
      </c>
      <c r="E2188" t="str">
        <f>"FES1162729184"</f>
        <v>FES1162729184</v>
      </c>
      <c r="F2188" s="3">
        <v>43818</v>
      </c>
      <c r="G2188">
        <v>202006</v>
      </c>
      <c r="H2188" t="s">
        <v>75</v>
      </c>
      <c r="I2188" t="s">
        <v>76</v>
      </c>
      <c r="J2188" t="s">
        <v>77</v>
      </c>
      <c r="K2188" t="s">
        <v>78</v>
      </c>
      <c r="L2188" t="s">
        <v>151</v>
      </c>
      <c r="M2188" t="s">
        <v>102</v>
      </c>
      <c r="N2188" t="s">
        <v>634</v>
      </c>
      <c r="O2188" t="s">
        <v>82</v>
      </c>
      <c r="P2188" t="str">
        <f>"2170722173                    "</f>
        <v xml:space="preserve">2170722173                    </v>
      </c>
      <c r="Q2188">
        <v>0</v>
      </c>
      <c r="R2188">
        <v>0</v>
      </c>
      <c r="S2188">
        <v>0</v>
      </c>
      <c r="T2188">
        <v>0</v>
      </c>
      <c r="U2188">
        <v>0</v>
      </c>
      <c r="V2188">
        <v>0</v>
      </c>
      <c r="W2188">
        <v>0</v>
      </c>
      <c r="X2188">
        <v>0</v>
      </c>
      <c r="Y2188">
        <v>0</v>
      </c>
      <c r="Z2188">
        <v>0</v>
      </c>
      <c r="AA2188">
        <v>0</v>
      </c>
      <c r="AB2188">
        <v>0</v>
      </c>
      <c r="AC2188">
        <v>0</v>
      </c>
      <c r="AD2188">
        <v>0</v>
      </c>
      <c r="AE2188">
        <v>0</v>
      </c>
      <c r="AF2188">
        <v>0</v>
      </c>
      <c r="AG2188">
        <v>0</v>
      </c>
      <c r="AH2188">
        <v>0</v>
      </c>
      <c r="AI2188">
        <v>0</v>
      </c>
      <c r="AJ2188">
        <v>0</v>
      </c>
      <c r="AK2188">
        <v>0</v>
      </c>
      <c r="AL2188">
        <v>0</v>
      </c>
      <c r="AM2188">
        <v>10.73</v>
      </c>
      <c r="AN2188">
        <v>0</v>
      </c>
      <c r="AO2188">
        <v>0</v>
      </c>
      <c r="AP2188">
        <v>0</v>
      </c>
      <c r="AQ2188">
        <v>0</v>
      </c>
      <c r="AR2188">
        <v>0</v>
      </c>
      <c r="AS2188">
        <v>0</v>
      </c>
      <c r="AT2188">
        <v>0</v>
      </c>
      <c r="AU2188">
        <v>0</v>
      </c>
      <c r="AV2188">
        <v>0</v>
      </c>
      <c r="AW2188">
        <v>0</v>
      </c>
      <c r="AX2188">
        <v>0</v>
      </c>
      <c r="AY2188">
        <v>0</v>
      </c>
      <c r="AZ2188">
        <v>0</v>
      </c>
      <c r="BA2188">
        <v>0</v>
      </c>
      <c r="BB2188">
        <v>0</v>
      </c>
      <c r="BC2188">
        <v>0</v>
      </c>
      <c r="BD2188">
        <v>0</v>
      </c>
      <c r="BE2188">
        <v>0</v>
      </c>
      <c r="BF2188">
        <v>0</v>
      </c>
      <c r="BG2188">
        <v>0</v>
      </c>
      <c r="BH2188">
        <v>1</v>
      </c>
      <c r="BI2188">
        <v>2.4</v>
      </c>
      <c r="BJ2188">
        <v>1</v>
      </c>
      <c r="BK2188">
        <v>2.5</v>
      </c>
      <c r="BL2188" s="4">
        <v>63.06</v>
      </c>
      <c r="BM2188" s="4">
        <v>9.4600000000000009</v>
      </c>
      <c r="BN2188" s="4">
        <v>72.52</v>
      </c>
      <c r="BO2188" s="4">
        <v>72.52</v>
      </c>
      <c r="BQ2188" t="s">
        <v>147</v>
      </c>
      <c r="BR2188" t="s">
        <v>84</v>
      </c>
      <c r="BS2188" s="3">
        <v>43819</v>
      </c>
      <c r="BT2188" s="5">
        <v>0.36527777777777781</v>
      </c>
      <c r="BU2188" t="s">
        <v>2428</v>
      </c>
      <c r="BV2188" t="s">
        <v>86</v>
      </c>
      <c r="BY2188">
        <v>4752.79</v>
      </c>
      <c r="CC2188" t="s">
        <v>102</v>
      </c>
      <c r="CD2188">
        <v>200</v>
      </c>
      <c r="CE2188" t="s">
        <v>116</v>
      </c>
      <c r="CF2188" s="3">
        <v>43822</v>
      </c>
      <c r="CI2188">
        <v>1</v>
      </c>
      <c r="CJ2188">
        <v>1</v>
      </c>
      <c r="CK2188">
        <v>21</v>
      </c>
      <c r="CL2188" t="s">
        <v>89</v>
      </c>
    </row>
    <row r="2189" spans="1:90">
      <c r="A2189" t="s">
        <v>72</v>
      </c>
      <c r="B2189" t="s">
        <v>73</v>
      </c>
      <c r="C2189" t="s">
        <v>74</v>
      </c>
      <c r="E2189" t="str">
        <f>"FES1162729235"</f>
        <v>FES1162729235</v>
      </c>
      <c r="F2189" s="3">
        <v>43818</v>
      </c>
      <c r="G2189">
        <v>202006</v>
      </c>
      <c r="H2189" t="s">
        <v>75</v>
      </c>
      <c r="I2189" t="s">
        <v>76</v>
      </c>
      <c r="J2189" t="s">
        <v>77</v>
      </c>
      <c r="K2189" t="s">
        <v>78</v>
      </c>
      <c r="L2189" t="s">
        <v>90</v>
      </c>
      <c r="M2189" t="s">
        <v>91</v>
      </c>
      <c r="N2189" t="s">
        <v>770</v>
      </c>
      <c r="O2189" t="s">
        <v>82</v>
      </c>
      <c r="P2189" t="str">
        <f>"2170722227                    "</f>
        <v xml:space="preserve">2170722227                    </v>
      </c>
      <c r="Q2189">
        <v>0</v>
      </c>
      <c r="R2189">
        <v>0</v>
      </c>
      <c r="S2189">
        <v>0</v>
      </c>
      <c r="T2189">
        <v>0</v>
      </c>
      <c r="U2189">
        <v>0</v>
      </c>
      <c r="V2189">
        <v>0</v>
      </c>
      <c r="W2189">
        <v>0</v>
      </c>
      <c r="X2189">
        <v>0</v>
      </c>
      <c r="Y2189">
        <v>0</v>
      </c>
      <c r="Z2189">
        <v>0</v>
      </c>
      <c r="AA2189">
        <v>0</v>
      </c>
      <c r="AB2189">
        <v>0</v>
      </c>
      <c r="AC2189">
        <v>0</v>
      </c>
      <c r="AD2189">
        <v>0</v>
      </c>
      <c r="AE2189">
        <v>0</v>
      </c>
      <c r="AF2189">
        <v>0</v>
      </c>
      <c r="AG2189">
        <v>0</v>
      </c>
      <c r="AH2189">
        <v>0</v>
      </c>
      <c r="AI2189">
        <v>0</v>
      </c>
      <c r="AJ2189">
        <v>0</v>
      </c>
      <c r="AK2189">
        <v>0</v>
      </c>
      <c r="AL2189">
        <v>0</v>
      </c>
      <c r="AM2189">
        <v>8.58</v>
      </c>
      <c r="AN2189">
        <v>0</v>
      </c>
      <c r="AO2189">
        <v>0</v>
      </c>
      <c r="AP2189">
        <v>0</v>
      </c>
      <c r="AQ2189">
        <v>0</v>
      </c>
      <c r="AR2189">
        <v>0</v>
      </c>
      <c r="AS2189">
        <v>0</v>
      </c>
      <c r="AT2189">
        <v>0</v>
      </c>
      <c r="AU2189">
        <v>0</v>
      </c>
      <c r="AV2189">
        <v>0</v>
      </c>
      <c r="AW2189">
        <v>0</v>
      </c>
      <c r="AX2189">
        <v>0</v>
      </c>
      <c r="AY2189">
        <v>0</v>
      </c>
      <c r="AZ2189">
        <v>0</v>
      </c>
      <c r="BA2189">
        <v>0</v>
      </c>
      <c r="BB2189">
        <v>0</v>
      </c>
      <c r="BC2189">
        <v>0</v>
      </c>
      <c r="BD2189">
        <v>0</v>
      </c>
      <c r="BE2189">
        <v>0</v>
      </c>
      <c r="BF2189">
        <v>0</v>
      </c>
      <c r="BG2189">
        <v>0</v>
      </c>
      <c r="BH2189">
        <v>1</v>
      </c>
      <c r="BI2189">
        <v>1</v>
      </c>
      <c r="BJ2189">
        <v>0.2</v>
      </c>
      <c r="BK2189">
        <v>1</v>
      </c>
      <c r="BL2189" s="4">
        <v>50.45</v>
      </c>
      <c r="BM2189" s="4">
        <v>7.57</v>
      </c>
      <c r="BN2189" s="4">
        <v>58.02</v>
      </c>
      <c r="BO2189" s="4">
        <v>58.02</v>
      </c>
      <c r="BQ2189" t="s">
        <v>135</v>
      </c>
      <c r="BR2189" t="s">
        <v>84</v>
      </c>
      <c r="BS2189" s="3">
        <v>43819</v>
      </c>
      <c r="BT2189" s="5">
        <v>0.38125000000000003</v>
      </c>
      <c r="BU2189" t="s">
        <v>2429</v>
      </c>
      <c r="BV2189" t="s">
        <v>86</v>
      </c>
      <c r="BY2189">
        <v>1200</v>
      </c>
      <c r="CA2189" t="s">
        <v>2328</v>
      </c>
      <c r="CC2189" t="s">
        <v>91</v>
      </c>
      <c r="CD2189">
        <v>7460</v>
      </c>
      <c r="CE2189" t="s">
        <v>88</v>
      </c>
      <c r="CF2189" s="3">
        <v>43822</v>
      </c>
      <c r="CI2189">
        <v>1</v>
      </c>
      <c r="CJ2189">
        <v>1</v>
      </c>
      <c r="CK2189">
        <v>21</v>
      </c>
      <c r="CL2189" t="s">
        <v>89</v>
      </c>
    </row>
    <row r="2190" spans="1:90">
      <c r="A2190" t="s">
        <v>72</v>
      </c>
      <c r="B2190" t="s">
        <v>73</v>
      </c>
      <c r="C2190" t="s">
        <v>74</v>
      </c>
      <c r="E2190" t="str">
        <f>"FES1162729244"</f>
        <v>FES1162729244</v>
      </c>
      <c r="F2190" s="3">
        <v>43818</v>
      </c>
      <c r="G2190">
        <v>202006</v>
      </c>
      <c r="H2190" t="s">
        <v>75</v>
      </c>
      <c r="I2190" t="s">
        <v>76</v>
      </c>
      <c r="J2190" t="s">
        <v>77</v>
      </c>
      <c r="K2190" t="s">
        <v>78</v>
      </c>
      <c r="L2190" t="s">
        <v>90</v>
      </c>
      <c r="M2190" t="s">
        <v>91</v>
      </c>
      <c r="N2190" t="s">
        <v>770</v>
      </c>
      <c r="O2190" t="s">
        <v>82</v>
      </c>
      <c r="P2190" t="str">
        <f>"2170722233                    "</f>
        <v xml:space="preserve">2170722233                    </v>
      </c>
      <c r="Q2190">
        <v>0</v>
      </c>
      <c r="R2190">
        <v>0</v>
      </c>
      <c r="S2190">
        <v>0</v>
      </c>
      <c r="T2190">
        <v>0</v>
      </c>
      <c r="U2190">
        <v>0</v>
      </c>
      <c r="V2190">
        <v>0</v>
      </c>
      <c r="W2190">
        <v>0</v>
      </c>
      <c r="X2190">
        <v>0</v>
      </c>
      <c r="Y2190">
        <v>0</v>
      </c>
      <c r="Z2190">
        <v>0</v>
      </c>
      <c r="AA2190">
        <v>0</v>
      </c>
      <c r="AB2190">
        <v>0</v>
      </c>
      <c r="AC2190">
        <v>0</v>
      </c>
      <c r="AD2190">
        <v>0</v>
      </c>
      <c r="AE2190">
        <v>0</v>
      </c>
      <c r="AF2190">
        <v>0</v>
      </c>
      <c r="AG2190">
        <v>0</v>
      </c>
      <c r="AH2190">
        <v>0</v>
      </c>
      <c r="AI2190">
        <v>0</v>
      </c>
      <c r="AJ2190">
        <v>0</v>
      </c>
      <c r="AK2190">
        <v>0</v>
      </c>
      <c r="AL2190">
        <v>0</v>
      </c>
      <c r="AM2190">
        <v>8.58</v>
      </c>
      <c r="AN2190">
        <v>0</v>
      </c>
      <c r="AO2190">
        <v>0</v>
      </c>
      <c r="AP2190">
        <v>0</v>
      </c>
      <c r="AQ2190">
        <v>0</v>
      </c>
      <c r="AR2190">
        <v>0</v>
      </c>
      <c r="AS2190">
        <v>0</v>
      </c>
      <c r="AT2190">
        <v>0</v>
      </c>
      <c r="AU2190">
        <v>0</v>
      </c>
      <c r="AV2190">
        <v>0</v>
      </c>
      <c r="AW2190">
        <v>0</v>
      </c>
      <c r="AX2190">
        <v>0</v>
      </c>
      <c r="AY2190">
        <v>0</v>
      </c>
      <c r="AZ2190">
        <v>0</v>
      </c>
      <c r="BA2190">
        <v>0</v>
      </c>
      <c r="BB2190">
        <v>0</v>
      </c>
      <c r="BC2190">
        <v>0</v>
      </c>
      <c r="BD2190">
        <v>0</v>
      </c>
      <c r="BE2190">
        <v>0</v>
      </c>
      <c r="BF2190">
        <v>0</v>
      </c>
      <c r="BG2190">
        <v>0</v>
      </c>
      <c r="BH2190">
        <v>1</v>
      </c>
      <c r="BI2190">
        <v>1</v>
      </c>
      <c r="BJ2190">
        <v>0.2</v>
      </c>
      <c r="BK2190">
        <v>1</v>
      </c>
      <c r="BL2190" s="4">
        <v>50.45</v>
      </c>
      <c r="BM2190" s="4">
        <v>7.57</v>
      </c>
      <c r="BN2190" s="4">
        <v>58.02</v>
      </c>
      <c r="BO2190" s="4">
        <v>58.02</v>
      </c>
      <c r="BQ2190" t="s">
        <v>2430</v>
      </c>
      <c r="BR2190" t="s">
        <v>84</v>
      </c>
      <c r="BS2190" s="3">
        <v>43819</v>
      </c>
      <c r="BT2190" s="5">
        <v>0.38125000000000003</v>
      </c>
      <c r="BU2190" t="s">
        <v>2429</v>
      </c>
      <c r="BV2190" t="s">
        <v>86</v>
      </c>
      <c r="BY2190">
        <v>1200</v>
      </c>
      <c r="CA2190" t="s">
        <v>2328</v>
      </c>
      <c r="CC2190" t="s">
        <v>91</v>
      </c>
      <c r="CD2190">
        <v>7460</v>
      </c>
      <c r="CE2190" t="s">
        <v>88</v>
      </c>
      <c r="CF2190" s="3">
        <v>43822</v>
      </c>
      <c r="CI2190">
        <v>1</v>
      </c>
      <c r="CJ2190">
        <v>1</v>
      </c>
      <c r="CK2190">
        <v>21</v>
      </c>
      <c r="CL2190" t="s">
        <v>89</v>
      </c>
    </row>
    <row r="2191" spans="1:90">
      <c r="A2191" t="s">
        <v>72</v>
      </c>
      <c r="B2191" t="s">
        <v>73</v>
      </c>
      <c r="C2191" t="s">
        <v>74</v>
      </c>
      <c r="E2191" t="str">
        <f>"FES1162729246"</f>
        <v>FES1162729246</v>
      </c>
      <c r="F2191" s="3">
        <v>43818</v>
      </c>
      <c r="G2191">
        <v>202006</v>
      </c>
      <c r="H2191" t="s">
        <v>75</v>
      </c>
      <c r="I2191" t="s">
        <v>76</v>
      </c>
      <c r="J2191" t="s">
        <v>77</v>
      </c>
      <c r="K2191" t="s">
        <v>78</v>
      </c>
      <c r="L2191" t="s">
        <v>90</v>
      </c>
      <c r="M2191" t="s">
        <v>91</v>
      </c>
      <c r="N2191" t="s">
        <v>561</v>
      </c>
      <c r="O2191" t="s">
        <v>82</v>
      </c>
      <c r="P2191" t="str">
        <f>"2170722238                    "</f>
        <v xml:space="preserve">2170722238                    </v>
      </c>
      <c r="Q2191">
        <v>0</v>
      </c>
      <c r="R2191">
        <v>0</v>
      </c>
      <c r="S2191">
        <v>0</v>
      </c>
      <c r="T2191">
        <v>0</v>
      </c>
      <c r="U2191">
        <v>0</v>
      </c>
      <c r="V2191">
        <v>0</v>
      </c>
      <c r="W2191">
        <v>0</v>
      </c>
      <c r="X2191">
        <v>0</v>
      </c>
      <c r="Y2191">
        <v>0</v>
      </c>
      <c r="Z2191">
        <v>0</v>
      </c>
      <c r="AA2191">
        <v>0</v>
      </c>
      <c r="AB2191">
        <v>0</v>
      </c>
      <c r="AC2191">
        <v>0</v>
      </c>
      <c r="AD2191">
        <v>0</v>
      </c>
      <c r="AE2191">
        <v>0</v>
      </c>
      <c r="AF2191">
        <v>0</v>
      </c>
      <c r="AG2191">
        <v>0</v>
      </c>
      <c r="AH2191">
        <v>0</v>
      </c>
      <c r="AI2191">
        <v>0</v>
      </c>
      <c r="AJ2191">
        <v>0</v>
      </c>
      <c r="AK2191">
        <v>0</v>
      </c>
      <c r="AL2191">
        <v>0</v>
      </c>
      <c r="AM2191">
        <v>8.58</v>
      </c>
      <c r="AN2191">
        <v>0</v>
      </c>
      <c r="AO2191">
        <v>0</v>
      </c>
      <c r="AP2191">
        <v>0</v>
      </c>
      <c r="AQ2191">
        <v>0</v>
      </c>
      <c r="AR2191">
        <v>0</v>
      </c>
      <c r="AS2191">
        <v>0</v>
      </c>
      <c r="AT2191">
        <v>0</v>
      </c>
      <c r="AU2191">
        <v>0</v>
      </c>
      <c r="AV2191">
        <v>0</v>
      </c>
      <c r="AW2191">
        <v>0</v>
      </c>
      <c r="AX2191">
        <v>0</v>
      </c>
      <c r="AY2191">
        <v>0</v>
      </c>
      <c r="AZ2191">
        <v>0</v>
      </c>
      <c r="BA2191">
        <v>0</v>
      </c>
      <c r="BB2191">
        <v>0</v>
      </c>
      <c r="BC2191">
        <v>0</v>
      </c>
      <c r="BD2191">
        <v>0</v>
      </c>
      <c r="BE2191">
        <v>0</v>
      </c>
      <c r="BF2191">
        <v>0</v>
      </c>
      <c r="BG2191">
        <v>0</v>
      </c>
      <c r="BH2191">
        <v>1</v>
      </c>
      <c r="BI2191">
        <v>1</v>
      </c>
      <c r="BJ2191">
        <v>0.2</v>
      </c>
      <c r="BK2191">
        <v>1</v>
      </c>
      <c r="BL2191" s="4">
        <v>50.45</v>
      </c>
      <c r="BM2191" s="4">
        <v>7.57</v>
      </c>
      <c r="BN2191" s="4">
        <v>58.02</v>
      </c>
      <c r="BO2191" s="4">
        <v>58.02</v>
      </c>
      <c r="BQ2191" t="s">
        <v>172</v>
      </c>
      <c r="BR2191" t="s">
        <v>84</v>
      </c>
      <c r="BS2191" s="3">
        <v>43819</v>
      </c>
      <c r="BT2191" s="5">
        <v>0.37222222222222223</v>
      </c>
      <c r="BU2191" t="s">
        <v>943</v>
      </c>
      <c r="BV2191" t="s">
        <v>86</v>
      </c>
      <c r="BY2191">
        <v>1200</v>
      </c>
      <c r="CA2191" t="s">
        <v>2328</v>
      </c>
      <c r="CC2191" t="s">
        <v>91</v>
      </c>
      <c r="CD2191">
        <v>7460</v>
      </c>
      <c r="CE2191" t="s">
        <v>88</v>
      </c>
      <c r="CF2191" s="3">
        <v>43822</v>
      </c>
      <c r="CI2191">
        <v>1</v>
      </c>
      <c r="CJ2191">
        <v>1</v>
      </c>
      <c r="CK2191">
        <v>21</v>
      </c>
      <c r="CL2191" t="s">
        <v>89</v>
      </c>
    </row>
    <row r="2192" spans="1:90">
      <c r="A2192" t="s">
        <v>72</v>
      </c>
      <c r="B2192" t="s">
        <v>73</v>
      </c>
      <c r="C2192" t="s">
        <v>74</v>
      </c>
      <c r="E2192" t="str">
        <f>"FES1162729203"</f>
        <v>FES1162729203</v>
      </c>
      <c r="F2192" s="3">
        <v>43818</v>
      </c>
      <c r="G2192">
        <v>202006</v>
      </c>
      <c r="H2192" t="s">
        <v>75</v>
      </c>
      <c r="I2192" t="s">
        <v>76</v>
      </c>
      <c r="J2192" t="s">
        <v>77</v>
      </c>
      <c r="K2192" t="s">
        <v>78</v>
      </c>
      <c r="L2192" t="s">
        <v>75</v>
      </c>
      <c r="M2192" t="s">
        <v>76</v>
      </c>
      <c r="N2192" t="s">
        <v>1095</v>
      </c>
      <c r="O2192" t="s">
        <v>82</v>
      </c>
      <c r="P2192" t="str">
        <f>"21707122189                   "</f>
        <v xml:space="preserve">21707122189                   </v>
      </c>
      <c r="Q2192">
        <v>0</v>
      </c>
      <c r="R2192">
        <v>0</v>
      </c>
      <c r="S2192">
        <v>0</v>
      </c>
      <c r="T2192">
        <v>0</v>
      </c>
      <c r="U2192">
        <v>0</v>
      </c>
      <c r="V2192">
        <v>0</v>
      </c>
      <c r="W2192">
        <v>0</v>
      </c>
      <c r="X2192">
        <v>0</v>
      </c>
      <c r="Y2192">
        <v>0</v>
      </c>
      <c r="Z2192">
        <v>0</v>
      </c>
      <c r="AA2192">
        <v>0</v>
      </c>
      <c r="AB2192">
        <v>0</v>
      </c>
      <c r="AC2192">
        <v>0</v>
      </c>
      <c r="AD2192">
        <v>0</v>
      </c>
      <c r="AE2192">
        <v>0</v>
      </c>
      <c r="AF2192">
        <v>0</v>
      </c>
      <c r="AG2192">
        <v>0</v>
      </c>
      <c r="AH2192">
        <v>0</v>
      </c>
      <c r="AI2192">
        <v>0</v>
      </c>
      <c r="AJ2192">
        <v>0</v>
      </c>
      <c r="AK2192">
        <v>0</v>
      </c>
      <c r="AL2192">
        <v>0</v>
      </c>
      <c r="AM2192">
        <v>6.71</v>
      </c>
      <c r="AN2192">
        <v>0</v>
      </c>
      <c r="AO2192">
        <v>0</v>
      </c>
      <c r="AP2192">
        <v>0</v>
      </c>
      <c r="AQ2192">
        <v>0</v>
      </c>
      <c r="AR2192">
        <v>0</v>
      </c>
      <c r="AS2192">
        <v>0</v>
      </c>
      <c r="AT2192">
        <v>0</v>
      </c>
      <c r="AU2192">
        <v>0</v>
      </c>
      <c r="AV2192">
        <v>0</v>
      </c>
      <c r="AW2192">
        <v>0</v>
      </c>
      <c r="AX2192">
        <v>0</v>
      </c>
      <c r="AY2192">
        <v>0</v>
      </c>
      <c r="AZ2192">
        <v>0</v>
      </c>
      <c r="BA2192">
        <v>0</v>
      </c>
      <c r="BB2192">
        <v>0</v>
      </c>
      <c r="BC2192">
        <v>0</v>
      </c>
      <c r="BD2192">
        <v>0</v>
      </c>
      <c r="BE2192">
        <v>0</v>
      </c>
      <c r="BF2192">
        <v>0</v>
      </c>
      <c r="BG2192">
        <v>0</v>
      </c>
      <c r="BH2192">
        <v>1</v>
      </c>
      <c r="BI2192">
        <v>1</v>
      </c>
      <c r="BJ2192">
        <v>0.2</v>
      </c>
      <c r="BK2192">
        <v>1</v>
      </c>
      <c r="BL2192" s="4">
        <v>39.42</v>
      </c>
      <c r="BM2192" s="4">
        <v>5.91</v>
      </c>
      <c r="BN2192" s="4">
        <v>45.33</v>
      </c>
      <c r="BO2192" s="4">
        <v>45.33</v>
      </c>
      <c r="BQ2192" t="s">
        <v>147</v>
      </c>
      <c r="BR2192" t="s">
        <v>84</v>
      </c>
      <c r="BS2192" s="3">
        <v>43819</v>
      </c>
      <c r="BT2192" s="5">
        <v>0.35069444444444442</v>
      </c>
      <c r="BU2192" t="s">
        <v>2138</v>
      </c>
      <c r="BV2192" t="s">
        <v>86</v>
      </c>
      <c r="BY2192">
        <v>1200</v>
      </c>
      <c r="CA2192" t="s">
        <v>320</v>
      </c>
      <c r="CC2192" t="s">
        <v>76</v>
      </c>
      <c r="CD2192">
        <v>1665</v>
      </c>
      <c r="CE2192" t="s">
        <v>88</v>
      </c>
      <c r="CF2192" s="3">
        <v>43822</v>
      </c>
      <c r="CI2192">
        <v>1</v>
      </c>
      <c r="CJ2192">
        <v>1</v>
      </c>
      <c r="CK2192">
        <v>22</v>
      </c>
      <c r="CL2192" t="s">
        <v>89</v>
      </c>
    </row>
    <row r="2193" spans="1:90">
      <c r="A2193" t="s">
        <v>72</v>
      </c>
      <c r="B2193" t="s">
        <v>73</v>
      </c>
      <c r="C2193" t="s">
        <v>74</v>
      </c>
      <c r="E2193" t="str">
        <f>"FES1162729241"</f>
        <v>FES1162729241</v>
      </c>
      <c r="F2193" s="3">
        <v>43818</v>
      </c>
      <c r="G2193">
        <v>202006</v>
      </c>
      <c r="H2193" t="s">
        <v>75</v>
      </c>
      <c r="I2193" t="s">
        <v>76</v>
      </c>
      <c r="J2193" t="s">
        <v>77</v>
      </c>
      <c r="K2193" t="s">
        <v>78</v>
      </c>
      <c r="L2193" t="s">
        <v>198</v>
      </c>
      <c r="M2193" t="s">
        <v>199</v>
      </c>
      <c r="N2193" t="s">
        <v>297</v>
      </c>
      <c r="O2193" t="s">
        <v>82</v>
      </c>
      <c r="P2193" t="str">
        <f>"2170721997                    "</f>
        <v xml:space="preserve">2170721997                    </v>
      </c>
      <c r="Q2193">
        <v>0</v>
      </c>
      <c r="R2193">
        <v>0</v>
      </c>
      <c r="S2193">
        <v>0</v>
      </c>
      <c r="T2193">
        <v>0</v>
      </c>
      <c r="U2193">
        <v>0</v>
      </c>
      <c r="V2193">
        <v>0</v>
      </c>
      <c r="W2193">
        <v>0</v>
      </c>
      <c r="X2193">
        <v>0</v>
      </c>
      <c r="Y2193">
        <v>0</v>
      </c>
      <c r="Z2193">
        <v>0</v>
      </c>
      <c r="AA2193">
        <v>0</v>
      </c>
      <c r="AB2193">
        <v>0</v>
      </c>
      <c r="AC2193">
        <v>0</v>
      </c>
      <c r="AD2193">
        <v>0</v>
      </c>
      <c r="AE2193">
        <v>0</v>
      </c>
      <c r="AF2193">
        <v>0</v>
      </c>
      <c r="AG2193">
        <v>0</v>
      </c>
      <c r="AH2193">
        <v>0</v>
      </c>
      <c r="AI2193">
        <v>0</v>
      </c>
      <c r="AJ2193">
        <v>0</v>
      </c>
      <c r="AK2193">
        <v>0</v>
      </c>
      <c r="AL2193">
        <v>0</v>
      </c>
      <c r="AM2193">
        <v>8.58</v>
      </c>
      <c r="AN2193">
        <v>0</v>
      </c>
      <c r="AO2193">
        <v>0</v>
      </c>
      <c r="AP2193">
        <v>0</v>
      </c>
      <c r="AQ2193">
        <v>0</v>
      </c>
      <c r="AR2193">
        <v>0</v>
      </c>
      <c r="AS2193">
        <v>0</v>
      </c>
      <c r="AT2193">
        <v>0</v>
      </c>
      <c r="AU2193">
        <v>0</v>
      </c>
      <c r="AV2193">
        <v>0</v>
      </c>
      <c r="AW2193">
        <v>0</v>
      </c>
      <c r="AX2193">
        <v>0</v>
      </c>
      <c r="AY2193">
        <v>0</v>
      </c>
      <c r="AZ2193">
        <v>0</v>
      </c>
      <c r="BA2193">
        <v>0</v>
      </c>
      <c r="BB2193">
        <v>0</v>
      </c>
      <c r="BC2193">
        <v>0</v>
      </c>
      <c r="BD2193">
        <v>0</v>
      </c>
      <c r="BE2193">
        <v>0</v>
      </c>
      <c r="BF2193">
        <v>0</v>
      </c>
      <c r="BG2193">
        <v>0</v>
      </c>
      <c r="BH2193">
        <v>1</v>
      </c>
      <c r="BI2193">
        <v>1</v>
      </c>
      <c r="BJ2193">
        <v>0.2</v>
      </c>
      <c r="BK2193">
        <v>1</v>
      </c>
      <c r="BL2193" s="4">
        <v>50.45</v>
      </c>
      <c r="BM2193" s="4">
        <v>7.57</v>
      </c>
      <c r="BN2193" s="4">
        <v>58.02</v>
      </c>
      <c r="BO2193" s="4">
        <v>58.02</v>
      </c>
      <c r="BQ2193" t="s">
        <v>172</v>
      </c>
      <c r="BR2193" t="s">
        <v>84</v>
      </c>
      <c r="BS2193" s="3">
        <v>43819</v>
      </c>
      <c r="BT2193" s="5">
        <v>0.3888888888888889</v>
      </c>
      <c r="BU2193" t="s">
        <v>542</v>
      </c>
      <c r="BV2193" t="s">
        <v>86</v>
      </c>
      <c r="BY2193">
        <v>1200</v>
      </c>
      <c r="CA2193" t="s">
        <v>299</v>
      </c>
      <c r="CC2193" t="s">
        <v>199</v>
      </c>
      <c r="CD2193">
        <v>4000</v>
      </c>
      <c r="CE2193" t="s">
        <v>88</v>
      </c>
      <c r="CF2193" s="3">
        <v>43823</v>
      </c>
      <c r="CI2193">
        <v>1</v>
      </c>
      <c r="CJ2193">
        <v>1</v>
      </c>
      <c r="CK2193">
        <v>21</v>
      </c>
      <c r="CL2193" t="s">
        <v>89</v>
      </c>
    </row>
    <row r="2194" spans="1:90">
      <c r="A2194" t="s">
        <v>72</v>
      </c>
      <c r="B2194" t="s">
        <v>73</v>
      </c>
      <c r="C2194" t="s">
        <v>74</v>
      </c>
      <c r="E2194" t="str">
        <f>"FES1162729120"</f>
        <v>FES1162729120</v>
      </c>
      <c r="F2194" s="3">
        <v>43818</v>
      </c>
      <c r="G2194">
        <v>202006</v>
      </c>
      <c r="H2194" t="s">
        <v>75</v>
      </c>
      <c r="I2194" t="s">
        <v>76</v>
      </c>
      <c r="J2194" t="s">
        <v>77</v>
      </c>
      <c r="K2194" t="s">
        <v>78</v>
      </c>
      <c r="L2194" t="s">
        <v>332</v>
      </c>
      <c r="M2194" t="s">
        <v>333</v>
      </c>
      <c r="N2194" t="s">
        <v>1655</v>
      </c>
      <c r="O2194" t="s">
        <v>82</v>
      </c>
      <c r="P2194" t="str">
        <f>"2170720700                    "</f>
        <v xml:space="preserve">2170720700                    </v>
      </c>
      <c r="Q2194">
        <v>0</v>
      </c>
      <c r="R2194">
        <v>0</v>
      </c>
      <c r="S2194">
        <v>0</v>
      </c>
      <c r="T2194">
        <v>0</v>
      </c>
      <c r="U2194">
        <v>0</v>
      </c>
      <c r="V2194">
        <v>0</v>
      </c>
      <c r="W2194">
        <v>0</v>
      </c>
      <c r="X2194">
        <v>0</v>
      </c>
      <c r="Y2194">
        <v>0</v>
      </c>
      <c r="Z2194">
        <v>0</v>
      </c>
      <c r="AA2194">
        <v>0</v>
      </c>
      <c r="AB2194">
        <v>0</v>
      </c>
      <c r="AC2194">
        <v>0</v>
      </c>
      <c r="AD2194">
        <v>0</v>
      </c>
      <c r="AE2194">
        <v>0</v>
      </c>
      <c r="AF2194">
        <v>0</v>
      </c>
      <c r="AG2194">
        <v>0</v>
      </c>
      <c r="AH2194">
        <v>0</v>
      </c>
      <c r="AI2194">
        <v>0</v>
      </c>
      <c r="AJ2194">
        <v>0</v>
      </c>
      <c r="AK2194">
        <v>0</v>
      </c>
      <c r="AL2194">
        <v>0</v>
      </c>
      <c r="AM2194">
        <v>6.71</v>
      </c>
      <c r="AN2194">
        <v>0</v>
      </c>
      <c r="AO2194">
        <v>0</v>
      </c>
      <c r="AP2194">
        <v>0</v>
      </c>
      <c r="AQ2194">
        <v>0</v>
      </c>
      <c r="AR2194">
        <v>0</v>
      </c>
      <c r="AS2194">
        <v>0</v>
      </c>
      <c r="AT2194">
        <v>0</v>
      </c>
      <c r="AU2194">
        <v>0</v>
      </c>
      <c r="AV2194">
        <v>0</v>
      </c>
      <c r="AW2194">
        <v>0</v>
      </c>
      <c r="AX2194">
        <v>0</v>
      </c>
      <c r="AY2194">
        <v>0</v>
      </c>
      <c r="AZ2194">
        <v>0</v>
      </c>
      <c r="BA2194">
        <v>0</v>
      </c>
      <c r="BB2194">
        <v>0</v>
      </c>
      <c r="BC2194">
        <v>0</v>
      </c>
      <c r="BD2194">
        <v>0</v>
      </c>
      <c r="BE2194">
        <v>0</v>
      </c>
      <c r="BF2194">
        <v>0</v>
      </c>
      <c r="BG2194">
        <v>0</v>
      </c>
      <c r="BH2194">
        <v>1</v>
      </c>
      <c r="BI2194">
        <v>1.3</v>
      </c>
      <c r="BJ2194">
        <v>0.8</v>
      </c>
      <c r="BK2194">
        <v>1.5</v>
      </c>
      <c r="BL2194" s="4">
        <v>39.42</v>
      </c>
      <c r="BM2194" s="4">
        <v>5.91</v>
      </c>
      <c r="BN2194" s="4">
        <v>45.33</v>
      </c>
      <c r="BO2194" s="4">
        <v>45.33</v>
      </c>
      <c r="BQ2194" t="s">
        <v>1656</v>
      </c>
      <c r="BR2194" t="s">
        <v>84</v>
      </c>
      <c r="BS2194" s="3">
        <v>43819</v>
      </c>
      <c r="BT2194" s="5">
        <v>0.36458333333333331</v>
      </c>
      <c r="BU2194" t="s">
        <v>1657</v>
      </c>
      <c r="BV2194" t="s">
        <v>86</v>
      </c>
      <c r="BY2194">
        <v>3830.4</v>
      </c>
      <c r="CA2194" t="s">
        <v>1658</v>
      </c>
      <c r="CC2194" t="s">
        <v>333</v>
      </c>
      <c r="CD2194">
        <v>2042</v>
      </c>
      <c r="CE2194" t="s">
        <v>116</v>
      </c>
      <c r="CF2194" s="3">
        <v>43822</v>
      </c>
      <c r="CI2194">
        <v>1</v>
      </c>
      <c r="CJ2194">
        <v>1</v>
      </c>
      <c r="CK2194">
        <v>22</v>
      </c>
      <c r="CL2194" t="s">
        <v>89</v>
      </c>
    </row>
    <row r="2195" spans="1:90">
      <c r="A2195" t="s">
        <v>72</v>
      </c>
      <c r="B2195" t="s">
        <v>73</v>
      </c>
      <c r="C2195" t="s">
        <v>74</v>
      </c>
      <c r="E2195" t="str">
        <f>"FES1162729202"</f>
        <v>FES1162729202</v>
      </c>
      <c r="F2195" s="3">
        <v>43818</v>
      </c>
      <c r="G2195">
        <v>202006</v>
      </c>
      <c r="H2195" t="s">
        <v>75</v>
      </c>
      <c r="I2195" t="s">
        <v>76</v>
      </c>
      <c r="J2195" t="s">
        <v>77</v>
      </c>
      <c r="K2195" t="s">
        <v>78</v>
      </c>
      <c r="L2195" t="s">
        <v>75</v>
      </c>
      <c r="M2195" t="s">
        <v>76</v>
      </c>
      <c r="N2195" t="s">
        <v>377</v>
      </c>
      <c r="O2195" t="s">
        <v>82</v>
      </c>
      <c r="P2195" t="str">
        <f>"2170722187                    "</f>
        <v xml:space="preserve">2170722187                    </v>
      </c>
      <c r="Q2195">
        <v>0</v>
      </c>
      <c r="R2195">
        <v>0</v>
      </c>
      <c r="S2195">
        <v>0</v>
      </c>
      <c r="T2195">
        <v>0</v>
      </c>
      <c r="U2195">
        <v>0</v>
      </c>
      <c r="V2195">
        <v>0</v>
      </c>
      <c r="W2195">
        <v>0</v>
      </c>
      <c r="X2195">
        <v>0</v>
      </c>
      <c r="Y2195">
        <v>0</v>
      </c>
      <c r="Z2195">
        <v>0</v>
      </c>
      <c r="AA2195">
        <v>0</v>
      </c>
      <c r="AB2195">
        <v>0</v>
      </c>
      <c r="AC2195">
        <v>0</v>
      </c>
      <c r="AD2195">
        <v>0</v>
      </c>
      <c r="AE2195">
        <v>0</v>
      </c>
      <c r="AF2195">
        <v>0</v>
      </c>
      <c r="AG2195">
        <v>0</v>
      </c>
      <c r="AH2195">
        <v>0</v>
      </c>
      <c r="AI2195">
        <v>0</v>
      </c>
      <c r="AJ2195">
        <v>0</v>
      </c>
      <c r="AK2195">
        <v>0</v>
      </c>
      <c r="AL2195">
        <v>0</v>
      </c>
      <c r="AM2195">
        <v>6.71</v>
      </c>
      <c r="AN2195">
        <v>0</v>
      </c>
      <c r="AO2195">
        <v>0</v>
      </c>
      <c r="AP2195">
        <v>0</v>
      </c>
      <c r="AQ2195">
        <v>0</v>
      </c>
      <c r="AR2195">
        <v>0</v>
      </c>
      <c r="AS2195">
        <v>0</v>
      </c>
      <c r="AT2195">
        <v>0</v>
      </c>
      <c r="AU2195">
        <v>0</v>
      </c>
      <c r="AV2195">
        <v>0</v>
      </c>
      <c r="AW2195">
        <v>0</v>
      </c>
      <c r="AX2195">
        <v>0</v>
      </c>
      <c r="AY2195">
        <v>0</v>
      </c>
      <c r="AZ2195">
        <v>0</v>
      </c>
      <c r="BA2195">
        <v>0</v>
      </c>
      <c r="BB2195">
        <v>0</v>
      </c>
      <c r="BC2195">
        <v>0</v>
      </c>
      <c r="BD2195">
        <v>0</v>
      </c>
      <c r="BE2195">
        <v>0</v>
      </c>
      <c r="BF2195">
        <v>0</v>
      </c>
      <c r="BG2195">
        <v>0</v>
      </c>
      <c r="BH2195">
        <v>1</v>
      </c>
      <c r="BI2195">
        <v>1</v>
      </c>
      <c r="BJ2195">
        <v>0.2</v>
      </c>
      <c r="BK2195">
        <v>1</v>
      </c>
      <c r="BL2195" s="4">
        <v>39.42</v>
      </c>
      <c r="BM2195" s="4">
        <v>5.91</v>
      </c>
      <c r="BN2195" s="4">
        <v>45.33</v>
      </c>
      <c r="BO2195" s="4">
        <v>45.33</v>
      </c>
      <c r="BQ2195" t="s">
        <v>147</v>
      </c>
      <c r="BR2195" t="s">
        <v>84</v>
      </c>
      <c r="BS2195" s="3">
        <v>43819</v>
      </c>
      <c r="BT2195" s="5">
        <v>0.34375</v>
      </c>
      <c r="BU2195" t="s">
        <v>2431</v>
      </c>
      <c r="BV2195" t="s">
        <v>86</v>
      </c>
      <c r="BY2195">
        <v>1200</v>
      </c>
      <c r="CA2195" t="s">
        <v>320</v>
      </c>
      <c r="CC2195" t="s">
        <v>76</v>
      </c>
      <c r="CD2195">
        <v>1665</v>
      </c>
      <c r="CE2195" t="s">
        <v>88</v>
      </c>
      <c r="CF2195" s="3">
        <v>43822</v>
      </c>
      <c r="CI2195">
        <v>1</v>
      </c>
      <c r="CJ2195">
        <v>1</v>
      </c>
      <c r="CK2195">
        <v>22</v>
      </c>
      <c r="CL2195" t="s">
        <v>89</v>
      </c>
    </row>
    <row r="2196" spans="1:90">
      <c r="A2196" t="s">
        <v>72</v>
      </c>
      <c r="B2196" t="s">
        <v>73</v>
      </c>
      <c r="C2196" t="s">
        <v>74</v>
      </c>
      <c r="E2196" t="str">
        <f>"FES1162729156"</f>
        <v>FES1162729156</v>
      </c>
      <c r="F2196" s="3">
        <v>43818</v>
      </c>
      <c r="G2196">
        <v>202006</v>
      </c>
      <c r="H2196" t="s">
        <v>75</v>
      </c>
      <c r="I2196" t="s">
        <v>76</v>
      </c>
      <c r="J2196" t="s">
        <v>77</v>
      </c>
      <c r="K2196" t="s">
        <v>78</v>
      </c>
      <c r="L2196" t="s">
        <v>221</v>
      </c>
      <c r="M2196" t="s">
        <v>222</v>
      </c>
      <c r="N2196" t="s">
        <v>845</v>
      </c>
      <c r="O2196" t="s">
        <v>82</v>
      </c>
      <c r="P2196" t="str">
        <f>"2170722058                    "</f>
        <v xml:space="preserve">2170722058                    </v>
      </c>
      <c r="Q2196">
        <v>0</v>
      </c>
      <c r="R2196">
        <v>0</v>
      </c>
      <c r="S2196">
        <v>0</v>
      </c>
      <c r="T2196">
        <v>0</v>
      </c>
      <c r="U2196">
        <v>0</v>
      </c>
      <c r="V2196">
        <v>0</v>
      </c>
      <c r="W2196">
        <v>0</v>
      </c>
      <c r="X2196">
        <v>0</v>
      </c>
      <c r="Y2196">
        <v>0</v>
      </c>
      <c r="Z2196">
        <v>0</v>
      </c>
      <c r="AA2196">
        <v>0</v>
      </c>
      <c r="AB2196">
        <v>0</v>
      </c>
      <c r="AC2196">
        <v>0</v>
      </c>
      <c r="AD2196">
        <v>0</v>
      </c>
      <c r="AE2196">
        <v>0</v>
      </c>
      <c r="AF2196">
        <v>0</v>
      </c>
      <c r="AG2196">
        <v>0</v>
      </c>
      <c r="AH2196">
        <v>0</v>
      </c>
      <c r="AI2196">
        <v>0</v>
      </c>
      <c r="AJ2196">
        <v>0</v>
      </c>
      <c r="AK2196">
        <v>0</v>
      </c>
      <c r="AL2196">
        <v>0</v>
      </c>
      <c r="AM2196">
        <v>8.58</v>
      </c>
      <c r="AN2196">
        <v>0</v>
      </c>
      <c r="AO2196">
        <v>0</v>
      </c>
      <c r="AP2196">
        <v>0</v>
      </c>
      <c r="AQ2196">
        <v>0</v>
      </c>
      <c r="AR2196">
        <v>0</v>
      </c>
      <c r="AS2196">
        <v>0</v>
      </c>
      <c r="AT2196">
        <v>0</v>
      </c>
      <c r="AU2196">
        <v>0</v>
      </c>
      <c r="AV2196">
        <v>0</v>
      </c>
      <c r="AW2196">
        <v>0</v>
      </c>
      <c r="AX2196">
        <v>0</v>
      </c>
      <c r="AY2196">
        <v>0</v>
      </c>
      <c r="AZ2196">
        <v>0</v>
      </c>
      <c r="BA2196">
        <v>0</v>
      </c>
      <c r="BB2196">
        <v>0</v>
      </c>
      <c r="BC2196">
        <v>0</v>
      </c>
      <c r="BD2196">
        <v>0</v>
      </c>
      <c r="BE2196">
        <v>0</v>
      </c>
      <c r="BF2196">
        <v>0</v>
      </c>
      <c r="BG2196">
        <v>0</v>
      </c>
      <c r="BH2196">
        <v>1</v>
      </c>
      <c r="BI2196">
        <v>1</v>
      </c>
      <c r="BJ2196">
        <v>0.2</v>
      </c>
      <c r="BK2196">
        <v>1</v>
      </c>
      <c r="BL2196" s="4">
        <v>50.45</v>
      </c>
      <c r="BM2196" s="4">
        <v>7.57</v>
      </c>
      <c r="BN2196" s="4">
        <v>58.02</v>
      </c>
      <c r="BO2196" s="4">
        <v>58.02</v>
      </c>
      <c r="BQ2196" t="s">
        <v>93</v>
      </c>
      <c r="BR2196" t="s">
        <v>84</v>
      </c>
      <c r="BS2196" s="3">
        <v>43819</v>
      </c>
      <c r="BT2196" s="5">
        <v>0.33333333333333331</v>
      </c>
      <c r="BU2196" t="s">
        <v>846</v>
      </c>
      <c r="BV2196" t="s">
        <v>86</v>
      </c>
      <c r="BY2196">
        <v>1200</v>
      </c>
      <c r="CA2196" t="s">
        <v>847</v>
      </c>
      <c r="CC2196" t="s">
        <v>222</v>
      </c>
      <c r="CD2196">
        <v>3201</v>
      </c>
      <c r="CE2196" t="s">
        <v>88</v>
      </c>
      <c r="CF2196" s="3">
        <v>43822</v>
      </c>
      <c r="CI2196">
        <v>1</v>
      </c>
      <c r="CJ2196">
        <v>1</v>
      </c>
      <c r="CK2196">
        <v>21</v>
      </c>
      <c r="CL2196" t="s">
        <v>89</v>
      </c>
    </row>
    <row r="2197" spans="1:90">
      <c r="A2197" t="s">
        <v>72</v>
      </c>
      <c r="B2197" t="s">
        <v>73</v>
      </c>
      <c r="C2197" t="s">
        <v>74</v>
      </c>
      <c r="E2197" t="str">
        <f>"FES1162729210"</f>
        <v>FES1162729210</v>
      </c>
      <c r="F2197" s="3">
        <v>43818</v>
      </c>
      <c r="G2197">
        <v>202006</v>
      </c>
      <c r="H2197" t="s">
        <v>75</v>
      </c>
      <c r="I2197" t="s">
        <v>76</v>
      </c>
      <c r="J2197" t="s">
        <v>77</v>
      </c>
      <c r="K2197" t="s">
        <v>78</v>
      </c>
      <c r="L2197" t="s">
        <v>164</v>
      </c>
      <c r="M2197" t="s">
        <v>165</v>
      </c>
      <c r="N2197" t="s">
        <v>263</v>
      </c>
      <c r="O2197" t="s">
        <v>82</v>
      </c>
      <c r="P2197" t="str">
        <f>"2170722166                    "</f>
        <v xml:space="preserve">2170722166                    </v>
      </c>
      <c r="Q2197">
        <v>0</v>
      </c>
      <c r="R2197">
        <v>0</v>
      </c>
      <c r="S2197">
        <v>0</v>
      </c>
      <c r="T2197">
        <v>0</v>
      </c>
      <c r="U2197">
        <v>0</v>
      </c>
      <c r="V2197">
        <v>0</v>
      </c>
      <c r="W2197">
        <v>0</v>
      </c>
      <c r="X2197">
        <v>0</v>
      </c>
      <c r="Y2197">
        <v>0</v>
      </c>
      <c r="Z2197">
        <v>0</v>
      </c>
      <c r="AA2197">
        <v>0</v>
      </c>
      <c r="AB2197">
        <v>0</v>
      </c>
      <c r="AC2197">
        <v>0</v>
      </c>
      <c r="AD2197">
        <v>0</v>
      </c>
      <c r="AE2197">
        <v>0</v>
      </c>
      <c r="AF2197">
        <v>0</v>
      </c>
      <c r="AG2197">
        <v>0</v>
      </c>
      <c r="AH2197">
        <v>0</v>
      </c>
      <c r="AI2197">
        <v>0</v>
      </c>
      <c r="AJ2197">
        <v>0</v>
      </c>
      <c r="AK2197">
        <v>0</v>
      </c>
      <c r="AL2197">
        <v>0</v>
      </c>
      <c r="AM2197">
        <v>79.349999999999994</v>
      </c>
      <c r="AN2197">
        <v>0</v>
      </c>
      <c r="AO2197">
        <v>0</v>
      </c>
      <c r="AP2197">
        <v>0</v>
      </c>
      <c r="AQ2197">
        <v>0</v>
      </c>
      <c r="AR2197">
        <v>0</v>
      </c>
      <c r="AS2197">
        <v>0</v>
      </c>
      <c r="AT2197">
        <v>0</v>
      </c>
      <c r="AU2197">
        <v>0</v>
      </c>
      <c r="AV2197">
        <v>0</v>
      </c>
      <c r="AW2197">
        <v>0</v>
      </c>
      <c r="AX2197">
        <v>0</v>
      </c>
      <c r="AY2197">
        <v>0</v>
      </c>
      <c r="AZ2197">
        <v>0</v>
      </c>
      <c r="BA2197">
        <v>0</v>
      </c>
      <c r="BB2197">
        <v>0</v>
      </c>
      <c r="BC2197">
        <v>0</v>
      </c>
      <c r="BD2197">
        <v>0</v>
      </c>
      <c r="BE2197">
        <v>0</v>
      </c>
      <c r="BF2197">
        <v>0</v>
      </c>
      <c r="BG2197">
        <v>0</v>
      </c>
      <c r="BH2197">
        <v>1</v>
      </c>
      <c r="BI2197">
        <v>14.7</v>
      </c>
      <c r="BJ2197">
        <v>18.2</v>
      </c>
      <c r="BK2197">
        <v>18.5</v>
      </c>
      <c r="BL2197" s="4">
        <v>466.4</v>
      </c>
      <c r="BM2197" s="4">
        <v>69.959999999999994</v>
      </c>
      <c r="BN2197" s="4">
        <v>536.36</v>
      </c>
      <c r="BO2197" s="4">
        <v>536.36</v>
      </c>
      <c r="BQ2197" t="s">
        <v>147</v>
      </c>
      <c r="BR2197" t="s">
        <v>84</v>
      </c>
      <c r="BS2197" s="3">
        <v>43819</v>
      </c>
      <c r="BT2197" s="5">
        <v>0.35486111111111113</v>
      </c>
      <c r="BU2197" t="s">
        <v>1827</v>
      </c>
      <c r="BV2197" t="s">
        <v>86</v>
      </c>
      <c r="BY2197">
        <v>90789.6</v>
      </c>
      <c r="CA2197" t="s">
        <v>371</v>
      </c>
      <c r="CC2197" t="s">
        <v>165</v>
      </c>
      <c r="CD2197">
        <v>5201</v>
      </c>
      <c r="CE2197" t="s">
        <v>96</v>
      </c>
      <c r="CF2197" s="3">
        <v>43822</v>
      </c>
      <c r="CI2197">
        <v>1</v>
      </c>
      <c r="CJ2197">
        <v>1</v>
      </c>
      <c r="CK2197">
        <v>21</v>
      </c>
      <c r="CL2197" t="s">
        <v>89</v>
      </c>
    </row>
    <row r="2198" spans="1:90">
      <c r="A2198" t="s">
        <v>72</v>
      </c>
      <c r="B2198" t="s">
        <v>73</v>
      </c>
      <c r="C2198" t="s">
        <v>74</v>
      </c>
      <c r="E2198" t="str">
        <f>"FES1162729173"</f>
        <v>FES1162729173</v>
      </c>
      <c r="F2198" s="3">
        <v>43818</v>
      </c>
      <c r="G2198">
        <v>202006</v>
      </c>
      <c r="H2198" t="s">
        <v>75</v>
      </c>
      <c r="I2198" t="s">
        <v>76</v>
      </c>
      <c r="J2198" t="s">
        <v>77</v>
      </c>
      <c r="K2198" t="s">
        <v>78</v>
      </c>
      <c r="L2198" t="s">
        <v>332</v>
      </c>
      <c r="M2198" t="s">
        <v>333</v>
      </c>
      <c r="N2198" t="s">
        <v>978</v>
      </c>
      <c r="O2198" t="s">
        <v>82</v>
      </c>
      <c r="P2198" t="str">
        <f>"2170722161                    "</f>
        <v xml:space="preserve">2170722161                    </v>
      </c>
      <c r="Q2198">
        <v>0</v>
      </c>
      <c r="R2198">
        <v>0</v>
      </c>
      <c r="S2198">
        <v>0</v>
      </c>
      <c r="T2198">
        <v>0</v>
      </c>
      <c r="U2198">
        <v>0</v>
      </c>
      <c r="V2198">
        <v>0</v>
      </c>
      <c r="W2198">
        <v>0</v>
      </c>
      <c r="X2198">
        <v>0</v>
      </c>
      <c r="Y2198">
        <v>0</v>
      </c>
      <c r="Z2198">
        <v>0</v>
      </c>
      <c r="AA2198">
        <v>0</v>
      </c>
      <c r="AB2198">
        <v>0</v>
      </c>
      <c r="AC2198">
        <v>0</v>
      </c>
      <c r="AD2198">
        <v>0</v>
      </c>
      <c r="AE2198">
        <v>0</v>
      </c>
      <c r="AF2198">
        <v>0</v>
      </c>
      <c r="AG2198">
        <v>0</v>
      </c>
      <c r="AH2198">
        <v>0</v>
      </c>
      <c r="AI2198">
        <v>0</v>
      </c>
      <c r="AJ2198">
        <v>0</v>
      </c>
      <c r="AK2198">
        <v>0</v>
      </c>
      <c r="AL2198">
        <v>0</v>
      </c>
      <c r="AM2198">
        <v>8.31</v>
      </c>
      <c r="AN2198">
        <v>0</v>
      </c>
      <c r="AO2198">
        <v>0</v>
      </c>
      <c r="AP2198">
        <v>0</v>
      </c>
      <c r="AQ2198">
        <v>0</v>
      </c>
      <c r="AR2198">
        <v>0</v>
      </c>
      <c r="AS2198">
        <v>0</v>
      </c>
      <c r="AT2198">
        <v>0</v>
      </c>
      <c r="AU2198">
        <v>0</v>
      </c>
      <c r="AV2198">
        <v>0</v>
      </c>
      <c r="AW2198">
        <v>0</v>
      </c>
      <c r="AX2198">
        <v>0</v>
      </c>
      <c r="AY2198">
        <v>0</v>
      </c>
      <c r="AZ2198">
        <v>0</v>
      </c>
      <c r="BA2198">
        <v>0</v>
      </c>
      <c r="BB2198">
        <v>0</v>
      </c>
      <c r="BC2198">
        <v>0</v>
      </c>
      <c r="BD2198">
        <v>0</v>
      </c>
      <c r="BE2198">
        <v>0</v>
      </c>
      <c r="BF2198">
        <v>0</v>
      </c>
      <c r="BG2198">
        <v>0</v>
      </c>
      <c r="BH2198">
        <v>1</v>
      </c>
      <c r="BI2198">
        <v>2</v>
      </c>
      <c r="BJ2198">
        <v>3</v>
      </c>
      <c r="BK2198">
        <v>3</v>
      </c>
      <c r="BL2198" s="4">
        <v>48.86</v>
      </c>
      <c r="BM2198" s="4">
        <v>7.33</v>
      </c>
      <c r="BN2198" s="4">
        <v>56.19</v>
      </c>
      <c r="BO2198" s="4">
        <v>56.19</v>
      </c>
      <c r="BR2198" t="s">
        <v>84</v>
      </c>
      <c r="BS2198" s="3">
        <v>43819</v>
      </c>
      <c r="BT2198" s="5">
        <v>0.36180555555555555</v>
      </c>
      <c r="BU2198" t="s">
        <v>2323</v>
      </c>
      <c r="BV2198" t="s">
        <v>86</v>
      </c>
      <c r="BY2198">
        <v>15240.78</v>
      </c>
      <c r="CC2198" t="s">
        <v>333</v>
      </c>
      <c r="CD2198">
        <v>2013</v>
      </c>
      <c r="CE2198" t="s">
        <v>96</v>
      </c>
      <c r="CF2198" s="3">
        <v>43822</v>
      </c>
      <c r="CI2198">
        <v>1</v>
      </c>
      <c r="CJ2198">
        <v>1</v>
      </c>
      <c r="CK2198">
        <v>22</v>
      </c>
      <c r="CL2198" t="s">
        <v>89</v>
      </c>
    </row>
    <row r="2199" spans="1:90">
      <c r="A2199" t="s">
        <v>72</v>
      </c>
      <c r="B2199" t="s">
        <v>73</v>
      </c>
      <c r="C2199" t="s">
        <v>74</v>
      </c>
      <c r="E2199" t="str">
        <f>"FES1162729140"</f>
        <v>FES1162729140</v>
      </c>
      <c r="F2199" s="3">
        <v>43818</v>
      </c>
      <c r="G2199">
        <v>202006</v>
      </c>
      <c r="H2199" t="s">
        <v>75</v>
      </c>
      <c r="I2199" t="s">
        <v>76</v>
      </c>
      <c r="J2199" t="s">
        <v>77</v>
      </c>
      <c r="K2199" t="s">
        <v>78</v>
      </c>
      <c r="L2199" t="s">
        <v>138</v>
      </c>
      <c r="M2199" t="s">
        <v>139</v>
      </c>
      <c r="N2199" t="s">
        <v>2432</v>
      </c>
      <c r="O2199" t="s">
        <v>82</v>
      </c>
      <c r="P2199" t="str">
        <f>"2170721172                    "</f>
        <v xml:space="preserve">2170721172                    </v>
      </c>
      <c r="Q2199">
        <v>0</v>
      </c>
      <c r="R2199">
        <v>0</v>
      </c>
      <c r="S2199">
        <v>0</v>
      </c>
      <c r="T2199">
        <v>0</v>
      </c>
      <c r="U2199">
        <v>0</v>
      </c>
      <c r="V2199">
        <v>0</v>
      </c>
      <c r="W2199">
        <v>0</v>
      </c>
      <c r="X2199">
        <v>0</v>
      </c>
      <c r="Y2199">
        <v>0</v>
      </c>
      <c r="Z2199">
        <v>0</v>
      </c>
      <c r="AA2199">
        <v>0</v>
      </c>
      <c r="AB2199">
        <v>0</v>
      </c>
      <c r="AC2199">
        <v>0</v>
      </c>
      <c r="AD2199">
        <v>0</v>
      </c>
      <c r="AE2199">
        <v>0</v>
      </c>
      <c r="AF2199">
        <v>0</v>
      </c>
      <c r="AG2199">
        <v>0</v>
      </c>
      <c r="AH2199">
        <v>0</v>
      </c>
      <c r="AI2199">
        <v>0</v>
      </c>
      <c r="AJ2199">
        <v>0</v>
      </c>
      <c r="AK2199">
        <v>0</v>
      </c>
      <c r="AL2199">
        <v>0</v>
      </c>
      <c r="AM2199">
        <v>6.71</v>
      </c>
      <c r="AN2199">
        <v>0</v>
      </c>
      <c r="AO2199">
        <v>0</v>
      </c>
      <c r="AP2199">
        <v>0</v>
      </c>
      <c r="AQ2199">
        <v>0</v>
      </c>
      <c r="AR2199">
        <v>0</v>
      </c>
      <c r="AS2199">
        <v>0</v>
      </c>
      <c r="AT2199">
        <v>0</v>
      </c>
      <c r="AU2199">
        <v>0</v>
      </c>
      <c r="AV2199">
        <v>0</v>
      </c>
      <c r="AW2199">
        <v>0</v>
      </c>
      <c r="AX2199">
        <v>0</v>
      </c>
      <c r="AY2199">
        <v>0</v>
      </c>
      <c r="AZ2199">
        <v>0</v>
      </c>
      <c r="BA2199">
        <v>0</v>
      </c>
      <c r="BB2199">
        <v>0</v>
      </c>
      <c r="BC2199">
        <v>0</v>
      </c>
      <c r="BD2199">
        <v>0</v>
      </c>
      <c r="BE2199">
        <v>0</v>
      </c>
      <c r="BF2199">
        <v>0</v>
      </c>
      <c r="BG2199">
        <v>0</v>
      </c>
      <c r="BH2199">
        <v>1</v>
      </c>
      <c r="BI2199">
        <v>0.9</v>
      </c>
      <c r="BJ2199">
        <v>0.8</v>
      </c>
      <c r="BK2199">
        <v>1</v>
      </c>
      <c r="BL2199" s="4">
        <v>39.42</v>
      </c>
      <c r="BM2199" s="4">
        <v>5.91</v>
      </c>
      <c r="BN2199" s="4">
        <v>45.33</v>
      </c>
      <c r="BO2199" s="4">
        <v>45.33</v>
      </c>
      <c r="BR2199" t="s">
        <v>84</v>
      </c>
      <c r="BS2199" s="3">
        <v>43832</v>
      </c>
      <c r="BT2199" s="5">
        <v>0.77777777777777779</v>
      </c>
      <c r="BU2199" t="s">
        <v>617</v>
      </c>
      <c r="BV2199" t="s">
        <v>89</v>
      </c>
      <c r="BY2199">
        <v>4033.32</v>
      </c>
      <c r="CA2199" t="s">
        <v>620</v>
      </c>
      <c r="CC2199" t="s">
        <v>139</v>
      </c>
      <c r="CD2199">
        <v>1401</v>
      </c>
      <c r="CE2199" t="s">
        <v>116</v>
      </c>
      <c r="CI2199">
        <v>1</v>
      </c>
      <c r="CJ2199">
        <v>10</v>
      </c>
      <c r="CK2199">
        <v>22</v>
      </c>
      <c r="CL2199" t="s">
        <v>89</v>
      </c>
    </row>
    <row r="2200" spans="1:90">
      <c r="A2200" t="s">
        <v>72</v>
      </c>
      <c r="B2200" t="s">
        <v>73</v>
      </c>
      <c r="C2200" t="s">
        <v>74</v>
      </c>
      <c r="E2200" t="str">
        <f>"FES1162729323"</f>
        <v>FES1162729323</v>
      </c>
      <c r="F2200" s="3">
        <v>43819</v>
      </c>
      <c r="G2200">
        <v>202006</v>
      </c>
      <c r="H2200" t="s">
        <v>75</v>
      </c>
      <c r="I2200" t="s">
        <v>76</v>
      </c>
      <c r="J2200" t="s">
        <v>77</v>
      </c>
      <c r="K2200" t="s">
        <v>78</v>
      </c>
      <c r="L2200" t="s">
        <v>151</v>
      </c>
      <c r="M2200" t="s">
        <v>102</v>
      </c>
      <c r="N2200" t="s">
        <v>2347</v>
      </c>
      <c r="O2200" t="s">
        <v>82</v>
      </c>
      <c r="P2200" t="str">
        <f>"2170722312                    "</f>
        <v xml:space="preserve">2170722312                    </v>
      </c>
      <c r="Q2200">
        <v>0</v>
      </c>
      <c r="R2200">
        <v>0</v>
      </c>
      <c r="S2200">
        <v>0</v>
      </c>
      <c r="T2200">
        <v>0</v>
      </c>
      <c r="U2200">
        <v>0</v>
      </c>
      <c r="V2200">
        <v>0</v>
      </c>
      <c r="W2200">
        <v>0</v>
      </c>
      <c r="X2200">
        <v>0</v>
      </c>
      <c r="Y2200">
        <v>0</v>
      </c>
      <c r="Z2200">
        <v>0</v>
      </c>
      <c r="AA2200">
        <v>0</v>
      </c>
      <c r="AB2200">
        <v>0</v>
      </c>
      <c r="AC2200">
        <v>0</v>
      </c>
      <c r="AD2200">
        <v>0</v>
      </c>
      <c r="AE2200">
        <v>0</v>
      </c>
      <c r="AF2200">
        <v>0</v>
      </c>
      <c r="AG2200">
        <v>0</v>
      </c>
      <c r="AH2200">
        <v>0</v>
      </c>
      <c r="AI2200">
        <v>0</v>
      </c>
      <c r="AJ2200">
        <v>0</v>
      </c>
      <c r="AK2200">
        <v>0</v>
      </c>
      <c r="AL2200">
        <v>0</v>
      </c>
      <c r="AM2200">
        <v>8.58</v>
      </c>
      <c r="AN2200">
        <v>0</v>
      </c>
      <c r="AO2200">
        <v>0</v>
      </c>
      <c r="AP2200">
        <v>0</v>
      </c>
      <c r="AQ2200">
        <v>0</v>
      </c>
      <c r="AR2200">
        <v>0</v>
      </c>
      <c r="AS2200">
        <v>0</v>
      </c>
      <c r="AT2200">
        <v>0</v>
      </c>
      <c r="AU2200">
        <v>0</v>
      </c>
      <c r="AV2200">
        <v>0</v>
      </c>
      <c r="AW2200">
        <v>0</v>
      </c>
      <c r="AX2200">
        <v>0</v>
      </c>
      <c r="AY2200">
        <v>0</v>
      </c>
      <c r="AZ2200">
        <v>0</v>
      </c>
      <c r="BA2200">
        <v>0</v>
      </c>
      <c r="BB2200">
        <v>0</v>
      </c>
      <c r="BC2200">
        <v>0</v>
      </c>
      <c r="BD2200">
        <v>0</v>
      </c>
      <c r="BE2200">
        <v>0</v>
      </c>
      <c r="BF2200">
        <v>0</v>
      </c>
      <c r="BG2200">
        <v>0</v>
      </c>
      <c r="BH2200">
        <v>1</v>
      </c>
      <c r="BI2200">
        <v>1</v>
      </c>
      <c r="BJ2200">
        <v>0.2</v>
      </c>
      <c r="BK2200">
        <v>1</v>
      </c>
      <c r="BL2200" s="4">
        <v>50.45</v>
      </c>
      <c r="BM2200" s="4">
        <v>7.57</v>
      </c>
      <c r="BN2200" s="4">
        <v>58.02</v>
      </c>
      <c r="BO2200" s="4">
        <v>58.02</v>
      </c>
      <c r="BR2200" t="s">
        <v>84</v>
      </c>
      <c r="BS2200" s="3">
        <v>43822</v>
      </c>
      <c r="BT2200" s="5">
        <v>0.5</v>
      </c>
      <c r="BU2200" t="s">
        <v>2143</v>
      </c>
      <c r="BV2200" t="s">
        <v>86</v>
      </c>
      <c r="BY2200">
        <v>1200</v>
      </c>
      <c r="CA2200" t="s">
        <v>1363</v>
      </c>
      <c r="CC2200" t="s">
        <v>102</v>
      </c>
      <c r="CD2200">
        <v>183</v>
      </c>
      <c r="CE2200" t="s">
        <v>88</v>
      </c>
      <c r="CF2200" s="3">
        <v>43826</v>
      </c>
      <c r="CI2200">
        <v>1</v>
      </c>
      <c r="CJ2200">
        <v>1</v>
      </c>
      <c r="CK2200">
        <v>21</v>
      </c>
      <c r="CL2200" t="s">
        <v>89</v>
      </c>
    </row>
    <row r="2201" spans="1:90">
      <c r="A2201" t="s">
        <v>72</v>
      </c>
      <c r="B2201" t="s">
        <v>73</v>
      </c>
      <c r="C2201" t="s">
        <v>74</v>
      </c>
      <c r="E2201" t="str">
        <f>"FES1162728730"</f>
        <v>FES1162728730</v>
      </c>
      <c r="F2201" s="3">
        <v>43816</v>
      </c>
      <c r="G2201">
        <v>202006</v>
      </c>
      <c r="H2201" t="s">
        <v>75</v>
      </c>
      <c r="I2201" t="s">
        <v>76</v>
      </c>
      <c r="J2201" t="s">
        <v>100</v>
      </c>
      <c r="K2201" t="s">
        <v>78</v>
      </c>
      <c r="L2201" t="s">
        <v>101</v>
      </c>
      <c r="M2201" t="s">
        <v>102</v>
      </c>
      <c r="N2201" t="s">
        <v>2374</v>
      </c>
      <c r="O2201" t="s">
        <v>104</v>
      </c>
      <c r="P2201" t="str">
        <f>"2170720052                    "</f>
        <v xml:space="preserve">2170720052                    </v>
      </c>
      <c r="Q2201">
        <v>0</v>
      </c>
      <c r="R2201">
        <v>0</v>
      </c>
      <c r="S2201">
        <v>0</v>
      </c>
      <c r="T2201">
        <v>0</v>
      </c>
      <c r="U2201">
        <v>0</v>
      </c>
      <c r="V2201">
        <v>0</v>
      </c>
      <c r="W2201">
        <v>0</v>
      </c>
      <c r="X2201">
        <v>0</v>
      </c>
      <c r="Y2201">
        <v>0</v>
      </c>
      <c r="Z2201">
        <v>0</v>
      </c>
      <c r="AA2201">
        <v>0</v>
      </c>
      <c r="AB2201">
        <v>0</v>
      </c>
      <c r="AC2201">
        <v>0</v>
      </c>
      <c r="AD2201">
        <v>0</v>
      </c>
      <c r="AE2201">
        <v>0</v>
      </c>
      <c r="AF2201">
        <v>0</v>
      </c>
      <c r="AG2201">
        <v>0</v>
      </c>
      <c r="AH2201">
        <v>0</v>
      </c>
      <c r="AI2201">
        <v>0</v>
      </c>
      <c r="AJ2201">
        <v>0</v>
      </c>
      <c r="AK2201">
        <v>0</v>
      </c>
      <c r="AL2201">
        <v>0</v>
      </c>
      <c r="AM2201">
        <v>14.75</v>
      </c>
      <c r="AN2201">
        <v>0</v>
      </c>
      <c r="AO2201">
        <v>0</v>
      </c>
      <c r="AP2201">
        <v>0</v>
      </c>
      <c r="AQ2201">
        <v>0</v>
      </c>
      <c r="AR2201">
        <v>0</v>
      </c>
      <c r="AS2201">
        <v>0</v>
      </c>
      <c r="AT2201">
        <v>0</v>
      </c>
      <c r="AU2201">
        <v>0</v>
      </c>
      <c r="AV2201">
        <v>0</v>
      </c>
      <c r="AW2201">
        <v>0</v>
      </c>
      <c r="AX2201">
        <v>0</v>
      </c>
      <c r="AY2201">
        <v>0</v>
      </c>
      <c r="AZ2201">
        <v>0</v>
      </c>
      <c r="BA2201">
        <v>0</v>
      </c>
      <c r="BB2201">
        <v>0</v>
      </c>
      <c r="BC2201">
        <v>0</v>
      </c>
      <c r="BD2201">
        <v>0</v>
      </c>
      <c r="BE2201">
        <v>0</v>
      </c>
      <c r="BF2201">
        <v>0</v>
      </c>
      <c r="BG2201">
        <v>0</v>
      </c>
      <c r="BH2201">
        <v>1</v>
      </c>
      <c r="BI2201">
        <v>2.8</v>
      </c>
      <c r="BJ2201">
        <v>3.9</v>
      </c>
      <c r="BK2201">
        <v>4</v>
      </c>
      <c r="BL2201" s="4">
        <v>91.71</v>
      </c>
      <c r="BM2201" s="4">
        <v>13.76</v>
      </c>
      <c r="BN2201" s="4">
        <v>105.47</v>
      </c>
      <c r="BO2201" s="4">
        <v>105.47</v>
      </c>
      <c r="BQ2201" t="s">
        <v>93</v>
      </c>
      <c r="BR2201" t="s">
        <v>105</v>
      </c>
      <c r="BS2201" s="3">
        <v>43817</v>
      </c>
      <c r="BT2201" s="5">
        <v>0.41319444444444442</v>
      </c>
      <c r="BU2201" t="s">
        <v>2433</v>
      </c>
      <c r="BV2201" t="s">
        <v>86</v>
      </c>
      <c r="BY2201">
        <v>19252.32</v>
      </c>
      <c r="CA2201" t="s">
        <v>1357</v>
      </c>
      <c r="CC2201" t="s">
        <v>102</v>
      </c>
      <c r="CD2201">
        <v>200</v>
      </c>
      <c r="CE2201" t="s">
        <v>116</v>
      </c>
      <c r="CF2201" s="3">
        <v>43818</v>
      </c>
      <c r="CI2201">
        <v>0</v>
      </c>
      <c r="CJ2201">
        <v>0</v>
      </c>
      <c r="CK2201" t="s">
        <v>108</v>
      </c>
      <c r="CL2201" t="s">
        <v>89</v>
      </c>
    </row>
    <row r="2202" spans="1:90">
      <c r="A2202" t="s">
        <v>72</v>
      </c>
      <c r="B2202" t="s">
        <v>73</v>
      </c>
      <c r="C2202" t="s">
        <v>74</v>
      </c>
      <c r="E2202" t="str">
        <f>"FES1162729216"</f>
        <v>FES1162729216</v>
      </c>
      <c r="F2202" s="3">
        <v>43818</v>
      </c>
      <c r="G2202">
        <v>202006</v>
      </c>
      <c r="H2202" t="s">
        <v>75</v>
      </c>
      <c r="I2202" t="s">
        <v>76</v>
      </c>
      <c r="J2202" t="s">
        <v>77</v>
      </c>
      <c r="K2202" t="s">
        <v>78</v>
      </c>
      <c r="L2202" t="s">
        <v>109</v>
      </c>
      <c r="M2202" t="s">
        <v>91</v>
      </c>
      <c r="N2202" t="s">
        <v>219</v>
      </c>
      <c r="O2202" t="s">
        <v>104</v>
      </c>
      <c r="P2202" t="str">
        <f>"2170722200                    "</f>
        <v xml:space="preserve">2170722200                    </v>
      </c>
      <c r="Q2202">
        <v>0</v>
      </c>
      <c r="R2202">
        <v>0</v>
      </c>
      <c r="S2202">
        <v>0</v>
      </c>
      <c r="T2202">
        <v>0</v>
      </c>
      <c r="U2202">
        <v>0</v>
      </c>
      <c r="V2202">
        <v>0</v>
      </c>
      <c r="W2202">
        <v>0</v>
      </c>
      <c r="X2202">
        <v>0</v>
      </c>
      <c r="Y2202">
        <v>0</v>
      </c>
      <c r="Z2202">
        <v>0</v>
      </c>
      <c r="AA2202">
        <v>0</v>
      </c>
      <c r="AB2202">
        <v>0</v>
      </c>
      <c r="AC2202">
        <v>0</v>
      </c>
      <c r="AD2202">
        <v>0</v>
      </c>
      <c r="AE2202">
        <v>0</v>
      </c>
      <c r="AF2202">
        <v>0</v>
      </c>
      <c r="AG2202">
        <v>0</v>
      </c>
      <c r="AH2202">
        <v>0</v>
      </c>
      <c r="AI2202">
        <v>0</v>
      </c>
      <c r="AJ2202">
        <v>0</v>
      </c>
      <c r="AK2202">
        <v>0</v>
      </c>
      <c r="AL2202">
        <v>0</v>
      </c>
      <c r="AM2202">
        <v>50.67</v>
      </c>
      <c r="AN2202">
        <v>0</v>
      </c>
      <c r="AO2202">
        <v>0</v>
      </c>
      <c r="AP2202">
        <v>0</v>
      </c>
      <c r="AQ2202">
        <v>0</v>
      </c>
      <c r="AR2202">
        <v>0</v>
      </c>
      <c r="AS2202">
        <v>0</v>
      </c>
      <c r="AT2202">
        <v>0</v>
      </c>
      <c r="AU2202">
        <v>0</v>
      </c>
      <c r="AV2202">
        <v>0</v>
      </c>
      <c r="AW2202">
        <v>0</v>
      </c>
      <c r="AX2202">
        <v>0</v>
      </c>
      <c r="AY2202">
        <v>0</v>
      </c>
      <c r="AZ2202">
        <v>0</v>
      </c>
      <c r="BA2202">
        <v>0</v>
      </c>
      <c r="BB2202">
        <v>0</v>
      </c>
      <c r="BC2202">
        <v>0</v>
      </c>
      <c r="BD2202">
        <v>0</v>
      </c>
      <c r="BE2202">
        <v>0</v>
      </c>
      <c r="BF2202">
        <v>0</v>
      </c>
      <c r="BG2202">
        <v>0</v>
      </c>
      <c r="BH2202">
        <v>2</v>
      </c>
      <c r="BI2202">
        <v>28.5</v>
      </c>
      <c r="BJ2202">
        <v>58.5</v>
      </c>
      <c r="BK2202">
        <v>59</v>
      </c>
      <c r="BL2202" s="4">
        <v>302.86</v>
      </c>
      <c r="BM2202" s="4">
        <v>45.43</v>
      </c>
      <c r="BN2202" s="4">
        <v>348.29</v>
      </c>
      <c r="BO2202" s="4">
        <v>348.29</v>
      </c>
      <c r="BQ2202" t="s">
        <v>147</v>
      </c>
      <c r="BR2202" t="s">
        <v>84</v>
      </c>
      <c r="BS2202" t="s">
        <v>717</v>
      </c>
      <c r="BW2202" t="s">
        <v>1335</v>
      </c>
      <c r="BX2202" t="s">
        <v>619</v>
      </c>
      <c r="BY2202">
        <v>292484.55</v>
      </c>
      <c r="CC2202" t="s">
        <v>91</v>
      </c>
      <c r="CD2202">
        <v>7441</v>
      </c>
      <c r="CE2202" t="s">
        <v>1073</v>
      </c>
      <c r="CI2202">
        <v>2</v>
      </c>
      <c r="CJ2202" t="s">
        <v>717</v>
      </c>
      <c r="CK2202" t="s">
        <v>113</v>
      </c>
      <c r="CL2202" t="s">
        <v>89</v>
      </c>
    </row>
    <row r="2203" spans="1:90">
      <c r="A2203" t="s">
        <v>72</v>
      </c>
      <c r="B2203" t="s">
        <v>73</v>
      </c>
      <c r="C2203" t="s">
        <v>74</v>
      </c>
      <c r="E2203" t="str">
        <f>"FES1162729104"</f>
        <v>FES1162729104</v>
      </c>
      <c r="F2203" s="3">
        <v>43819</v>
      </c>
      <c r="G2203">
        <v>202006</v>
      </c>
      <c r="H2203" t="s">
        <v>75</v>
      </c>
      <c r="I2203" t="s">
        <v>76</v>
      </c>
      <c r="J2203" t="s">
        <v>77</v>
      </c>
      <c r="K2203" t="s">
        <v>78</v>
      </c>
      <c r="L2203" t="s">
        <v>75</v>
      </c>
      <c r="M2203" t="s">
        <v>76</v>
      </c>
      <c r="N2203" t="s">
        <v>2434</v>
      </c>
      <c r="O2203" t="s">
        <v>82</v>
      </c>
      <c r="P2203" t="str">
        <f>"2170720574                    "</f>
        <v xml:space="preserve">2170720574                    </v>
      </c>
      <c r="Q2203">
        <v>0</v>
      </c>
      <c r="R2203">
        <v>0</v>
      </c>
      <c r="S2203">
        <v>0</v>
      </c>
      <c r="T2203">
        <v>0</v>
      </c>
      <c r="U2203">
        <v>0</v>
      </c>
      <c r="V2203">
        <v>0</v>
      </c>
      <c r="W2203">
        <v>0</v>
      </c>
      <c r="X2203">
        <v>0</v>
      </c>
      <c r="Y2203">
        <v>0</v>
      </c>
      <c r="Z2203">
        <v>0</v>
      </c>
      <c r="AA2203">
        <v>0</v>
      </c>
      <c r="AB2203">
        <v>0</v>
      </c>
      <c r="AC2203">
        <v>0</v>
      </c>
      <c r="AD2203">
        <v>0</v>
      </c>
      <c r="AE2203">
        <v>0</v>
      </c>
      <c r="AF2203">
        <v>0</v>
      </c>
      <c r="AG2203">
        <v>0</v>
      </c>
      <c r="AH2203">
        <v>0</v>
      </c>
      <c r="AI2203">
        <v>0</v>
      </c>
      <c r="AJ2203">
        <v>0</v>
      </c>
      <c r="AK2203">
        <v>0</v>
      </c>
      <c r="AL2203">
        <v>0</v>
      </c>
      <c r="AM2203">
        <v>6.71</v>
      </c>
      <c r="AN2203">
        <v>0</v>
      </c>
      <c r="AO2203">
        <v>0</v>
      </c>
      <c r="AP2203">
        <v>0</v>
      </c>
      <c r="AQ2203">
        <v>0</v>
      </c>
      <c r="AR2203">
        <v>0</v>
      </c>
      <c r="AS2203">
        <v>0</v>
      </c>
      <c r="AT2203">
        <v>0</v>
      </c>
      <c r="AU2203">
        <v>0</v>
      </c>
      <c r="AV2203">
        <v>0</v>
      </c>
      <c r="AW2203">
        <v>0</v>
      </c>
      <c r="AX2203">
        <v>0</v>
      </c>
      <c r="AY2203">
        <v>0</v>
      </c>
      <c r="AZ2203">
        <v>0</v>
      </c>
      <c r="BA2203">
        <v>0</v>
      </c>
      <c r="BB2203">
        <v>0</v>
      </c>
      <c r="BC2203">
        <v>0</v>
      </c>
      <c r="BD2203">
        <v>0</v>
      </c>
      <c r="BE2203">
        <v>0</v>
      </c>
      <c r="BF2203">
        <v>0</v>
      </c>
      <c r="BG2203">
        <v>0</v>
      </c>
      <c r="BH2203">
        <v>1</v>
      </c>
      <c r="BI2203">
        <v>1</v>
      </c>
      <c r="BJ2203">
        <v>0.2</v>
      </c>
      <c r="BK2203">
        <v>1</v>
      </c>
      <c r="BL2203" s="4">
        <v>39.42</v>
      </c>
      <c r="BM2203" s="4">
        <v>5.91</v>
      </c>
      <c r="BN2203" s="4">
        <v>45.33</v>
      </c>
      <c r="BO2203" s="4">
        <v>45.33</v>
      </c>
      <c r="BQ2203" t="s">
        <v>147</v>
      </c>
      <c r="BR2203" t="s">
        <v>84</v>
      </c>
      <c r="BS2203" s="3">
        <v>43822</v>
      </c>
      <c r="BT2203" s="5">
        <v>0.34375</v>
      </c>
      <c r="BU2203" t="s">
        <v>2435</v>
      </c>
      <c r="BV2203" t="s">
        <v>86</v>
      </c>
      <c r="BY2203">
        <v>1200</v>
      </c>
      <c r="CA2203" t="s">
        <v>320</v>
      </c>
      <c r="CC2203" t="s">
        <v>76</v>
      </c>
      <c r="CD2203">
        <v>1665</v>
      </c>
      <c r="CE2203" t="s">
        <v>88</v>
      </c>
      <c r="CF2203" s="3">
        <v>43823</v>
      </c>
      <c r="CI2203">
        <v>1</v>
      </c>
      <c r="CJ2203">
        <v>1</v>
      </c>
      <c r="CK2203">
        <v>22</v>
      </c>
      <c r="CL2203" t="s">
        <v>89</v>
      </c>
    </row>
    <row r="2204" spans="1:90">
      <c r="A2204" t="s">
        <v>72</v>
      </c>
      <c r="B2204" t="s">
        <v>73</v>
      </c>
      <c r="C2204" t="s">
        <v>74</v>
      </c>
      <c r="E2204" t="str">
        <f>"FES1162729295"</f>
        <v>FES1162729295</v>
      </c>
      <c r="F2204" s="3">
        <v>43819</v>
      </c>
      <c r="G2204">
        <v>202006</v>
      </c>
      <c r="H2204" t="s">
        <v>75</v>
      </c>
      <c r="I2204" t="s">
        <v>76</v>
      </c>
      <c r="J2204" t="s">
        <v>77</v>
      </c>
      <c r="K2204" t="s">
        <v>78</v>
      </c>
      <c r="L2204" t="s">
        <v>79</v>
      </c>
      <c r="M2204" t="s">
        <v>80</v>
      </c>
      <c r="N2204" t="s">
        <v>183</v>
      </c>
      <c r="O2204" t="s">
        <v>82</v>
      </c>
      <c r="P2204" t="str">
        <f>"2170721033                    "</f>
        <v xml:space="preserve">2170721033                    </v>
      </c>
      <c r="Q2204">
        <v>0</v>
      </c>
      <c r="R2204">
        <v>0</v>
      </c>
      <c r="S2204">
        <v>0</v>
      </c>
      <c r="T2204">
        <v>0</v>
      </c>
      <c r="U2204">
        <v>0</v>
      </c>
      <c r="V2204">
        <v>0</v>
      </c>
      <c r="W2204">
        <v>0</v>
      </c>
      <c r="X2204">
        <v>0</v>
      </c>
      <c r="Y2204">
        <v>0</v>
      </c>
      <c r="Z2204">
        <v>0</v>
      </c>
      <c r="AA2204">
        <v>0</v>
      </c>
      <c r="AB2204">
        <v>0</v>
      </c>
      <c r="AC2204">
        <v>0</v>
      </c>
      <c r="AD2204">
        <v>0</v>
      </c>
      <c r="AE2204">
        <v>0</v>
      </c>
      <c r="AF2204">
        <v>0</v>
      </c>
      <c r="AG2204">
        <v>0</v>
      </c>
      <c r="AH2204">
        <v>0</v>
      </c>
      <c r="AI2204">
        <v>0</v>
      </c>
      <c r="AJ2204">
        <v>0</v>
      </c>
      <c r="AK2204">
        <v>0</v>
      </c>
      <c r="AL2204">
        <v>0</v>
      </c>
      <c r="AM2204">
        <v>8.58</v>
      </c>
      <c r="AN2204">
        <v>0</v>
      </c>
      <c r="AO2204">
        <v>0</v>
      </c>
      <c r="AP2204">
        <v>0</v>
      </c>
      <c r="AQ2204">
        <v>0</v>
      </c>
      <c r="AR2204">
        <v>0</v>
      </c>
      <c r="AS2204">
        <v>0</v>
      </c>
      <c r="AT2204">
        <v>0</v>
      </c>
      <c r="AU2204">
        <v>0</v>
      </c>
      <c r="AV2204">
        <v>0</v>
      </c>
      <c r="AW2204">
        <v>0</v>
      </c>
      <c r="AX2204">
        <v>0</v>
      </c>
      <c r="AY2204">
        <v>0</v>
      </c>
      <c r="AZ2204">
        <v>0</v>
      </c>
      <c r="BA2204">
        <v>0</v>
      </c>
      <c r="BB2204">
        <v>0</v>
      </c>
      <c r="BC2204">
        <v>0</v>
      </c>
      <c r="BD2204">
        <v>0</v>
      </c>
      <c r="BE2204">
        <v>0</v>
      </c>
      <c r="BF2204">
        <v>0</v>
      </c>
      <c r="BG2204">
        <v>0</v>
      </c>
      <c r="BH2204">
        <v>1</v>
      </c>
      <c r="BI2204">
        <v>1</v>
      </c>
      <c r="BJ2204">
        <v>0.2</v>
      </c>
      <c r="BK2204">
        <v>1</v>
      </c>
      <c r="BL2204" s="4">
        <v>50.45</v>
      </c>
      <c r="BM2204" s="4">
        <v>7.57</v>
      </c>
      <c r="BN2204" s="4">
        <v>58.02</v>
      </c>
      <c r="BO2204" s="4">
        <v>58.02</v>
      </c>
      <c r="BQ2204" t="s">
        <v>147</v>
      </c>
      <c r="BR2204" t="s">
        <v>84</v>
      </c>
      <c r="BS2204" s="3">
        <v>43836</v>
      </c>
      <c r="BT2204" s="5">
        <v>0.43055555555555558</v>
      </c>
      <c r="BU2204" t="s">
        <v>2436</v>
      </c>
      <c r="BV2204" t="s">
        <v>89</v>
      </c>
      <c r="BW2204" t="s">
        <v>1335</v>
      </c>
      <c r="BX2204" t="s">
        <v>619</v>
      </c>
      <c r="BY2204">
        <v>1200</v>
      </c>
      <c r="CA2204" t="s">
        <v>185</v>
      </c>
      <c r="CC2204" t="s">
        <v>80</v>
      </c>
      <c r="CD2204">
        <v>6001</v>
      </c>
      <c r="CE2204" t="s">
        <v>88</v>
      </c>
      <c r="CI2204">
        <v>1</v>
      </c>
      <c r="CJ2204">
        <v>11</v>
      </c>
      <c r="CK2204">
        <v>21</v>
      </c>
      <c r="CL2204" t="s">
        <v>89</v>
      </c>
    </row>
    <row r="2205" spans="1:90">
      <c r="A2205" t="s">
        <v>72</v>
      </c>
      <c r="B2205" t="s">
        <v>73</v>
      </c>
      <c r="C2205" t="s">
        <v>74</v>
      </c>
      <c r="E2205" t="str">
        <f>"FES1162729193"</f>
        <v>FES1162729193</v>
      </c>
      <c r="F2205" s="3">
        <v>43819</v>
      </c>
      <c r="G2205">
        <v>202006</v>
      </c>
      <c r="H2205" t="s">
        <v>75</v>
      </c>
      <c r="I2205" t="s">
        <v>76</v>
      </c>
      <c r="J2205" t="s">
        <v>77</v>
      </c>
      <c r="K2205" t="s">
        <v>78</v>
      </c>
      <c r="L2205" t="s">
        <v>169</v>
      </c>
      <c r="M2205" t="s">
        <v>170</v>
      </c>
      <c r="N2205" t="s">
        <v>890</v>
      </c>
      <c r="O2205" t="s">
        <v>82</v>
      </c>
      <c r="P2205" t="str">
        <f>"2170722179                    "</f>
        <v xml:space="preserve">2170722179                    </v>
      </c>
      <c r="Q2205">
        <v>0</v>
      </c>
      <c r="R2205">
        <v>0</v>
      </c>
      <c r="S2205">
        <v>0</v>
      </c>
      <c r="T2205">
        <v>0</v>
      </c>
      <c r="U2205">
        <v>0</v>
      </c>
      <c r="V2205">
        <v>0</v>
      </c>
      <c r="W2205">
        <v>0</v>
      </c>
      <c r="X2205">
        <v>0</v>
      </c>
      <c r="Y2205">
        <v>0</v>
      </c>
      <c r="Z2205">
        <v>0</v>
      </c>
      <c r="AA2205">
        <v>0</v>
      </c>
      <c r="AB2205">
        <v>0</v>
      </c>
      <c r="AC2205">
        <v>0</v>
      </c>
      <c r="AD2205">
        <v>0</v>
      </c>
      <c r="AE2205">
        <v>0</v>
      </c>
      <c r="AF2205">
        <v>0</v>
      </c>
      <c r="AG2205">
        <v>0</v>
      </c>
      <c r="AH2205">
        <v>0</v>
      </c>
      <c r="AI2205">
        <v>0</v>
      </c>
      <c r="AJ2205">
        <v>0</v>
      </c>
      <c r="AK2205">
        <v>0</v>
      </c>
      <c r="AL2205">
        <v>0</v>
      </c>
      <c r="AM2205">
        <v>6.71</v>
      </c>
      <c r="AN2205">
        <v>0</v>
      </c>
      <c r="AO2205">
        <v>0</v>
      </c>
      <c r="AP2205">
        <v>0</v>
      </c>
      <c r="AQ2205">
        <v>0</v>
      </c>
      <c r="AR2205">
        <v>0</v>
      </c>
      <c r="AS2205">
        <v>0</v>
      </c>
      <c r="AT2205">
        <v>0</v>
      </c>
      <c r="AU2205">
        <v>0</v>
      </c>
      <c r="AV2205">
        <v>0</v>
      </c>
      <c r="AW2205">
        <v>0</v>
      </c>
      <c r="AX2205">
        <v>0</v>
      </c>
      <c r="AY2205">
        <v>0</v>
      </c>
      <c r="AZ2205">
        <v>0</v>
      </c>
      <c r="BA2205">
        <v>0</v>
      </c>
      <c r="BB2205">
        <v>0</v>
      </c>
      <c r="BC2205">
        <v>0</v>
      </c>
      <c r="BD2205">
        <v>0</v>
      </c>
      <c r="BE2205">
        <v>0</v>
      </c>
      <c r="BF2205">
        <v>0</v>
      </c>
      <c r="BG2205">
        <v>0</v>
      </c>
      <c r="BH2205">
        <v>1</v>
      </c>
      <c r="BI2205">
        <v>1</v>
      </c>
      <c r="BJ2205">
        <v>0.2</v>
      </c>
      <c r="BK2205">
        <v>1</v>
      </c>
      <c r="BL2205" s="4">
        <v>39.42</v>
      </c>
      <c r="BM2205" s="4">
        <v>5.91</v>
      </c>
      <c r="BN2205" s="4">
        <v>45.33</v>
      </c>
      <c r="BO2205" s="4">
        <v>45.33</v>
      </c>
      <c r="BQ2205" t="s">
        <v>891</v>
      </c>
      <c r="BR2205" t="s">
        <v>84</v>
      </c>
      <c r="BS2205" s="3">
        <v>43822</v>
      </c>
      <c r="BT2205" s="5">
        <v>0.33333333333333331</v>
      </c>
      <c r="BU2205" t="s">
        <v>2437</v>
      </c>
      <c r="BV2205" t="s">
        <v>86</v>
      </c>
      <c r="BY2205">
        <v>1200</v>
      </c>
      <c r="CC2205" t="s">
        <v>170</v>
      </c>
      <c r="CD2205">
        <v>1459</v>
      </c>
      <c r="CE2205" t="s">
        <v>88</v>
      </c>
      <c r="CF2205" s="3">
        <v>43823</v>
      </c>
      <c r="CI2205">
        <v>1</v>
      </c>
      <c r="CJ2205">
        <v>1</v>
      </c>
      <c r="CK2205">
        <v>22</v>
      </c>
      <c r="CL2205" t="s">
        <v>89</v>
      </c>
    </row>
    <row r="2206" spans="1:90">
      <c r="A2206" t="s">
        <v>72</v>
      </c>
      <c r="B2206" t="s">
        <v>73</v>
      </c>
      <c r="C2206" t="s">
        <v>74</v>
      </c>
      <c r="E2206" t="str">
        <f>"FES1162729124"</f>
        <v>FES1162729124</v>
      </c>
      <c r="F2206" s="3">
        <v>43819</v>
      </c>
      <c r="G2206">
        <v>202006</v>
      </c>
      <c r="H2206" t="s">
        <v>75</v>
      </c>
      <c r="I2206" t="s">
        <v>76</v>
      </c>
      <c r="J2206" t="s">
        <v>77</v>
      </c>
      <c r="K2206" t="s">
        <v>78</v>
      </c>
      <c r="L2206" t="s">
        <v>75</v>
      </c>
      <c r="M2206" t="s">
        <v>76</v>
      </c>
      <c r="N2206" t="s">
        <v>305</v>
      </c>
      <c r="O2206" t="s">
        <v>82</v>
      </c>
      <c r="P2206" t="str">
        <f>"21707320718                   "</f>
        <v xml:space="preserve">21707320718                   </v>
      </c>
      <c r="Q2206">
        <v>0</v>
      </c>
      <c r="R2206">
        <v>0</v>
      </c>
      <c r="S2206">
        <v>0</v>
      </c>
      <c r="T2206">
        <v>0</v>
      </c>
      <c r="U2206">
        <v>0</v>
      </c>
      <c r="V2206">
        <v>0</v>
      </c>
      <c r="W2206">
        <v>0</v>
      </c>
      <c r="X2206">
        <v>0</v>
      </c>
      <c r="Y2206">
        <v>0</v>
      </c>
      <c r="Z2206">
        <v>0</v>
      </c>
      <c r="AA2206">
        <v>0</v>
      </c>
      <c r="AB2206">
        <v>0</v>
      </c>
      <c r="AC2206">
        <v>0</v>
      </c>
      <c r="AD2206">
        <v>0</v>
      </c>
      <c r="AE2206">
        <v>0</v>
      </c>
      <c r="AF2206">
        <v>0</v>
      </c>
      <c r="AG2206">
        <v>0</v>
      </c>
      <c r="AH2206">
        <v>0</v>
      </c>
      <c r="AI2206">
        <v>0</v>
      </c>
      <c r="AJ2206">
        <v>0</v>
      </c>
      <c r="AK2206">
        <v>0</v>
      </c>
      <c r="AL2206">
        <v>0</v>
      </c>
      <c r="AM2206">
        <v>6.71</v>
      </c>
      <c r="AN2206">
        <v>0</v>
      </c>
      <c r="AO2206">
        <v>0</v>
      </c>
      <c r="AP2206">
        <v>0</v>
      </c>
      <c r="AQ2206">
        <v>0</v>
      </c>
      <c r="AR2206">
        <v>0</v>
      </c>
      <c r="AS2206">
        <v>0</v>
      </c>
      <c r="AT2206">
        <v>0</v>
      </c>
      <c r="AU2206">
        <v>0</v>
      </c>
      <c r="AV2206">
        <v>0</v>
      </c>
      <c r="AW2206">
        <v>0</v>
      </c>
      <c r="AX2206">
        <v>0</v>
      </c>
      <c r="AY2206">
        <v>0</v>
      </c>
      <c r="AZ2206">
        <v>0</v>
      </c>
      <c r="BA2206">
        <v>0</v>
      </c>
      <c r="BB2206">
        <v>0</v>
      </c>
      <c r="BC2206">
        <v>0</v>
      </c>
      <c r="BD2206">
        <v>0</v>
      </c>
      <c r="BE2206">
        <v>0</v>
      </c>
      <c r="BF2206">
        <v>0</v>
      </c>
      <c r="BG2206">
        <v>0</v>
      </c>
      <c r="BH2206">
        <v>1</v>
      </c>
      <c r="BI2206">
        <v>1</v>
      </c>
      <c r="BJ2206">
        <v>0.2</v>
      </c>
      <c r="BK2206">
        <v>1</v>
      </c>
      <c r="BL2206" s="4">
        <v>39.42</v>
      </c>
      <c r="BM2206" s="4">
        <v>5.91</v>
      </c>
      <c r="BN2206" s="4">
        <v>45.33</v>
      </c>
      <c r="BO2206" s="4">
        <v>45.33</v>
      </c>
      <c r="BQ2206" t="s">
        <v>147</v>
      </c>
      <c r="BR2206" t="s">
        <v>84</v>
      </c>
      <c r="BS2206" t="s">
        <v>717</v>
      </c>
      <c r="BY2206">
        <v>1200</v>
      </c>
      <c r="CC2206" t="s">
        <v>76</v>
      </c>
      <c r="CD2206">
        <v>1645</v>
      </c>
      <c r="CE2206" t="s">
        <v>88</v>
      </c>
      <c r="CI2206">
        <v>1</v>
      </c>
      <c r="CJ2206" t="s">
        <v>717</v>
      </c>
      <c r="CK2206">
        <v>22</v>
      </c>
      <c r="CL2206" t="s">
        <v>89</v>
      </c>
    </row>
    <row r="2207" spans="1:90">
      <c r="A2207" t="s">
        <v>72</v>
      </c>
      <c r="B2207" t="s">
        <v>73</v>
      </c>
      <c r="C2207" t="s">
        <v>74</v>
      </c>
      <c r="E2207" t="str">
        <f>"FES1162729112"</f>
        <v>FES1162729112</v>
      </c>
      <c r="F2207" s="3">
        <v>43819</v>
      </c>
      <c r="G2207">
        <v>202006</v>
      </c>
      <c r="H2207" t="s">
        <v>75</v>
      </c>
      <c r="I2207" t="s">
        <v>76</v>
      </c>
      <c r="J2207" t="s">
        <v>77</v>
      </c>
      <c r="K2207" t="s">
        <v>78</v>
      </c>
      <c r="L2207" t="s">
        <v>714</v>
      </c>
      <c r="M2207" t="s">
        <v>715</v>
      </c>
      <c r="N2207" t="s">
        <v>2438</v>
      </c>
      <c r="O2207" t="s">
        <v>82</v>
      </c>
      <c r="P2207" t="str">
        <f>"2170720645                    "</f>
        <v xml:space="preserve">2170720645                    </v>
      </c>
      <c r="Q2207">
        <v>0</v>
      </c>
      <c r="R2207">
        <v>0</v>
      </c>
      <c r="S2207">
        <v>0</v>
      </c>
      <c r="T2207">
        <v>0</v>
      </c>
      <c r="U2207">
        <v>0</v>
      </c>
      <c r="V2207">
        <v>0</v>
      </c>
      <c r="W2207">
        <v>0</v>
      </c>
      <c r="X2207">
        <v>0</v>
      </c>
      <c r="Y2207">
        <v>0</v>
      </c>
      <c r="Z2207">
        <v>0</v>
      </c>
      <c r="AA2207">
        <v>0</v>
      </c>
      <c r="AB2207">
        <v>0</v>
      </c>
      <c r="AC2207">
        <v>0</v>
      </c>
      <c r="AD2207">
        <v>0</v>
      </c>
      <c r="AE2207">
        <v>0</v>
      </c>
      <c r="AF2207">
        <v>0</v>
      </c>
      <c r="AG2207">
        <v>0</v>
      </c>
      <c r="AH2207">
        <v>0</v>
      </c>
      <c r="AI2207">
        <v>0</v>
      </c>
      <c r="AJ2207">
        <v>0</v>
      </c>
      <c r="AK2207">
        <v>0</v>
      </c>
      <c r="AL2207">
        <v>0</v>
      </c>
      <c r="AM2207">
        <v>6.71</v>
      </c>
      <c r="AN2207">
        <v>0</v>
      </c>
      <c r="AO2207">
        <v>0</v>
      </c>
      <c r="AP2207">
        <v>0</v>
      </c>
      <c r="AQ2207">
        <v>0</v>
      </c>
      <c r="AR2207">
        <v>0</v>
      </c>
      <c r="AS2207">
        <v>0</v>
      </c>
      <c r="AT2207">
        <v>0</v>
      </c>
      <c r="AU2207">
        <v>0</v>
      </c>
      <c r="AV2207">
        <v>0</v>
      </c>
      <c r="AW2207">
        <v>0</v>
      </c>
      <c r="AX2207">
        <v>0</v>
      </c>
      <c r="AY2207">
        <v>0</v>
      </c>
      <c r="AZ2207">
        <v>0</v>
      </c>
      <c r="BA2207">
        <v>0</v>
      </c>
      <c r="BB2207">
        <v>0</v>
      </c>
      <c r="BC2207">
        <v>0</v>
      </c>
      <c r="BD2207">
        <v>0</v>
      </c>
      <c r="BE2207">
        <v>0</v>
      </c>
      <c r="BF2207">
        <v>0</v>
      </c>
      <c r="BG2207">
        <v>0</v>
      </c>
      <c r="BH2207">
        <v>1</v>
      </c>
      <c r="BI2207">
        <v>1</v>
      </c>
      <c r="BJ2207">
        <v>0.2</v>
      </c>
      <c r="BK2207">
        <v>1</v>
      </c>
      <c r="BL2207" s="4">
        <v>39.42</v>
      </c>
      <c r="BM2207" s="4">
        <v>5.91</v>
      </c>
      <c r="BN2207" s="4">
        <v>45.33</v>
      </c>
      <c r="BO2207" s="4">
        <v>45.33</v>
      </c>
      <c r="BQ2207" t="s">
        <v>2439</v>
      </c>
      <c r="BR2207" t="s">
        <v>84</v>
      </c>
      <c r="BS2207" s="3">
        <v>43822</v>
      </c>
      <c r="BT2207" s="5">
        <v>0.35416666666666669</v>
      </c>
      <c r="BU2207" t="s">
        <v>2440</v>
      </c>
      <c r="BV2207" t="s">
        <v>86</v>
      </c>
      <c r="BY2207">
        <v>1200</v>
      </c>
      <c r="CC2207" t="s">
        <v>715</v>
      </c>
      <c r="CD2207">
        <v>1559</v>
      </c>
      <c r="CE2207" t="s">
        <v>88</v>
      </c>
      <c r="CF2207" s="3">
        <v>43823</v>
      </c>
      <c r="CI2207">
        <v>1</v>
      </c>
      <c r="CJ2207">
        <v>1</v>
      </c>
      <c r="CK2207">
        <v>22</v>
      </c>
      <c r="CL2207" t="s">
        <v>89</v>
      </c>
    </row>
    <row r="2208" spans="1:90">
      <c r="A2208" t="s">
        <v>72</v>
      </c>
      <c r="B2208" t="s">
        <v>73</v>
      </c>
      <c r="C2208" t="s">
        <v>74</v>
      </c>
      <c r="E2208" t="str">
        <f>"FES1162729091"</f>
        <v>FES1162729091</v>
      </c>
      <c r="F2208" s="3">
        <v>43819</v>
      </c>
      <c r="G2208">
        <v>202006</v>
      </c>
      <c r="H2208" t="s">
        <v>75</v>
      </c>
      <c r="I2208" t="s">
        <v>76</v>
      </c>
      <c r="J2208" t="s">
        <v>77</v>
      </c>
      <c r="K2208" t="s">
        <v>78</v>
      </c>
      <c r="L2208" t="s">
        <v>75</v>
      </c>
      <c r="M2208" t="s">
        <v>76</v>
      </c>
      <c r="N2208" t="s">
        <v>2232</v>
      </c>
      <c r="O2208" t="s">
        <v>82</v>
      </c>
      <c r="P2208" t="str">
        <f>"2170720463                    "</f>
        <v xml:space="preserve">2170720463                    </v>
      </c>
      <c r="Q2208">
        <v>0</v>
      </c>
      <c r="R2208">
        <v>0</v>
      </c>
      <c r="S2208">
        <v>0</v>
      </c>
      <c r="T2208">
        <v>0</v>
      </c>
      <c r="U2208">
        <v>0</v>
      </c>
      <c r="V2208">
        <v>0</v>
      </c>
      <c r="W2208">
        <v>0</v>
      </c>
      <c r="X2208">
        <v>0</v>
      </c>
      <c r="Y2208">
        <v>0</v>
      </c>
      <c r="Z2208">
        <v>0</v>
      </c>
      <c r="AA2208">
        <v>0</v>
      </c>
      <c r="AB2208">
        <v>0</v>
      </c>
      <c r="AC2208">
        <v>0</v>
      </c>
      <c r="AD2208">
        <v>0</v>
      </c>
      <c r="AE2208">
        <v>0</v>
      </c>
      <c r="AF2208">
        <v>0</v>
      </c>
      <c r="AG2208">
        <v>0</v>
      </c>
      <c r="AH2208">
        <v>0</v>
      </c>
      <c r="AI2208">
        <v>0</v>
      </c>
      <c r="AJ2208">
        <v>0</v>
      </c>
      <c r="AK2208">
        <v>0</v>
      </c>
      <c r="AL2208">
        <v>0</v>
      </c>
      <c r="AM2208">
        <v>6.71</v>
      </c>
      <c r="AN2208">
        <v>0</v>
      </c>
      <c r="AO2208">
        <v>0</v>
      </c>
      <c r="AP2208">
        <v>0</v>
      </c>
      <c r="AQ2208">
        <v>0</v>
      </c>
      <c r="AR2208">
        <v>0</v>
      </c>
      <c r="AS2208">
        <v>0</v>
      </c>
      <c r="AT2208">
        <v>0</v>
      </c>
      <c r="AU2208">
        <v>0</v>
      </c>
      <c r="AV2208">
        <v>0</v>
      </c>
      <c r="AW2208">
        <v>0</v>
      </c>
      <c r="AX2208">
        <v>0</v>
      </c>
      <c r="AY2208">
        <v>0</v>
      </c>
      <c r="AZ2208">
        <v>0</v>
      </c>
      <c r="BA2208">
        <v>0</v>
      </c>
      <c r="BB2208">
        <v>0</v>
      </c>
      <c r="BC2208">
        <v>0</v>
      </c>
      <c r="BD2208">
        <v>0</v>
      </c>
      <c r="BE2208">
        <v>0</v>
      </c>
      <c r="BF2208">
        <v>0</v>
      </c>
      <c r="BG2208">
        <v>0</v>
      </c>
      <c r="BH2208">
        <v>1</v>
      </c>
      <c r="BI2208">
        <v>1</v>
      </c>
      <c r="BJ2208">
        <v>0.2</v>
      </c>
      <c r="BK2208">
        <v>1</v>
      </c>
      <c r="BL2208" s="4">
        <v>39.42</v>
      </c>
      <c r="BM2208" s="4">
        <v>5.91</v>
      </c>
      <c r="BN2208" s="4">
        <v>45.33</v>
      </c>
      <c r="BO2208" s="4">
        <v>45.33</v>
      </c>
      <c r="BQ2208" t="s">
        <v>93</v>
      </c>
      <c r="BR2208" t="s">
        <v>84</v>
      </c>
      <c r="BS2208" s="3">
        <v>43822</v>
      </c>
      <c r="BT2208" s="5">
        <v>0.39583333333333331</v>
      </c>
      <c r="BU2208" t="s">
        <v>2441</v>
      </c>
      <c r="BV2208" t="s">
        <v>86</v>
      </c>
      <c r="BY2208">
        <v>1200</v>
      </c>
      <c r="CA2208" t="s">
        <v>155</v>
      </c>
      <c r="CC2208" t="s">
        <v>76</v>
      </c>
      <c r="CD2208">
        <v>1600</v>
      </c>
      <c r="CE2208" t="s">
        <v>88</v>
      </c>
      <c r="CF2208" s="3">
        <v>43823</v>
      </c>
      <c r="CI2208">
        <v>1</v>
      </c>
      <c r="CJ2208">
        <v>1</v>
      </c>
      <c r="CK2208">
        <v>22</v>
      </c>
      <c r="CL2208" t="s">
        <v>89</v>
      </c>
    </row>
    <row r="2209" spans="1:90">
      <c r="A2209" t="s">
        <v>72</v>
      </c>
      <c r="B2209" t="s">
        <v>73</v>
      </c>
      <c r="C2209" t="s">
        <v>74</v>
      </c>
      <c r="E2209" t="str">
        <f>"FES1162729029"</f>
        <v>FES1162729029</v>
      </c>
      <c r="F2209" s="3">
        <v>43819</v>
      </c>
      <c r="G2209">
        <v>202006</v>
      </c>
      <c r="H2209" t="s">
        <v>75</v>
      </c>
      <c r="I2209" t="s">
        <v>76</v>
      </c>
      <c r="J2209" t="s">
        <v>77</v>
      </c>
      <c r="K2209" t="s">
        <v>78</v>
      </c>
      <c r="L2209" t="s">
        <v>75</v>
      </c>
      <c r="M2209" t="s">
        <v>76</v>
      </c>
      <c r="N2209" t="s">
        <v>2004</v>
      </c>
      <c r="O2209" t="s">
        <v>82</v>
      </c>
      <c r="P2209" t="str">
        <f>"2170717717                    "</f>
        <v xml:space="preserve">2170717717                    </v>
      </c>
      <c r="Q2209">
        <v>0</v>
      </c>
      <c r="R2209">
        <v>0</v>
      </c>
      <c r="S2209">
        <v>0</v>
      </c>
      <c r="T2209">
        <v>0</v>
      </c>
      <c r="U2209">
        <v>0</v>
      </c>
      <c r="V2209">
        <v>0</v>
      </c>
      <c r="W2209">
        <v>0</v>
      </c>
      <c r="X2209">
        <v>0</v>
      </c>
      <c r="Y2209">
        <v>0</v>
      </c>
      <c r="Z2209">
        <v>0</v>
      </c>
      <c r="AA2209">
        <v>0</v>
      </c>
      <c r="AB2209">
        <v>0</v>
      </c>
      <c r="AC2209">
        <v>0</v>
      </c>
      <c r="AD2209">
        <v>0</v>
      </c>
      <c r="AE2209">
        <v>0</v>
      </c>
      <c r="AF2209">
        <v>0</v>
      </c>
      <c r="AG2209">
        <v>0</v>
      </c>
      <c r="AH2209">
        <v>0</v>
      </c>
      <c r="AI2209">
        <v>0</v>
      </c>
      <c r="AJ2209">
        <v>0</v>
      </c>
      <c r="AK2209">
        <v>0</v>
      </c>
      <c r="AL2209">
        <v>0</v>
      </c>
      <c r="AM2209">
        <v>6.71</v>
      </c>
      <c r="AN2209">
        <v>0</v>
      </c>
      <c r="AO2209">
        <v>0</v>
      </c>
      <c r="AP2209">
        <v>0</v>
      </c>
      <c r="AQ2209">
        <v>0</v>
      </c>
      <c r="AR2209">
        <v>0</v>
      </c>
      <c r="AS2209">
        <v>0</v>
      </c>
      <c r="AT2209">
        <v>0</v>
      </c>
      <c r="AU2209">
        <v>0</v>
      </c>
      <c r="AV2209">
        <v>0</v>
      </c>
      <c r="AW2209">
        <v>0</v>
      </c>
      <c r="AX2209">
        <v>0</v>
      </c>
      <c r="AY2209">
        <v>0</v>
      </c>
      <c r="AZ2209">
        <v>0</v>
      </c>
      <c r="BA2209">
        <v>0</v>
      </c>
      <c r="BB2209">
        <v>0</v>
      </c>
      <c r="BC2209">
        <v>0</v>
      </c>
      <c r="BD2209">
        <v>0</v>
      </c>
      <c r="BE2209">
        <v>0</v>
      </c>
      <c r="BF2209">
        <v>0</v>
      </c>
      <c r="BG2209">
        <v>0</v>
      </c>
      <c r="BH2209">
        <v>1</v>
      </c>
      <c r="BI2209">
        <v>1</v>
      </c>
      <c r="BJ2209">
        <v>0.2</v>
      </c>
      <c r="BK2209">
        <v>1</v>
      </c>
      <c r="BL2209" s="4">
        <v>39.42</v>
      </c>
      <c r="BM2209" s="4">
        <v>5.91</v>
      </c>
      <c r="BN2209" s="4">
        <v>45.33</v>
      </c>
      <c r="BO2209" s="4">
        <v>45.33</v>
      </c>
      <c r="BQ2209" t="s">
        <v>93</v>
      </c>
      <c r="BR2209" t="s">
        <v>84</v>
      </c>
      <c r="BS2209" s="3">
        <v>43832</v>
      </c>
      <c r="BT2209" s="5">
        <v>0.77569444444444446</v>
      </c>
      <c r="BU2209" t="s">
        <v>617</v>
      </c>
      <c r="BV2209" t="s">
        <v>89</v>
      </c>
      <c r="BY2209">
        <v>1200</v>
      </c>
      <c r="CA2209" t="s">
        <v>620</v>
      </c>
      <c r="CC2209" t="s">
        <v>76</v>
      </c>
      <c r="CD2209">
        <v>1600</v>
      </c>
      <c r="CE2209" t="s">
        <v>88</v>
      </c>
      <c r="CI2209">
        <v>1</v>
      </c>
      <c r="CJ2209">
        <v>9</v>
      </c>
      <c r="CK2209">
        <v>22</v>
      </c>
      <c r="CL2209" t="s">
        <v>89</v>
      </c>
    </row>
    <row r="2210" spans="1:90">
      <c r="A2210" t="s">
        <v>72</v>
      </c>
      <c r="B2210" t="s">
        <v>73</v>
      </c>
      <c r="C2210" t="s">
        <v>74</v>
      </c>
      <c r="E2210" t="str">
        <f>"FES1162729049"</f>
        <v>FES1162729049</v>
      </c>
      <c r="F2210" s="3">
        <v>43819</v>
      </c>
      <c r="G2210">
        <v>202006</v>
      </c>
      <c r="H2210" t="s">
        <v>75</v>
      </c>
      <c r="I2210" t="s">
        <v>76</v>
      </c>
      <c r="J2210" t="s">
        <v>77</v>
      </c>
      <c r="K2210" t="s">
        <v>78</v>
      </c>
      <c r="L2210" t="s">
        <v>350</v>
      </c>
      <c r="M2210" t="s">
        <v>351</v>
      </c>
      <c r="N2210" t="s">
        <v>2442</v>
      </c>
      <c r="O2210" t="s">
        <v>82</v>
      </c>
      <c r="P2210" t="str">
        <f>"2170720060                    "</f>
        <v xml:space="preserve">2170720060                    </v>
      </c>
      <c r="Q2210">
        <v>0</v>
      </c>
      <c r="R2210">
        <v>0</v>
      </c>
      <c r="S2210">
        <v>0</v>
      </c>
      <c r="T2210">
        <v>0</v>
      </c>
      <c r="U2210">
        <v>0</v>
      </c>
      <c r="V2210">
        <v>0</v>
      </c>
      <c r="W2210">
        <v>0</v>
      </c>
      <c r="X2210">
        <v>0</v>
      </c>
      <c r="Y2210">
        <v>0</v>
      </c>
      <c r="Z2210">
        <v>0</v>
      </c>
      <c r="AA2210">
        <v>0</v>
      </c>
      <c r="AB2210">
        <v>0</v>
      </c>
      <c r="AC2210">
        <v>0</v>
      </c>
      <c r="AD2210">
        <v>0</v>
      </c>
      <c r="AE2210">
        <v>0</v>
      </c>
      <c r="AF2210">
        <v>0</v>
      </c>
      <c r="AG2210">
        <v>0</v>
      </c>
      <c r="AH2210">
        <v>0</v>
      </c>
      <c r="AI2210">
        <v>0</v>
      </c>
      <c r="AJ2210">
        <v>0</v>
      </c>
      <c r="AK2210">
        <v>0</v>
      </c>
      <c r="AL2210">
        <v>0</v>
      </c>
      <c r="AM2210">
        <v>6.71</v>
      </c>
      <c r="AN2210">
        <v>0</v>
      </c>
      <c r="AO2210">
        <v>0</v>
      </c>
      <c r="AP2210">
        <v>0</v>
      </c>
      <c r="AQ2210">
        <v>0</v>
      </c>
      <c r="AR2210">
        <v>0</v>
      </c>
      <c r="AS2210">
        <v>0</v>
      </c>
      <c r="AT2210">
        <v>0</v>
      </c>
      <c r="AU2210">
        <v>0</v>
      </c>
      <c r="AV2210">
        <v>0</v>
      </c>
      <c r="AW2210">
        <v>0</v>
      </c>
      <c r="AX2210">
        <v>0</v>
      </c>
      <c r="AY2210">
        <v>0</v>
      </c>
      <c r="AZ2210">
        <v>0</v>
      </c>
      <c r="BA2210">
        <v>0</v>
      </c>
      <c r="BB2210">
        <v>0</v>
      </c>
      <c r="BC2210">
        <v>0</v>
      </c>
      <c r="BD2210">
        <v>0</v>
      </c>
      <c r="BE2210">
        <v>0</v>
      </c>
      <c r="BF2210">
        <v>0</v>
      </c>
      <c r="BG2210">
        <v>0</v>
      </c>
      <c r="BH2210">
        <v>1</v>
      </c>
      <c r="BI2210">
        <v>1</v>
      </c>
      <c r="BJ2210">
        <v>0.2</v>
      </c>
      <c r="BK2210">
        <v>1</v>
      </c>
      <c r="BL2210" s="4">
        <v>39.42</v>
      </c>
      <c r="BM2210" s="4">
        <v>5.91</v>
      </c>
      <c r="BN2210" s="4">
        <v>45.33</v>
      </c>
      <c r="BO2210" s="4">
        <v>45.33</v>
      </c>
      <c r="BR2210" t="s">
        <v>84</v>
      </c>
      <c r="BS2210" s="3">
        <v>43822</v>
      </c>
      <c r="BT2210" s="5">
        <v>0.39930555555555558</v>
      </c>
      <c r="BU2210" t="s">
        <v>2443</v>
      </c>
      <c r="BV2210" t="s">
        <v>86</v>
      </c>
      <c r="BY2210">
        <v>1200</v>
      </c>
      <c r="CA2210" t="s">
        <v>355</v>
      </c>
      <c r="CC2210" t="s">
        <v>351</v>
      </c>
      <c r="CD2210">
        <v>1500</v>
      </c>
      <c r="CE2210" t="s">
        <v>88</v>
      </c>
      <c r="CF2210" s="3">
        <v>43823</v>
      </c>
      <c r="CI2210">
        <v>1</v>
      </c>
      <c r="CJ2210">
        <v>1</v>
      </c>
      <c r="CK2210">
        <v>22</v>
      </c>
      <c r="CL2210" t="s">
        <v>89</v>
      </c>
    </row>
    <row r="2211" spans="1:90">
      <c r="A2211" t="s">
        <v>72</v>
      </c>
      <c r="B2211" t="s">
        <v>73</v>
      </c>
      <c r="C2211" t="s">
        <v>74</v>
      </c>
      <c r="E2211" t="str">
        <f>"FES1162729373"</f>
        <v>FES1162729373</v>
      </c>
      <c r="F2211" s="3">
        <v>43819</v>
      </c>
      <c r="G2211">
        <v>202006</v>
      </c>
      <c r="H2211" t="s">
        <v>75</v>
      </c>
      <c r="I2211" t="s">
        <v>76</v>
      </c>
      <c r="J2211" t="s">
        <v>77</v>
      </c>
      <c r="K2211" t="s">
        <v>78</v>
      </c>
      <c r="L2211" t="s">
        <v>515</v>
      </c>
      <c r="M2211" t="s">
        <v>516</v>
      </c>
      <c r="N2211" t="s">
        <v>517</v>
      </c>
      <c r="O2211" t="s">
        <v>82</v>
      </c>
      <c r="P2211" t="str">
        <f>"2170722371                    "</f>
        <v xml:space="preserve">2170722371                    </v>
      </c>
      <c r="Q2211">
        <v>0</v>
      </c>
      <c r="R2211">
        <v>0</v>
      </c>
      <c r="S2211">
        <v>0</v>
      </c>
      <c r="T2211">
        <v>0</v>
      </c>
      <c r="U2211">
        <v>0</v>
      </c>
      <c r="V2211">
        <v>0</v>
      </c>
      <c r="W2211">
        <v>0</v>
      </c>
      <c r="X2211">
        <v>0</v>
      </c>
      <c r="Y2211">
        <v>0</v>
      </c>
      <c r="Z2211">
        <v>0</v>
      </c>
      <c r="AA2211">
        <v>0</v>
      </c>
      <c r="AB2211">
        <v>0</v>
      </c>
      <c r="AC2211">
        <v>0</v>
      </c>
      <c r="AD2211">
        <v>0</v>
      </c>
      <c r="AE2211">
        <v>0</v>
      </c>
      <c r="AF2211">
        <v>0</v>
      </c>
      <c r="AG2211">
        <v>0</v>
      </c>
      <c r="AH2211">
        <v>0</v>
      </c>
      <c r="AI2211">
        <v>0</v>
      </c>
      <c r="AJ2211">
        <v>0</v>
      </c>
      <c r="AK2211">
        <v>0</v>
      </c>
      <c r="AL2211">
        <v>0</v>
      </c>
      <c r="AM2211">
        <v>8.58</v>
      </c>
      <c r="AN2211">
        <v>0</v>
      </c>
      <c r="AO2211">
        <v>0</v>
      </c>
      <c r="AP2211">
        <v>0</v>
      </c>
      <c r="AQ2211">
        <v>0</v>
      </c>
      <c r="AR2211">
        <v>0</v>
      </c>
      <c r="AS2211">
        <v>0</v>
      </c>
      <c r="AT2211">
        <v>0</v>
      </c>
      <c r="AU2211">
        <v>0</v>
      </c>
      <c r="AV2211">
        <v>0</v>
      </c>
      <c r="AW2211">
        <v>0</v>
      </c>
      <c r="AX2211">
        <v>0</v>
      </c>
      <c r="AY2211">
        <v>0</v>
      </c>
      <c r="AZ2211">
        <v>0</v>
      </c>
      <c r="BA2211">
        <v>0</v>
      </c>
      <c r="BB2211">
        <v>0</v>
      </c>
      <c r="BC2211">
        <v>0</v>
      </c>
      <c r="BD2211">
        <v>0</v>
      </c>
      <c r="BE2211">
        <v>0</v>
      </c>
      <c r="BF2211">
        <v>0</v>
      </c>
      <c r="BG2211">
        <v>0</v>
      </c>
      <c r="BH2211">
        <v>1</v>
      </c>
      <c r="BI2211">
        <v>1.3</v>
      </c>
      <c r="BJ2211">
        <v>1.6</v>
      </c>
      <c r="BK2211">
        <v>2</v>
      </c>
      <c r="BL2211" s="4">
        <v>50.45</v>
      </c>
      <c r="BM2211" s="4">
        <v>7.57</v>
      </c>
      <c r="BN2211" s="4">
        <v>58.02</v>
      </c>
      <c r="BO2211" s="4">
        <v>58.02</v>
      </c>
      <c r="BQ2211" t="s">
        <v>147</v>
      </c>
      <c r="BR2211" t="s">
        <v>84</v>
      </c>
      <c r="BS2211" t="s">
        <v>717</v>
      </c>
      <c r="BY2211">
        <v>8094</v>
      </c>
      <c r="CC2211" t="s">
        <v>516</v>
      </c>
      <c r="CD2211">
        <v>4300</v>
      </c>
      <c r="CE2211" t="s">
        <v>116</v>
      </c>
      <c r="CI2211">
        <v>1</v>
      </c>
      <c r="CJ2211" t="s">
        <v>717</v>
      </c>
      <c r="CK2211">
        <v>21</v>
      </c>
      <c r="CL2211" t="s">
        <v>89</v>
      </c>
    </row>
    <row r="2212" spans="1:90">
      <c r="A2212" t="s">
        <v>72</v>
      </c>
      <c r="B2212" t="s">
        <v>73</v>
      </c>
      <c r="C2212" t="s">
        <v>74</v>
      </c>
      <c r="E2212" t="str">
        <f>"FES1162729315"</f>
        <v>FES1162729315</v>
      </c>
      <c r="F2212" s="3">
        <v>43819</v>
      </c>
      <c r="G2212">
        <v>202006</v>
      </c>
      <c r="H2212" t="s">
        <v>75</v>
      </c>
      <c r="I2212" t="s">
        <v>76</v>
      </c>
      <c r="J2212" t="s">
        <v>77</v>
      </c>
      <c r="K2212" t="s">
        <v>78</v>
      </c>
      <c r="L2212" t="s">
        <v>79</v>
      </c>
      <c r="M2212" t="s">
        <v>80</v>
      </c>
      <c r="N2212" t="s">
        <v>1101</v>
      </c>
      <c r="O2212" t="s">
        <v>82</v>
      </c>
      <c r="P2212" t="str">
        <f>"2170722299                    "</f>
        <v xml:space="preserve">2170722299                    </v>
      </c>
      <c r="Q2212">
        <v>0</v>
      </c>
      <c r="R2212">
        <v>0</v>
      </c>
      <c r="S2212">
        <v>0</v>
      </c>
      <c r="T2212">
        <v>0</v>
      </c>
      <c r="U2212">
        <v>0</v>
      </c>
      <c r="V2212">
        <v>0</v>
      </c>
      <c r="W2212">
        <v>0</v>
      </c>
      <c r="X2212">
        <v>0</v>
      </c>
      <c r="Y2212">
        <v>0</v>
      </c>
      <c r="Z2212">
        <v>0</v>
      </c>
      <c r="AA2212">
        <v>0</v>
      </c>
      <c r="AB2212">
        <v>0</v>
      </c>
      <c r="AC2212">
        <v>0</v>
      </c>
      <c r="AD2212">
        <v>0</v>
      </c>
      <c r="AE2212">
        <v>0</v>
      </c>
      <c r="AF2212">
        <v>0</v>
      </c>
      <c r="AG2212">
        <v>0</v>
      </c>
      <c r="AH2212">
        <v>0</v>
      </c>
      <c r="AI2212">
        <v>0</v>
      </c>
      <c r="AJ2212">
        <v>0</v>
      </c>
      <c r="AK2212">
        <v>0</v>
      </c>
      <c r="AL2212">
        <v>0</v>
      </c>
      <c r="AM2212">
        <v>8.58</v>
      </c>
      <c r="AN2212">
        <v>0</v>
      </c>
      <c r="AO2212">
        <v>0</v>
      </c>
      <c r="AP2212">
        <v>0</v>
      </c>
      <c r="AQ2212">
        <v>0</v>
      </c>
      <c r="AR2212">
        <v>0</v>
      </c>
      <c r="AS2212">
        <v>0</v>
      </c>
      <c r="AT2212">
        <v>0</v>
      </c>
      <c r="AU2212">
        <v>0</v>
      </c>
      <c r="AV2212">
        <v>0</v>
      </c>
      <c r="AW2212">
        <v>0</v>
      </c>
      <c r="AX2212">
        <v>0</v>
      </c>
      <c r="AY2212">
        <v>0</v>
      </c>
      <c r="AZ2212">
        <v>0</v>
      </c>
      <c r="BA2212">
        <v>0</v>
      </c>
      <c r="BB2212">
        <v>0</v>
      </c>
      <c r="BC2212">
        <v>0</v>
      </c>
      <c r="BD2212">
        <v>0</v>
      </c>
      <c r="BE2212">
        <v>0</v>
      </c>
      <c r="BF2212">
        <v>0</v>
      </c>
      <c r="BG2212">
        <v>0</v>
      </c>
      <c r="BH2212">
        <v>1</v>
      </c>
      <c r="BI2212">
        <v>1</v>
      </c>
      <c r="BJ2212">
        <v>0.2</v>
      </c>
      <c r="BK2212">
        <v>1</v>
      </c>
      <c r="BL2212" s="4">
        <v>50.45</v>
      </c>
      <c r="BM2212" s="4">
        <v>7.57</v>
      </c>
      <c r="BN2212" s="4">
        <v>58.02</v>
      </c>
      <c r="BO2212" s="4">
        <v>58.02</v>
      </c>
      <c r="BQ2212" t="s">
        <v>147</v>
      </c>
      <c r="BR2212" t="s">
        <v>84</v>
      </c>
      <c r="BS2212" s="3">
        <v>43822</v>
      </c>
      <c r="BT2212" s="5">
        <v>0.39027777777777778</v>
      </c>
      <c r="BU2212" t="s">
        <v>1188</v>
      </c>
      <c r="BV2212" t="s">
        <v>86</v>
      </c>
      <c r="BY2212">
        <v>1200</v>
      </c>
      <c r="CA2212" t="s">
        <v>419</v>
      </c>
      <c r="CC2212" t="s">
        <v>80</v>
      </c>
      <c r="CD2212">
        <v>6001</v>
      </c>
      <c r="CE2212" t="s">
        <v>88</v>
      </c>
      <c r="CF2212" s="3">
        <v>43823</v>
      </c>
      <c r="CI2212">
        <v>1</v>
      </c>
      <c r="CJ2212">
        <v>1</v>
      </c>
      <c r="CK2212">
        <v>21</v>
      </c>
      <c r="CL2212" t="s">
        <v>89</v>
      </c>
    </row>
    <row r="2213" spans="1:90">
      <c r="A2213" t="s">
        <v>72</v>
      </c>
      <c r="B2213" t="s">
        <v>73</v>
      </c>
      <c r="C2213" t="s">
        <v>74</v>
      </c>
      <c r="E2213" t="str">
        <f>"FES1162729245"</f>
        <v>FES1162729245</v>
      </c>
      <c r="F2213" s="3">
        <v>43819</v>
      </c>
      <c r="G2213">
        <v>202006</v>
      </c>
      <c r="H2213" t="s">
        <v>75</v>
      </c>
      <c r="I2213" t="s">
        <v>76</v>
      </c>
      <c r="J2213" t="s">
        <v>77</v>
      </c>
      <c r="K2213" t="s">
        <v>78</v>
      </c>
      <c r="L2213" t="s">
        <v>138</v>
      </c>
      <c r="M2213" t="s">
        <v>139</v>
      </c>
      <c r="N2213" t="s">
        <v>2444</v>
      </c>
      <c r="O2213" t="s">
        <v>82</v>
      </c>
      <c r="P2213" t="str">
        <f>"2170722234                    "</f>
        <v xml:space="preserve">2170722234                    </v>
      </c>
      <c r="Q2213">
        <v>0</v>
      </c>
      <c r="R2213">
        <v>0</v>
      </c>
      <c r="S2213">
        <v>0</v>
      </c>
      <c r="T2213">
        <v>0</v>
      </c>
      <c r="U2213">
        <v>0</v>
      </c>
      <c r="V2213">
        <v>0</v>
      </c>
      <c r="W2213">
        <v>0</v>
      </c>
      <c r="X2213">
        <v>0</v>
      </c>
      <c r="Y2213">
        <v>0</v>
      </c>
      <c r="Z2213">
        <v>0</v>
      </c>
      <c r="AA2213">
        <v>0</v>
      </c>
      <c r="AB2213">
        <v>0</v>
      </c>
      <c r="AC2213">
        <v>0</v>
      </c>
      <c r="AD2213">
        <v>0</v>
      </c>
      <c r="AE2213">
        <v>0</v>
      </c>
      <c r="AF2213">
        <v>0</v>
      </c>
      <c r="AG2213">
        <v>0</v>
      </c>
      <c r="AH2213">
        <v>0</v>
      </c>
      <c r="AI2213">
        <v>0</v>
      </c>
      <c r="AJ2213">
        <v>0</v>
      </c>
      <c r="AK2213">
        <v>0</v>
      </c>
      <c r="AL2213">
        <v>0</v>
      </c>
      <c r="AM2213">
        <v>6.71</v>
      </c>
      <c r="AN2213">
        <v>0</v>
      </c>
      <c r="AO2213">
        <v>0</v>
      </c>
      <c r="AP2213">
        <v>0</v>
      </c>
      <c r="AQ2213">
        <v>0</v>
      </c>
      <c r="AR2213">
        <v>0</v>
      </c>
      <c r="AS2213">
        <v>0</v>
      </c>
      <c r="AT2213">
        <v>0</v>
      </c>
      <c r="AU2213">
        <v>0</v>
      </c>
      <c r="AV2213">
        <v>0</v>
      </c>
      <c r="AW2213">
        <v>0</v>
      </c>
      <c r="AX2213">
        <v>0</v>
      </c>
      <c r="AY2213">
        <v>0</v>
      </c>
      <c r="AZ2213">
        <v>0</v>
      </c>
      <c r="BA2213">
        <v>0</v>
      </c>
      <c r="BB2213">
        <v>0</v>
      </c>
      <c r="BC2213">
        <v>0</v>
      </c>
      <c r="BD2213">
        <v>0</v>
      </c>
      <c r="BE2213">
        <v>0</v>
      </c>
      <c r="BF2213">
        <v>0</v>
      </c>
      <c r="BG2213">
        <v>0</v>
      </c>
      <c r="BH2213">
        <v>1</v>
      </c>
      <c r="BI2213">
        <v>1</v>
      </c>
      <c r="BJ2213">
        <v>0.2</v>
      </c>
      <c r="BK2213">
        <v>1</v>
      </c>
      <c r="BL2213" s="4">
        <v>39.42</v>
      </c>
      <c r="BM2213" s="4">
        <v>5.91</v>
      </c>
      <c r="BN2213" s="4">
        <v>45.33</v>
      </c>
      <c r="BO2213" s="4">
        <v>45.33</v>
      </c>
      <c r="BQ2213" t="s">
        <v>2445</v>
      </c>
      <c r="BR2213" t="s">
        <v>84</v>
      </c>
      <c r="BS2213" s="3">
        <v>43832</v>
      </c>
      <c r="BT2213" s="5">
        <v>0.78402777777777777</v>
      </c>
      <c r="BU2213" t="s">
        <v>617</v>
      </c>
      <c r="BV2213" t="s">
        <v>89</v>
      </c>
      <c r="BW2213" t="s">
        <v>1335</v>
      </c>
      <c r="BX2213" t="s">
        <v>619</v>
      </c>
      <c r="BY2213">
        <v>1200</v>
      </c>
      <c r="CA2213" t="s">
        <v>620</v>
      </c>
      <c r="CC2213" t="s">
        <v>139</v>
      </c>
      <c r="CD2213">
        <v>1406</v>
      </c>
      <c r="CE2213" t="s">
        <v>88</v>
      </c>
      <c r="CI2213">
        <v>1</v>
      </c>
      <c r="CJ2213">
        <v>9</v>
      </c>
      <c r="CK2213">
        <v>22</v>
      </c>
      <c r="CL2213" t="s">
        <v>89</v>
      </c>
    </row>
    <row r="2214" spans="1:90">
      <c r="A2214" t="s">
        <v>72</v>
      </c>
      <c r="B2214" t="s">
        <v>73</v>
      </c>
      <c r="C2214" t="s">
        <v>74</v>
      </c>
      <c r="E2214" t="str">
        <f>"FES1162729096"</f>
        <v>FES1162729096</v>
      </c>
      <c r="F2214" s="3">
        <v>43819</v>
      </c>
      <c r="G2214">
        <v>202006</v>
      </c>
      <c r="H2214" t="s">
        <v>75</v>
      </c>
      <c r="I2214" t="s">
        <v>76</v>
      </c>
      <c r="J2214" t="s">
        <v>77</v>
      </c>
      <c r="K2214" t="s">
        <v>78</v>
      </c>
      <c r="L2214" t="s">
        <v>332</v>
      </c>
      <c r="M2214" t="s">
        <v>333</v>
      </c>
      <c r="N2214" t="s">
        <v>824</v>
      </c>
      <c r="O2214" t="s">
        <v>82</v>
      </c>
      <c r="P2214" t="str">
        <f>"2170720494                    "</f>
        <v xml:space="preserve">2170720494                    </v>
      </c>
      <c r="Q2214">
        <v>0</v>
      </c>
      <c r="R2214">
        <v>0</v>
      </c>
      <c r="S2214">
        <v>0</v>
      </c>
      <c r="T2214">
        <v>0</v>
      </c>
      <c r="U2214">
        <v>0</v>
      </c>
      <c r="V2214">
        <v>0</v>
      </c>
      <c r="W2214">
        <v>0</v>
      </c>
      <c r="X2214">
        <v>0</v>
      </c>
      <c r="Y2214">
        <v>0</v>
      </c>
      <c r="Z2214">
        <v>0</v>
      </c>
      <c r="AA2214">
        <v>0</v>
      </c>
      <c r="AB2214">
        <v>0</v>
      </c>
      <c r="AC2214">
        <v>0</v>
      </c>
      <c r="AD2214">
        <v>0</v>
      </c>
      <c r="AE2214">
        <v>0</v>
      </c>
      <c r="AF2214">
        <v>0</v>
      </c>
      <c r="AG2214">
        <v>0</v>
      </c>
      <c r="AH2214">
        <v>0</v>
      </c>
      <c r="AI2214">
        <v>0</v>
      </c>
      <c r="AJ2214">
        <v>0</v>
      </c>
      <c r="AK2214">
        <v>0</v>
      </c>
      <c r="AL2214">
        <v>0</v>
      </c>
      <c r="AM2214">
        <v>9.1199999999999992</v>
      </c>
      <c r="AN2214">
        <v>0</v>
      </c>
      <c r="AO2214">
        <v>0</v>
      </c>
      <c r="AP2214">
        <v>0</v>
      </c>
      <c r="AQ2214">
        <v>0</v>
      </c>
      <c r="AR2214">
        <v>0</v>
      </c>
      <c r="AS2214">
        <v>0</v>
      </c>
      <c r="AT2214">
        <v>0</v>
      </c>
      <c r="AU2214">
        <v>0</v>
      </c>
      <c r="AV2214">
        <v>0</v>
      </c>
      <c r="AW2214">
        <v>0</v>
      </c>
      <c r="AX2214">
        <v>0</v>
      </c>
      <c r="AY2214">
        <v>0</v>
      </c>
      <c r="AZ2214">
        <v>0</v>
      </c>
      <c r="BA2214">
        <v>0</v>
      </c>
      <c r="BB2214">
        <v>0</v>
      </c>
      <c r="BC2214">
        <v>0</v>
      </c>
      <c r="BD2214">
        <v>0</v>
      </c>
      <c r="BE2214">
        <v>0</v>
      </c>
      <c r="BF2214">
        <v>0</v>
      </c>
      <c r="BG2214">
        <v>0</v>
      </c>
      <c r="BH2214">
        <v>1</v>
      </c>
      <c r="BI2214">
        <v>3.2</v>
      </c>
      <c r="BJ2214">
        <v>1.3</v>
      </c>
      <c r="BK2214">
        <v>3.5</v>
      </c>
      <c r="BL2214" s="4">
        <v>53.59</v>
      </c>
      <c r="BM2214" s="4">
        <v>8.0399999999999991</v>
      </c>
      <c r="BN2214" s="4">
        <v>61.63</v>
      </c>
      <c r="BO2214" s="4">
        <v>61.63</v>
      </c>
      <c r="BQ2214" t="s">
        <v>147</v>
      </c>
      <c r="BR2214" t="s">
        <v>84</v>
      </c>
      <c r="BS2214" s="3">
        <v>43822</v>
      </c>
      <c r="BT2214" s="5">
        <v>0.33333333333333331</v>
      </c>
      <c r="BU2214" t="s">
        <v>2446</v>
      </c>
      <c r="BV2214" t="s">
        <v>86</v>
      </c>
      <c r="BY2214">
        <v>6251.58</v>
      </c>
      <c r="CC2214" t="s">
        <v>333</v>
      </c>
      <c r="CD2214">
        <v>2013</v>
      </c>
      <c r="CE2214" t="s">
        <v>96</v>
      </c>
      <c r="CF2214" s="3">
        <v>43823</v>
      </c>
      <c r="CI2214">
        <v>1</v>
      </c>
      <c r="CJ2214">
        <v>1</v>
      </c>
      <c r="CK2214">
        <v>22</v>
      </c>
      <c r="CL2214" t="s">
        <v>89</v>
      </c>
    </row>
    <row r="2215" spans="1:90">
      <c r="A2215" t="s">
        <v>72</v>
      </c>
      <c r="B2215" t="s">
        <v>73</v>
      </c>
      <c r="C2215" t="s">
        <v>74</v>
      </c>
      <c r="E2215" t="str">
        <f>"FES1162729249"</f>
        <v>FES1162729249</v>
      </c>
      <c r="F2215" s="3">
        <v>43819</v>
      </c>
      <c r="G2215">
        <v>202006</v>
      </c>
      <c r="H2215" t="s">
        <v>75</v>
      </c>
      <c r="I2215" t="s">
        <v>76</v>
      </c>
      <c r="J2215" t="s">
        <v>77</v>
      </c>
      <c r="K2215" t="s">
        <v>78</v>
      </c>
      <c r="L2215" t="s">
        <v>332</v>
      </c>
      <c r="M2215" t="s">
        <v>333</v>
      </c>
      <c r="N2215" t="s">
        <v>701</v>
      </c>
      <c r="O2215" t="s">
        <v>82</v>
      </c>
      <c r="P2215" t="str">
        <f>"2170722241                    "</f>
        <v xml:space="preserve">2170722241                    </v>
      </c>
      <c r="Q2215">
        <v>0</v>
      </c>
      <c r="R2215">
        <v>0</v>
      </c>
      <c r="S2215">
        <v>0</v>
      </c>
      <c r="T2215">
        <v>0</v>
      </c>
      <c r="U2215">
        <v>0</v>
      </c>
      <c r="V2215">
        <v>0</v>
      </c>
      <c r="W2215">
        <v>0</v>
      </c>
      <c r="X2215">
        <v>0</v>
      </c>
      <c r="Y2215">
        <v>0</v>
      </c>
      <c r="Z2215">
        <v>0</v>
      </c>
      <c r="AA2215">
        <v>0</v>
      </c>
      <c r="AB2215">
        <v>0</v>
      </c>
      <c r="AC2215">
        <v>0</v>
      </c>
      <c r="AD2215">
        <v>0</v>
      </c>
      <c r="AE2215">
        <v>0</v>
      </c>
      <c r="AF2215">
        <v>0</v>
      </c>
      <c r="AG2215">
        <v>0</v>
      </c>
      <c r="AH2215">
        <v>0</v>
      </c>
      <c r="AI2215">
        <v>0</v>
      </c>
      <c r="AJ2215">
        <v>0</v>
      </c>
      <c r="AK2215">
        <v>0</v>
      </c>
      <c r="AL2215">
        <v>0</v>
      </c>
      <c r="AM2215">
        <v>17.149999999999999</v>
      </c>
      <c r="AN2215">
        <v>0</v>
      </c>
      <c r="AO2215">
        <v>0</v>
      </c>
      <c r="AP2215">
        <v>0</v>
      </c>
      <c r="AQ2215">
        <v>0</v>
      </c>
      <c r="AR2215">
        <v>0</v>
      </c>
      <c r="AS2215">
        <v>0</v>
      </c>
      <c r="AT2215">
        <v>0</v>
      </c>
      <c r="AU2215">
        <v>0</v>
      </c>
      <c r="AV2215">
        <v>0</v>
      </c>
      <c r="AW2215">
        <v>0</v>
      </c>
      <c r="AX2215">
        <v>0</v>
      </c>
      <c r="AY2215">
        <v>0</v>
      </c>
      <c r="AZ2215">
        <v>0</v>
      </c>
      <c r="BA2215">
        <v>0</v>
      </c>
      <c r="BB2215">
        <v>0</v>
      </c>
      <c r="BC2215">
        <v>0</v>
      </c>
      <c r="BD2215">
        <v>0</v>
      </c>
      <c r="BE2215">
        <v>0</v>
      </c>
      <c r="BF2215">
        <v>0</v>
      </c>
      <c r="BG2215">
        <v>0</v>
      </c>
      <c r="BH2215">
        <v>1</v>
      </c>
      <c r="BI2215">
        <v>4.9000000000000004</v>
      </c>
      <c r="BJ2215">
        <v>8.3000000000000007</v>
      </c>
      <c r="BK2215">
        <v>8.5</v>
      </c>
      <c r="BL2215" s="4">
        <v>100.82</v>
      </c>
      <c r="BM2215" s="4">
        <v>15.12</v>
      </c>
      <c r="BN2215" s="4">
        <v>115.94</v>
      </c>
      <c r="BO2215" s="4">
        <v>115.94</v>
      </c>
      <c r="BQ2215" t="s">
        <v>93</v>
      </c>
      <c r="BR2215" t="s">
        <v>84</v>
      </c>
      <c r="BS2215" s="3">
        <v>43822</v>
      </c>
      <c r="BT2215" s="5">
        <v>0.35625000000000001</v>
      </c>
      <c r="BU2215" t="s">
        <v>1358</v>
      </c>
      <c r="BV2215" t="s">
        <v>86</v>
      </c>
      <c r="BY2215">
        <v>41674.19</v>
      </c>
      <c r="CA2215" t="s">
        <v>700</v>
      </c>
      <c r="CC2215" t="s">
        <v>333</v>
      </c>
      <c r="CD2215">
        <v>2094</v>
      </c>
      <c r="CE2215" t="s">
        <v>96</v>
      </c>
      <c r="CF2215" s="3">
        <v>43823</v>
      </c>
      <c r="CI2215">
        <v>1</v>
      </c>
      <c r="CJ2215">
        <v>1</v>
      </c>
      <c r="CK2215">
        <v>22</v>
      </c>
      <c r="CL2215" t="s">
        <v>89</v>
      </c>
    </row>
    <row r="2216" spans="1:90">
      <c r="A2216" t="s">
        <v>72</v>
      </c>
      <c r="B2216" t="s">
        <v>73</v>
      </c>
      <c r="C2216" t="s">
        <v>74</v>
      </c>
      <c r="E2216" t="str">
        <f>"FES1162729306"</f>
        <v>FES1162729306</v>
      </c>
      <c r="F2216" s="3">
        <v>43819</v>
      </c>
      <c r="G2216">
        <v>202006</v>
      </c>
      <c r="H2216" t="s">
        <v>75</v>
      </c>
      <c r="I2216" t="s">
        <v>76</v>
      </c>
      <c r="J2216" t="s">
        <v>77</v>
      </c>
      <c r="K2216" t="s">
        <v>78</v>
      </c>
      <c r="L2216" t="s">
        <v>90</v>
      </c>
      <c r="M2216" t="s">
        <v>91</v>
      </c>
      <c r="N2216" t="s">
        <v>535</v>
      </c>
      <c r="O2216" t="s">
        <v>82</v>
      </c>
      <c r="P2216" t="str">
        <f>"2170721935                    "</f>
        <v xml:space="preserve">2170721935                    </v>
      </c>
      <c r="Q2216">
        <v>0</v>
      </c>
      <c r="R2216">
        <v>0</v>
      </c>
      <c r="S2216">
        <v>0</v>
      </c>
      <c r="T2216">
        <v>0</v>
      </c>
      <c r="U2216">
        <v>0</v>
      </c>
      <c r="V2216">
        <v>0</v>
      </c>
      <c r="W2216">
        <v>0</v>
      </c>
      <c r="X2216">
        <v>0</v>
      </c>
      <c r="Y2216">
        <v>0</v>
      </c>
      <c r="Z2216">
        <v>0</v>
      </c>
      <c r="AA2216">
        <v>0</v>
      </c>
      <c r="AB2216">
        <v>0</v>
      </c>
      <c r="AC2216">
        <v>0</v>
      </c>
      <c r="AD2216">
        <v>0</v>
      </c>
      <c r="AE2216">
        <v>0</v>
      </c>
      <c r="AF2216">
        <v>0</v>
      </c>
      <c r="AG2216">
        <v>0</v>
      </c>
      <c r="AH2216">
        <v>0</v>
      </c>
      <c r="AI2216">
        <v>0</v>
      </c>
      <c r="AJ2216">
        <v>0</v>
      </c>
      <c r="AK2216">
        <v>0</v>
      </c>
      <c r="AL2216">
        <v>0</v>
      </c>
      <c r="AM2216">
        <v>8.58</v>
      </c>
      <c r="AN2216">
        <v>0</v>
      </c>
      <c r="AO2216">
        <v>0</v>
      </c>
      <c r="AP2216">
        <v>0</v>
      </c>
      <c r="AQ2216">
        <v>0</v>
      </c>
      <c r="AR2216">
        <v>0</v>
      </c>
      <c r="AS2216">
        <v>0</v>
      </c>
      <c r="AT2216">
        <v>0</v>
      </c>
      <c r="AU2216">
        <v>0</v>
      </c>
      <c r="AV2216">
        <v>0</v>
      </c>
      <c r="AW2216">
        <v>0</v>
      </c>
      <c r="AX2216">
        <v>0</v>
      </c>
      <c r="AY2216">
        <v>0</v>
      </c>
      <c r="AZ2216">
        <v>0</v>
      </c>
      <c r="BA2216">
        <v>0</v>
      </c>
      <c r="BB2216">
        <v>0</v>
      </c>
      <c r="BC2216">
        <v>0</v>
      </c>
      <c r="BD2216">
        <v>0</v>
      </c>
      <c r="BE2216">
        <v>0</v>
      </c>
      <c r="BF2216">
        <v>0</v>
      </c>
      <c r="BG2216">
        <v>0</v>
      </c>
      <c r="BH2216">
        <v>1</v>
      </c>
      <c r="BI2216">
        <v>1</v>
      </c>
      <c r="BJ2216">
        <v>0.2</v>
      </c>
      <c r="BK2216">
        <v>1</v>
      </c>
      <c r="BL2216" s="4">
        <v>50.45</v>
      </c>
      <c r="BM2216" s="4">
        <v>7.57</v>
      </c>
      <c r="BN2216" s="4">
        <v>58.02</v>
      </c>
      <c r="BO2216" s="4">
        <v>58.02</v>
      </c>
      <c r="BQ2216" t="s">
        <v>147</v>
      </c>
      <c r="BR2216" t="s">
        <v>84</v>
      </c>
      <c r="BS2216" t="s">
        <v>717</v>
      </c>
      <c r="BW2216" t="s">
        <v>1335</v>
      </c>
      <c r="BX2216" t="s">
        <v>619</v>
      </c>
      <c r="BY2216">
        <v>1200</v>
      </c>
      <c r="CC2216" t="s">
        <v>91</v>
      </c>
      <c r="CD2216">
        <v>7441</v>
      </c>
      <c r="CE2216" t="s">
        <v>88</v>
      </c>
      <c r="CI2216">
        <v>1</v>
      </c>
      <c r="CJ2216" t="s">
        <v>717</v>
      </c>
      <c r="CK2216">
        <v>21</v>
      </c>
      <c r="CL2216" t="s">
        <v>89</v>
      </c>
    </row>
    <row r="2217" spans="1:90">
      <c r="A2217" t="s">
        <v>72</v>
      </c>
      <c r="B2217" t="s">
        <v>73</v>
      </c>
      <c r="C2217" t="s">
        <v>74</v>
      </c>
      <c r="E2217" t="str">
        <f>"FES1162729319"</f>
        <v>FES1162729319</v>
      </c>
      <c r="F2217" s="3">
        <v>43819</v>
      </c>
      <c r="G2217">
        <v>202006</v>
      </c>
      <c r="H2217" t="s">
        <v>75</v>
      </c>
      <c r="I2217" t="s">
        <v>76</v>
      </c>
      <c r="J2217" t="s">
        <v>77</v>
      </c>
      <c r="K2217" t="s">
        <v>78</v>
      </c>
      <c r="L2217" t="s">
        <v>198</v>
      </c>
      <c r="M2217" t="s">
        <v>199</v>
      </c>
      <c r="N2217" t="s">
        <v>2447</v>
      </c>
      <c r="O2217" t="s">
        <v>82</v>
      </c>
      <c r="P2217" t="str">
        <f>"21707223053                   "</f>
        <v xml:space="preserve">21707223053                   </v>
      </c>
      <c r="Q2217">
        <v>0</v>
      </c>
      <c r="R2217">
        <v>0</v>
      </c>
      <c r="S2217">
        <v>0</v>
      </c>
      <c r="T2217">
        <v>0</v>
      </c>
      <c r="U2217">
        <v>0</v>
      </c>
      <c r="V2217">
        <v>0</v>
      </c>
      <c r="W2217">
        <v>0</v>
      </c>
      <c r="X2217">
        <v>0</v>
      </c>
      <c r="Y2217">
        <v>0</v>
      </c>
      <c r="Z2217">
        <v>0</v>
      </c>
      <c r="AA2217">
        <v>0</v>
      </c>
      <c r="AB2217">
        <v>0</v>
      </c>
      <c r="AC2217">
        <v>0</v>
      </c>
      <c r="AD2217">
        <v>0</v>
      </c>
      <c r="AE2217">
        <v>0</v>
      </c>
      <c r="AF2217">
        <v>0</v>
      </c>
      <c r="AG2217">
        <v>0</v>
      </c>
      <c r="AH2217">
        <v>0</v>
      </c>
      <c r="AI2217">
        <v>0</v>
      </c>
      <c r="AJ2217">
        <v>0</v>
      </c>
      <c r="AK2217">
        <v>0</v>
      </c>
      <c r="AL2217">
        <v>0</v>
      </c>
      <c r="AM2217">
        <v>15.02</v>
      </c>
      <c r="AN2217">
        <v>0</v>
      </c>
      <c r="AO2217">
        <v>0</v>
      </c>
      <c r="AP2217">
        <v>0</v>
      </c>
      <c r="AQ2217">
        <v>0</v>
      </c>
      <c r="AR2217">
        <v>0</v>
      </c>
      <c r="AS2217">
        <v>0</v>
      </c>
      <c r="AT2217">
        <v>0</v>
      </c>
      <c r="AU2217">
        <v>0</v>
      </c>
      <c r="AV2217">
        <v>0</v>
      </c>
      <c r="AW2217">
        <v>0</v>
      </c>
      <c r="AX2217">
        <v>0</v>
      </c>
      <c r="AY2217">
        <v>0</v>
      </c>
      <c r="AZ2217">
        <v>0</v>
      </c>
      <c r="BA2217">
        <v>0</v>
      </c>
      <c r="BB2217">
        <v>0</v>
      </c>
      <c r="BC2217">
        <v>0</v>
      </c>
      <c r="BD2217">
        <v>0</v>
      </c>
      <c r="BE2217">
        <v>0</v>
      </c>
      <c r="BF2217">
        <v>0</v>
      </c>
      <c r="BG2217">
        <v>0</v>
      </c>
      <c r="BH2217">
        <v>1</v>
      </c>
      <c r="BI2217">
        <v>3.1</v>
      </c>
      <c r="BJ2217">
        <v>2.9</v>
      </c>
      <c r="BK2217">
        <v>3.5</v>
      </c>
      <c r="BL2217" s="4">
        <v>88.27</v>
      </c>
      <c r="BM2217" s="4">
        <v>13.24</v>
      </c>
      <c r="BN2217" s="4">
        <v>101.51</v>
      </c>
      <c r="BO2217" s="4">
        <v>101.51</v>
      </c>
      <c r="BR2217" t="s">
        <v>84</v>
      </c>
      <c r="BS2217" s="3">
        <v>43822</v>
      </c>
      <c r="BT2217" s="5">
        <v>0.38194444444444442</v>
      </c>
      <c r="BU2217" t="s">
        <v>2448</v>
      </c>
      <c r="BV2217" t="s">
        <v>86</v>
      </c>
      <c r="BY2217">
        <v>14648.09</v>
      </c>
      <c r="CA2217" t="s">
        <v>281</v>
      </c>
      <c r="CC2217" t="s">
        <v>199</v>
      </c>
      <c r="CD2217">
        <v>4000</v>
      </c>
      <c r="CE2217" t="s">
        <v>96</v>
      </c>
      <c r="CF2217" s="3">
        <v>43823</v>
      </c>
      <c r="CI2217">
        <v>1</v>
      </c>
      <c r="CJ2217">
        <v>1</v>
      </c>
      <c r="CK2217">
        <v>21</v>
      </c>
      <c r="CL2217" t="s">
        <v>89</v>
      </c>
    </row>
    <row r="2218" spans="1:90">
      <c r="A2218" t="s">
        <v>72</v>
      </c>
      <c r="B2218" t="s">
        <v>73</v>
      </c>
      <c r="C2218" t="s">
        <v>74</v>
      </c>
      <c r="E2218" t="str">
        <f>"FES1162729122"</f>
        <v>FES1162729122</v>
      </c>
      <c r="F2218" s="3">
        <v>43819</v>
      </c>
      <c r="G2218">
        <v>202006</v>
      </c>
      <c r="H2218" t="s">
        <v>75</v>
      </c>
      <c r="I2218" t="s">
        <v>76</v>
      </c>
      <c r="J2218" t="s">
        <v>77</v>
      </c>
      <c r="K2218" t="s">
        <v>78</v>
      </c>
      <c r="L2218" t="s">
        <v>75</v>
      </c>
      <c r="M2218" t="s">
        <v>76</v>
      </c>
      <c r="N2218" t="s">
        <v>305</v>
      </c>
      <c r="O2218" t="s">
        <v>82</v>
      </c>
      <c r="P2218" t="str">
        <f>"2170720703                    "</f>
        <v xml:space="preserve">2170720703                    </v>
      </c>
      <c r="Q2218">
        <v>0</v>
      </c>
      <c r="R2218">
        <v>0</v>
      </c>
      <c r="S2218">
        <v>0</v>
      </c>
      <c r="T2218">
        <v>0</v>
      </c>
      <c r="U2218">
        <v>0</v>
      </c>
      <c r="V2218">
        <v>0</v>
      </c>
      <c r="W2218">
        <v>0</v>
      </c>
      <c r="X2218">
        <v>0</v>
      </c>
      <c r="Y2218">
        <v>0</v>
      </c>
      <c r="Z2218">
        <v>0</v>
      </c>
      <c r="AA2218">
        <v>0</v>
      </c>
      <c r="AB2218">
        <v>0</v>
      </c>
      <c r="AC2218">
        <v>0</v>
      </c>
      <c r="AD2218">
        <v>0</v>
      </c>
      <c r="AE2218">
        <v>0</v>
      </c>
      <c r="AF2218">
        <v>0</v>
      </c>
      <c r="AG2218">
        <v>0</v>
      </c>
      <c r="AH2218">
        <v>0</v>
      </c>
      <c r="AI2218">
        <v>0</v>
      </c>
      <c r="AJ2218">
        <v>0</v>
      </c>
      <c r="AK2218">
        <v>0</v>
      </c>
      <c r="AL2218">
        <v>0</v>
      </c>
      <c r="AM2218">
        <v>6.71</v>
      </c>
      <c r="AN2218">
        <v>0</v>
      </c>
      <c r="AO2218">
        <v>0</v>
      </c>
      <c r="AP2218">
        <v>0</v>
      </c>
      <c r="AQ2218">
        <v>0</v>
      </c>
      <c r="AR2218">
        <v>0</v>
      </c>
      <c r="AS2218">
        <v>0</v>
      </c>
      <c r="AT2218">
        <v>0</v>
      </c>
      <c r="AU2218">
        <v>0</v>
      </c>
      <c r="AV2218">
        <v>0</v>
      </c>
      <c r="AW2218">
        <v>0</v>
      </c>
      <c r="AX2218">
        <v>0</v>
      </c>
      <c r="AY2218">
        <v>0</v>
      </c>
      <c r="AZ2218">
        <v>0</v>
      </c>
      <c r="BA2218">
        <v>0</v>
      </c>
      <c r="BB2218">
        <v>0</v>
      </c>
      <c r="BC2218">
        <v>0</v>
      </c>
      <c r="BD2218">
        <v>0</v>
      </c>
      <c r="BE2218">
        <v>0</v>
      </c>
      <c r="BF2218">
        <v>0</v>
      </c>
      <c r="BG2218">
        <v>0</v>
      </c>
      <c r="BH2218">
        <v>1</v>
      </c>
      <c r="BI2218">
        <v>1</v>
      </c>
      <c r="BJ2218">
        <v>0.2</v>
      </c>
      <c r="BK2218">
        <v>1</v>
      </c>
      <c r="BL2218" s="4">
        <v>39.42</v>
      </c>
      <c r="BM2218" s="4">
        <v>5.91</v>
      </c>
      <c r="BN2218" s="4">
        <v>45.33</v>
      </c>
      <c r="BO2218" s="4">
        <v>45.33</v>
      </c>
      <c r="BQ2218" t="s">
        <v>147</v>
      </c>
      <c r="BR2218" t="s">
        <v>84</v>
      </c>
      <c r="BS2218" s="3">
        <v>43832</v>
      </c>
      <c r="BT2218" s="5">
        <v>0.79027777777777775</v>
      </c>
      <c r="BU2218" t="s">
        <v>617</v>
      </c>
      <c r="BV2218" t="s">
        <v>89</v>
      </c>
      <c r="BY2218">
        <v>1200</v>
      </c>
      <c r="CA2218" t="s">
        <v>620</v>
      </c>
      <c r="CC2218" t="s">
        <v>76</v>
      </c>
      <c r="CD2218">
        <v>1645</v>
      </c>
      <c r="CE2218" t="s">
        <v>88</v>
      </c>
      <c r="CI2218">
        <v>1</v>
      </c>
      <c r="CJ2218">
        <v>9</v>
      </c>
      <c r="CK2218">
        <v>22</v>
      </c>
      <c r="CL2218" t="s">
        <v>89</v>
      </c>
    </row>
    <row r="2219" spans="1:90">
      <c r="A2219" t="s">
        <v>72</v>
      </c>
      <c r="B2219" t="s">
        <v>73</v>
      </c>
      <c r="C2219" t="s">
        <v>74</v>
      </c>
      <c r="E2219" t="str">
        <f>"FES1162729352"</f>
        <v>FES1162729352</v>
      </c>
      <c r="F2219" s="3">
        <v>43819</v>
      </c>
      <c r="G2219">
        <v>202006</v>
      </c>
      <c r="H2219" t="s">
        <v>75</v>
      </c>
      <c r="I2219" t="s">
        <v>76</v>
      </c>
      <c r="J2219" t="s">
        <v>77</v>
      </c>
      <c r="K2219" t="s">
        <v>78</v>
      </c>
      <c r="L2219" t="s">
        <v>75</v>
      </c>
      <c r="M2219" t="s">
        <v>76</v>
      </c>
      <c r="N2219" t="s">
        <v>305</v>
      </c>
      <c r="O2219" t="s">
        <v>82</v>
      </c>
      <c r="P2219" t="str">
        <f>"2170722342                    "</f>
        <v xml:space="preserve">2170722342                    </v>
      </c>
      <c r="Q2219">
        <v>0</v>
      </c>
      <c r="R2219">
        <v>0</v>
      </c>
      <c r="S2219">
        <v>0</v>
      </c>
      <c r="T2219">
        <v>0</v>
      </c>
      <c r="U2219">
        <v>0</v>
      </c>
      <c r="V2219">
        <v>0</v>
      </c>
      <c r="W2219">
        <v>0</v>
      </c>
      <c r="X2219">
        <v>0</v>
      </c>
      <c r="Y2219">
        <v>0</v>
      </c>
      <c r="Z2219">
        <v>0</v>
      </c>
      <c r="AA2219">
        <v>0</v>
      </c>
      <c r="AB2219">
        <v>0</v>
      </c>
      <c r="AC2219">
        <v>0</v>
      </c>
      <c r="AD2219">
        <v>0</v>
      </c>
      <c r="AE2219">
        <v>0</v>
      </c>
      <c r="AF2219">
        <v>0</v>
      </c>
      <c r="AG2219">
        <v>0</v>
      </c>
      <c r="AH2219">
        <v>0</v>
      </c>
      <c r="AI2219">
        <v>0</v>
      </c>
      <c r="AJ2219">
        <v>0</v>
      </c>
      <c r="AK2219">
        <v>0</v>
      </c>
      <c r="AL2219">
        <v>0</v>
      </c>
      <c r="AM2219">
        <v>6.71</v>
      </c>
      <c r="AN2219">
        <v>0</v>
      </c>
      <c r="AO2219">
        <v>0</v>
      </c>
      <c r="AP2219">
        <v>0</v>
      </c>
      <c r="AQ2219">
        <v>0</v>
      </c>
      <c r="AR2219">
        <v>0</v>
      </c>
      <c r="AS2219">
        <v>0</v>
      </c>
      <c r="AT2219">
        <v>0</v>
      </c>
      <c r="AU2219">
        <v>0</v>
      </c>
      <c r="AV2219">
        <v>0</v>
      </c>
      <c r="AW2219">
        <v>0</v>
      </c>
      <c r="AX2219">
        <v>0</v>
      </c>
      <c r="AY2219">
        <v>0</v>
      </c>
      <c r="AZ2219">
        <v>0</v>
      </c>
      <c r="BA2219">
        <v>0</v>
      </c>
      <c r="BB2219">
        <v>0</v>
      </c>
      <c r="BC2219">
        <v>0</v>
      </c>
      <c r="BD2219">
        <v>0</v>
      </c>
      <c r="BE2219">
        <v>0</v>
      </c>
      <c r="BF2219">
        <v>0</v>
      </c>
      <c r="BG2219">
        <v>0</v>
      </c>
      <c r="BH2219">
        <v>1</v>
      </c>
      <c r="BI2219">
        <v>1</v>
      </c>
      <c r="BJ2219">
        <v>0.2</v>
      </c>
      <c r="BK2219">
        <v>1</v>
      </c>
      <c r="BL2219" s="4">
        <v>39.42</v>
      </c>
      <c r="BM2219" s="4">
        <v>5.91</v>
      </c>
      <c r="BN2219" s="4">
        <v>45.33</v>
      </c>
      <c r="BO2219" s="4">
        <v>45.33</v>
      </c>
      <c r="BQ2219" t="s">
        <v>147</v>
      </c>
      <c r="BR2219" t="s">
        <v>84</v>
      </c>
      <c r="BS2219" s="3">
        <v>43832</v>
      </c>
      <c r="BT2219" s="5">
        <v>0.7895833333333333</v>
      </c>
      <c r="BU2219" t="s">
        <v>617</v>
      </c>
      <c r="BV2219" t="s">
        <v>89</v>
      </c>
      <c r="BY2219">
        <v>1200</v>
      </c>
      <c r="CA2219" t="s">
        <v>620</v>
      </c>
      <c r="CC2219" t="s">
        <v>76</v>
      </c>
      <c r="CD2219">
        <v>1645</v>
      </c>
      <c r="CE2219" t="s">
        <v>88</v>
      </c>
      <c r="CI2219">
        <v>1</v>
      </c>
      <c r="CJ2219">
        <v>9</v>
      </c>
      <c r="CK2219">
        <v>22</v>
      </c>
      <c r="CL2219" t="s">
        <v>89</v>
      </c>
    </row>
    <row r="2220" spans="1:90">
      <c r="A2220" t="s">
        <v>72</v>
      </c>
      <c r="B2220" t="s">
        <v>73</v>
      </c>
      <c r="C2220" t="s">
        <v>74</v>
      </c>
      <c r="E2220" t="str">
        <f>"FES1162729037"</f>
        <v>FES1162729037</v>
      </c>
      <c r="F2220" s="3">
        <v>43819</v>
      </c>
      <c r="G2220">
        <v>202006</v>
      </c>
      <c r="H2220" t="s">
        <v>75</v>
      </c>
      <c r="I2220" t="s">
        <v>76</v>
      </c>
      <c r="J2220" t="s">
        <v>77</v>
      </c>
      <c r="K2220" t="s">
        <v>78</v>
      </c>
      <c r="L2220" t="s">
        <v>138</v>
      </c>
      <c r="M2220" t="s">
        <v>139</v>
      </c>
      <c r="N2220" t="s">
        <v>140</v>
      </c>
      <c r="O2220" t="s">
        <v>82</v>
      </c>
      <c r="P2220" t="str">
        <f>"2170719445                    "</f>
        <v xml:space="preserve">2170719445                    </v>
      </c>
      <c r="Q2220">
        <v>0</v>
      </c>
      <c r="R2220">
        <v>0</v>
      </c>
      <c r="S2220">
        <v>0</v>
      </c>
      <c r="T2220">
        <v>0</v>
      </c>
      <c r="U2220">
        <v>0</v>
      </c>
      <c r="V2220">
        <v>0</v>
      </c>
      <c r="W2220">
        <v>0</v>
      </c>
      <c r="X2220">
        <v>0</v>
      </c>
      <c r="Y2220">
        <v>0</v>
      </c>
      <c r="Z2220">
        <v>0</v>
      </c>
      <c r="AA2220">
        <v>0</v>
      </c>
      <c r="AB2220">
        <v>0</v>
      </c>
      <c r="AC2220">
        <v>0</v>
      </c>
      <c r="AD2220">
        <v>0</v>
      </c>
      <c r="AE2220">
        <v>0</v>
      </c>
      <c r="AF2220">
        <v>0</v>
      </c>
      <c r="AG2220">
        <v>0</v>
      </c>
      <c r="AH2220">
        <v>0</v>
      </c>
      <c r="AI2220">
        <v>0</v>
      </c>
      <c r="AJ2220">
        <v>0</v>
      </c>
      <c r="AK2220">
        <v>0</v>
      </c>
      <c r="AL2220">
        <v>0</v>
      </c>
      <c r="AM2220">
        <v>16.350000000000001</v>
      </c>
      <c r="AN2220">
        <v>0</v>
      </c>
      <c r="AO2220">
        <v>0</v>
      </c>
      <c r="AP2220">
        <v>0</v>
      </c>
      <c r="AQ2220">
        <v>0</v>
      </c>
      <c r="AR2220">
        <v>0</v>
      </c>
      <c r="AS2220">
        <v>0</v>
      </c>
      <c r="AT2220">
        <v>0</v>
      </c>
      <c r="AU2220">
        <v>0</v>
      </c>
      <c r="AV2220">
        <v>0</v>
      </c>
      <c r="AW2220">
        <v>0</v>
      </c>
      <c r="AX2220">
        <v>0</v>
      </c>
      <c r="AY2220">
        <v>0</v>
      </c>
      <c r="AZ2220">
        <v>0</v>
      </c>
      <c r="BA2220">
        <v>0</v>
      </c>
      <c r="BB2220">
        <v>0</v>
      </c>
      <c r="BC2220">
        <v>0</v>
      </c>
      <c r="BD2220">
        <v>0</v>
      </c>
      <c r="BE2220">
        <v>0</v>
      </c>
      <c r="BF2220">
        <v>0</v>
      </c>
      <c r="BG2220">
        <v>0</v>
      </c>
      <c r="BH2220">
        <v>1</v>
      </c>
      <c r="BI2220">
        <v>3.3</v>
      </c>
      <c r="BJ2220">
        <v>7.8</v>
      </c>
      <c r="BK2220">
        <v>8</v>
      </c>
      <c r="BL2220" s="4">
        <v>96.1</v>
      </c>
      <c r="BM2220" s="4">
        <v>14.42</v>
      </c>
      <c r="BN2220" s="4">
        <v>110.52</v>
      </c>
      <c r="BO2220" s="4">
        <v>110.52</v>
      </c>
      <c r="BQ2220" t="s">
        <v>436</v>
      </c>
      <c r="BR2220" t="s">
        <v>84</v>
      </c>
      <c r="BS2220" s="3">
        <v>43822</v>
      </c>
      <c r="BT2220" s="5">
        <v>0.42708333333333331</v>
      </c>
      <c r="BU2220" t="s">
        <v>2449</v>
      </c>
      <c r="BV2220" t="s">
        <v>86</v>
      </c>
      <c r="BY2220">
        <v>39077.78</v>
      </c>
      <c r="CC2220" t="s">
        <v>139</v>
      </c>
      <c r="CD2220">
        <v>1401</v>
      </c>
      <c r="CE2220" t="s">
        <v>116</v>
      </c>
      <c r="CF2220" s="3">
        <v>43823</v>
      </c>
      <c r="CI2220">
        <v>1</v>
      </c>
      <c r="CJ2220">
        <v>1</v>
      </c>
      <c r="CK2220">
        <v>22</v>
      </c>
      <c r="CL2220" t="s">
        <v>89</v>
      </c>
    </row>
    <row r="2221" spans="1:90">
      <c r="A2221" t="s">
        <v>72</v>
      </c>
      <c r="B2221" t="s">
        <v>73</v>
      </c>
      <c r="C2221" t="s">
        <v>74</v>
      </c>
      <c r="E2221" t="str">
        <f>"009935712098"</f>
        <v>009935712098</v>
      </c>
      <c r="F2221" s="3">
        <v>43803</v>
      </c>
      <c r="G2221">
        <v>202006</v>
      </c>
      <c r="H2221" t="s">
        <v>75</v>
      </c>
      <c r="I2221" t="s">
        <v>76</v>
      </c>
      <c r="J2221" t="s">
        <v>100</v>
      </c>
      <c r="K2221" t="s">
        <v>78</v>
      </c>
      <c r="L2221" t="s">
        <v>198</v>
      </c>
      <c r="M2221" t="s">
        <v>199</v>
      </c>
      <c r="N2221" t="s">
        <v>842</v>
      </c>
      <c r="O2221" t="s">
        <v>104</v>
      </c>
      <c r="P2221" t="str">
        <f>"RAMESH                        "</f>
        <v xml:space="preserve">RAMESH                        </v>
      </c>
      <c r="Q2221">
        <v>0</v>
      </c>
      <c r="R2221">
        <v>0</v>
      </c>
      <c r="S2221">
        <v>0</v>
      </c>
      <c r="T2221">
        <v>0</v>
      </c>
      <c r="U2221">
        <v>0</v>
      </c>
      <c r="V2221">
        <v>0</v>
      </c>
      <c r="W2221">
        <v>0</v>
      </c>
      <c r="X2221">
        <v>0</v>
      </c>
      <c r="Y2221">
        <v>0</v>
      </c>
      <c r="Z2221">
        <v>0</v>
      </c>
      <c r="AA2221">
        <v>0</v>
      </c>
      <c r="AB2221">
        <v>0</v>
      </c>
      <c r="AC2221">
        <v>0</v>
      </c>
      <c r="AD2221">
        <v>0</v>
      </c>
      <c r="AE2221">
        <v>0</v>
      </c>
      <c r="AF2221">
        <v>0</v>
      </c>
      <c r="AG2221">
        <v>0</v>
      </c>
      <c r="AH2221">
        <v>0</v>
      </c>
      <c r="AI2221">
        <v>0</v>
      </c>
      <c r="AJ2221">
        <v>0</v>
      </c>
      <c r="AK2221">
        <v>0</v>
      </c>
      <c r="AL2221">
        <v>0</v>
      </c>
      <c r="AM2221">
        <v>34.44</v>
      </c>
      <c r="AN2221">
        <v>0</v>
      </c>
      <c r="AO2221">
        <v>0</v>
      </c>
      <c r="AP2221">
        <v>0</v>
      </c>
      <c r="AQ2221">
        <v>0</v>
      </c>
      <c r="AR2221">
        <v>0</v>
      </c>
      <c r="AS2221">
        <v>0</v>
      </c>
      <c r="AT2221">
        <v>0</v>
      </c>
      <c r="AU2221">
        <v>0</v>
      </c>
      <c r="AV2221">
        <v>0</v>
      </c>
      <c r="AW2221">
        <v>0</v>
      </c>
      <c r="AX2221">
        <v>0</v>
      </c>
      <c r="AY2221">
        <v>0</v>
      </c>
      <c r="AZ2221">
        <v>0</v>
      </c>
      <c r="BA2221">
        <v>0</v>
      </c>
      <c r="BB2221">
        <v>0</v>
      </c>
      <c r="BC2221">
        <v>0</v>
      </c>
      <c r="BD2221">
        <v>0</v>
      </c>
      <c r="BE2221">
        <v>0</v>
      </c>
      <c r="BF2221">
        <v>0</v>
      </c>
      <c r="BG2221">
        <v>0</v>
      </c>
      <c r="BH2221">
        <v>2</v>
      </c>
      <c r="BI2221">
        <v>6.3</v>
      </c>
      <c r="BJ2221">
        <v>58.3</v>
      </c>
      <c r="BK2221">
        <v>59</v>
      </c>
      <c r="BL2221" s="4">
        <v>207.44</v>
      </c>
      <c r="BM2221" s="4">
        <v>31.12</v>
      </c>
      <c r="BN2221" s="4">
        <v>238.56</v>
      </c>
      <c r="BO2221" s="4">
        <v>238.56</v>
      </c>
      <c r="BP2221" t="s">
        <v>2450</v>
      </c>
      <c r="BQ2221" t="s">
        <v>2451</v>
      </c>
      <c r="BR2221" t="s">
        <v>105</v>
      </c>
      <c r="BS2221" s="3">
        <v>43804</v>
      </c>
      <c r="BT2221" s="5">
        <v>0.35347222222222219</v>
      </c>
      <c r="BU2221" t="s">
        <v>2452</v>
      </c>
      <c r="BV2221" t="s">
        <v>86</v>
      </c>
      <c r="BY2221">
        <v>291400.5</v>
      </c>
      <c r="CA2221" t="s">
        <v>299</v>
      </c>
      <c r="CC2221" t="s">
        <v>199</v>
      </c>
      <c r="CD2221">
        <v>4051</v>
      </c>
      <c r="CE2221" t="s">
        <v>413</v>
      </c>
      <c r="CF2221" s="3">
        <v>43808</v>
      </c>
      <c r="CI2221">
        <v>1</v>
      </c>
      <c r="CJ2221">
        <v>1</v>
      </c>
      <c r="CK2221" t="s">
        <v>1164</v>
      </c>
      <c r="CL2221" t="s">
        <v>89</v>
      </c>
    </row>
    <row r="2222" spans="1:90">
      <c r="A2222" t="s">
        <v>72</v>
      </c>
      <c r="B2222" t="s">
        <v>73</v>
      </c>
      <c r="C2222" t="s">
        <v>74</v>
      </c>
      <c r="E2222" t="str">
        <f>"FES1162728206"</f>
        <v>FES1162728206</v>
      </c>
      <c r="F2222" s="3">
        <v>43812</v>
      </c>
      <c r="G2222">
        <v>202006</v>
      </c>
      <c r="H2222" t="s">
        <v>75</v>
      </c>
      <c r="I2222" t="s">
        <v>76</v>
      </c>
      <c r="J2222" t="s">
        <v>100</v>
      </c>
      <c r="K2222" t="s">
        <v>78</v>
      </c>
      <c r="L2222" t="s">
        <v>75</v>
      </c>
      <c r="M2222" t="s">
        <v>76</v>
      </c>
      <c r="N2222" t="s">
        <v>756</v>
      </c>
      <c r="O2222" t="s">
        <v>104</v>
      </c>
      <c r="P2222" t="str">
        <f>"217071546                     "</f>
        <v xml:space="preserve">217071546                     </v>
      </c>
      <c r="Q2222">
        <v>0</v>
      </c>
      <c r="R2222">
        <v>0</v>
      </c>
      <c r="S2222">
        <v>0</v>
      </c>
      <c r="T2222">
        <v>0</v>
      </c>
      <c r="U2222">
        <v>0</v>
      </c>
      <c r="V2222">
        <v>0</v>
      </c>
      <c r="W2222">
        <v>0</v>
      </c>
      <c r="X2222">
        <v>0</v>
      </c>
      <c r="Y2222">
        <v>0</v>
      </c>
      <c r="Z2222">
        <v>0</v>
      </c>
      <c r="AA2222">
        <v>0</v>
      </c>
      <c r="AB2222">
        <v>0</v>
      </c>
      <c r="AC2222">
        <v>0</v>
      </c>
      <c r="AD2222">
        <v>0</v>
      </c>
      <c r="AE2222">
        <v>0</v>
      </c>
      <c r="AF2222">
        <v>0</v>
      </c>
      <c r="AG2222">
        <v>0</v>
      </c>
      <c r="AH2222">
        <v>0</v>
      </c>
      <c r="AI2222">
        <v>0</v>
      </c>
      <c r="AJ2222">
        <v>0</v>
      </c>
      <c r="AK2222">
        <v>0</v>
      </c>
      <c r="AL2222">
        <v>0</v>
      </c>
      <c r="AM2222">
        <v>14.09</v>
      </c>
      <c r="AN2222">
        <v>0</v>
      </c>
      <c r="AO2222">
        <v>0</v>
      </c>
      <c r="AP2222">
        <v>0</v>
      </c>
      <c r="AQ2222">
        <v>0</v>
      </c>
      <c r="AR2222">
        <v>0</v>
      </c>
      <c r="AS2222">
        <v>0</v>
      </c>
      <c r="AT2222">
        <v>0</v>
      </c>
      <c r="AU2222">
        <v>0</v>
      </c>
      <c r="AV2222">
        <v>0</v>
      </c>
      <c r="AW2222">
        <v>0</v>
      </c>
      <c r="AX2222">
        <v>0</v>
      </c>
      <c r="AY2222">
        <v>0</v>
      </c>
      <c r="AZ2222">
        <v>0</v>
      </c>
      <c r="BA2222">
        <v>0</v>
      </c>
      <c r="BB2222">
        <v>0</v>
      </c>
      <c r="BC2222">
        <v>0</v>
      </c>
      <c r="BD2222">
        <v>0</v>
      </c>
      <c r="BE2222">
        <v>0</v>
      </c>
      <c r="BF2222">
        <v>0</v>
      </c>
      <c r="BG2222">
        <v>0</v>
      </c>
      <c r="BH2222">
        <v>1</v>
      </c>
      <c r="BI2222">
        <v>19.600000000000001</v>
      </c>
      <c r="BJ2222">
        <v>17.100000000000001</v>
      </c>
      <c r="BK2222">
        <v>20</v>
      </c>
      <c r="BL2222" s="4">
        <v>87.82</v>
      </c>
      <c r="BM2222" s="4">
        <v>13.17</v>
      </c>
      <c r="BN2222" s="4">
        <v>100.99</v>
      </c>
      <c r="BO2222" s="4">
        <v>100.99</v>
      </c>
      <c r="BQ2222" t="s">
        <v>93</v>
      </c>
      <c r="BR2222" t="s">
        <v>105</v>
      </c>
      <c r="BS2222" s="3">
        <v>43818</v>
      </c>
      <c r="BT2222" s="5">
        <v>0.59097222222222223</v>
      </c>
      <c r="BU2222" t="s">
        <v>617</v>
      </c>
      <c r="BV2222" t="s">
        <v>89</v>
      </c>
      <c r="BY2222">
        <v>85260.67</v>
      </c>
      <c r="CA2222" t="s">
        <v>620</v>
      </c>
      <c r="CC2222" t="s">
        <v>76</v>
      </c>
      <c r="CD2222">
        <v>1666</v>
      </c>
      <c r="CE2222" t="s">
        <v>96</v>
      </c>
      <c r="CF2222" s="3">
        <v>43819</v>
      </c>
      <c r="CI2222">
        <v>1</v>
      </c>
      <c r="CJ2222">
        <v>4</v>
      </c>
      <c r="CK2222" t="s">
        <v>123</v>
      </c>
      <c r="CL2222" t="s">
        <v>89</v>
      </c>
    </row>
    <row r="2223" spans="1:90">
      <c r="A2223" t="s">
        <v>72</v>
      </c>
      <c r="B2223" t="s">
        <v>73</v>
      </c>
      <c r="C2223" t="s">
        <v>74</v>
      </c>
      <c r="E2223" t="str">
        <f>"FES1162728497"</f>
        <v>FES1162728497</v>
      </c>
      <c r="F2223" s="3">
        <v>43812</v>
      </c>
      <c r="G2223">
        <v>202006</v>
      </c>
      <c r="H2223" t="s">
        <v>75</v>
      </c>
      <c r="I2223" t="s">
        <v>76</v>
      </c>
      <c r="J2223" t="s">
        <v>100</v>
      </c>
      <c r="K2223" t="s">
        <v>78</v>
      </c>
      <c r="L2223" t="s">
        <v>667</v>
      </c>
      <c r="M2223" t="s">
        <v>668</v>
      </c>
      <c r="N2223" t="s">
        <v>2269</v>
      </c>
      <c r="O2223" t="s">
        <v>104</v>
      </c>
      <c r="P2223" t="str">
        <f>"2170719806                    "</f>
        <v xml:space="preserve">2170719806                    </v>
      </c>
      <c r="Q2223">
        <v>0</v>
      </c>
      <c r="R2223">
        <v>0</v>
      </c>
      <c r="S2223">
        <v>0</v>
      </c>
      <c r="T2223">
        <v>0</v>
      </c>
      <c r="U2223">
        <v>0</v>
      </c>
      <c r="V2223">
        <v>0</v>
      </c>
      <c r="W2223">
        <v>0</v>
      </c>
      <c r="X2223">
        <v>0</v>
      </c>
      <c r="Y2223">
        <v>0</v>
      </c>
      <c r="Z2223">
        <v>0</v>
      </c>
      <c r="AA2223">
        <v>0</v>
      </c>
      <c r="AB2223">
        <v>0</v>
      </c>
      <c r="AC2223">
        <v>0</v>
      </c>
      <c r="AD2223">
        <v>0</v>
      </c>
      <c r="AE2223">
        <v>0</v>
      </c>
      <c r="AF2223">
        <v>0</v>
      </c>
      <c r="AG2223">
        <v>0</v>
      </c>
      <c r="AH2223">
        <v>0</v>
      </c>
      <c r="AI2223">
        <v>0</v>
      </c>
      <c r="AJ2223">
        <v>0</v>
      </c>
      <c r="AK2223">
        <v>0</v>
      </c>
      <c r="AL2223">
        <v>0</v>
      </c>
      <c r="AM2223">
        <v>14.9</v>
      </c>
      <c r="AN2223">
        <v>0</v>
      </c>
      <c r="AO2223">
        <v>0</v>
      </c>
      <c r="AP2223">
        <v>0</v>
      </c>
      <c r="AQ2223">
        <v>0</v>
      </c>
      <c r="AR2223">
        <v>0</v>
      </c>
      <c r="AS2223">
        <v>0</v>
      </c>
      <c r="AT2223">
        <v>0</v>
      </c>
      <c r="AU2223">
        <v>0</v>
      </c>
      <c r="AV2223">
        <v>0</v>
      </c>
      <c r="AW2223">
        <v>0</v>
      </c>
      <c r="AX2223">
        <v>0</v>
      </c>
      <c r="AY2223">
        <v>0</v>
      </c>
      <c r="AZ2223">
        <v>0</v>
      </c>
      <c r="BA2223">
        <v>0</v>
      </c>
      <c r="BB2223">
        <v>0</v>
      </c>
      <c r="BC2223">
        <v>0</v>
      </c>
      <c r="BD2223">
        <v>0</v>
      </c>
      <c r="BE2223">
        <v>0</v>
      </c>
      <c r="BF2223">
        <v>0</v>
      </c>
      <c r="BG2223">
        <v>0</v>
      </c>
      <c r="BH2223">
        <v>1</v>
      </c>
      <c r="BI2223">
        <v>22</v>
      </c>
      <c r="BJ2223">
        <v>18.3</v>
      </c>
      <c r="BK2223">
        <v>22</v>
      </c>
      <c r="BL2223" s="4">
        <v>92.57</v>
      </c>
      <c r="BM2223" s="4">
        <v>13.89</v>
      </c>
      <c r="BN2223" s="4">
        <v>106.46</v>
      </c>
      <c r="BO2223" s="4">
        <v>106.46</v>
      </c>
      <c r="BQ2223" t="s">
        <v>93</v>
      </c>
      <c r="BR2223" t="s">
        <v>105</v>
      </c>
      <c r="BS2223" s="3">
        <v>43823</v>
      </c>
      <c r="BT2223" s="5">
        <v>0.69444444444444453</v>
      </c>
      <c r="BU2223" t="s">
        <v>2453</v>
      </c>
      <c r="BV2223" t="s">
        <v>89</v>
      </c>
      <c r="BY2223">
        <v>91264</v>
      </c>
      <c r="CC2223" t="s">
        <v>668</v>
      </c>
      <c r="CD2223">
        <v>1760</v>
      </c>
      <c r="CE2223" t="s">
        <v>96</v>
      </c>
      <c r="CF2223" s="3">
        <v>43819</v>
      </c>
      <c r="CI2223">
        <v>1</v>
      </c>
      <c r="CJ2223">
        <v>7</v>
      </c>
      <c r="CK2223" t="s">
        <v>123</v>
      </c>
      <c r="CL2223" t="s">
        <v>89</v>
      </c>
    </row>
    <row r="2224" spans="1:90">
      <c r="A2224" t="s">
        <v>72</v>
      </c>
      <c r="B2224" t="s">
        <v>73</v>
      </c>
      <c r="C2224" t="s">
        <v>74</v>
      </c>
      <c r="E2224" t="str">
        <f>"FES1162728381"</f>
        <v>FES1162728381</v>
      </c>
      <c r="F2224" s="3">
        <v>43816</v>
      </c>
      <c r="G2224">
        <v>202006</v>
      </c>
      <c r="H2224" t="s">
        <v>75</v>
      </c>
      <c r="I2224" t="s">
        <v>76</v>
      </c>
      <c r="J2224" t="s">
        <v>100</v>
      </c>
      <c r="K2224" t="s">
        <v>78</v>
      </c>
      <c r="L2224" t="s">
        <v>164</v>
      </c>
      <c r="M2224" t="s">
        <v>165</v>
      </c>
      <c r="N2224" t="s">
        <v>369</v>
      </c>
      <c r="O2224" t="s">
        <v>104</v>
      </c>
      <c r="P2224" t="str">
        <f>"2170716417                    "</f>
        <v xml:space="preserve">2170716417                    </v>
      </c>
      <c r="Q2224">
        <v>0</v>
      </c>
      <c r="R2224">
        <v>0</v>
      </c>
      <c r="S2224">
        <v>0</v>
      </c>
      <c r="T2224">
        <v>0</v>
      </c>
      <c r="U2224">
        <v>0</v>
      </c>
      <c r="V2224">
        <v>0</v>
      </c>
      <c r="W2224">
        <v>0</v>
      </c>
      <c r="X2224">
        <v>0</v>
      </c>
      <c r="Y2224">
        <v>0</v>
      </c>
      <c r="Z2224">
        <v>0</v>
      </c>
      <c r="AA2224">
        <v>0</v>
      </c>
      <c r="AB2224">
        <v>0</v>
      </c>
      <c r="AC2224">
        <v>0</v>
      </c>
      <c r="AD2224">
        <v>0</v>
      </c>
      <c r="AE2224">
        <v>0</v>
      </c>
      <c r="AF2224">
        <v>0</v>
      </c>
      <c r="AG2224">
        <v>0</v>
      </c>
      <c r="AH2224">
        <v>0</v>
      </c>
      <c r="AI2224">
        <v>0</v>
      </c>
      <c r="AJ2224">
        <v>0</v>
      </c>
      <c r="AK2224">
        <v>0</v>
      </c>
      <c r="AL2224">
        <v>0</v>
      </c>
      <c r="AM2224">
        <v>22.08</v>
      </c>
      <c r="AN2224">
        <v>0</v>
      </c>
      <c r="AO2224">
        <v>0</v>
      </c>
      <c r="AP2224">
        <v>0</v>
      </c>
      <c r="AQ2224">
        <v>0</v>
      </c>
      <c r="AR2224">
        <v>0</v>
      </c>
      <c r="AS2224">
        <v>0</v>
      </c>
      <c r="AT2224">
        <v>0</v>
      </c>
      <c r="AU2224">
        <v>0</v>
      </c>
      <c r="AV2224">
        <v>0</v>
      </c>
      <c r="AW2224">
        <v>0</v>
      </c>
      <c r="AX2224">
        <v>0</v>
      </c>
      <c r="AY2224">
        <v>0</v>
      </c>
      <c r="AZ2224">
        <v>0</v>
      </c>
      <c r="BA2224">
        <v>0</v>
      </c>
      <c r="BB2224">
        <v>0</v>
      </c>
      <c r="BC2224">
        <v>0</v>
      </c>
      <c r="BD2224">
        <v>0</v>
      </c>
      <c r="BE2224">
        <v>0</v>
      </c>
      <c r="BF2224">
        <v>0</v>
      </c>
      <c r="BG2224">
        <v>0</v>
      </c>
      <c r="BH2224">
        <v>1</v>
      </c>
      <c r="BI2224">
        <v>8.8000000000000007</v>
      </c>
      <c r="BJ2224">
        <v>20.3</v>
      </c>
      <c r="BK2224">
        <v>21</v>
      </c>
      <c r="BL2224" s="4">
        <v>134.81</v>
      </c>
      <c r="BM2224" s="4">
        <v>20.22</v>
      </c>
      <c r="BN2224" s="4">
        <v>155.03</v>
      </c>
      <c r="BO2224" s="4">
        <v>155.03</v>
      </c>
      <c r="BQ2224" t="s">
        <v>93</v>
      </c>
      <c r="BR2224" t="s">
        <v>105</v>
      </c>
      <c r="BS2224" s="3">
        <v>43817</v>
      </c>
      <c r="BT2224" s="5">
        <v>0.37708333333333338</v>
      </c>
      <c r="BU2224" t="s">
        <v>1916</v>
      </c>
      <c r="BV2224" t="s">
        <v>86</v>
      </c>
      <c r="BY2224">
        <v>101276.74</v>
      </c>
      <c r="CA2224" t="s">
        <v>1361</v>
      </c>
      <c r="CC2224" t="s">
        <v>165</v>
      </c>
      <c r="CD2224">
        <v>5201</v>
      </c>
      <c r="CE2224" t="s">
        <v>96</v>
      </c>
      <c r="CF2224" s="3">
        <v>43819</v>
      </c>
      <c r="CI2224">
        <v>2</v>
      </c>
      <c r="CJ2224">
        <v>1</v>
      </c>
      <c r="CK2224" t="s">
        <v>1070</v>
      </c>
      <c r="CL2224" t="s">
        <v>89</v>
      </c>
    </row>
    <row r="2225" spans="1:90">
      <c r="A2225" t="s">
        <v>72</v>
      </c>
      <c r="B2225" t="s">
        <v>73</v>
      </c>
      <c r="C2225" t="s">
        <v>74</v>
      </c>
      <c r="E2225" t="str">
        <f>"FES1162729344"</f>
        <v>FES1162729344</v>
      </c>
      <c r="F2225" s="3">
        <v>43819</v>
      </c>
      <c r="G2225">
        <v>202006</v>
      </c>
      <c r="H2225" t="s">
        <v>75</v>
      </c>
      <c r="I2225" t="s">
        <v>76</v>
      </c>
      <c r="J2225" t="s">
        <v>77</v>
      </c>
      <c r="K2225" t="s">
        <v>78</v>
      </c>
      <c r="L2225" t="s">
        <v>577</v>
      </c>
      <c r="M2225" t="s">
        <v>578</v>
      </c>
      <c r="N2225" t="s">
        <v>579</v>
      </c>
      <c r="O2225" t="s">
        <v>82</v>
      </c>
      <c r="P2225" t="str">
        <f>"2170722331                    "</f>
        <v xml:space="preserve">2170722331                    </v>
      </c>
      <c r="Q2225">
        <v>0</v>
      </c>
      <c r="R2225">
        <v>0</v>
      </c>
      <c r="S2225">
        <v>0</v>
      </c>
      <c r="T2225">
        <v>0</v>
      </c>
      <c r="U2225">
        <v>0</v>
      </c>
      <c r="V2225">
        <v>0</v>
      </c>
      <c r="W2225">
        <v>0</v>
      </c>
      <c r="X2225">
        <v>0</v>
      </c>
      <c r="Y2225">
        <v>0</v>
      </c>
      <c r="Z2225">
        <v>0</v>
      </c>
      <c r="AA2225">
        <v>0</v>
      </c>
      <c r="AB2225">
        <v>0</v>
      </c>
      <c r="AC2225">
        <v>0</v>
      </c>
      <c r="AD2225">
        <v>0</v>
      </c>
      <c r="AE2225">
        <v>0</v>
      </c>
      <c r="AF2225">
        <v>0</v>
      </c>
      <c r="AG2225">
        <v>0</v>
      </c>
      <c r="AH2225">
        <v>0</v>
      </c>
      <c r="AI2225">
        <v>0</v>
      </c>
      <c r="AJ2225">
        <v>0</v>
      </c>
      <c r="AK2225">
        <v>0</v>
      </c>
      <c r="AL2225">
        <v>0</v>
      </c>
      <c r="AM2225">
        <v>8.58</v>
      </c>
      <c r="AN2225">
        <v>0</v>
      </c>
      <c r="AO2225">
        <v>0</v>
      </c>
      <c r="AP2225">
        <v>0</v>
      </c>
      <c r="AQ2225">
        <v>0</v>
      </c>
      <c r="AR2225">
        <v>0</v>
      </c>
      <c r="AS2225">
        <v>0</v>
      </c>
      <c r="AT2225">
        <v>0</v>
      </c>
      <c r="AU2225">
        <v>0</v>
      </c>
      <c r="AV2225">
        <v>0</v>
      </c>
      <c r="AW2225">
        <v>0</v>
      </c>
      <c r="AX2225">
        <v>0</v>
      </c>
      <c r="AY2225">
        <v>0</v>
      </c>
      <c r="AZ2225">
        <v>0</v>
      </c>
      <c r="BA2225">
        <v>0</v>
      </c>
      <c r="BB2225">
        <v>0</v>
      </c>
      <c r="BC2225">
        <v>0</v>
      </c>
      <c r="BD2225">
        <v>0</v>
      </c>
      <c r="BE2225">
        <v>0</v>
      </c>
      <c r="BF2225">
        <v>0</v>
      </c>
      <c r="BG2225">
        <v>0</v>
      </c>
      <c r="BH2225">
        <v>1</v>
      </c>
      <c r="BI2225">
        <v>1</v>
      </c>
      <c r="BJ2225">
        <v>0.2</v>
      </c>
      <c r="BK2225">
        <v>1</v>
      </c>
      <c r="BL2225" s="4">
        <v>50.45</v>
      </c>
      <c r="BM2225" s="4">
        <v>7.57</v>
      </c>
      <c r="BN2225" s="4">
        <v>58.02</v>
      </c>
      <c r="BO2225" s="4">
        <v>58.02</v>
      </c>
      <c r="BQ2225" t="s">
        <v>147</v>
      </c>
      <c r="BR2225" t="s">
        <v>84</v>
      </c>
      <c r="BS2225" s="3">
        <v>43822</v>
      </c>
      <c r="BT2225" s="5">
        <v>0.42569444444444443</v>
      </c>
      <c r="BU2225" t="s">
        <v>466</v>
      </c>
      <c r="BV2225" t="s">
        <v>86</v>
      </c>
      <c r="BY2225">
        <v>1200</v>
      </c>
      <c r="CC2225" t="s">
        <v>578</v>
      </c>
      <c r="CD2225">
        <v>6536</v>
      </c>
      <c r="CE2225" t="s">
        <v>88</v>
      </c>
      <c r="CF2225" s="3">
        <v>43829</v>
      </c>
      <c r="CI2225">
        <v>1</v>
      </c>
      <c r="CJ2225">
        <v>1</v>
      </c>
      <c r="CK2225">
        <v>21</v>
      </c>
      <c r="CL2225" t="s">
        <v>89</v>
      </c>
    </row>
    <row r="2226" spans="1:90">
      <c r="A2226" t="s">
        <v>72</v>
      </c>
      <c r="B2226" t="s">
        <v>73</v>
      </c>
      <c r="C2226" t="s">
        <v>74</v>
      </c>
      <c r="E2226" t="str">
        <f>"FES1162728486"</f>
        <v>FES1162728486</v>
      </c>
      <c r="F2226" s="3">
        <v>43816</v>
      </c>
      <c r="G2226">
        <v>202006</v>
      </c>
      <c r="H2226" t="s">
        <v>75</v>
      </c>
      <c r="I2226" t="s">
        <v>76</v>
      </c>
      <c r="J2226" t="s">
        <v>100</v>
      </c>
      <c r="K2226" t="s">
        <v>78</v>
      </c>
      <c r="L2226" t="s">
        <v>169</v>
      </c>
      <c r="M2226" t="s">
        <v>170</v>
      </c>
      <c r="N2226" t="s">
        <v>2454</v>
      </c>
      <c r="O2226" t="s">
        <v>104</v>
      </c>
      <c r="P2226" t="str">
        <f>"21707420005                   "</f>
        <v xml:space="preserve">21707420005                   </v>
      </c>
      <c r="Q2226">
        <v>0</v>
      </c>
      <c r="R2226">
        <v>0</v>
      </c>
      <c r="S2226">
        <v>0</v>
      </c>
      <c r="T2226">
        <v>0</v>
      </c>
      <c r="U2226">
        <v>0</v>
      </c>
      <c r="V2226">
        <v>0</v>
      </c>
      <c r="W2226">
        <v>0</v>
      </c>
      <c r="X2226">
        <v>0</v>
      </c>
      <c r="Y2226">
        <v>0</v>
      </c>
      <c r="Z2226">
        <v>0</v>
      </c>
      <c r="AA2226">
        <v>0</v>
      </c>
      <c r="AB2226">
        <v>0</v>
      </c>
      <c r="AC2226">
        <v>0</v>
      </c>
      <c r="AD2226">
        <v>0</v>
      </c>
      <c r="AE2226">
        <v>0</v>
      </c>
      <c r="AF2226">
        <v>0</v>
      </c>
      <c r="AG2226">
        <v>0</v>
      </c>
      <c r="AH2226">
        <v>0</v>
      </c>
      <c r="AI2226">
        <v>0</v>
      </c>
      <c r="AJ2226">
        <v>0</v>
      </c>
      <c r="AK2226">
        <v>0</v>
      </c>
      <c r="AL2226">
        <v>0</v>
      </c>
      <c r="AM2226">
        <v>14.49</v>
      </c>
      <c r="AN2226">
        <v>0</v>
      </c>
      <c r="AO2226">
        <v>0</v>
      </c>
      <c r="AP2226">
        <v>0</v>
      </c>
      <c r="AQ2226">
        <v>0</v>
      </c>
      <c r="AR2226">
        <v>0</v>
      </c>
      <c r="AS2226">
        <v>0</v>
      </c>
      <c r="AT2226">
        <v>0</v>
      </c>
      <c r="AU2226">
        <v>0</v>
      </c>
      <c r="AV2226">
        <v>0</v>
      </c>
      <c r="AW2226">
        <v>0</v>
      </c>
      <c r="AX2226">
        <v>0</v>
      </c>
      <c r="AY2226">
        <v>0</v>
      </c>
      <c r="AZ2226">
        <v>0</v>
      </c>
      <c r="BA2226">
        <v>0</v>
      </c>
      <c r="BB2226">
        <v>0</v>
      </c>
      <c r="BC2226">
        <v>0</v>
      </c>
      <c r="BD2226">
        <v>0</v>
      </c>
      <c r="BE2226">
        <v>0</v>
      </c>
      <c r="BF2226">
        <v>0</v>
      </c>
      <c r="BG2226">
        <v>0</v>
      </c>
      <c r="BH2226">
        <v>1</v>
      </c>
      <c r="BI2226">
        <v>20.8</v>
      </c>
      <c r="BJ2226">
        <v>6.6</v>
      </c>
      <c r="BK2226">
        <v>21</v>
      </c>
      <c r="BL2226" s="4">
        <v>90.19</v>
      </c>
      <c r="BM2226" s="4">
        <v>13.53</v>
      </c>
      <c r="BN2226" s="4">
        <v>103.72</v>
      </c>
      <c r="BO2226" s="4">
        <v>103.72</v>
      </c>
      <c r="BQ2226" t="s">
        <v>93</v>
      </c>
      <c r="BR2226" t="s">
        <v>105</v>
      </c>
      <c r="BS2226" s="3">
        <v>43818</v>
      </c>
      <c r="BT2226" s="5">
        <v>0.65</v>
      </c>
      <c r="BU2226" t="s">
        <v>2455</v>
      </c>
      <c r="BV2226" t="s">
        <v>89</v>
      </c>
      <c r="BY2226">
        <v>32961.550000000003</v>
      </c>
      <c r="CA2226" t="s">
        <v>1357</v>
      </c>
      <c r="CC2226" t="s">
        <v>170</v>
      </c>
      <c r="CD2226">
        <v>1459</v>
      </c>
      <c r="CE2226" t="s">
        <v>116</v>
      </c>
      <c r="CF2226" s="3">
        <v>43819</v>
      </c>
      <c r="CI2226">
        <v>1</v>
      </c>
      <c r="CJ2226">
        <v>2</v>
      </c>
      <c r="CK2226" t="s">
        <v>123</v>
      </c>
      <c r="CL2226" t="s">
        <v>89</v>
      </c>
    </row>
    <row r="2227" spans="1:90">
      <c r="A2227" t="s">
        <v>72</v>
      </c>
      <c r="B2227" t="s">
        <v>73</v>
      </c>
      <c r="C2227" t="s">
        <v>74</v>
      </c>
      <c r="E2227" t="str">
        <f>"FES1162729303"</f>
        <v>FES1162729303</v>
      </c>
      <c r="F2227" s="3">
        <v>43819</v>
      </c>
      <c r="G2227">
        <v>202006</v>
      </c>
      <c r="H2227" t="s">
        <v>75</v>
      </c>
      <c r="I2227" t="s">
        <v>76</v>
      </c>
      <c r="J2227" t="s">
        <v>77</v>
      </c>
      <c r="K2227" t="s">
        <v>78</v>
      </c>
      <c r="L2227" t="s">
        <v>213</v>
      </c>
      <c r="M2227" t="s">
        <v>214</v>
      </c>
      <c r="N2227" t="s">
        <v>598</v>
      </c>
      <c r="O2227" t="s">
        <v>104</v>
      </c>
      <c r="P2227" t="str">
        <f>"2170721638                    "</f>
        <v xml:space="preserve">2170721638                    </v>
      </c>
      <c r="Q2227">
        <v>0</v>
      </c>
      <c r="R2227">
        <v>0</v>
      </c>
      <c r="S2227">
        <v>0</v>
      </c>
      <c r="T2227">
        <v>0</v>
      </c>
      <c r="U2227">
        <v>0</v>
      </c>
      <c r="V2227">
        <v>0</v>
      </c>
      <c r="W2227">
        <v>0</v>
      </c>
      <c r="X2227">
        <v>0</v>
      </c>
      <c r="Y2227">
        <v>0</v>
      </c>
      <c r="Z2227">
        <v>0</v>
      </c>
      <c r="AA2227">
        <v>0</v>
      </c>
      <c r="AB2227">
        <v>0</v>
      </c>
      <c r="AC2227">
        <v>0</v>
      </c>
      <c r="AD2227">
        <v>0</v>
      </c>
      <c r="AE2227">
        <v>0</v>
      </c>
      <c r="AF2227">
        <v>0</v>
      </c>
      <c r="AG2227">
        <v>0</v>
      </c>
      <c r="AH2227">
        <v>0</v>
      </c>
      <c r="AI2227">
        <v>0</v>
      </c>
      <c r="AJ2227">
        <v>0</v>
      </c>
      <c r="AK2227">
        <v>0</v>
      </c>
      <c r="AL2227">
        <v>0</v>
      </c>
      <c r="AM2227">
        <v>29.61</v>
      </c>
      <c r="AN2227">
        <v>0</v>
      </c>
      <c r="AO2227">
        <v>0</v>
      </c>
      <c r="AP2227">
        <v>0</v>
      </c>
      <c r="AQ2227">
        <v>0</v>
      </c>
      <c r="AR2227">
        <v>0</v>
      </c>
      <c r="AS2227">
        <v>0</v>
      </c>
      <c r="AT2227">
        <v>0</v>
      </c>
      <c r="AU2227">
        <v>0</v>
      </c>
      <c r="AV2227">
        <v>0</v>
      </c>
      <c r="AW2227">
        <v>0</v>
      </c>
      <c r="AX2227">
        <v>0</v>
      </c>
      <c r="AY2227">
        <v>0</v>
      </c>
      <c r="AZ2227">
        <v>0</v>
      </c>
      <c r="BA2227">
        <v>0</v>
      </c>
      <c r="BB2227">
        <v>0</v>
      </c>
      <c r="BC2227">
        <v>0</v>
      </c>
      <c r="BD2227">
        <v>0</v>
      </c>
      <c r="BE2227">
        <v>0</v>
      </c>
      <c r="BF2227">
        <v>0</v>
      </c>
      <c r="BG2227">
        <v>0</v>
      </c>
      <c r="BH2227">
        <v>3</v>
      </c>
      <c r="BI2227">
        <v>30.8</v>
      </c>
      <c r="BJ2227">
        <v>11.5</v>
      </c>
      <c r="BK2227">
        <v>31</v>
      </c>
      <c r="BL2227" s="4">
        <v>179.04</v>
      </c>
      <c r="BM2227" s="4">
        <v>26.86</v>
      </c>
      <c r="BN2227" s="4">
        <v>205.9</v>
      </c>
      <c r="BO2227" s="4">
        <v>205.9</v>
      </c>
      <c r="BQ2227" t="s">
        <v>147</v>
      </c>
      <c r="BR2227" t="s">
        <v>84</v>
      </c>
      <c r="BS2227" s="3">
        <v>43822</v>
      </c>
      <c r="BT2227" s="5">
        <v>0.57986111111111105</v>
      </c>
      <c r="BU2227" t="s">
        <v>2456</v>
      </c>
      <c r="BV2227" t="s">
        <v>86</v>
      </c>
      <c r="BY2227">
        <v>57688.52</v>
      </c>
      <c r="CC2227" t="s">
        <v>214</v>
      </c>
      <c r="CD2227">
        <v>6229</v>
      </c>
      <c r="CE2227" t="s">
        <v>2099</v>
      </c>
      <c r="CF2227" s="3">
        <v>43823</v>
      </c>
      <c r="CI2227">
        <v>2</v>
      </c>
      <c r="CJ2227">
        <v>1</v>
      </c>
      <c r="CK2227" t="s">
        <v>113</v>
      </c>
      <c r="CL2227" t="s">
        <v>89</v>
      </c>
    </row>
    <row r="2228" spans="1:90">
      <c r="A2228" t="s">
        <v>72</v>
      </c>
      <c r="B2228" t="s">
        <v>73</v>
      </c>
      <c r="C2228" t="s">
        <v>74</v>
      </c>
      <c r="E2228" t="str">
        <f>"RFES1162728422"</f>
        <v>RFES1162728422</v>
      </c>
      <c r="F2228" s="3">
        <v>43819</v>
      </c>
      <c r="G2228">
        <v>202006</v>
      </c>
      <c r="H2228" t="s">
        <v>332</v>
      </c>
      <c r="I2228" t="s">
        <v>333</v>
      </c>
      <c r="J2228" t="s">
        <v>1756</v>
      </c>
      <c r="K2228" t="s">
        <v>78</v>
      </c>
      <c r="L2228" t="s">
        <v>75</v>
      </c>
      <c r="M2228" t="s">
        <v>76</v>
      </c>
      <c r="N2228" t="s">
        <v>77</v>
      </c>
      <c r="O2228" t="s">
        <v>82</v>
      </c>
      <c r="P2228" t="str">
        <f>"2170718941                    "</f>
        <v xml:space="preserve">2170718941                    </v>
      </c>
      <c r="Q2228">
        <v>0</v>
      </c>
      <c r="R2228">
        <v>0</v>
      </c>
      <c r="S2228">
        <v>0</v>
      </c>
      <c r="T2228">
        <v>0</v>
      </c>
      <c r="U2228">
        <v>0</v>
      </c>
      <c r="V2228">
        <v>0</v>
      </c>
      <c r="W2228">
        <v>0</v>
      </c>
      <c r="X2228">
        <v>0</v>
      </c>
      <c r="Y2228">
        <v>0</v>
      </c>
      <c r="Z2228">
        <v>0</v>
      </c>
      <c r="AA2228">
        <v>0</v>
      </c>
      <c r="AB2228">
        <v>0</v>
      </c>
      <c r="AC2228">
        <v>0</v>
      </c>
      <c r="AD2228">
        <v>0</v>
      </c>
      <c r="AE2228">
        <v>0</v>
      </c>
      <c r="AF2228">
        <v>0</v>
      </c>
      <c r="AG2228">
        <v>0</v>
      </c>
      <c r="AH2228">
        <v>0</v>
      </c>
      <c r="AI2228">
        <v>0</v>
      </c>
      <c r="AJ2228">
        <v>0</v>
      </c>
      <c r="AK2228">
        <v>0</v>
      </c>
      <c r="AL2228">
        <v>0</v>
      </c>
      <c r="AM2228">
        <v>6.71</v>
      </c>
      <c r="AN2228">
        <v>0</v>
      </c>
      <c r="AO2228">
        <v>0</v>
      </c>
      <c r="AP2228">
        <v>0</v>
      </c>
      <c r="AQ2228">
        <v>0</v>
      </c>
      <c r="AR2228">
        <v>0</v>
      </c>
      <c r="AS2228">
        <v>0</v>
      </c>
      <c r="AT2228">
        <v>0</v>
      </c>
      <c r="AU2228">
        <v>0</v>
      </c>
      <c r="AV2228">
        <v>0</v>
      </c>
      <c r="AW2228">
        <v>0</v>
      </c>
      <c r="AX2228">
        <v>0</v>
      </c>
      <c r="AY2228">
        <v>0</v>
      </c>
      <c r="AZ2228">
        <v>0</v>
      </c>
      <c r="BA2228">
        <v>0</v>
      </c>
      <c r="BB2228">
        <v>0</v>
      </c>
      <c r="BC2228">
        <v>0</v>
      </c>
      <c r="BD2228">
        <v>0</v>
      </c>
      <c r="BE2228">
        <v>0</v>
      </c>
      <c r="BF2228">
        <v>0</v>
      </c>
      <c r="BG2228">
        <v>0</v>
      </c>
      <c r="BH2228">
        <v>1</v>
      </c>
      <c r="BI2228">
        <v>2</v>
      </c>
      <c r="BJ2228">
        <v>0.9</v>
      </c>
      <c r="BK2228">
        <v>2</v>
      </c>
      <c r="BL2228" s="4">
        <v>39.42</v>
      </c>
      <c r="BM2228" s="4">
        <v>5.91</v>
      </c>
      <c r="BN2228" s="4">
        <v>45.33</v>
      </c>
      <c r="BO2228" s="4">
        <v>45.33</v>
      </c>
      <c r="BQ2228" t="s">
        <v>84</v>
      </c>
      <c r="BR2228" t="s">
        <v>135</v>
      </c>
      <c r="BS2228" s="3">
        <v>43822</v>
      </c>
      <c r="BT2228" s="5">
        <v>0.38055555555555554</v>
      </c>
      <c r="BU2228" t="s">
        <v>154</v>
      </c>
      <c r="BV2228" t="s">
        <v>86</v>
      </c>
      <c r="BY2228">
        <v>4730.1499999999996</v>
      </c>
      <c r="CA2228" t="s">
        <v>155</v>
      </c>
      <c r="CC2228" t="s">
        <v>76</v>
      </c>
      <c r="CD2228">
        <v>1601</v>
      </c>
      <c r="CE2228" t="s">
        <v>96</v>
      </c>
      <c r="CF2228" s="3">
        <v>43823</v>
      </c>
      <c r="CI2228">
        <v>1</v>
      </c>
      <c r="CJ2228">
        <v>1</v>
      </c>
      <c r="CK2228">
        <v>22</v>
      </c>
      <c r="CL2228" t="s">
        <v>89</v>
      </c>
    </row>
    <row r="2229" spans="1:90">
      <c r="A2229" t="s">
        <v>72</v>
      </c>
      <c r="B2229" t="s">
        <v>73</v>
      </c>
      <c r="C2229" t="s">
        <v>74</v>
      </c>
      <c r="E2229" t="str">
        <f>"RFES1162728797"</f>
        <v>RFES1162728797</v>
      </c>
      <c r="F2229" s="3">
        <v>43819</v>
      </c>
      <c r="G2229">
        <v>202006</v>
      </c>
      <c r="H2229" t="s">
        <v>75</v>
      </c>
      <c r="I2229" t="s">
        <v>76</v>
      </c>
      <c r="J2229" t="s">
        <v>2004</v>
      </c>
      <c r="K2229" t="s">
        <v>78</v>
      </c>
      <c r="L2229" t="s">
        <v>75</v>
      </c>
      <c r="M2229" t="s">
        <v>76</v>
      </c>
      <c r="N2229" t="s">
        <v>77</v>
      </c>
      <c r="O2229" t="s">
        <v>82</v>
      </c>
      <c r="P2229" t="str">
        <f>"2170717717                    "</f>
        <v xml:space="preserve">2170717717                    </v>
      </c>
      <c r="Q2229">
        <v>0</v>
      </c>
      <c r="R2229">
        <v>0</v>
      </c>
      <c r="S2229">
        <v>0</v>
      </c>
      <c r="T2229">
        <v>0</v>
      </c>
      <c r="U2229">
        <v>0</v>
      </c>
      <c r="V2229">
        <v>0</v>
      </c>
      <c r="W2229">
        <v>0</v>
      </c>
      <c r="X2229">
        <v>0</v>
      </c>
      <c r="Y2229">
        <v>0</v>
      </c>
      <c r="Z2229">
        <v>0</v>
      </c>
      <c r="AA2229">
        <v>0</v>
      </c>
      <c r="AB2229">
        <v>0</v>
      </c>
      <c r="AC2229">
        <v>0</v>
      </c>
      <c r="AD2229">
        <v>0</v>
      </c>
      <c r="AE2229">
        <v>0</v>
      </c>
      <c r="AF2229">
        <v>0</v>
      </c>
      <c r="AG2229">
        <v>0</v>
      </c>
      <c r="AH2229">
        <v>0</v>
      </c>
      <c r="AI2229">
        <v>0</v>
      </c>
      <c r="AJ2229">
        <v>0</v>
      </c>
      <c r="AK2229">
        <v>0</v>
      </c>
      <c r="AL2229">
        <v>0</v>
      </c>
      <c r="AM2229">
        <v>6.71</v>
      </c>
      <c r="AN2229">
        <v>0</v>
      </c>
      <c r="AO2229">
        <v>0</v>
      </c>
      <c r="AP2229">
        <v>0</v>
      </c>
      <c r="AQ2229">
        <v>0</v>
      </c>
      <c r="AR2229">
        <v>0</v>
      </c>
      <c r="AS2229">
        <v>0</v>
      </c>
      <c r="AT2229">
        <v>0</v>
      </c>
      <c r="AU2229">
        <v>0</v>
      </c>
      <c r="AV2229">
        <v>0</v>
      </c>
      <c r="AW2229">
        <v>0</v>
      </c>
      <c r="AX2229">
        <v>0</v>
      </c>
      <c r="AY2229">
        <v>0</v>
      </c>
      <c r="AZ2229">
        <v>0</v>
      </c>
      <c r="BA2229">
        <v>0</v>
      </c>
      <c r="BB2229">
        <v>0</v>
      </c>
      <c r="BC2229">
        <v>0</v>
      </c>
      <c r="BD2229">
        <v>0</v>
      </c>
      <c r="BE2229">
        <v>0</v>
      </c>
      <c r="BF2229">
        <v>0</v>
      </c>
      <c r="BG2229">
        <v>0</v>
      </c>
      <c r="BH2229">
        <v>1</v>
      </c>
      <c r="BI2229">
        <v>1</v>
      </c>
      <c r="BJ2229">
        <v>0.2</v>
      </c>
      <c r="BK2229">
        <v>1</v>
      </c>
      <c r="BL2229" s="4">
        <v>39.42</v>
      </c>
      <c r="BM2229" s="4">
        <v>5.91</v>
      </c>
      <c r="BN2229" s="4">
        <v>45.33</v>
      </c>
      <c r="BO2229" s="4">
        <v>45.33</v>
      </c>
      <c r="BQ2229" t="s">
        <v>84</v>
      </c>
      <c r="BR2229" t="s">
        <v>93</v>
      </c>
      <c r="BS2229" s="3">
        <v>43822</v>
      </c>
      <c r="BT2229" s="5">
        <v>0.39097222222222222</v>
      </c>
      <c r="BU2229" t="s">
        <v>159</v>
      </c>
      <c r="BV2229" t="s">
        <v>86</v>
      </c>
      <c r="BY2229">
        <v>1200</v>
      </c>
      <c r="CC2229" t="s">
        <v>76</v>
      </c>
      <c r="CD2229">
        <v>1601</v>
      </c>
      <c r="CE2229" t="s">
        <v>88</v>
      </c>
      <c r="CF2229" s="3">
        <v>43823</v>
      </c>
      <c r="CI2229">
        <v>1</v>
      </c>
      <c r="CJ2229">
        <v>1</v>
      </c>
      <c r="CK2229">
        <v>22</v>
      </c>
      <c r="CL2229" t="s">
        <v>89</v>
      </c>
    </row>
    <row r="2230" spans="1:90">
      <c r="A2230" t="s">
        <v>72</v>
      </c>
      <c r="B2230" t="s">
        <v>73</v>
      </c>
      <c r="C2230" t="s">
        <v>74</v>
      </c>
      <c r="E2230" t="str">
        <f>"FES1162727765"</f>
        <v>FES1162727765</v>
      </c>
      <c r="F2230" s="3">
        <v>43810</v>
      </c>
      <c r="G2230">
        <v>202006</v>
      </c>
      <c r="H2230" t="s">
        <v>75</v>
      </c>
      <c r="I2230" t="s">
        <v>76</v>
      </c>
      <c r="J2230" t="s">
        <v>77</v>
      </c>
      <c r="K2230" t="s">
        <v>78</v>
      </c>
      <c r="L2230" t="s">
        <v>332</v>
      </c>
      <c r="M2230" t="s">
        <v>333</v>
      </c>
      <c r="N2230" t="s">
        <v>701</v>
      </c>
      <c r="O2230" t="s">
        <v>82</v>
      </c>
      <c r="P2230" t="str">
        <f>"2170715250                    "</f>
        <v xml:space="preserve">2170715250                    </v>
      </c>
      <c r="Q2230">
        <v>0</v>
      </c>
      <c r="R2230">
        <v>0</v>
      </c>
      <c r="S2230">
        <v>0</v>
      </c>
      <c r="T2230">
        <v>0</v>
      </c>
      <c r="U2230">
        <v>0</v>
      </c>
      <c r="V2230">
        <v>0</v>
      </c>
      <c r="W2230">
        <v>0</v>
      </c>
      <c r="X2230">
        <v>0</v>
      </c>
      <c r="Y2230">
        <v>0</v>
      </c>
      <c r="Z2230">
        <v>0</v>
      </c>
      <c r="AA2230">
        <v>0</v>
      </c>
      <c r="AB2230">
        <v>0</v>
      </c>
      <c r="AC2230">
        <v>0</v>
      </c>
      <c r="AD2230">
        <v>0</v>
      </c>
      <c r="AE2230">
        <v>0</v>
      </c>
      <c r="AF2230">
        <v>0</v>
      </c>
      <c r="AG2230">
        <v>0</v>
      </c>
      <c r="AH2230">
        <v>0</v>
      </c>
      <c r="AI2230">
        <v>0</v>
      </c>
      <c r="AJ2230">
        <v>0</v>
      </c>
      <c r="AK2230">
        <v>0</v>
      </c>
      <c r="AL2230">
        <v>0</v>
      </c>
      <c r="AM2230">
        <v>6.71</v>
      </c>
      <c r="AN2230">
        <v>0</v>
      </c>
      <c r="AO2230">
        <v>0</v>
      </c>
      <c r="AP2230">
        <v>0</v>
      </c>
      <c r="AQ2230">
        <v>0</v>
      </c>
      <c r="AR2230">
        <v>0</v>
      </c>
      <c r="AS2230">
        <v>0</v>
      </c>
      <c r="AT2230">
        <v>0</v>
      </c>
      <c r="AU2230">
        <v>0</v>
      </c>
      <c r="AV2230">
        <v>0</v>
      </c>
      <c r="AW2230">
        <v>0</v>
      </c>
      <c r="AX2230">
        <v>0</v>
      </c>
      <c r="AY2230">
        <v>0</v>
      </c>
      <c r="AZ2230">
        <v>0</v>
      </c>
      <c r="BA2230">
        <v>0</v>
      </c>
      <c r="BB2230">
        <v>0</v>
      </c>
      <c r="BC2230">
        <v>0</v>
      </c>
      <c r="BD2230">
        <v>0</v>
      </c>
      <c r="BE2230">
        <v>0</v>
      </c>
      <c r="BF2230">
        <v>0</v>
      </c>
      <c r="BG2230">
        <v>0</v>
      </c>
      <c r="BH2230">
        <v>1</v>
      </c>
      <c r="BI2230">
        <v>1</v>
      </c>
      <c r="BJ2230">
        <v>0.2</v>
      </c>
      <c r="BK2230">
        <v>1</v>
      </c>
      <c r="BL2230" s="4">
        <v>39.42</v>
      </c>
      <c r="BM2230" s="4">
        <v>5.91</v>
      </c>
      <c r="BN2230" s="4">
        <v>45.33</v>
      </c>
      <c r="BO2230" s="4">
        <v>45.33</v>
      </c>
      <c r="BQ2230" t="s">
        <v>93</v>
      </c>
      <c r="BR2230" t="s">
        <v>84</v>
      </c>
      <c r="BS2230" s="3">
        <v>43811</v>
      </c>
      <c r="BT2230" s="5">
        <v>0.36736111111111108</v>
      </c>
      <c r="BU2230" t="s">
        <v>2084</v>
      </c>
      <c r="BV2230" t="s">
        <v>86</v>
      </c>
      <c r="BY2230">
        <v>1200</v>
      </c>
      <c r="CC2230" t="s">
        <v>333</v>
      </c>
      <c r="CD2230">
        <v>2094</v>
      </c>
      <c r="CE2230" t="s">
        <v>88</v>
      </c>
      <c r="CF2230" s="3">
        <v>43812</v>
      </c>
      <c r="CI2230">
        <v>1</v>
      </c>
      <c r="CJ2230">
        <v>1</v>
      </c>
      <c r="CK2230">
        <v>22</v>
      </c>
      <c r="CL2230" t="s">
        <v>89</v>
      </c>
    </row>
    <row r="2231" spans="1:90">
      <c r="A2231" t="s">
        <v>72</v>
      </c>
      <c r="B2231" t="s">
        <v>73</v>
      </c>
      <c r="C2231" t="s">
        <v>74</v>
      </c>
      <c r="E2231" t="str">
        <f>"FES1162727767"</f>
        <v>FES1162727767</v>
      </c>
      <c r="F2231" s="3">
        <v>43810</v>
      </c>
      <c r="G2231">
        <v>202006</v>
      </c>
      <c r="H2231" t="s">
        <v>75</v>
      </c>
      <c r="I2231" t="s">
        <v>76</v>
      </c>
      <c r="J2231" t="s">
        <v>77</v>
      </c>
      <c r="K2231" t="s">
        <v>78</v>
      </c>
      <c r="L2231" t="s">
        <v>667</v>
      </c>
      <c r="M2231" t="s">
        <v>668</v>
      </c>
      <c r="N2231" t="s">
        <v>953</v>
      </c>
      <c r="O2231" t="s">
        <v>82</v>
      </c>
      <c r="P2231" t="str">
        <f>"2170721254                    "</f>
        <v xml:space="preserve">2170721254                    </v>
      </c>
      <c r="Q2231">
        <v>0</v>
      </c>
      <c r="R2231">
        <v>0</v>
      </c>
      <c r="S2231">
        <v>0</v>
      </c>
      <c r="T2231">
        <v>0</v>
      </c>
      <c r="U2231">
        <v>0</v>
      </c>
      <c r="V2231">
        <v>0</v>
      </c>
      <c r="W2231">
        <v>0</v>
      </c>
      <c r="X2231">
        <v>0</v>
      </c>
      <c r="Y2231">
        <v>0</v>
      </c>
      <c r="Z2231">
        <v>0</v>
      </c>
      <c r="AA2231">
        <v>0</v>
      </c>
      <c r="AB2231">
        <v>0</v>
      </c>
      <c r="AC2231">
        <v>0</v>
      </c>
      <c r="AD2231">
        <v>0</v>
      </c>
      <c r="AE2231">
        <v>0</v>
      </c>
      <c r="AF2231">
        <v>0</v>
      </c>
      <c r="AG2231">
        <v>0</v>
      </c>
      <c r="AH2231">
        <v>0</v>
      </c>
      <c r="AI2231">
        <v>0</v>
      </c>
      <c r="AJ2231">
        <v>0</v>
      </c>
      <c r="AK2231">
        <v>0</v>
      </c>
      <c r="AL2231">
        <v>0</v>
      </c>
      <c r="AM2231">
        <v>12.07</v>
      </c>
      <c r="AN2231">
        <v>0</v>
      </c>
      <c r="AO2231">
        <v>0</v>
      </c>
      <c r="AP2231">
        <v>0</v>
      </c>
      <c r="AQ2231">
        <v>0</v>
      </c>
      <c r="AR2231">
        <v>0</v>
      </c>
      <c r="AS2231">
        <v>0</v>
      </c>
      <c r="AT2231">
        <v>0</v>
      </c>
      <c r="AU2231">
        <v>0</v>
      </c>
      <c r="AV2231">
        <v>0</v>
      </c>
      <c r="AW2231">
        <v>0</v>
      </c>
      <c r="AX2231">
        <v>0</v>
      </c>
      <c r="AY2231">
        <v>0</v>
      </c>
      <c r="AZ2231">
        <v>0</v>
      </c>
      <c r="BA2231">
        <v>0</v>
      </c>
      <c r="BB2231">
        <v>0</v>
      </c>
      <c r="BC2231">
        <v>0</v>
      </c>
      <c r="BD2231">
        <v>0</v>
      </c>
      <c r="BE2231">
        <v>0</v>
      </c>
      <c r="BF2231">
        <v>0</v>
      </c>
      <c r="BG2231">
        <v>0</v>
      </c>
      <c r="BH2231">
        <v>1</v>
      </c>
      <c r="BI2231">
        <v>1</v>
      </c>
      <c r="BJ2231">
        <v>0.2</v>
      </c>
      <c r="BK2231">
        <v>1</v>
      </c>
      <c r="BL2231" s="4">
        <v>70.95</v>
      </c>
      <c r="BM2231" s="4">
        <v>10.64</v>
      </c>
      <c r="BN2231" s="4">
        <v>81.59</v>
      </c>
      <c r="BO2231" s="4">
        <v>81.59</v>
      </c>
      <c r="BQ2231" t="s">
        <v>93</v>
      </c>
      <c r="BR2231" t="s">
        <v>84</v>
      </c>
      <c r="BS2231" s="3">
        <v>43811</v>
      </c>
      <c r="BT2231" s="5">
        <v>0.32777777777777778</v>
      </c>
      <c r="BU2231" t="s">
        <v>2457</v>
      </c>
      <c r="BV2231" t="s">
        <v>86</v>
      </c>
      <c r="BY2231">
        <v>1200</v>
      </c>
      <c r="CC2231" t="s">
        <v>668</v>
      </c>
      <c r="CD2231">
        <v>1759</v>
      </c>
      <c r="CE2231" t="s">
        <v>88</v>
      </c>
      <c r="CF2231" s="3">
        <v>43812</v>
      </c>
      <c r="CI2231">
        <v>1</v>
      </c>
      <c r="CJ2231">
        <v>1</v>
      </c>
      <c r="CK2231">
        <v>24</v>
      </c>
      <c r="CL2231" t="s">
        <v>89</v>
      </c>
    </row>
    <row r="2232" spans="1:90">
      <c r="A2232" t="s">
        <v>72</v>
      </c>
      <c r="B2232" t="s">
        <v>73</v>
      </c>
      <c r="C2232" t="s">
        <v>74</v>
      </c>
      <c r="E2232" t="str">
        <f>"FES1162727824"</f>
        <v>FES1162727824</v>
      </c>
      <c r="F2232" s="3">
        <v>43810</v>
      </c>
      <c r="G2232">
        <v>202006</v>
      </c>
      <c r="H2232" t="s">
        <v>75</v>
      </c>
      <c r="I2232" t="s">
        <v>76</v>
      </c>
      <c r="J2232" t="s">
        <v>77</v>
      </c>
      <c r="K2232" t="s">
        <v>78</v>
      </c>
      <c r="L2232" t="s">
        <v>75</v>
      </c>
      <c r="M2232" t="s">
        <v>76</v>
      </c>
      <c r="N2232" t="s">
        <v>2458</v>
      </c>
      <c r="O2232" t="s">
        <v>82</v>
      </c>
      <c r="P2232" t="str">
        <f>"2170721115                    "</f>
        <v xml:space="preserve">2170721115                    </v>
      </c>
      <c r="Q2232">
        <v>0</v>
      </c>
      <c r="R2232">
        <v>0</v>
      </c>
      <c r="S2232">
        <v>0</v>
      </c>
      <c r="T2232">
        <v>0</v>
      </c>
      <c r="U2232">
        <v>0</v>
      </c>
      <c r="V2232">
        <v>0</v>
      </c>
      <c r="W2232">
        <v>0</v>
      </c>
      <c r="X2232">
        <v>0</v>
      </c>
      <c r="Y2232">
        <v>0</v>
      </c>
      <c r="Z2232">
        <v>0</v>
      </c>
      <c r="AA2232">
        <v>0</v>
      </c>
      <c r="AB2232">
        <v>0</v>
      </c>
      <c r="AC2232">
        <v>0</v>
      </c>
      <c r="AD2232">
        <v>0</v>
      </c>
      <c r="AE2232">
        <v>0</v>
      </c>
      <c r="AF2232">
        <v>0</v>
      </c>
      <c r="AG2232">
        <v>0</v>
      </c>
      <c r="AH2232">
        <v>0</v>
      </c>
      <c r="AI2232">
        <v>0</v>
      </c>
      <c r="AJ2232">
        <v>0</v>
      </c>
      <c r="AK2232">
        <v>0</v>
      </c>
      <c r="AL2232">
        <v>0</v>
      </c>
      <c r="AM2232">
        <v>6.71</v>
      </c>
      <c r="AN2232">
        <v>0</v>
      </c>
      <c r="AO2232">
        <v>0</v>
      </c>
      <c r="AP2232">
        <v>0</v>
      </c>
      <c r="AQ2232">
        <v>0</v>
      </c>
      <c r="AR2232">
        <v>0</v>
      </c>
      <c r="AS2232">
        <v>0</v>
      </c>
      <c r="AT2232">
        <v>0</v>
      </c>
      <c r="AU2232">
        <v>0</v>
      </c>
      <c r="AV2232">
        <v>0</v>
      </c>
      <c r="AW2232">
        <v>0</v>
      </c>
      <c r="AX2232">
        <v>0</v>
      </c>
      <c r="AY2232">
        <v>0</v>
      </c>
      <c r="AZ2232">
        <v>0</v>
      </c>
      <c r="BA2232">
        <v>0</v>
      </c>
      <c r="BB2232">
        <v>0</v>
      </c>
      <c r="BC2232">
        <v>0</v>
      </c>
      <c r="BD2232">
        <v>0</v>
      </c>
      <c r="BE2232">
        <v>0</v>
      </c>
      <c r="BF2232">
        <v>0</v>
      </c>
      <c r="BG2232">
        <v>0</v>
      </c>
      <c r="BH2232">
        <v>1</v>
      </c>
      <c r="BI2232">
        <v>1</v>
      </c>
      <c r="BJ2232">
        <v>0.2</v>
      </c>
      <c r="BK2232">
        <v>1</v>
      </c>
      <c r="BL2232" s="4">
        <v>39.42</v>
      </c>
      <c r="BM2232" s="4">
        <v>5.91</v>
      </c>
      <c r="BN2232" s="4">
        <v>45.33</v>
      </c>
      <c r="BO2232" s="4">
        <v>45.33</v>
      </c>
      <c r="BQ2232" t="s">
        <v>256</v>
      </c>
      <c r="BR2232" t="s">
        <v>84</v>
      </c>
      <c r="BS2232" s="3">
        <v>43811</v>
      </c>
      <c r="BT2232" s="5">
        <v>0.4236111111111111</v>
      </c>
      <c r="BU2232" t="s">
        <v>2459</v>
      </c>
      <c r="BV2232" t="s">
        <v>86</v>
      </c>
      <c r="BY2232">
        <v>1200</v>
      </c>
      <c r="CA2232" t="s">
        <v>344</v>
      </c>
      <c r="CC2232" t="s">
        <v>76</v>
      </c>
      <c r="CD2232">
        <v>1686</v>
      </c>
      <c r="CE2232" t="s">
        <v>88</v>
      </c>
      <c r="CF2232" s="3">
        <v>43812</v>
      </c>
      <c r="CI2232">
        <v>1</v>
      </c>
      <c r="CJ2232">
        <v>1</v>
      </c>
      <c r="CK2232">
        <v>22</v>
      </c>
      <c r="CL2232" t="s">
        <v>89</v>
      </c>
    </row>
    <row r="2233" spans="1:90">
      <c r="A2233" t="s">
        <v>72</v>
      </c>
      <c r="B2233" t="s">
        <v>73</v>
      </c>
      <c r="C2233" t="s">
        <v>74</v>
      </c>
      <c r="E2233" t="str">
        <f>"FES1162727772"</f>
        <v>FES1162727772</v>
      </c>
      <c r="F2233" s="3">
        <v>43810</v>
      </c>
      <c r="G2233">
        <v>202006</v>
      </c>
      <c r="H2233" t="s">
        <v>75</v>
      </c>
      <c r="I2233" t="s">
        <v>76</v>
      </c>
      <c r="J2233" t="s">
        <v>77</v>
      </c>
      <c r="K2233" t="s">
        <v>78</v>
      </c>
      <c r="L2233" t="s">
        <v>169</v>
      </c>
      <c r="M2233" t="s">
        <v>170</v>
      </c>
      <c r="N2233" t="s">
        <v>772</v>
      </c>
      <c r="O2233" t="s">
        <v>82</v>
      </c>
      <c r="P2233" t="str">
        <f>"2170721260                    "</f>
        <v xml:space="preserve">2170721260                    </v>
      </c>
      <c r="Q2233">
        <v>0</v>
      </c>
      <c r="R2233">
        <v>0</v>
      </c>
      <c r="S2233">
        <v>0</v>
      </c>
      <c r="T2233">
        <v>0</v>
      </c>
      <c r="U2233">
        <v>0</v>
      </c>
      <c r="V2233">
        <v>0</v>
      </c>
      <c r="W2233">
        <v>0</v>
      </c>
      <c r="X2233">
        <v>0</v>
      </c>
      <c r="Y2233">
        <v>0</v>
      </c>
      <c r="Z2233">
        <v>0</v>
      </c>
      <c r="AA2233">
        <v>0</v>
      </c>
      <c r="AB2233">
        <v>0</v>
      </c>
      <c r="AC2233">
        <v>0</v>
      </c>
      <c r="AD2233">
        <v>0</v>
      </c>
      <c r="AE2233">
        <v>0</v>
      </c>
      <c r="AF2233">
        <v>0</v>
      </c>
      <c r="AG2233">
        <v>0</v>
      </c>
      <c r="AH2233">
        <v>0</v>
      </c>
      <c r="AI2233">
        <v>0</v>
      </c>
      <c r="AJ2233">
        <v>0</v>
      </c>
      <c r="AK2233">
        <v>0</v>
      </c>
      <c r="AL2233">
        <v>0</v>
      </c>
      <c r="AM2233">
        <v>6.71</v>
      </c>
      <c r="AN2233">
        <v>0</v>
      </c>
      <c r="AO2233">
        <v>0</v>
      </c>
      <c r="AP2233">
        <v>0</v>
      </c>
      <c r="AQ2233">
        <v>0</v>
      </c>
      <c r="AR2233">
        <v>0</v>
      </c>
      <c r="AS2233">
        <v>0</v>
      </c>
      <c r="AT2233">
        <v>0</v>
      </c>
      <c r="AU2233">
        <v>0</v>
      </c>
      <c r="AV2233">
        <v>0</v>
      </c>
      <c r="AW2233">
        <v>0</v>
      </c>
      <c r="AX2233">
        <v>0</v>
      </c>
      <c r="AY2233">
        <v>0</v>
      </c>
      <c r="AZ2233">
        <v>0</v>
      </c>
      <c r="BA2233">
        <v>0</v>
      </c>
      <c r="BB2233">
        <v>0</v>
      </c>
      <c r="BC2233">
        <v>0</v>
      </c>
      <c r="BD2233">
        <v>0</v>
      </c>
      <c r="BE2233">
        <v>0</v>
      </c>
      <c r="BF2233">
        <v>0</v>
      </c>
      <c r="BG2233">
        <v>0</v>
      </c>
      <c r="BH2233">
        <v>1</v>
      </c>
      <c r="BI2233">
        <v>1</v>
      </c>
      <c r="BJ2233">
        <v>0.2</v>
      </c>
      <c r="BK2233">
        <v>1</v>
      </c>
      <c r="BL2233" s="4">
        <v>39.42</v>
      </c>
      <c r="BM2233" s="4">
        <v>5.91</v>
      </c>
      <c r="BN2233" s="4">
        <v>45.33</v>
      </c>
      <c r="BO2233" s="4">
        <v>45.33</v>
      </c>
      <c r="BQ2233" t="s">
        <v>147</v>
      </c>
      <c r="BR2233" t="s">
        <v>84</v>
      </c>
      <c r="BS2233" s="3">
        <v>43811</v>
      </c>
      <c r="BT2233" s="5">
        <v>0.4375</v>
      </c>
      <c r="BU2233" t="s">
        <v>638</v>
      </c>
      <c r="BV2233" t="s">
        <v>86</v>
      </c>
      <c r="BY2233">
        <v>1200</v>
      </c>
      <c r="CC2233" t="s">
        <v>170</v>
      </c>
      <c r="CD2233">
        <v>1459</v>
      </c>
      <c r="CE2233" t="s">
        <v>88</v>
      </c>
      <c r="CF2233" s="3">
        <v>43812</v>
      </c>
      <c r="CI2233">
        <v>1</v>
      </c>
      <c r="CJ2233">
        <v>1</v>
      </c>
      <c r="CK2233">
        <v>22</v>
      </c>
      <c r="CL2233" t="s">
        <v>89</v>
      </c>
    </row>
    <row r="2234" spans="1:90">
      <c r="A2234" t="s">
        <v>72</v>
      </c>
      <c r="B2234" t="s">
        <v>73</v>
      </c>
      <c r="C2234" t="s">
        <v>74</v>
      </c>
      <c r="E2234" t="str">
        <f>"FES1162727904"</f>
        <v>FES1162727904</v>
      </c>
      <c r="F2234" s="3">
        <v>43810</v>
      </c>
      <c r="G2234">
        <v>202006</v>
      </c>
      <c r="H2234" t="s">
        <v>75</v>
      </c>
      <c r="I2234" t="s">
        <v>76</v>
      </c>
      <c r="J2234" t="s">
        <v>77</v>
      </c>
      <c r="K2234" t="s">
        <v>78</v>
      </c>
      <c r="L2234" t="s">
        <v>169</v>
      </c>
      <c r="M2234" t="s">
        <v>170</v>
      </c>
      <c r="N2234" t="s">
        <v>248</v>
      </c>
      <c r="O2234" t="s">
        <v>82</v>
      </c>
      <c r="P2234" t="str">
        <f>"217071382                     "</f>
        <v xml:space="preserve">217071382                     </v>
      </c>
      <c r="Q2234">
        <v>0</v>
      </c>
      <c r="R2234">
        <v>0</v>
      </c>
      <c r="S2234">
        <v>0</v>
      </c>
      <c r="T2234">
        <v>0</v>
      </c>
      <c r="U2234">
        <v>0</v>
      </c>
      <c r="V2234">
        <v>0</v>
      </c>
      <c r="W2234">
        <v>0</v>
      </c>
      <c r="X2234">
        <v>0</v>
      </c>
      <c r="Y2234">
        <v>0</v>
      </c>
      <c r="Z2234">
        <v>0</v>
      </c>
      <c r="AA2234">
        <v>0</v>
      </c>
      <c r="AB2234">
        <v>0</v>
      </c>
      <c r="AC2234">
        <v>0</v>
      </c>
      <c r="AD2234">
        <v>0</v>
      </c>
      <c r="AE2234">
        <v>0</v>
      </c>
      <c r="AF2234">
        <v>0</v>
      </c>
      <c r="AG2234">
        <v>0</v>
      </c>
      <c r="AH2234">
        <v>0</v>
      </c>
      <c r="AI2234">
        <v>0</v>
      </c>
      <c r="AJ2234">
        <v>0</v>
      </c>
      <c r="AK2234">
        <v>0</v>
      </c>
      <c r="AL2234">
        <v>0</v>
      </c>
      <c r="AM2234">
        <v>6.71</v>
      </c>
      <c r="AN2234">
        <v>0</v>
      </c>
      <c r="AO2234">
        <v>0</v>
      </c>
      <c r="AP2234">
        <v>0</v>
      </c>
      <c r="AQ2234">
        <v>0</v>
      </c>
      <c r="AR2234">
        <v>0</v>
      </c>
      <c r="AS2234">
        <v>0</v>
      </c>
      <c r="AT2234">
        <v>0</v>
      </c>
      <c r="AU2234">
        <v>0</v>
      </c>
      <c r="AV2234">
        <v>0</v>
      </c>
      <c r="AW2234">
        <v>0</v>
      </c>
      <c r="AX2234">
        <v>0</v>
      </c>
      <c r="AY2234">
        <v>0</v>
      </c>
      <c r="AZ2234">
        <v>0</v>
      </c>
      <c r="BA2234">
        <v>0</v>
      </c>
      <c r="BB2234">
        <v>0</v>
      </c>
      <c r="BC2234">
        <v>0</v>
      </c>
      <c r="BD2234">
        <v>0</v>
      </c>
      <c r="BE2234">
        <v>0</v>
      </c>
      <c r="BF2234">
        <v>0</v>
      </c>
      <c r="BG2234">
        <v>0</v>
      </c>
      <c r="BH2234">
        <v>1</v>
      </c>
      <c r="BI2234">
        <v>1</v>
      </c>
      <c r="BJ2234">
        <v>0.2</v>
      </c>
      <c r="BK2234">
        <v>1</v>
      </c>
      <c r="BL2234" s="4">
        <v>39.42</v>
      </c>
      <c r="BM2234" s="4">
        <v>5.91</v>
      </c>
      <c r="BN2234" s="4">
        <v>45.33</v>
      </c>
      <c r="BO2234" s="4">
        <v>45.33</v>
      </c>
      <c r="BQ2234" t="s">
        <v>147</v>
      </c>
      <c r="BR2234" t="s">
        <v>84</v>
      </c>
      <c r="BS2234" s="3">
        <v>43811</v>
      </c>
      <c r="BT2234" s="5">
        <v>0.34583333333333338</v>
      </c>
      <c r="BU2234" t="s">
        <v>1644</v>
      </c>
      <c r="BV2234" t="s">
        <v>86</v>
      </c>
      <c r="BY2234">
        <v>1200</v>
      </c>
      <c r="CA2234" t="s">
        <v>250</v>
      </c>
      <c r="CC2234" t="s">
        <v>170</v>
      </c>
      <c r="CD2234">
        <v>1459</v>
      </c>
      <c r="CE2234" t="s">
        <v>88</v>
      </c>
      <c r="CF2234" s="3">
        <v>43816</v>
      </c>
      <c r="CI2234">
        <v>1</v>
      </c>
      <c r="CJ2234">
        <v>1</v>
      </c>
      <c r="CK2234">
        <v>22</v>
      </c>
      <c r="CL2234" t="s">
        <v>89</v>
      </c>
    </row>
    <row r="2235" spans="1:90">
      <c r="A2235" t="s">
        <v>72</v>
      </c>
      <c r="B2235" t="s">
        <v>73</v>
      </c>
      <c r="C2235" t="s">
        <v>74</v>
      </c>
      <c r="E2235" t="str">
        <f>"FES1162727841"</f>
        <v>FES1162727841</v>
      </c>
      <c r="F2235" s="3">
        <v>43810</v>
      </c>
      <c r="G2235">
        <v>202006</v>
      </c>
      <c r="H2235" t="s">
        <v>75</v>
      </c>
      <c r="I2235" t="s">
        <v>76</v>
      </c>
      <c r="J2235" t="s">
        <v>77</v>
      </c>
      <c r="K2235" t="s">
        <v>78</v>
      </c>
      <c r="L2235" t="s">
        <v>75</v>
      </c>
      <c r="M2235" t="s">
        <v>76</v>
      </c>
      <c r="N2235" t="s">
        <v>2460</v>
      </c>
      <c r="O2235" t="s">
        <v>82</v>
      </c>
      <c r="P2235" t="str">
        <f>"2170721291                    "</f>
        <v xml:space="preserve">2170721291                    </v>
      </c>
      <c r="Q2235">
        <v>0</v>
      </c>
      <c r="R2235">
        <v>0</v>
      </c>
      <c r="S2235">
        <v>0</v>
      </c>
      <c r="T2235">
        <v>0</v>
      </c>
      <c r="U2235">
        <v>0</v>
      </c>
      <c r="V2235">
        <v>0</v>
      </c>
      <c r="W2235">
        <v>0</v>
      </c>
      <c r="X2235">
        <v>0</v>
      </c>
      <c r="Y2235">
        <v>0</v>
      </c>
      <c r="Z2235">
        <v>0</v>
      </c>
      <c r="AA2235">
        <v>0</v>
      </c>
      <c r="AB2235">
        <v>0</v>
      </c>
      <c r="AC2235">
        <v>0</v>
      </c>
      <c r="AD2235">
        <v>0</v>
      </c>
      <c r="AE2235">
        <v>0</v>
      </c>
      <c r="AF2235">
        <v>0</v>
      </c>
      <c r="AG2235">
        <v>0</v>
      </c>
      <c r="AH2235">
        <v>0</v>
      </c>
      <c r="AI2235">
        <v>0</v>
      </c>
      <c r="AJ2235">
        <v>0</v>
      </c>
      <c r="AK2235">
        <v>0</v>
      </c>
      <c r="AL2235">
        <v>0</v>
      </c>
      <c r="AM2235">
        <v>6.71</v>
      </c>
      <c r="AN2235">
        <v>0</v>
      </c>
      <c r="AO2235">
        <v>0</v>
      </c>
      <c r="AP2235">
        <v>0</v>
      </c>
      <c r="AQ2235">
        <v>0</v>
      </c>
      <c r="AR2235">
        <v>0</v>
      </c>
      <c r="AS2235">
        <v>0</v>
      </c>
      <c r="AT2235">
        <v>0</v>
      </c>
      <c r="AU2235">
        <v>0</v>
      </c>
      <c r="AV2235">
        <v>0</v>
      </c>
      <c r="AW2235">
        <v>0</v>
      </c>
      <c r="AX2235">
        <v>0</v>
      </c>
      <c r="AY2235">
        <v>0</v>
      </c>
      <c r="AZ2235">
        <v>0</v>
      </c>
      <c r="BA2235">
        <v>0</v>
      </c>
      <c r="BB2235">
        <v>0</v>
      </c>
      <c r="BC2235">
        <v>0</v>
      </c>
      <c r="BD2235">
        <v>0</v>
      </c>
      <c r="BE2235">
        <v>0</v>
      </c>
      <c r="BF2235">
        <v>0</v>
      </c>
      <c r="BG2235">
        <v>0</v>
      </c>
      <c r="BH2235">
        <v>1</v>
      </c>
      <c r="BI2235">
        <v>1</v>
      </c>
      <c r="BJ2235">
        <v>0.2</v>
      </c>
      <c r="BK2235">
        <v>1</v>
      </c>
      <c r="BL2235" s="4">
        <v>39.42</v>
      </c>
      <c r="BM2235" s="4">
        <v>5.91</v>
      </c>
      <c r="BN2235" s="4">
        <v>45.33</v>
      </c>
      <c r="BO2235" s="4">
        <v>45.33</v>
      </c>
      <c r="BQ2235" t="s">
        <v>2461</v>
      </c>
      <c r="BR2235" t="s">
        <v>84</v>
      </c>
      <c r="BS2235" s="3">
        <v>43811</v>
      </c>
      <c r="BT2235" s="5">
        <v>0.37847222222222227</v>
      </c>
      <c r="BU2235" t="s">
        <v>2462</v>
      </c>
      <c r="BV2235" t="s">
        <v>86</v>
      </c>
      <c r="BY2235">
        <v>1200</v>
      </c>
      <c r="CA2235" t="s">
        <v>588</v>
      </c>
      <c r="CC2235" t="s">
        <v>76</v>
      </c>
      <c r="CD2235">
        <v>1624</v>
      </c>
      <c r="CE2235" t="s">
        <v>88</v>
      </c>
      <c r="CF2235" s="3">
        <v>43812</v>
      </c>
      <c r="CI2235">
        <v>1</v>
      </c>
      <c r="CJ2235">
        <v>1</v>
      </c>
      <c r="CK2235">
        <v>22</v>
      </c>
      <c r="CL2235" t="s">
        <v>89</v>
      </c>
    </row>
    <row r="2236" spans="1:90">
      <c r="A2236" t="s">
        <v>72</v>
      </c>
      <c r="B2236" t="s">
        <v>73</v>
      </c>
      <c r="C2236" t="s">
        <v>74</v>
      </c>
      <c r="E2236" t="str">
        <f>"FES1162727778"</f>
        <v>FES1162727778</v>
      </c>
      <c r="F2236" s="3">
        <v>43810</v>
      </c>
      <c r="G2236">
        <v>202006</v>
      </c>
      <c r="H2236" t="s">
        <v>75</v>
      </c>
      <c r="I2236" t="s">
        <v>76</v>
      </c>
      <c r="J2236" t="s">
        <v>77</v>
      </c>
      <c r="K2236" t="s">
        <v>78</v>
      </c>
      <c r="L2236" t="s">
        <v>169</v>
      </c>
      <c r="M2236" t="s">
        <v>170</v>
      </c>
      <c r="N2236" t="s">
        <v>248</v>
      </c>
      <c r="O2236" t="s">
        <v>82</v>
      </c>
      <c r="P2236" t="str">
        <f>"2170712165                    "</f>
        <v xml:space="preserve">2170712165                    </v>
      </c>
      <c r="Q2236">
        <v>0</v>
      </c>
      <c r="R2236">
        <v>0</v>
      </c>
      <c r="S2236">
        <v>0</v>
      </c>
      <c r="T2236">
        <v>0</v>
      </c>
      <c r="U2236">
        <v>0</v>
      </c>
      <c r="V2236">
        <v>0</v>
      </c>
      <c r="W2236">
        <v>0</v>
      </c>
      <c r="X2236">
        <v>0</v>
      </c>
      <c r="Y2236">
        <v>0</v>
      </c>
      <c r="Z2236">
        <v>0</v>
      </c>
      <c r="AA2236">
        <v>0</v>
      </c>
      <c r="AB2236">
        <v>0</v>
      </c>
      <c r="AC2236">
        <v>0</v>
      </c>
      <c r="AD2236">
        <v>0</v>
      </c>
      <c r="AE2236">
        <v>0</v>
      </c>
      <c r="AF2236">
        <v>0</v>
      </c>
      <c r="AG2236">
        <v>0</v>
      </c>
      <c r="AH2236">
        <v>0</v>
      </c>
      <c r="AI2236">
        <v>0</v>
      </c>
      <c r="AJ2236">
        <v>0</v>
      </c>
      <c r="AK2236">
        <v>0</v>
      </c>
      <c r="AL2236">
        <v>0</v>
      </c>
      <c r="AM2236">
        <v>6.71</v>
      </c>
      <c r="AN2236">
        <v>0</v>
      </c>
      <c r="AO2236">
        <v>0</v>
      </c>
      <c r="AP2236">
        <v>0</v>
      </c>
      <c r="AQ2236">
        <v>0</v>
      </c>
      <c r="AR2236">
        <v>0</v>
      </c>
      <c r="AS2236">
        <v>0</v>
      </c>
      <c r="AT2236">
        <v>0</v>
      </c>
      <c r="AU2236">
        <v>0</v>
      </c>
      <c r="AV2236">
        <v>0</v>
      </c>
      <c r="AW2236">
        <v>0</v>
      </c>
      <c r="AX2236">
        <v>0</v>
      </c>
      <c r="AY2236">
        <v>0</v>
      </c>
      <c r="AZ2236">
        <v>0</v>
      </c>
      <c r="BA2236">
        <v>0</v>
      </c>
      <c r="BB2236">
        <v>0</v>
      </c>
      <c r="BC2236">
        <v>0</v>
      </c>
      <c r="BD2236">
        <v>0</v>
      </c>
      <c r="BE2236">
        <v>0</v>
      </c>
      <c r="BF2236">
        <v>0</v>
      </c>
      <c r="BG2236">
        <v>0</v>
      </c>
      <c r="BH2236">
        <v>1</v>
      </c>
      <c r="BI2236">
        <v>1</v>
      </c>
      <c r="BJ2236">
        <v>0.2</v>
      </c>
      <c r="BK2236">
        <v>1</v>
      </c>
      <c r="BL2236" s="4">
        <v>39.42</v>
      </c>
      <c r="BM2236" s="4">
        <v>5.91</v>
      </c>
      <c r="BN2236" s="4">
        <v>45.33</v>
      </c>
      <c r="BO2236" s="4">
        <v>45.33</v>
      </c>
      <c r="BQ2236" t="s">
        <v>147</v>
      </c>
      <c r="BR2236" t="s">
        <v>84</v>
      </c>
      <c r="BS2236" s="3">
        <v>43811</v>
      </c>
      <c r="BT2236" s="5">
        <v>0.34583333333333338</v>
      </c>
      <c r="BU2236" t="s">
        <v>1644</v>
      </c>
      <c r="BV2236" t="s">
        <v>86</v>
      </c>
      <c r="BY2236">
        <v>1200</v>
      </c>
      <c r="CA2236" t="s">
        <v>250</v>
      </c>
      <c r="CC2236" t="s">
        <v>170</v>
      </c>
      <c r="CD2236">
        <v>1459</v>
      </c>
      <c r="CE2236" t="s">
        <v>88</v>
      </c>
      <c r="CF2236" s="3">
        <v>43816</v>
      </c>
      <c r="CI2236">
        <v>1</v>
      </c>
      <c r="CJ2236">
        <v>1</v>
      </c>
      <c r="CK2236">
        <v>22</v>
      </c>
      <c r="CL2236" t="s">
        <v>89</v>
      </c>
    </row>
    <row r="2237" spans="1:90">
      <c r="A2237" t="s">
        <v>72</v>
      </c>
      <c r="B2237" t="s">
        <v>73</v>
      </c>
      <c r="C2237" t="s">
        <v>74</v>
      </c>
      <c r="E2237" t="str">
        <f>"FES1162727731"</f>
        <v>FES1162727731</v>
      </c>
      <c r="F2237" s="3">
        <v>43810</v>
      </c>
      <c r="G2237">
        <v>202006</v>
      </c>
      <c r="H2237" t="s">
        <v>75</v>
      </c>
      <c r="I2237" t="s">
        <v>76</v>
      </c>
      <c r="J2237" t="s">
        <v>77</v>
      </c>
      <c r="K2237" t="s">
        <v>78</v>
      </c>
      <c r="L2237" t="s">
        <v>138</v>
      </c>
      <c r="M2237" t="s">
        <v>139</v>
      </c>
      <c r="N2237" t="s">
        <v>2432</v>
      </c>
      <c r="O2237" t="s">
        <v>82</v>
      </c>
      <c r="P2237" t="str">
        <f>"2170721172                    "</f>
        <v xml:space="preserve">2170721172                    </v>
      </c>
      <c r="Q2237">
        <v>0</v>
      </c>
      <c r="R2237">
        <v>0</v>
      </c>
      <c r="S2237">
        <v>0</v>
      </c>
      <c r="T2237">
        <v>0</v>
      </c>
      <c r="U2237">
        <v>0</v>
      </c>
      <c r="V2237">
        <v>0</v>
      </c>
      <c r="W2237">
        <v>0</v>
      </c>
      <c r="X2237">
        <v>0</v>
      </c>
      <c r="Y2237">
        <v>0</v>
      </c>
      <c r="Z2237">
        <v>0</v>
      </c>
      <c r="AA2237">
        <v>0</v>
      </c>
      <c r="AB2237">
        <v>0</v>
      </c>
      <c r="AC2237">
        <v>0</v>
      </c>
      <c r="AD2237">
        <v>0</v>
      </c>
      <c r="AE2237">
        <v>0</v>
      </c>
      <c r="AF2237">
        <v>0</v>
      </c>
      <c r="AG2237">
        <v>0</v>
      </c>
      <c r="AH2237">
        <v>0</v>
      </c>
      <c r="AI2237">
        <v>0</v>
      </c>
      <c r="AJ2237">
        <v>0</v>
      </c>
      <c r="AK2237">
        <v>0</v>
      </c>
      <c r="AL2237">
        <v>0</v>
      </c>
      <c r="AM2237">
        <v>6.71</v>
      </c>
      <c r="AN2237">
        <v>0</v>
      </c>
      <c r="AO2237">
        <v>0</v>
      </c>
      <c r="AP2237">
        <v>0</v>
      </c>
      <c r="AQ2237">
        <v>0</v>
      </c>
      <c r="AR2237">
        <v>0</v>
      </c>
      <c r="AS2237">
        <v>0</v>
      </c>
      <c r="AT2237">
        <v>0</v>
      </c>
      <c r="AU2237">
        <v>0</v>
      </c>
      <c r="AV2237">
        <v>0</v>
      </c>
      <c r="AW2237">
        <v>0</v>
      </c>
      <c r="AX2237">
        <v>0</v>
      </c>
      <c r="AY2237">
        <v>0</v>
      </c>
      <c r="AZ2237">
        <v>0</v>
      </c>
      <c r="BA2237">
        <v>0</v>
      </c>
      <c r="BB2237">
        <v>0</v>
      </c>
      <c r="BC2237">
        <v>0</v>
      </c>
      <c r="BD2237">
        <v>0</v>
      </c>
      <c r="BE2237">
        <v>0</v>
      </c>
      <c r="BF2237">
        <v>0</v>
      </c>
      <c r="BG2237">
        <v>0</v>
      </c>
      <c r="BH2237">
        <v>1</v>
      </c>
      <c r="BI2237">
        <v>1</v>
      </c>
      <c r="BJ2237">
        <v>0.2</v>
      </c>
      <c r="BK2237">
        <v>1</v>
      </c>
      <c r="BL2237" s="4">
        <v>39.42</v>
      </c>
      <c r="BM2237" s="4">
        <v>5.91</v>
      </c>
      <c r="BN2237" s="4">
        <v>45.33</v>
      </c>
      <c r="BO2237" s="4">
        <v>45.33</v>
      </c>
      <c r="BR2237" t="s">
        <v>84</v>
      </c>
      <c r="BS2237" s="3">
        <v>43811</v>
      </c>
      <c r="BT2237" s="5">
        <v>0.375</v>
      </c>
      <c r="BU2237" t="s">
        <v>2463</v>
      </c>
      <c r="BV2237" t="s">
        <v>86</v>
      </c>
      <c r="BY2237">
        <v>1200</v>
      </c>
      <c r="CC2237" t="s">
        <v>139</v>
      </c>
      <c r="CD2237">
        <v>1401</v>
      </c>
      <c r="CE2237" t="s">
        <v>88</v>
      </c>
      <c r="CF2237" s="3">
        <v>43812</v>
      </c>
      <c r="CI2237">
        <v>1</v>
      </c>
      <c r="CJ2237">
        <v>1</v>
      </c>
      <c r="CK2237">
        <v>22</v>
      </c>
      <c r="CL2237" t="s">
        <v>89</v>
      </c>
    </row>
    <row r="2238" spans="1:90">
      <c r="A2238" t="s">
        <v>72</v>
      </c>
      <c r="B2238" t="s">
        <v>73</v>
      </c>
      <c r="C2238" t="s">
        <v>74</v>
      </c>
      <c r="E2238" t="str">
        <f>"FES1162727813"</f>
        <v>FES1162727813</v>
      </c>
      <c r="F2238" s="3">
        <v>43810</v>
      </c>
      <c r="G2238">
        <v>202006</v>
      </c>
      <c r="H2238" t="s">
        <v>75</v>
      </c>
      <c r="I2238" t="s">
        <v>76</v>
      </c>
      <c r="J2238" t="s">
        <v>77</v>
      </c>
      <c r="K2238" t="s">
        <v>78</v>
      </c>
      <c r="L2238" t="s">
        <v>332</v>
      </c>
      <c r="M2238" t="s">
        <v>333</v>
      </c>
      <c r="N2238" t="s">
        <v>701</v>
      </c>
      <c r="O2238" t="s">
        <v>82</v>
      </c>
      <c r="P2238" t="str">
        <f>"2170719270                    "</f>
        <v xml:space="preserve">2170719270                    </v>
      </c>
      <c r="Q2238">
        <v>0</v>
      </c>
      <c r="R2238">
        <v>0</v>
      </c>
      <c r="S2238">
        <v>0</v>
      </c>
      <c r="T2238">
        <v>0</v>
      </c>
      <c r="U2238">
        <v>0</v>
      </c>
      <c r="V2238">
        <v>0</v>
      </c>
      <c r="W2238">
        <v>0</v>
      </c>
      <c r="X2238">
        <v>0</v>
      </c>
      <c r="Y2238">
        <v>0</v>
      </c>
      <c r="Z2238">
        <v>0</v>
      </c>
      <c r="AA2238">
        <v>0</v>
      </c>
      <c r="AB2238">
        <v>0</v>
      </c>
      <c r="AC2238">
        <v>0</v>
      </c>
      <c r="AD2238">
        <v>0</v>
      </c>
      <c r="AE2238">
        <v>0</v>
      </c>
      <c r="AF2238">
        <v>0</v>
      </c>
      <c r="AG2238">
        <v>0</v>
      </c>
      <c r="AH2238">
        <v>0</v>
      </c>
      <c r="AI2238">
        <v>0</v>
      </c>
      <c r="AJ2238">
        <v>0</v>
      </c>
      <c r="AK2238">
        <v>0</v>
      </c>
      <c r="AL2238">
        <v>0</v>
      </c>
      <c r="AM2238">
        <v>6.71</v>
      </c>
      <c r="AN2238">
        <v>0</v>
      </c>
      <c r="AO2238">
        <v>0</v>
      </c>
      <c r="AP2238">
        <v>0</v>
      </c>
      <c r="AQ2238">
        <v>0</v>
      </c>
      <c r="AR2238">
        <v>0</v>
      </c>
      <c r="AS2238">
        <v>0</v>
      </c>
      <c r="AT2238">
        <v>0</v>
      </c>
      <c r="AU2238">
        <v>0</v>
      </c>
      <c r="AV2238">
        <v>0</v>
      </c>
      <c r="AW2238">
        <v>0</v>
      </c>
      <c r="AX2238">
        <v>0</v>
      </c>
      <c r="AY2238">
        <v>0</v>
      </c>
      <c r="AZ2238">
        <v>0</v>
      </c>
      <c r="BA2238">
        <v>0</v>
      </c>
      <c r="BB2238">
        <v>0</v>
      </c>
      <c r="BC2238">
        <v>0</v>
      </c>
      <c r="BD2238">
        <v>0</v>
      </c>
      <c r="BE2238">
        <v>0</v>
      </c>
      <c r="BF2238">
        <v>0</v>
      </c>
      <c r="BG2238">
        <v>0</v>
      </c>
      <c r="BH2238">
        <v>1</v>
      </c>
      <c r="BI2238">
        <v>1</v>
      </c>
      <c r="BJ2238">
        <v>0.2</v>
      </c>
      <c r="BK2238">
        <v>1</v>
      </c>
      <c r="BL2238" s="4">
        <v>39.42</v>
      </c>
      <c r="BM2238" s="4">
        <v>5.91</v>
      </c>
      <c r="BN2238" s="4">
        <v>45.33</v>
      </c>
      <c r="BO2238" s="4">
        <v>45.33</v>
      </c>
      <c r="BQ2238" t="s">
        <v>93</v>
      </c>
      <c r="BR2238" t="s">
        <v>84</v>
      </c>
      <c r="BS2238" s="3">
        <v>43811</v>
      </c>
      <c r="BT2238" s="5">
        <v>0.3666666666666667</v>
      </c>
      <c r="BU2238" t="s">
        <v>2084</v>
      </c>
      <c r="BV2238" t="s">
        <v>86</v>
      </c>
      <c r="BY2238">
        <v>1200</v>
      </c>
      <c r="CC2238" t="s">
        <v>333</v>
      </c>
      <c r="CD2238">
        <v>2094</v>
      </c>
      <c r="CE2238" t="s">
        <v>88</v>
      </c>
      <c r="CF2238" s="3">
        <v>43812</v>
      </c>
      <c r="CI2238">
        <v>1</v>
      </c>
      <c r="CJ2238">
        <v>1</v>
      </c>
      <c r="CK2238">
        <v>22</v>
      </c>
      <c r="CL2238" t="s">
        <v>89</v>
      </c>
    </row>
    <row r="2239" spans="1:90">
      <c r="A2239" t="s">
        <v>72</v>
      </c>
      <c r="B2239" t="s">
        <v>73</v>
      </c>
      <c r="C2239" t="s">
        <v>74</v>
      </c>
      <c r="E2239" t="str">
        <f>"FES1162727253"</f>
        <v>FES1162727253</v>
      </c>
      <c r="F2239" s="3">
        <v>43810</v>
      </c>
      <c r="G2239">
        <v>202006</v>
      </c>
      <c r="H2239" t="s">
        <v>75</v>
      </c>
      <c r="I2239" t="s">
        <v>76</v>
      </c>
      <c r="J2239" t="s">
        <v>77</v>
      </c>
      <c r="K2239" t="s">
        <v>78</v>
      </c>
      <c r="L2239" t="s">
        <v>332</v>
      </c>
      <c r="M2239" t="s">
        <v>333</v>
      </c>
      <c r="N2239" t="s">
        <v>701</v>
      </c>
      <c r="O2239" t="s">
        <v>82</v>
      </c>
      <c r="P2239" t="str">
        <f>"2170720742                    "</f>
        <v xml:space="preserve">2170720742                    </v>
      </c>
      <c r="Q2239">
        <v>0</v>
      </c>
      <c r="R2239">
        <v>0</v>
      </c>
      <c r="S2239">
        <v>0</v>
      </c>
      <c r="T2239">
        <v>0</v>
      </c>
      <c r="U2239">
        <v>0</v>
      </c>
      <c r="V2239">
        <v>0</v>
      </c>
      <c r="W2239">
        <v>0</v>
      </c>
      <c r="X2239">
        <v>0</v>
      </c>
      <c r="Y2239">
        <v>0</v>
      </c>
      <c r="Z2239">
        <v>0</v>
      </c>
      <c r="AA2239">
        <v>0</v>
      </c>
      <c r="AB2239">
        <v>0</v>
      </c>
      <c r="AC2239">
        <v>0</v>
      </c>
      <c r="AD2239">
        <v>0</v>
      </c>
      <c r="AE2239">
        <v>0</v>
      </c>
      <c r="AF2239">
        <v>0</v>
      </c>
      <c r="AG2239">
        <v>0</v>
      </c>
      <c r="AH2239">
        <v>0</v>
      </c>
      <c r="AI2239">
        <v>0</v>
      </c>
      <c r="AJ2239">
        <v>0</v>
      </c>
      <c r="AK2239">
        <v>0</v>
      </c>
      <c r="AL2239">
        <v>0</v>
      </c>
      <c r="AM2239">
        <v>6.71</v>
      </c>
      <c r="AN2239">
        <v>0</v>
      </c>
      <c r="AO2239">
        <v>0</v>
      </c>
      <c r="AP2239">
        <v>0</v>
      </c>
      <c r="AQ2239">
        <v>0</v>
      </c>
      <c r="AR2239">
        <v>0</v>
      </c>
      <c r="AS2239">
        <v>0</v>
      </c>
      <c r="AT2239">
        <v>0</v>
      </c>
      <c r="AU2239">
        <v>0</v>
      </c>
      <c r="AV2239">
        <v>0</v>
      </c>
      <c r="AW2239">
        <v>0</v>
      </c>
      <c r="AX2239">
        <v>0</v>
      </c>
      <c r="AY2239">
        <v>0</v>
      </c>
      <c r="AZ2239">
        <v>0</v>
      </c>
      <c r="BA2239">
        <v>0</v>
      </c>
      <c r="BB2239">
        <v>0</v>
      </c>
      <c r="BC2239">
        <v>0</v>
      </c>
      <c r="BD2239">
        <v>0</v>
      </c>
      <c r="BE2239">
        <v>0</v>
      </c>
      <c r="BF2239">
        <v>0</v>
      </c>
      <c r="BG2239">
        <v>0</v>
      </c>
      <c r="BH2239">
        <v>1</v>
      </c>
      <c r="BI2239">
        <v>1</v>
      </c>
      <c r="BJ2239">
        <v>0.2</v>
      </c>
      <c r="BK2239">
        <v>1</v>
      </c>
      <c r="BL2239" s="4">
        <v>39.42</v>
      </c>
      <c r="BM2239" s="4">
        <v>5.91</v>
      </c>
      <c r="BN2239" s="4">
        <v>45.33</v>
      </c>
      <c r="BO2239" s="4">
        <v>45.33</v>
      </c>
      <c r="BQ2239" t="s">
        <v>93</v>
      </c>
      <c r="BR2239" t="s">
        <v>84</v>
      </c>
      <c r="BS2239" s="3">
        <v>43811</v>
      </c>
      <c r="BT2239" s="5">
        <v>0.36805555555555558</v>
      </c>
      <c r="BU2239" t="s">
        <v>2084</v>
      </c>
      <c r="BV2239" t="s">
        <v>86</v>
      </c>
      <c r="BY2239">
        <v>1200</v>
      </c>
      <c r="CC2239" t="s">
        <v>333</v>
      </c>
      <c r="CD2239">
        <v>2094</v>
      </c>
      <c r="CE2239" t="s">
        <v>88</v>
      </c>
      <c r="CF2239" s="3">
        <v>43812</v>
      </c>
      <c r="CI2239">
        <v>1</v>
      </c>
      <c r="CJ2239">
        <v>1</v>
      </c>
      <c r="CK2239">
        <v>22</v>
      </c>
      <c r="CL2239" t="s">
        <v>89</v>
      </c>
    </row>
    <row r="2240" spans="1:90">
      <c r="A2240" t="s">
        <v>72</v>
      </c>
      <c r="B2240" t="s">
        <v>73</v>
      </c>
      <c r="C2240" t="s">
        <v>74</v>
      </c>
      <c r="E2240" t="str">
        <f>"FES1162727800"</f>
        <v>FES1162727800</v>
      </c>
      <c r="F2240" s="3">
        <v>43810</v>
      </c>
      <c r="G2240">
        <v>202006</v>
      </c>
      <c r="H2240" t="s">
        <v>75</v>
      </c>
      <c r="I2240" t="s">
        <v>76</v>
      </c>
      <c r="J2240" t="s">
        <v>77</v>
      </c>
      <c r="K2240" t="s">
        <v>78</v>
      </c>
      <c r="L2240" t="s">
        <v>709</v>
      </c>
      <c r="M2240" t="s">
        <v>710</v>
      </c>
      <c r="N2240" t="s">
        <v>2272</v>
      </c>
      <c r="O2240" t="s">
        <v>82</v>
      </c>
      <c r="P2240" t="str">
        <f>"2170718909                    "</f>
        <v xml:space="preserve">2170718909                    </v>
      </c>
      <c r="Q2240">
        <v>0</v>
      </c>
      <c r="R2240">
        <v>0</v>
      </c>
      <c r="S2240">
        <v>0</v>
      </c>
      <c r="T2240">
        <v>0</v>
      </c>
      <c r="U2240">
        <v>0</v>
      </c>
      <c r="V2240">
        <v>0</v>
      </c>
      <c r="W2240">
        <v>0</v>
      </c>
      <c r="X2240">
        <v>0</v>
      </c>
      <c r="Y2240">
        <v>0</v>
      </c>
      <c r="Z2240">
        <v>0</v>
      </c>
      <c r="AA2240">
        <v>0</v>
      </c>
      <c r="AB2240">
        <v>0</v>
      </c>
      <c r="AC2240">
        <v>0</v>
      </c>
      <c r="AD2240">
        <v>0</v>
      </c>
      <c r="AE2240">
        <v>0</v>
      </c>
      <c r="AF2240">
        <v>0</v>
      </c>
      <c r="AG2240">
        <v>0</v>
      </c>
      <c r="AH2240">
        <v>0</v>
      </c>
      <c r="AI2240">
        <v>0</v>
      </c>
      <c r="AJ2240">
        <v>0</v>
      </c>
      <c r="AK2240">
        <v>0</v>
      </c>
      <c r="AL2240">
        <v>0</v>
      </c>
      <c r="AM2240">
        <v>12.07</v>
      </c>
      <c r="AN2240">
        <v>0</v>
      </c>
      <c r="AO2240">
        <v>0</v>
      </c>
      <c r="AP2240">
        <v>0</v>
      </c>
      <c r="AQ2240">
        <v>0</v>
      </c>
      <c r="AR2240">
        <v>0</v>
      </c>
      <c r="AS2240">
        <v>0</v>
      </c>
      <c r="AT2240">
        <v>0</v>
      </c>
      <c r="AU2240">
        <v>0</v>
      </c>
      <c r="AV2240">
        <v>0</v>
      </c>
      <c r="AW2240">
        <v>0</v>
      </c>
      <c r="AX2240">
        <v>0</v>
      </c>
      <c r="AY2240">
        <v>0</v>
      </c>
      <c r="AZ2240">
        <v>0</v>
      </c>
      <c r="BA2240">
        <v>0</v>
      </c>
      <c r="BB2240">
        <v>0</v>
      </c>
      <c r="BC2240">
        <v>0</v>
      </c>
      <c r="BD2240">
        <v>0</v>
      </c>
      <c r="BE2240">
        <v>0</v>
      </c>
      <c r="BF2240">
        <v>0</v>
      </c>
      <c r="BG2240">
        <v>0</v>
      </c>
      <c r="BH2240">
        <v>1</v>
      </c>
      <c r="BI2240">
        <v>1</v>
      </c>
      <c r="BJ2240">
        <v>0.2</v>
      </c>
      <c r="BK2240">
        <v>1</v>
      </c>
      <c r="BL2240" s="4">
        <v>70.95</v>
      </c>
      <c r="BM2240" s="4">
        <v>10.64</v>
      </c>
      <c r="BN2240" s="4">
        <v>81.59</v>
      </c>
      <c r="BO2240" s="4">
        <v>81.59</v>
      </c>
      <c r="BR2240" t="s">
        <v>84</v>
      </c>
      <c r="BS2240" s="3">
        <v>43811</v>
      </c>
      <c r="BT2240" s="5">
        <v>0.43263888888888885</v>
      </c>
      <c r="BU2240" t="s">
        <v>2464</v>
      </c>
      <c r="BV2240" t="s">
        <v>86</v>
      </c>
      <c r="BY2240">
        <v>1200</v>
      </c>
      <c r="CA2240" t="s">
        <v>713</v>
      </c>
      <c r="CC2240" t="s">
        <v>710</v>
      </c>
      <c r="CD2240">
        <v>1939</v>
      </c>
      <c r="CE2240" t="s">
        <v>88</v>
      </c>
      <c r="CF2240" s="3">
        <v>43812</v>
      </c>
      <c r="CI2240">
        <v>1</v>
      </c>
      <c r="CJ2240">
        <v>1</v>
      </c>
      <c r="CK2240">
        <v>24</v>
      </c>
      <c r="CL2240" t="s">
        <v>89</v>
      </c>
    </row>
    <row r="2241" spans="1:90">
      <c r="A2241" t="s">
        <v>72</v>
      </c>
      <c r="B2241" t="s">
        <v>73</v>
      </c>
      <c r="C2241" t="s">
        <v>74</v>
      </c>
      <c r="E2241" t="str">
        <f>"FES1162727834"</f>
        <v>FES1162727834</v>
      </c>
      <c r="F2241" s="3">
        <v>43810</v>
      </c>
      <c r="G2241">
        <v>202006</v>
      </c>
      <c r="H2241" t="s">
        <v>75</v>
      </c>
      <c r="I2241" t="s">
        <v>76</v>
      </c>
      <c r="J2241" t="s">
        <v>77</v>
      </c>
      <c r="K2241" t="s">
        <v>78</v>
      </c>
      <c r="L2241" t="s">
        <v>75</v>
      </c>
      <c r="M2241" t="s">
        <v>76</v>
      </c>
      <c r="N2241" t="s">
        <v>305</v>
      </c>
      <c r="O2241" t="s">
        <v>82</v>
      </c>
      <c r="P2241" t="str">
        <f>"2170721284                    "</f>
        <v xml:space="preserve">2170721284                    </v>
      </c>
      <c r="Q2241">
        <v>0</v>
      </c>
      <c r="R2241">
        <v>0</v>
      </c>
      <c r="S2241">
        <v>0</v>
      </c>
      <c r="T2241">
        <v>0</v>
      </c>
      <c r="U2241">
        <v>0</v>
      </c>
      <c r="V2241">
        <v>0</v>
      </c>
      <c r="W2241">
        <v>0</v>
      </c>
      <c r="X2241">
        <v>0</v>
      </c>
      <c r="Y2241">
        <v>0</v>
      </c>
      <c r="Z2241">
        <v>0</v>
      </c>
      <c r="AA2241">
        <v>0</v>
      </c>
      <c r="AB2241">
        <v>0</v>
      </c>
      <c r="AC2241">
        <v>0</v>
      </c>
      <c r="AD2241">
        <v>0</v>
      </c>
      <c r="AE2241">
        <v>0</v>
      </c>
      <c r="AF2241">
        <v>0</v>
      </c>
      <c r="AG2241">
        <v>0</v>
      </c>
      <c r="AH2241">
        <v>0</v>
      </c>
      <c r="AI2241">
        <v>0</v>
      </c>
      <c r="AJ2241">
        <v>0</v>
      </c>
      <c r="AK2241">
        <v>0</v>
      </c>
      <c r="AL2241">
        <v>0</v>
      </c>
      <c r="AM2241">
        <v>6.71</v>
      </c>
      <c r="AN2241">
        <v>0</v>
      </c>
      <c r="AO2241">
        <v>0</v>
      </c>
      <c r="AP2241">
        <v>0</v>
      </c>
      <c r="AQ2241">
        <v>0</v>
      </c>
      <c r="AR2241">
        <v>0</v>
      </c>
      <c r="AS2241">
        <v>0</v>
      </c>
      <c r="AT2241">
        <v>0</v>
      </c>
      <c r="AU2241">
        <v>0</v>
      </c>
      <c r="AV2241">
        <v>0</v>
      </c>
      <c r="AW2241">
        <v>0</v>
      </c>
      <c r="AX2241">
        <v>0</v>
      </c>
      <c r="AY2241">
        <v>0</v>
      </c>
      <c r="AZ2241">
        <v>0</v>
      </c>
      <c r="BA2241">
        <v>0</v>
      </c>
      <c r="BB2241">
        <v>0</v>
      </c>
      <c r="BC2241">
        <v>0</v>
      </c>
      <c r="BD2241">
        <v>0</v>
      </c>
      <c r="BE2241">
        <v>0</v>
      </c>
      <c r="BF2241">
        <v>0</v>
      </c>
      <c r="BG2241">
        <v>0</v>
      </c>
      <c r="BH2241">
        <v>1</v>
      </c>
      <c r="BI2241">
        <v>1</v>
      </c>
      <c r="BJ2241">
        <v>0.2</v>
      </c>
      <c r="BK2241">
        <v>1</v>
      </c>
      <c r="BL2241" s="4">
        <v>39.42</v>
      </c>
      <c r="BM2241" s="4">
        <v>5.91</v>
      </c>
      <c r="BN2241" s="4">
        <v>45.33</v>
      </c>
      <c r="BO2241" s="4">
        <v>45.33</v>
      </c>
      <c r="BQ2241" t="s">
        <v>147</v>
      </c>
      <c r="BR2241" t="s">
        <v>84</v>
      </c>
      <c r="BS2241" s="3">
        <v>43811</v>
      </c>
      <c r="BT2241" s="5">
        <v>0.29166666666666669</v>
      </c>
      <c r="BU2241" t="s">
        <v>2465</v>
      </c>
      <c r="BV2241" t="s">
        <v>86</v>
      </c>
      <c r="BY2241">
        <v>1200</v>
      </c>
      <c r="CA2241" t="s">
        <v>307</v>
      </c>
      <c r="CC2241" t="s">
        <v>76</v>
      </c>
      <c r="CD2241">
        <v>1645</v>
      </c>
      <c r="CE2241" t="s">
        <v>88</v>
      </c>
      <c r="CF2241" s="3">
        <v>43812</v>
      </c>
      <c r="CI2241">
        <v>1</v>
      </c>
      <c r="CJ2241">
        <v>1</v>
      </c>
      <c r="CK2241">
        <v>22</v>
      </c>
      <c r="CL2241" t="s">
        <v>89</v>
      </c>
    </row>
    <row r="2242" spans="1:90">
      <c r="A2242" t="s">
        <v>72</v>
      </c>
      <c r="B2242" t="s">
        <v>73</v>
      </c>
      <c r="C2242" t="s">
        <v>74</v>
      </c>
      <c r="E2242" t="str">
        <f>"FES1162727723"</f>
        <v>FES1162727723</v>
      </c>
      <c r="F2242" s="3">
        <v>43810</v>
      </c>
      <c r="G2242">
        <v>202006</v>
      </c>
      <c r="H2242" t="s">
        <v>75</v>
      </c>
      <c r="I2242" t="s">
        <v>76</v>
      </c>
      <c r="J2242" t="s">
        <v>77</v>
      </c>
      <c r="K2242" t="s">
        <v>78</v>
      </c>
      <c r="L2242" t="s">
        <v>169</v>
      </c>
      <c r="M2242" t="s">
        <v>170</v>
      </c>
      <c r="N2242" t="s">
        <v>248</v>
      </c>
      <c r="O2242" t="s">
        <v>82</v>
      </c>
      <c r="P2242" t="str">
        <f>"2170719242                    "</f>
        <v xml:space="preserve">2170719242                    </v>
      </c>
      <c r="Q2242">
        <v>0</v>
      </c>
      <c r="R2242">
        <v>0</v>
      </c>
      <c r="S2242">
        <v>0</v>
      </c>
      <c r="T2242">
        <v>0</v>
      </c>
      <c r="U2242">
        <v>0</v>
      </c>
      <c r="V2242">
        <v>0</v>
      </c>
      <c r="W2242">
        <v>0</v>
      </c>
      <c r="X2242">
        <v>0</v>
      </c>
      <c r="Y2242">
        <v>0</v>
      </c>
      <c r="Z2242">
        <v>0</v>
      </c>
      <c r="AA2242">
        <v>0</v>
      </c>
      <c r="AB2242">
        <v>0</v>
      </c>
      <c r="AC2242">
        <v>0</v>
      </c>
      <c r="AD2242">
        <v>0</v>
      </c>
      <c r="AE2242">
        <v>0</v>
      </c>
      <c r="AF2242">
        <v>0</v>
      </c>
      <c r="AG2242">
        <v>0</v>
      </c>
      <c r="AH2242">
        <v>0</v>
      </c>
      <c r="AI2242">
        <v>0</v>
      </c>
      <c r="AJ2242">
        <v>0</v>
      </c>
      <c r="AK2242">
        <v>0</v>
      </c>
      <c r="AL2242">
        <v>0</v>
      </c>
      <c r="AM2242">
        <v>6.71</v>
      </c>
      <c r="AN2242">
        <v>0</v>
      </c>
      <c r="AO2242">
        <v>0</v>
      </c>
      <c r="AP2242">
        <v>0</v>
      </c>
      <c r="AQ2242">
        <v>0</v>
      </c>
      <c r="AR2242">
        <v>0</v>
      </c>
      <c r="AS2242">
        <v>0</v>
      </c>
      <c r="AT2242">
        <v>0</v>
      </c>
      <c r="AU2242">
        <v>0</v>
      </c>
      <c r="AV2242">
        <v>0</v>
      </c>
      <c r="AW2242">
        <v>0</v>
      </c>
      <c r="AX2242">
        <v>0</v>
      </c>
      <c r="AY2242">
        <v>0</v>
      </c>
      <c r="AZ2242">
        <v>0</v>
      </c>
      <c r="BA2242">
        <v>0</v>
      </c>
      <c r="BB2242">
        <v>0</v>
      </c>
      <c r="BC2242">
        <v>0</v>
      </c>
      <c r="BD2242">
        <v>0</v>
      </c>
      <c r="BE2242">
        <v>0</v>
      </c>
      <c r="BF2242">
        <v>0</v>
      </c>
      <c r="BG2242">
        <v>0</v>
      </c>
      <c r="BH2242">
        <v>1</v>
      </c>
      <c r="BI2242">
        <v>1</v>
      </c>
      <c r="BJ2242">
        <v>0.2</v>
      </c>
      <c r="BK2242">
        <v>1</v>
      </c>
      <c r="BL2242" s="4">
        <v>39.42</v>
      </c>
      <c r="BM2242" s="4">
        <v>5.91</v>
      </c>
      <c r="BN2242" s="4">
        <v>45.33</v>
      </c>
      <c r="BO2242" s="4">
        <v>45.33</v>
      </c>
      <c r="BQ2242" t="s">
        <v>147</v>
      </c>
      <c r="BR2242" t="s">
        <v>84</v>
      </c>
      <c r="BS2242" s="3">
        <v>43811</v>
      </c>
      <c r="BT2242" s="5">
        <v>0.34513888888888888</v>
      </c>
      <c r="BU2242" t="s">
        <v>1644</v>
      </c>
      <c r="BV2242" t="s">
        <v>86</v>
      </c>
      <c r="BY2242">
        <v>1200</v>
      </c>
      <c r="CA2242" t="s">
        <v>250</v>
      </c>
      <c r="CC2242" t="s">
        <v>170</v>
      </c>
      <c r="CD2242">
        <v>1459</v>
      </c>
      <c r="CE2242" t="s">
        <v>88</v>
      </c>
      <c r="CF2242" s="3">
        <v>43816</v>
      </c>
      <c r="CI2242">
        <v>1</v>
      </c>
      <c r="CJ2242">
        <v>1</v>
      </c>
      <c r="CK2242">
        <v>22</v>
      </c>
      <c r="CL2242" t="s">
        <v>89</v>
      </c>
    </row>
    <row r="2243" spans="1:90">
      <c r="A2243" t="s">
        <v>72</v>
      </c>
      <c r="B2243" t="s">
        <v>73</v>
      </c>
      <c r="C2243" t="s">
        <v>74</v>
      </c>
      <c r="E2243" t="str">
        <f>"FES1162727725"</f>
        <v>FES1162727725</v>
      </c>
      <c r="F2243" s="3">
        <v>43810</v>
      </c>
      <c r="G2243">
        <v>202006</v>
      </c>
      <c r="H2243" t="s">
        <v>75</v>
      </c>
      <c r="I2243" t="s">
        <v>76</v>
      </c>
      <c r="J2243" t="s">
        <v>77</v>
      </c>
      <c r="K2243" t="s">
        <v>78</v>
      </c>
      <c r="L2243" t="s">
        <v>404</v>
      </c>
      <c r="M2243" t="s">
        <v>405</v>
      </c>
      <c r="N2243" t="s">
        <v>612</v>
      </c>
      <c r="O2243" t="s">
        <v>82</v>
      </c>
      <c r="P2243" t="str">
        <f>"2170719896                    "</f>
        <v xml:space="preserve">2170719896                    </v>
      </c>
      <c r="Q2243">
        <v>0</v>
      </c>
      <c r="R2243">
        <v>0</v>
      </c>
      <c r="S2243">
        <v>0</v>
      </c>
      <c r="T2243">
        <v>0</v>
      </c>
      <c r="U2243">
        <v>0</v>
      </c>
      <c r="V2243">
        <v>0</v>
      </c>
      <c r="W2243">
        <v>0</v>
      </c>
      <c r="X2243">
        <v>0</v>
      </c>
      <c r="Y2243">
        <v>0</v>
      </c>
      <c r="Z2243">
        <v>0</v>
      </c>
      <c r="AA2243">
        <v>0</v>
      </c>
      <c r="AB2243">
        <v>0</v>
      </c>
      <c r="AC2243">
        <v>0</v>
      </c>
      <c r="AD2243">
        <v>0</v>
      </c>
      <c r="AE2243">
        <v>0</v>
      </c>
      <c r="AF2243">
        <v>0</v>
      </c>
      <c r="AG2243">
        <v>0</v>
      </c>
      <c r="AH2243">
        <v>0</v>
      </c>
      <c r="AI2243">
        <v>0</v>
      </c>
      <c r="AJ2243">
        <v>0</v>
      </c>
      <c r="AK2243">
        <v>0</v>
      </c>
      <c r="AL2243">
        <v>0</v>
      </c>
      <c r="AM2243">
        <v>8.58</v>
      </c>
      <c r="AN2243">
        <v>0</v>
      </c>
      <c r="AO2243">
        <v>0</v>
      </c>
      <c r="AP2243">
        <v>0</v>
      </c>
      <c r="AQ2243">
        <v>0</v>
      </c>
      <c r="AR2243">
        <v>0</v>
      </c>
      <c r="AS2243">
        <v>0</v>
      </c>
      <c r="AT2243">
        <v>0</v>
      </c>
      <c r="AU2243">
        <v>0</v>
      </c>
      <c r="AV2243">
        <v>0</v>
      </c>
      <c r="AW2243">
        <v>0</v>
      </c>
      <c r="AX2243">
        <v>0</v>
      </c>
      <c r="AY2243">
        <v>0</v>
      </c>
      <c r="AZ2243">
        <v>0</v>
      </c>
      <c r="BA2243">
        <v>0</v>
      </c>
      <c r="BB2243">
        <v>0</v>
      </c>
      <c r="BC2243">
        <v>0</v>
      </c>
      <c r="BD2243">
        <v>0</v>
      </c>
      <c r="BE2243">
        <v>0</v>
      </c>
      <c r="BF2243">
        <v>0</v>
      </c>
      <c r="BG2243">
        <v>0</v>
      </c>
      <c r="BH2243">
        <v>1</v>
      </c>
      <c r="BI2243">
        <v>1</v>
      </c>
      <c r="BJ2243">
        <v>0.2</v>
      </c>
      <c r="BK2243">
        <v>1</v>
      </c>
      <c r="BL2243" s="4">
        <v>50.45</v>
      </c>
      <c r="BM2243" s="4">
        <v>7.57</v>
      </c>
      <c r="BN2243" s="4">
        <v>58.02</v>
      </c>
      <c r="BO2243" s="4">
        <v>58.02</v>
      </c>
      <c r="BQ2243" t="s">
        <v>93</v>
      </c>
      <c r="BR2243" t="s">
        <v>84</v>
      </c>
      <c r="BS2243" s="3">
        <v>43811</v>
      </c>
      <c r="BT2243" s="5">
        <v>0.38819444444444445</v>
      </c>
      <c r="BU2243" t="s">
        <v>958</v>
      </c>
      <c r="BV2243" t="s">
        <v>86</v>
      </c>
      <c r="BY2243">
        <v>1200</v>
      </c>
      <c r="CA2243" t="s">
        <v>212</v>
      </c>
      <c r="CC2243" t="s">
        <v>405</v>
      </c>
      <c r="CD2243">
        <v>4026</v>
      </c>
      <c r="CE2243" t="s">
        <v>88</v>
      </c>
      <c r="CF2243" s="3">
        <v>43812</v>
      </c>
      <c r="CI2243">
        <v>1</v>
      </c>
      <c r="CJ2243">
        <v>1</v>
      </c>
      <c r="CK2243">
        <v>21</v>
      </c>
      <c r="CL2243" t="s">
        <v>89</v>
      </c>
    </row>
    <row r="2244" spans="1:90">
      <c r="A2244" t="s">
        <v>72</v>
      </c>
      <c r="B2244" t="s">
        <v>73</v>
      </c>
      <c r="C2244" t="s">
        <v>74</v>
      </c>
      <c r="E2244" t="str">
        <f>"FES1162727831"</f>
        <v>FES1162727831</v>
      </c>
      <c r="F2244" s="3">
        <v>43810</v>
      </c>
      <c r="G2244">
        <v>202006</v>
      </c>
      <c r="H2244" t="s">
        <v>75</v>
      </c>
      <c r="I2244" t="s">
        <v>76</v>
      </c>
      <c r="J2244" t="s">
        <v>77</v>
      </c>
      <c r="K2244" t="s">
        <v>78</v>
      </c>
      <c r="L2244" t="s">
        <v>198</v>
      </c>
      <c r="M2244" t="s">
        <v>199</v>
      </c>
      <c r="N2244" t="s">
        <v>297</v>
      </c>
      <c r="O2244" t="s">
        <v>82</v>
      </c>
      <c r="P2244" t="str">
        <f>"2170721278                    "</f>
        <v xml:space="preserve">2170721278                    </v>
      </c>
      <c r="Q2244">
        <v>0</v>
      </c>
      <c r="R2244">
        <v>0</v>
      </c>
      <c r="S2244">
        <v>0</v>
      </c>
      <c r="T2244">
        <v>0</v>
      </c>
      <c r="U2244">
        <v>0</v>
      </c>
      <c r="V2244">
        <v>0</v>
      </c>
      <c r="W2244">
        <v>0</v>
      </c>
      <c r="X2244">
        <v>0</v>
      </c>
      <c r="Y2244">
        <v>0</v>
      </c>
      <c r="Z2244">
        <v>0</v>
      </c>
      <c r="AA2244">
        <v>0</v>
      </c>
      <c r="AB2244">
        <v>0</v>
      </c>
      <c r="AC2244">
        <v>0</v>
      </c>
      <c r="AD2244">
        <v>0</v>
      </c>
      <c r="AE2244">
        <v>0</v>
      </c>
      <c r="AF2244">
        <v>0</v>
      </c>
      <c r="AG2244">
        <v>0</v>
      </c>
      <c r="AH2244">
        <v>0</v>
      </c>
      <c r="AI2244">
        <v>0</v>
      </c>
      <c r="AJ2244">
        <v>0</v>
      </c>
      <c r="AK2244">
        <v>0</v>
      </c>
      <c r="AL2244">
        <v>0</v>
      </c>
      <c r="AM2244">
        <v>8.58</v>
      </c>
      <c r="AN2244">
        <v>0</v>
      </c>
      <c r="AO2244">
        <v>0</v>
      </c>
      <c r="AP2244">
        <v>0</v>
      </c>
      <c r="AQ2244">
        <v>0</v>
      </c>
      <c r="AR2244">
        <v>0</v>
      </c>
      <c r="AS2244">
        <v>0</v>
      </c>
      <c r="AT2244">
        <v>0</v>
      </c>
      <c r="AU2244">
        <v>0</v>
      </c>
      <c r="AV2244">
        <v>0</v>
      </c>
      <c r="AW2244">
        <v>0</v>
      </c>
      <c r="AX2244">
        <v>0</v>
      </c>
      <c r="AY2244">
        <v>0</v>
      </c>
      <c r="AZ2244">
        <v>0</v>
      </c>
      <c r="BA2244">
        <v>0</v>
      </c>
      <c r="BB2244">
        <v>0</v>
      </c>
      <c r="BC2244">
        <v>0</v>
      </c>
      <c r="BD2244">
        <v>0</v>
      </c>
      <c r="BE2244">
        <v>0</v>
      </c>
      <c r="BF2244">
        <v>0</v>
      </c>
      <c r="BG2244">
        <v>0</v>
      </c>
      <c r="BH2244">
        <v>1</v>
      </c>
      <c r="BI2244">
        <v>1</v>
      </c>
      <c r="BJ2244">
        <v>0.2</v>
      </c>
      <c r="BK2244">
        <v>1</v>
      </c>
      <c r="BL2244" s="4">
        <v>50.45</v>
      </c>
      <c r="BM2244" s="4">
        <v>7.57</v>
      </c>
      <c r="BN2244" s="4">
        <v>58.02</v>
      </c>
      <c r="BO2244" s="4">
        <v>58.02</v>
      </c>
      <c r="BQ2244" t="s">
        <v>172</v>
      </c>
      <c r="BR2244" t="s">
        <v>84</v>
      </c>
      <c r="BS2244" s="3">
        <v>43811</v>
      </c>
      <c r="BT2244" s="5">
        <v>0.39027777777777778</v>
      </c>
      <c r="BU2244" t="s">
        <v>1666</v>
      </c>
      <c r="BV2244" t="s">
        <v>86</v>
      </c>
      <c r="BY2244">
        <v>1200</v>
      </c>
      <c r="CA2244" t="s">
        <v>1667</v>
      </c>
      <c r="CC2244" t="s">
        <v>199</v>
      </c>
      <c r="CD2244">
        <v>4000</v>
      </c>
      <c r="CE2244" t="s">
        <v>88</v>
      </c>
      <c r="CF2244" s="3">
        <v>43812</v>
      </c>
      <c r="CI2244">
        <v>1</v>
      </c>
      <c r="CJ2244">
        <v>1</v>
      </c>
      <c r="CK2244">
        <v>21</v>
      </c>
      <c r="CL2244" t="s">
        <v>89</v>
      </c>
    </row>
    <row r="2245" spans="1:90">
      <c r="A2245" t="s">
        <v>72</v>
      </c>
      <c r="B2245" t="s">
        <v>73</v>
      </c>
      <c r="C2245" t="s">
        <v>74</v>
      </c>
      <c r="E2245" t="str">
        <f>"FES1162727726"</f>
        <v>FES1162727726</v>
      </c>
      <c r="F2245" s="3">
        <v>43810</v>
      </c>
      <c r="G2245">
        <v>202006</v>
      </c>
      <c r="H2245" t="s">
        <v>75</v>
      </c>
      <c r="I2245" t="s">
        <v>76</v>
      </c>
      <c r="J2245" t="s">
        <v>77</v>
      </c>
      <c r="K2245" t="s">
        <v>78</v>
      </c>
      <c r="L2245" t="s">
        <v>198</v>
      </c>
      <c r="M2245" t="s">
        <v>199</v>
      </c>
      <c r="N2245" t="s">
        <v>639</v>
      </c>
      <c r="O2245" t="s">
        <v>82</v>
      </c>
      <c r="P2245" t="str">
        <f>"2170720578                    "</f>
        <v xml:space="preserve">2170720578                    </v>
      </c>
      <c r="Q2245">
        <v>0</v>
      </c>
      <c r="R2245">
        <v>0</v>
      </c>
      <c r="S2245">
        <v>0</v>
      </c>
      <c r="T2245">
        <v>0</v>
      </c>
      <c r="U2245">
        <v>0</v>
      </c>
      <c r="V2245">
        <v>0</v>
      </c>
      <c r="W2245">
        <v>0</v>
      </c>
      <c r="X2245">
        <v>0</v>
      </c>
      <c r="Y2245">
        <v>0</v>
      </c>
      <c r="Z2245">
        <v>0</v>
      </c>
      <c r="AA2245">
        <v>0</v>
      </c>
      <c r="AB2245">
        <v>0</v>
      </c>
      <c r="AC2245">
        <v>0</v>
      </c>
      <c r="AD2245">
        <v>0</v>
      </c>
      <c r="AE2245">
        <v>0</v>
      </c>
      <c r="AF2245">
        <v>0</v>
      </c>
      <c r="AG2245">
        <v>0</v>
      </c>
      <c r="AH2245">
        <v>0</v>
      </c>
      <c r="AI2245">
        <v>0</v>
      </c>
      <c r="AJ2245">
        <v>0</v>
      </c>
      <c r="AK2245">
        <v>0</v>
      </c>
      <c r="AL2245">
        <v>0</v>
      </c>
      <c r="AM2245">
        <v>8.58</v>
      </c>
      <c r="AN2245">
        <v>0</v>
      </c>
      <c r="AO2245">
        <v>0</v>
      </c>
      <c r="AP2245">
        <v>0</v>
      </c>
      <c r="AQ2245">
        <v>0</v>
      </c>
      <c r="AR2245">
        <v>0</v>
      </c>
      <c r="AS2245">
        <v>0</v>
      </c>
      <c r="AT2245">
        <v>0</v>
      </c>
      <c r="AU2245">
        <v>0</v>
      </c>
      <c r="AV2245">
        <v>0</v>
      </c>
      <c r="AW2245">
        <v>0</v>
      </c>
      <c r="AX2245">
        <v>0</v>
      </c>
      <c r="AY2245">
        <v>0</v>
      </c>
      <c r="AZ2245">
        <v>0</v>
      </c>
      <c r="BA2245">
        <v>0</v>
      </c>
      <c r="BB2245">
        <v>0</v>
      </c>
      <c r="BC2245">
        <v>0</v>
      </c>
      <c r="BD2245">
        <v>0</v>
      </c>
      <c r="BE2245">
        <v>0</v>
      </c>
      <c r="BF2245">
        <v>0</v>
      </c>
      <c r="BG2245">
        <v>0</v>
      </c>
      <c r="BH2245">
        <v>1</v>
      </c>
      <c r="BI2245">
        <v>1</v>
      </c>
      <c r="BJ2245">
        <v>0.2</v>
      </c>
      <c r="BK2245">
        <v>1</v>
      </c>
      <c r="BL2245" s="4">
        <v>50.45</v>
      </c>
      <c r="BM2245" s="4">
        <v>7.57</v>
      </c>
      <c r="BN2245" s="4">
        <v>58.02</v>
      </c>
      <c r="BO2245" s="4">
        <v>58.02</v>
      </c>
      <c r="BQ2245" t="s">
        <v>640</v>
      </c>
      <c r="BR2245" t="s">
        <v>84</v>
      </c>
      <c r="BS2245" s="3">
        <v>43811</v>
      </c>
      <c r="BT2245" s="5">
        <v>0.43055555555555558</v>
      </c>
      <c r="BU2245" t="s">
        <v>1217</v>
      </c>
      <c r="BV2245" t="s">
        <v>86</v>
      </c>
      <c r="BY2245">
        <v>1200</v>
      </c>
      <c r="CA2245" t="s">
        <v>2466</v>
      </c>
      <c r="CC2245" t="s">
        <v>199</v>
      </c>
      <c r="CD2245">
        <v>4052</v>
      </c>
      <c r="CE2245" t="s">
        <v>88</v>
      </c>
      <c r="CF2245" s="3">
        <v>43812</v>
      </c>
      <c r="CI2245">
        <v>1</v>
      </c>
      <c r="CJ2245">
        <v>1</v>
      </c>
      <c r="CK2245">
        <v>21</v>
      </c>
      <c r="CL2245" t="s">
        <v>89</v>
      </c>
    </row>
    <row r="2246" spans="1:90">
      <c r="A2246" t="s">
        <v>72</v>
      </c>
      <c r="B2246" t="s">
        <v>73</v>
      </c>
      <c r="C2246" t="s">
        <v>74</v>
      </c>
      <c r="E2246" t="str">
        <f>"FES1162727727"</f>
        <v>FES1162727727</v>
      </c>
      <c r="F2246" s="3">
        <v>43810</v>
      </c>
      <c r="G2246">
        <v>202006</v>
      </c>
      <c r="H2246" t="s">
        <v>75</v>
      </c>
      <c r="I2246" t="s">
        <v>76</v>
      </c>
      <c r="J2246" t="s">
        <v>77</v>
      </c>
      <c r="K2246" t="s">
        <v>78</v>
      </c>
      <c r="L2246" t="s">
        <v>849</v>
      </c>
      <c r="M2246" t="s">
        <v>850</v>
      </c>
      <c r="N2246" t="s">
        <v>1733</v>
      </c>
      <c r="O2246" t="s">
        <v>82</v>
      </c>
      <c r="P2246" t="str">
        <f>"21707120593                   "</f>
        <v xml:space="preserve">21707120593                   </v>
      </c>
      <c r="Q2246">
        <v>0</v>
      </c>
      <c r="R2246">
        <v>0</v>
      </c>
      <c r="S2246">
        <v>0</v>
      </c>
      <c r="T2246">
        <v>0</v>
      </c>
      <c r="U2246">
        <v>0</v>
      </c>
      <c r="V2246">
        <v>0</v>
      </c>
      <c r="W2246">
        <v>0</v>
      </c>
      <c r="X2246">
        <v>0</v>
      </c>
      <c r="Y2246">
        <v>0</v>
      </c>
      <c r="Z2246">
        <v>0</v>
      </c>
      <c r="AA2246">
        <v>0</v>
      </c>
      <c r="AB2246">
        <v>0</v>
      </c>
      <c r="AC2246">
        <v>0</v>
      </c>
      <c r="AD2246">
        <v>0</v>
      </c>
      <c r="AE2246">
        <v>0</v>
      </c>
      <c r="AF2246">
        <v>0</v>
      </c>
      <c r="AG2246">
        <v>0</v>
      </c>
      <c r="AH2246">
        <v>0</v>
      </c>
      <c r="AI2246">
        <v>0</v>
      </c>
      <c r="AJ2246">
        <v>0</v>
      </c>
      <c r="AK2246">
        <v>0</v>
      </c>
      <c r="AL2246">
        <v>0</v>
      </c>
      <c r="AM2246">
        <v>8.58</v>
      </c>
      <c r="AN2246">
        <v>0</v>
      </c>
      <c r="AO2246">
        <v>0</v>
      </c>
      <c r="AP2246">
        <v>0</v>
      </c>
      <c r="AQ2246">
        <v>0</v>
      </c>
      <c r="AR2246">
        <v>0</v>
      </c>
      <c r="AS2246">
        <v>0</v>
      </c>
      <c r="AT2246">
        <v>0</v>
      </c>
      <c r="AU2246">
        <v>0</v>
      </c>
      <c r="AV2246">
        <v>0</v>
      </c>
      <c r="AW2246">
        <v>0</v>
      </c>
      <c r="AX2246">
        <v>0</v>
      </c>
      <c r="AY2246">
        <v>0</v>
      </c>
      <c r="AZ2246">
        <v>0</v>
      </c>
      <c r="BA2246">
        <v>0</v>
      </c>
      <c r="BB2246">
        <v>0</v>
      </c>
      <c r="BC2246">
        <v>0</v>
      </c>
      <c r="BD2246">
        <v>0</v>
      </c>
      <c r="BE2246">
        <v>0</v>
      </c>
      <c r="BF2246">
        <v>0</v>
      </c>
      <c r="BG2246">
        <v>0</v>
      </c>
      <c r="BH2246">
        <v>1</v>
      </c>
      <c r="BI2246">
        <v>1</v>
      </c>
      <c r="BJ2246">
        <v>0.2</v>
      </c>
      <c r="BK2246">
        <v>1</v>
      </c>
      <c r="BL2246" s="4">
        <v>50.45</v>
      </c>
      <c r="BM2246" s="4">
        <v>7.57</v>
      </c>
      <c r="BN2246" s="4">
        <v>58.02</v>
      </c>
      <c r="BO2246" s="4">
        <v>58.02</v>
      </c>
      <c r="BQ2246" t="s">
        <v>1734</v>
      </c>
      <c r="BR2246" t="s">
        <v>84</v>
      </c>
      <c r="BS2246" s="3">
        <v>43812</v>
      </c>
      <c r="BT2246" s="5">
        <v>0.51250000000000007</v>
      </c>
      <c r="BU2246" t="s">
        <v>1735</v>
      </c>
      <c r="BV2246" t="s">
        <v>89</v>
      </c>
      <c r="BW2246" t="s">
        <v>506</v>
      </c>
      <c r="BX2246" t="s">
        <v>524</v>
      </c>
      <c r="BY2246">
        <v>1200</v>
      </c>
      <c r="CA2246" t="s">
        <v>1026</v>
      </c>
      <c r="CC2246" t="s">
        <v>850</v>
      </c>
      <c r="CD2246">
        <v>3290</v>
      </c>
      <c r="CE2246" t="s">
        <v>88</v>
      </c>
      <c r="CF2246" s="3">
        <v>43817</v>
      </c>
      <c r="CI2246">
        <v>1</v>
      </c>
      <c r="CJ2246">
        <v>2</v>
      </c>
      <c r="CK2246">
        <v>21</v>
      </c>
      <c r="CL2246" t="s">
        <v>89</v>
      </c>
    </row>
    <row r="2247" spans="1:90">
      <c r="A2247" t="s">
        <v>72</v>
      </c>
      <c r="B2247" t="s">
        <v>73</v>
      </c>
      <c r="C2247" t="s">
        <v>74</v>
      </c>
      <c r="E2247" t="str">
        <f>"FES1162727839"</f>
        <v>FES1162727839</v>
      </c>
      <c r="F2247" s="3">
        <v>43810</v>
      </c>
      <c r="G2247">
        <v>202006</v>
      </c>
      <c r="H2247" t="s">
        <v>75</v>
      </c>
      <c r="I2247" t="s">
        <v>76</v>
      </c>
      <c r="J2247" t="s">
        <v>77</v>
      </c>
      <c r="K2247" t="s">
        <v>78</v>
      </c>
      <c r="L2247" t="s">
        <v>198</v>
      </c>
      <c r="M2247" t="s">
        <v>199</v>
      </c>
      <c r="N2247" t="s">
        <v>297</v>
      </c>
      <c r="O2247" t="s">
        <v>82</v>
      </c>
      <c r="P2247" t="str">
        <f>"217071289                     "</f>
        <v xml:space="preserve">217071289                     </v>
      </c>
      <c r="Q2247">
        <v>0</v>
      </c>
      <c r="R2247">
        <v>0</v>
      </c>
      <c r="S2247">
        <v>0</v>
      </c>
      <c r="T2247">
        <v>0</v>
      </c>
      <c r="U2247">
        <v>0</v>
      </c>
      <c r="V2247">
        <v>0</v>
      </c>
      <c r="W2247">
        <v>0</v>
      </c>
      <c r="X2247">
        <v>0</v>
      </c>
      <c r="Y2247">
        <v>0</v>
      </c>
      <c r="Z2247">
        <v>0</v>
      </c>
      <c r="AA2247">
        <v>0</v>
      </c>
      <c r="AB2247">
        <v>0</v>
      </c>
      <c r="AC2247">
        <v>0</v>
      </c>
      <c r="AD2247">
        <v>0</v>
      </c>
      <c r="AE2247">
        <v>0</v>
      </c>
      <c r="AF2247">
        <v>0</v>
      </c>
      <c r="AG2247">
        <v>0</v>
      </c>
      <c r="AH2247">
        <v>0</v>
      </c>
      <c r="AI2247">
        <v>0</v>
      </c>
      <c r="AJ2247">
        <v>0</v>
      </c>
      <c r="AK2247">
        <v>0</v>
      </c>
      <c r="AL2247">
        <v>0</v>
      </c>
      <c r="AM2247">
        <v>8.58</v>
      </c>
      <c r="AN2247">
        <v>0</v>
      </c>
      <c r="AO2247">
        <v>0</v>
      </c>
      <c r="AP2247">
        <v>0</v>
      </c>
      <c r="AQ2247">
        <v>0</v>
      </c>
      <c r="AR2247">
        <v>0</v>
      </c>
      <c r="AS2247">
        <v>0</v>
      </c>
      <c r="AT2247">
        <v>0</v>
      </c>
      <c r="AU2247">
        <v>0</v>
      </c>
      <c r="AV2247">
        <v>0</v>
      </c>
      <c r="AW2247">
        <v>0</v>
      </c>
      <c r="AX2247">
        <v>0</v>
      </c>
      <c r="AY2247">
        <v>0</v>
      </c>
      <c r="AZ2247">
        <v>0</v>
      </c>
      <c r="BA2247">
        <v>0</v>
      </c>
      <c r="BB2247">
        <v>0</v>
      </c>
      <c r="BC2247">
        <v>0</v>
      </c>
      <c r="BD2247">
        <v>0</v>
      </c>
      <c r="BE2247">
        <v>0</v>
      </c>
      <c r="BF2247">
        <v>0</v>
      </c>
      <c r="BG2247">
        <v>0</v>
      </c>
      <c r="BH2247">
        <v>1</v>
      </c>
      <c r="BI2247">
        <v>1</v>
      </c>
      <c r="BJ2247">
        <v>0.2</v>
      </c>
      <c r="BK2247">
        <v>1</v>
      </c>
      <c r="BL2247" s="4">
        <v>50.45</v>
      </c>
      <c r="BM2247" s="4">
        <v>7.57</v>
      </c>
      <c r="BN2247" s="4">
        <v>58.02</v>
      </c>
      <c r="BO2247" s="4">
        <v>58.02</v>
      </c>
      <c r="BQ2247" t="s">
        <v>172</v>
      </c>
      <c r="BR2247" t="s">
        <v>84</v>
      </c>
      <c r="BS2247" s="3">
        <v>43811</v>
      </c>
      <c r="BT2247" s="5">
        <v>0.39027777777777778</v>
      </c>
      <c r="BU2247" t="s">
        <v>1666</v>
      </c>
      <c r="BV2247" t="s">
        <v>86</v>
      </c>
      <c r="BY2247">
        <v>1200</v>
      </c>
      <c r="CA2247" t="s">
        <v>1667</v>
      </c>
      <c r="CC2247" t="s">
        <v>199</v>
      </c>
      <c r="CD2247">
        <v>4000</v>
      </c>
      <c r="CE2247" t="s">
        <v>88</v>
      </c>
      <c r="CF2247" s="3">
        <v>43812</v>
      </c>
      <c r="CI2247">
        <v>1</v>
      </c>
      <c r="CJ2247">
        <v>1</v>
      </c>
      <c r="CK2247">
        <v>21</v>
      </c>
      <c r="CL2247" t="s">
        <v>89</v>
      </c>
    </row>
    <row r="2248" spans="1:90">
      <c r="A2248" t="s">
        <v>72</v>
      </c>
      <c r="B2248" t="s">
        <v>73</v>
      </c>
      <c r="C2248" t="s">
        <v>74</v>
      </c>
      <c r="E2248" t="str">
        <f>"FES1162727734"</f>
        <v>FES1162727734</v>
      </c>
      <c r="F2248" s="3">
        <v>43810</v>
      </c>
      <c r="G2248">
        <v>202006</v>
      </c>
      <c r="H2248" t="s">
        <v>75</v>
      </c>
      <c r="I2248" t="s">
        <v>76</v>
      </c>
      <c r="J2248" t="s">
        <v>77</v>
      </c>
      <c r="K2248" t="s">
        <v>78</v>
      </c>
      <c r="L2248" t="s">
        <v>446</v>
      </c>
      <c r="M2248" t="s">
        <v>447</v>
      </c>
      <c r="N2248" t="s">
        <v>2467</v>
      </c>
      <c r="O2248" t="s">
        <v>82</v>
      </c>
      <c r="P2248" t="str">
        <f>"21707121209                   "</f>
        <v xml:space="preserve">21707121209                   </v>
      </c>
      <c r="Q2248">
        <v>0</v>
      </c>
      <c r="R2248">
        <v>0</v>
      </c>
      <c r="S2248">
        <v>0</v>
      </c>
      <c r="T2248">
        <v>0</v>
      </c>
      <c r="U2248">
        <v>0</v>
      </c>
      <c r="V2248">
        <v>0</v>
      </c>
      <c r="W2248">
        <v>0</v>
      </c>
      <c r="X2248">
        <v>0</v>
      </c>
      <c r="Y2248">
        <v>0</v>
      </c>
      <c r="Z2248">
        <v>0</v>
      </c>
      <c r="AA2248">
        <v>0</v>
      </c>
      <c r="AB2248">
        <v>0</v>
      </c>
      <c r="AC2248">
        <v>0</v>
      </c>
      <c r="AD2248">
        <v>0</v>
      </c>
      <c r="AE2248">
        <v>0</v>
      </c>
      <c r="AF2248">
        <v>0</v>
      </c>
      <c r="AG2248">
        <v>0</v>
      </c>
      <c r="AH2248">
        <v>0</v>
      </c>
      <c r="AI2248">
        <v>0</v>
      </c>
      <c r="AJ2248">
        <v>0</v>
      </c>
      <c r="AK2248">
        <v>0</v>
      </c>
      <c r="AL2248">
        <v>0</v>
      </c>
      <c r="AM2248">
        <v>8.58</v>
      </c>
      <c r="AN2248">
        <v>0</v>
      </c>
      <c r="AO2248">
        <v>0</v>
      </c>
      <c r="AP2248">
        <v>0</v>
      </c>
      <c r="AQ2248">
        <v>0</v>
      </c>
      <c r="AR2248">
        <v>0</v>
      </c>
      <c r="AS2248">
        <v>0</v>
      </c>
      <c r="AT2248">
        <v>0</v>
      </c>
      <c r="AU2248">
        <v>0</v>
      </c>
      <c r="AV2248">
        <v>0</v>
      </c>
      <c r="AW2248">
        <v>0</v>
      </c>
      <c r="AX2248">
        <v>0</v>
      </c>
      <c r="AY2248">
        <v>0</v>
      </c>
      <c r="AZ2248">
        <v>0</v>
      </c>
      <c r="BA2248">
        <v>0</v>
      </c>
      <c r="BB2248">
        <v>0</v>
      </c>
      <c r="BC2248">
        <v>0</v>
      </c>
      <c r="BD2248">
        <v>0</v>
      </c>
      <c r="BE2248">
        <v>0</v>
      </c>
      <c r="BF2248">
        <v>0</v>
      </c>
      <c r="BG2248">
        <v>0</v>
      </c>
      <c r="BH2248">
        <v>1</v>
      </c>
      <c r="BI2248">
        <v>1</v>
      </c>
      <c r="BJ2248">
        <v>0.2</v>
      </c>
      <c r="BK2248">
        <v>1</v>
      </c>
      <c r="BL2248" s="4">
        <v>50.45</v>
      </c>
      <c r="BM2248" s="4">
        <v>7.57</v>
      </c>
      <c r="BN2248" s="4">
        <v>58.02</v>
      </c>
      <c r="BO2248" s="4">
        <v>58.02</v>
      </c>
      <c r="BQ2248" t="s">
        <v>135</v>
      </c>
      <c r="BR2248" t="s">
        <v>84</v>
      </c>
      <c r="BS2248" s="3">
        <v>43811</v>
      </c>
      <c r="BT2248" s="5">
        <v>0.38125000000000003</v>
      </c>
      <c r="BU2248" t="s">
        <v>2468</v>
      </c>
      <c r="BV2248" t="s">
        <v>86</v>
      </c>
      <c r="BY2248">
        <v>1200</v>
      </c>
      <c r="CA2248" t="s">
        <v>212</v>
      </c>
      <c r="CC2248" t="s">
        <v>447</v>
      </c>
      <c r="CD2248">
        <v>4110</v>
      </c>
      <c r="CE2248" t="s">
        <v>88</v>
      </c>
      <c r="CF2248" s="3">
        <v>43812</v>
      </c>
      <c r="CI2248">
        <v>1</v>
      </c>
      <c r="CJ2248">
        <v>1</v>
      </c>
      <c r="CK2248">
        <v>21</v>
      </c>
      <c r="CL2248" t="s">
        <v>89</v>
      </c>
    </row>
    <row r="2249" spans="1:90">
      <c r="A2249" t="s">
        <v>72</v>
      </c>
      <c r="B2249" t="s">
        <v>73</v>
      </c>
      <c r="C2249" t="s">
        <v>74</v>
      </c>
      <c r="E2249" t="str">
        <f>"FES1162727720"</f>
        <v>FES1162727720</v>
      </c>
      <c r="F2249" s="3">
        <v>43810</v>
      </c>
      <c r="G2249">
        <v>202006</v>
      </c>
      <c r="H2249" t="s">
        <v>75</v>
      </c>
      <c r="I2249" t="s">
        <v>76</v>
      </c>
      <c r="J2249" t="s">
        <v>77</v>
      </c>
      <c r="K2249" t="s">
        <v>78</v>
      </c>
      <c r="L2249" t="s">
        <v>198</v>
      </c>
      <c r="M2249" t="s">
        <v>199</v>
      </c>
      <c r="N2249" t="s">
        <v>297</v>
      </c>
      <c r="O2249" t="s">
        <v>82</v>
      </c>
      <c r="P2249" t="str">
        <f>"2170719186                    "</f>
        <v xml:space="preserve">2170719186                    </v>
      </c>
      <c r="Q2249">
        <v>0</v>
      </c>
      <c r="R2249">
        <v>0</v>
      </c>
      <c r="S2249">
        <v>0</v>
      </c>
      <c r="T2249">
        <v>0</v>
      </c>
      <c r="U2249">
        <v>0</v>
      </c>
      <c r="V2249">
        <v>0</v>
      </c>
      <c r="W2249">
        <v>0</v>
      </c>
      <c r="X2249">
        <v>0</v>
      </c>
      <c r="Y2249">
        <v>0</v>
      </c>
      <c r="Z2249">
        <v>0</v>
      </c>
      <c r="AA2249">
        <v>0</v>
      </c>
      <c r="AB2249">
        <v>0</v>
      </c>
      <c r="AC2249">
        <v>0</v>
      </c>
      <c r="AD2249">
        <v>0</v>
      </c>
      <c r="AE2249">
        <v>0</v>
      </c>
      <c r="AF2249">
        <v>0</v>
      </c>
      <c r="AG2249">
        <v>0</v>
      </c>
      <c r="AH2249">
        <v>0</v>
      </c>
      <c r="AI2249">
        <v>0</v>
      </c>
      <c r="AJ2249">
        <v>0</v>
      </c>
      <c r="AK2249">
        <v>0</v>
      </c>
      <c r="AL2249">
        <v>0</v>
      </c>
      <c r="AM2249">
        <v>8.58</v>
      </c>
      <c r="AN2249">
        <v>0</v>
      </c>
      <c r="AO2249">
        <v>0</v>
      </c>
      <c r="AP2249">
        <v>0</v>
      </c>
      <c r="AQ2249">
        <v>0</v>
      </c>
      <c r="AR2249">
        <v>0</v>
      </c>
      <c r="AS2249">
        <v>0</v>
      </c>
      <c r="AT2249">
        <v>0</v>
      </c>
      <c r="AU2249">
        <v>0</v>
      </c>
      <c r="AV2249">
        <v>0</v>
      </c>
      <c r="AW2249">
        <v>0</v>
      </c>
      <c r="AX2249">
        <v>0</v>
      </c>
      <c r="AY2249">
        <v>0</v>
      </c>
      <c r="AZ2249">
        <v>0</v>
      </c>
      <c r="BA2249">
        <v>0</v>
      </c>
      <c r="BB2249">
        <v>0</v>
      </c>
      <c r="BC2249">
        <v>0</v>
      </c>
      <c r="BD2249">
        <v>0</v>
      </c>
      <c r="BE2249">
        <v>0</v>
      </c>
      <c r="BF2249">
        <v>0</v>
      </c>
      <c r="BG2249">
        <v>0</v>
      </c>
      <c r="BH2249">
        <v>1</v>
      </c>
      <c r="BI2249">
        <v>1</v>
      </c>
      <c r="BJ2249">
        <v>0.2</v>
      </c>
      <c r="BK2249">
        <v>1</v>
      </c>
      <c r="BL2249" s="4">
        <v>50.45</v>
      </c>
      <c r="BM2249" s="4">
        <v>7.57</v>
      </c>
      <c r="BN2249" s="4">
        <v>58.02</v>
      </c>
      <c r="BO2249" s="4">
        <v>58.02</v>
      </c>
      <c r="BQ2249" t="s">
        <v>172</v>
      </c>
      <c r="BR2249" t="s">
        <v>84</v>
      </c>
      <c r="BS2249" s="3">
        <v>43811</v>
      </c>
      <c r="BT2249" s="5">
        <v>0.39027777777777778</v>
      </c>
      <c r="BU2249" t="s">
        <v>1666</v>
      </c>
      <c r="BV2249" t="s">
        <v>86</v>
      </c>
      <c r="BY2249">
        <v>1200</v>
      </c>
      <c r="CA2249" t="s">
        <v>1667</v>
      </c>
      <c r="CC2249" t="s">
        <v>199</v>
      </c>
      <c r="CD2249">
        <v>4000</v>
      </c>
      <c r="CE2249" t="s">
        <v>88</v>
      </c>
      <c r="CF2249" s="3">
        <v>43812</v>
      </c>
      <c r="CI2249">
        <v>1</v>
      </c>
      <c r="CJ2249">
        <v>1</v>
      </c>
      <c r="CK2249">
        <v>21</v>
      </c>
      <c r="CL2249" t="s">
        <v>89</v>
      </c>
    </row>
    <row r="2250" spans="1:90">
      <c r="A2250" t="s">
        <v>72</v>
      </c>
      <c r="B2250" t="s">
        <v>73</v>
      </c>
      <c r="C2250" t="s">
        <v>74</v>
      </c>
      <c r="E2250" t="str">
        <f>"FES1162726616"</f>
        <v>FES1162726616</v>
      </c>
      <c r="F2250" s="3">
        <v>43810</v>
      </c>
      <c r="G2250">
        <v>202006</v>
      </c>
      <c r="H2250" t="s">
        <v>75</v>
      </c>
      <c r="I2250" t="s">
        <v>76</v>
      </c>
      <c r="J2250" t="s">
        <v>77</v>
      </c>
      <c r="K2250" t="s">
        <v>78</v>
      </c>
      <c r="L2250" t="s">
        <v>138</v>
      </c>
      <c r="M2250" t="s">
        <v>139</v>
      </c>
      <c r="N2250" t="s">
        <v>146</v>
      </c>
      <c r="O2250" t="s">
        <v>82</v>
      </c>
      <c r="P2250" t="str">
        <f>"2170720095                    "</f>
        <v xml:space="preserve">2170720095                    </v>
      </c>
      <c r="Q2250">
        <v>0</v>
      </c>
      <c r="R2250">
        <v>0</v>
      </c>
      <c r="S2250">
        <v>0</v>
      </c>
      <c r="T2250">
        <v>0</v>
      </c>
      <c r="U2250">
        <v>0</v>
      </c>
      <c r="V2250">
        <v>0</v>
      </c>
      <c r="W2250">
        <v>0</v>
      </c>
      <c r="X2250">
        <v>0</v>
      </c>
      <c r="Y2250">
        <v>0</v>
      </c>
      <c r="Z2250">
        <v>0</v>
      </c>
      <c r="AA2250">
        <v>0</v>
      </c>
      <c r="AB2250">
        <v>0</v>
      </c>
      <c r="AC2250">
        <v>0</v>
      </c>
      <c r="AD2250">
        <v>0</v>
      </c>
      <c r="AE2250">
        <v>0</v>
      </c>
      <c r="AF2250">
        <v>0</v>
      </c>
      <c r="AG2250">
        <v>0</v>
      </c>
      <c r="AH2250">
        <v>0</v>
      </c>
      <c r="AI2250">
        <v>0</v>
      </c>
      <c r="AJ2250">
        <v>0</v>
      </c>
      <c r="AK2250">
        <v>0</v>
      </c>
      <c r="AL2250">
        <v>0</v>
      </c>
      <c r="AM2250">
        <v>6.71</v>
      </c>
      <c r="AN2250">
        <v>0</v>
      </c>
      <c r="AO2250">
        <v>0</v>
      </c>
      <c r="AP2250">
        <v>0</v>
      </c>
      <c r="AQ2250">
        <v>0</v>
      </c>
      <c r="AR2250">
        <v>0</v>
      </c>
      <c r="AS2250">
        <v>0</v>
      </c>
      <c r="AT2250">
        <v>0</v>
      </c>
      <c r="AU2250">
        <v>0</v>
      </c>
      <c r="AV2250">
        <v>0</v>
      </c>
      <c r="AW2250">
        <v>0</v>
      </c>
      <c r="AX2250">
        <v>0</v>
      </c>
      <c r="AY2250">
        <v>0</v>
      </c>
      <c r="AZ2250">
        <v>0</v>
      </c>
      <c r="BA2250">
        <v>0</v>
      </c>
      <c r="BB2250">
        <v>0</v>
      </c>
      <c r="BC2250">
        <v>0</v>
      </c>
      <c r="BD2250">
        <v>0</v>
      </c>
      <c r="BE2250">
        <v>0</v>
      </c>
      <c r="BF2250">
        <v>0</v>
      </c>
      <c r="BG2250">
        <v>0</v>
      </c>
      <c r="BH2250">
        <v>1</v>
      </c>
      <c r="BI2250">
        <v>1</v>
      </c>
      <c r="BJ2250">
        <v>0.2</v>
      </c>
      <c r="BK2250">
        <v>1</v>
      </c>
      <c r="BL2250" s="4">
        <v>39.42</v>
      </c>
      <c r="BM2250" s="4">
        <v>5.91</v>
      </c>
      <c r="BN2250" s="4">
        <v>45.33</v>
      </c>
      <c r="BO2250" s="4">
        <v>45.33</v>
      </c>
      <c r="BQ2250" t="s">
        <v>147</v>
      </c>
      <c r="BR2250" t="s">
        <v>84</v>
      </c>
      <c r="BS2250" s="3">
        <v>43811</v>
      </c>
      <c r="BT2250" s="5">
        <v>0.37847222222222227</v>
      </c>
      <c r="BU2250" t="s">
        <v>2469</v>
      </c>
      <c r="BV2250" t="s">
        <v>86</v>
      </c>
      <c r="BY2250">
        <v>1200</v>
      </c>
      <c r="CC2250" t="s">
        <v>139</v>
      </c>
      <c r="CD2250">
        <v>1428</v>
      </c>
      <c r="CE2250" t="s">
        <v>88</v>
      </c>
      <c r="CF2250" s="3">
        <v>43812</v>
      </c>
      <c r="CI2250">
        <v>1</v>
      </c>
      <c r="CJ2250">
        <v>1</v>
      </c>
      <c r="CK2250">
        <v>22</v>
      </c>
      <c r="CL2250" t="s">
        <v>89</v>
      </c>
    </row>
    <row r="2251" spans="1:90">
      <c r="A2251" t="s">
        <v>72</v>
      </c>
      <c r="B2251" t="s">
        <v>73</v>
      </c>
      <c r="C2251" t="s">
        <v>74</v>
      </c>
      <c r="E2251" t="str">
        <f>"FES1162727848"</f>
        <v>FES1162727848</v>
      </c>
      <c r="F2251" s="3">
        <v>43810</v>
      </c>
      <c r="G2251">
        <v>202006</v>
      </c>
      <c r="H2251" t="s">
        <v>75</v>
      </c>
      <c r="I2251" t="s">
        <v>76</v>
      </c>
      <c r="J2251" t="s">
        <v>77</v>
      </c>
      <c r="K2251" t="s">
        <v>78</v>
      </c>
      <c r="L2251" t="s">
        <v>860</v>
      </c>
      <c r="M2251" t="s">
        <v>861</v>
      </c>
      <c r="N2251" t="s">
        <v>1395</v>
      </c>
      <c r="O2251" t="s">
        <v>82</v>
      </c>
      <c r="P2251" t="str">
        <f>"2170721306                    "</f>
        <v xml:space="preserve">2170721306                    </v>
      </c>
      <c r="Q2251">
        <v>0</v>
      </c>
      <c r="R2251">
        <v>0</v>
      </c>
      <c r="S2251">
        <v>0</v>
      </c>
      <c r="T2251">
        <v>0</v>
      </c>
      <c r="U2251">
        <v>0</v>
      </c>
      <c r="V2251">
        <v>0</v>
      </c>
      <c r="W2251">
        <v>0</v>
      </c>
      <c r="X2251">
        <v>0</v>
      </c>
      <c r="Y2251">
        <v>0</v>
      </c>
      <c r="Z2251">
        <v>0</v>
      </c>
      <c r="AA2251">
        <v>0</v>
      </c>
      <c r="AB2251">
        <v>0</v>
      </c>
      <c r="AC2251">
        <v>0</v>
      </c>
      <c r="AD2251">
        <v>0</v>
      </c>
      <c r="AE2251">
        <v>0</v>
      </c>
      <c r="AF2251">
        <v>0</v>
      </c>
      <c r="AG2251">
        <v>0</v>
      </c>
      <c r="AH2251">
        <v>0</v>
      </c>
      <c r="AI2251">
        <v>0</v>
      </c>
      <c r="AJ2251">
        <v>0</v>
      </c>
      <c r="AK2251">
        <v>0</v>
      </c>
      <c r="AL2251">
        <v>0</v>
      </c>
      <c r="AM2251">
        <v>6.71</v>
      </c>
      <c r="AN2251">
        <v>0</v>
      </c>
      <c r="AO2251">
        <v>0</v>
      </c>
      <c r="AP2251">
        <v>0</v>
      </c>
      <c r="AQ2251">
        <v>0</v>
      </c>
      <c r="AR2251">
        <v>0</v>
      </c>
      <c r="AS2251">
        <v>0</v>
      </c>
      <c r="AT2251">
        <v>0</v>
      </c>
      <c r="AU2251">
        <v>0</v>
      </c>
      <c r="AV2251">
        <v>0</v>
      </c>
      <c r="AW2251">
        <v>0</v>
      </c>
      <c r="AX2251">
        <v>0</v>
      </c>
      <c r="AY2251">
        <v>0</v>
      </c>
      <c r="AZ2251">
        <v>0</v>
      </c>
      <c r="BA2251">
        <v>0</v>
      </c>
      <c r="BB2251">
        <v>0</v>
      </c>
      <c r="BC2251">
        <v>0</v>
      </c>
      <c r="BD2251">
        <v>0</v>
      </c>
      <c r="BE2251">
        <v>0</v>
      </c>
      <c r="BF2251">
        <v>0</v>
      </c>
      <c r="BG2251">
        <v>0</v>
      </c>
      <c r="BH2251">
        <v>1</v>
      </c>
      <c r="BI2251">
        <v>1</v>
      </c>
      <c r="BJ2251">
        <v>0.2</v>
      </c>
      <c r="BK2251">
        <v>1</v>
      </c>
      <c r="BL2251" s="4">
        <v>39.42</v>
      </c>
      <c r="BM2251" s="4">
        <v>5.91</v>
      </c>
      <c r="BN2251" s="4">
        <v>45.33</v>
      </c>
      <c r="BO2251" s="4">
        <v>45.33</v>
      </c>
      <c r="BQ2251" t="s">
        <v>147</v>
      </c>
      <c r="BR2251" t="s">
        <v>84</v>
      </c>
      <c r="BS2251" s="3">
        <v>43811</v>
      </c>
      <c r="BT2251" s="5">
        <v>0.4201388888888889</v>
      </c>
      <c r="BU2251" t="s">
        <v>1396</v>
      </c>
      <c r="BV2251" t="s">
        <v>86</v>
      </c>
      <c r="BY2251">
        <v>1200</v>
      </c>
      <c r="CA2251" t="s">
        <v>1397</v>
      </c>
      <c r="CC2251" t="s">
        <v>861</v>
      </c>
      <c r="CD2251">
        <v>2163</v>
      </c>
      <c r="CE2251" t="s">
        <v>88</v>
      </c>
      <c r="CF2251" s="3">
        <v>43812</v>
      </c>
      <c r="CI2251">
        <v>1</v>
      </c>
      <c r="CJ2251">
        <v>1</v>
      </c>
      <c r="CK2251">
        <v>22</v>
      </c>
      <c r="CL2251" t="s">
        <v>89</v>
      </c>
    </row>
    <row r="2252" spans="1:90">
      <c r="A2252" t="s">
        <v>72</v>
      </c>
      <c r="B2252" t="s">
        <v>73</v>
      </c>
      <c r="C2252" t="s">
        <v>74</v>
      </c>
      <c r="E2252" t="str">
        <f>"FES1162727838"</f>
        <v>FES1162727838</v>
      </c>
      <c r="F2252" s="3">
        <v>43810</v>
      </c>
      <c r="G2252">
        <v>202006</v>
      </c>
      <c r="H2252" t="s">
        <v>75</v>
      </c>
      <c r="I2252" t="s">
        <v>76</v>
      </c>
      <c r="J2252" t="s">
        <v>77</v>
      </c>
      <c r="K2252" t="s">
        <v>78</v>
      </c>
      <c r="L2252" t="s">
        <v>198</v>
      </c>
      <c r="M2252" t="s">
        <v>199</v>
      </c>
      <c r="N2252" t="s">
        <v>485</v>
      </c>
      <c r="O2252" t="s">
        <v>82</v>
      </c>
      <c r="P2252" t="str">
        <f>"21707121288                   "</f>
        <v xml:space="preserve">21707121288                   </v>
      </c>
      <c r="Q2252">
        <v>0</v>
      </c>
      <c r="R2252">
        <v>0</v>
      </c>
      <c r="S2252">
        <v>0</v>
      </c>
      <c r="T2252">
        <v>0</v>
      </c>
      <c r="U2252">
        <v>0</v>
      </c>
      <c r="V2252">
        <v>0</v>
      </c>
      <c r="W2252">
        <v>0</v>
      </c>
      <c r="X2252">
        <v>0</v>
      </c>
      <c r="Y2252">
        <v>0</v>
      </c>
      <c r="Z2252">
        <v>0</v>
      </c>
      <c r="AA2252">
        <v>0</v>
      </c>
      <c r="AB2252">
        <v>0</v>
      </c>
      <c r="AC2252">
        <v>0</v>
      </c>
      <c r="AD2252">
        <v>0</v>
      </c>
      <c r="AE2252">
        <v>0</v>
      </c>
      <c r="AF2252">
        <v>0</v>
      </c>
      <c r="AG2252">
        <v>0</v>
      </c>
      <c r="AH2252">
        <v>0</v>
      </c>
      <c r="AI2252">
        <v>0</v>
      </c>
      <c r="AJ2252">
        <v>0</v>
      </c>
      <c r="AK2252">
        <v>0</v>
      </c>
      <c r="AL2252">
        <v>0</v>
      </c>
      <c r="AM2252">
        <v>8.58</v>
      </c>
      <c r="AN2252">
        <v>0</v>
      </c>
      <c r="AO2252">
        <v>0</v>
      </c>
      <c r="AP2252">
        <v>0</v>
      </c>
      <c r="AQ2252">
        <v>0</v>
      </c>
      <c r="AR2252">
        <v>0</v>
      </c>
      <c r="AS2252">
        <v>0</v>
      </c>
      <c r="AT2252">
        <v>0</v>
      </c>
      <c r="AU2252">
        <v>0</v>
      </c>
      <c r="AV2252">
        <v>0</v>
      </c>
      <c r="AW2252">
        <v>0</v>
      </c>
      <c r="AX2252">
        <v>0</v>
      </c>
      <c r="AY2252">
        <v>0</v>
      </c>
      <c r="AZ2252">
        <v>0</v>
      </c>
      <c r="BA2252">
        <v>0</v>
      </c>
      <c r="BB2252">
        <v>0</v>
      </c>
      <c r="BC2252">
        <v>0</v>
      </c>
      <c r="BD2252">
        <v>0</v>
      </c>
      <c r="BE2252">
        <v>0</v>
      </c>
      <c r="BF2252">
        <v>0</v>
      </c>
      <c r="BG2252">
        <v>0</v>
      </c>
      <c r="BH2252">
        <v>1</v>
      </c>
      <c r="BI2252">
        <v>1</v>
      </c>
      <c r="BJ2252">
        <v>0.2</v>
      </c>
      <c r="BK2252">
        <v>1</v>
      </c>
      <c r="BL2252" s="4">
        <v>50.45</v>
      </c>
      <c r="BM2252" s="4">
        <v>7.57</v>
      </c>
      <c r="BN2252" s="4">
        <v>58.02</v>
      </c>
      <c r="BO2252" s="4">
        <v>58.02</v>
      </c>
      <c r="BQ2252" t="s">
        <v>486</v>
      </c>
      <c r="BR2252" t="s">
        <v>84</v>
      </c>
      <c r="BS2252" s="3">
        <v>43811</v>
      </c>
      <c r="BT2252" s="5">
        <v>0.35833333333333334</v>
      </c>
      <c r="BU2252" t="s">
        <v>742</v>
      </c>
      <c r="BV2252" t="s">
        <v>86</v>
      </c>
      <c r="BY2252">
        <v>1200</v>
      </c>
      <c r="CA2252" t="s">
        <v>488</v>
      </c>
      <c r="CC2252" t="s">
        <v>199</v>
      </c>
      <c r="CD2252">
        <v>4001</v>
      </c>
      <c r="CE2252" t="s">
        <v>88</v>
      </c>
      <c r="CF2252" s="3">
        <v>43812</v>
      </c>
      <c r="CI2252">
        <v>1</v>
      </c>
      <c r="CJ2252">
        <v>1</v>
      </c>
      <c r="CK2252">
        <v>21</v>
      </c>
      <c r="CL2252" t="s">
        <v>89</v>
      </c>
    </row>
    <row r="2253" spans="1:90">
      <c r="A2253" t="s">
        <v>72</v>
      </c>
      <c r="B2253" t="s">
        <v>73</v>
      </c>
      <c r="C2253" t="s">
        <v>74</v>
      </c>
      <c r="E2253" t="str">
        <f>"FES1162727715"</f>
        <v>FES1162727715</v>
      </c>
      <c r="F2253" s="3">
        <v>43810</v>
      </c>
      <c r="G2253">
        <v>202006</v>
      </c>
      <c r="H2253" t="s">
        <v>75</v>
      </c>
      <c r="I2253" t="s">
        <v>76</v>
      </c>
      <c r="J2253" t="s">
        <v>77</v>
      </c>
      <c r="K2253" t="s">
        <v>78</v>
      </c>
      <c r="L2253" t="s">
        <v>79</v>
      </c>
      <c r="M2253" t="s">
        <v>80</v>
      </c>
      <c r="N2253" t="s">
        <v>2470</v>
      </c>
      <c r="O2253" t="s">
        <v>82</v>
      </c>
      <c r="P2253" t="str">
        <f>"2170712103                    "</f>
        <v xml:space="preserve">2170712103                    </v>
      </c>
      <c r="Q2253">
        <v>0</v>
      </c>
      <c r="R2253">
        <v>0</v>
      </c>
      <c r="S2253">
        <v>0</v>
      </c>
      <c r="T2253">
        <v>0</v>
      </c>
      <c r="U2253">
        <v>0</v>
      </c>
      <c r="V2253">
        <v>0</v>
      </c>
      <c r="W2253">
        <v>0</v>
      </c>
      <c r="X2253">
        <v>0</v>
      </c>
      <c r="Y2253">
        <v>0</v>
      </c>
      <c r="Z2253">
        <v>0</v>
      </c>
      <c r="AA2253">
        <v>0</v>
      </c>
      <c r="AB2253">
        <v>0</v>
      </c>
      <c r="AC2253">
        <v>0</v>
      </c>
      <c r="AD2253">
        <v>0</v>
      </c>
      <c r="AE2253">
        <v>0</v>
      </c>
      <c r="AF2253">
        <v>0</v>
      </c>
      <c r="AG2253">
        <v>0</v>
      </c>
      <c r="AH2253">
        <v>0</v>
      </c>
      <c r="AI2253">
        <v>0</v>
      </c>
      <c r="AJ2253">
        <v>0</v>
      </c>
      <c r="AK2253">
        <v>0</v>
      </c>
      <c r="AL2253">
        <v>0</v>
      </c>
      <c r="AM2253">
        <v>8.58</v>
      </c>
      <c r="AN2253">
        <v>0</v>
      </c>
      <c r="AO2253">
        <v>0</v>
      </c>
      <c r="AP2253">
        <v>0</v>
      </c>
      <c r="AQ2253">
        <v>0</v>
      </c>
      <c r="AR2253">
        <v>0</v>
      </c>
      <c r="AS2253">
        <v>0</v>
      </c>
      <c r="AT2253">
        <v>0</v>
      </c>
      <c r="AU2253">
        <v>0</v>
      </c>
      <c r="AV2253">
        <v>0</v>
      </c>
      <c r="AW2253">
        <v>0</v>
      </c>
      <c r="AX2253">
        <v>0</v>
      </c>
      <c r="AY2253">
        <v>0</v>
      </c>
      <c r="AZ2253">
        <v>0</v>
      </c>
      <c r="BA2253">
        <v>0</v>
      </c>
      <c r="BB2253">
        <v>0</v>
      </c>
      <c r="BC2253">
        <v>0</v>
      </c>
      <c r="BD2253">
        <v>0</v>
      </c>
      <c r="BE2253">
        <v>0</v>
      </c>
      <c r="BF2253">
        <v>0</v>
      </c>
      <c r="BG2253">
        <v>0</v>
      </c>
      <c r="BH2253">
        <v>1</v>
      </c>
      <c r="BI2253">
        <v>1</v>
      </c>
      <c r="BJ2253">
        <v>1.5</v>
      </c>
      <c r="BK2253">
        <v>1.5</v>
      </c>
      <c r="BL2253" s="4">
        <v>50.45</v>
      </c>
      <c r="BM2253" s="4">
        <v>7.57</v>
      </c>
      <c r="BN2253" s="4">
        <v>58.02</v>
      </c>
      <c r="BO2253" s="4">
        <v>58.02</v>
      </c>
      <c r="BQ2253" t="s">
        <v>147</v>
      </c>
      <c r="BR2253" t="s">
        <v>84</v>
      </c>
      <c r="BS2253" s="3">
        <v>43811</v>
      </c>
      <c r="BT2253" s="5">
        <v>0.36249999999999999</v>
      </c>
      <c r="BU2253" t="s">
        <v>2471</v>
      </c>
      <c r="BV2253" t="s">
        <v>86</v>
      </c>
      <c r="BY2253">
        <v>7545.42</v>
      </c>
      <c r="CA2253" t="s">
        <v>185</v>
      </c>
      <c r="CC2253" t="s">
        <v>80</v>
      </c>
      <c r="CD2253">
        <v>6001</v>
      </c>
      <c r="CE2253" t="s">
        <v>96</v>
      </c>
      <c r="CF2253" s="3">
        <v>43812</v>
      </c>
      <c r="CI2253">
        <v>1</v>
      </c>
      <c r="CJ2253">
        <v>1</v>
      </c>
      <c r="CK2253">
        <v>21</v>
      </c>
      <c r="CL2253" t="s">
        <v>89</v>
      </c>
    </row>
    <row r="2254" spans="1:90">
      <c r="A2254" t="s">
        <v>72</v>
      </c>
      <c r="B2254" t="s">
        <v>73</v>
      </c>
      <c r="C2254" t="s">
        <v>74</v>
      </c>
      <c r="E2254" t="str">
        <f>"FES1162727709"</f>
        <v>FES1162727709</v>
      </c>
      <c r="F2254" s="3">
        <v>43810</v>
      </c>
      <c r="G2254">
        <v>202006</v>
      </c>
      <c r="H2254" t="s">
        <v>75</v>
      </c>
      <c r="I2254" t="s">
        <v>76</v>
      </c>
      <c r="J2254" t="s">
        <v>77</v>
      </c>
      <c r="K2254" t="s">
        <v>78</v>
      </c>
      <c r="L2254" t="s">
        <v>79</v>
      </c>
      <c r="M2254" t="s">
        <v>80</v>
      </c>
      <c r="N2254" t="s">
        <v>97</v>
      </c>
      <c r="O2254" t="s">
        <v>82</v>
      </c>
      <c r="P2254" t="str">
        <f>"2170718819                    "</f>
        <v xml:space="preserve">2170718819                    </v>
      </c>
      <c r="Q2254">
        <v>0</v>
      </c>
      <c r="R2254">
        <v>0</v>
      </c>
      <c r="S2254">
        <v>0</v>
      </c>
      <c r="T2254">
        <v>0</v>
      </c>
      <c r="U2254">
        <v>0</v>
      </c>
      <c r="V2254">
        <v>0</v>
      </c>
      <c r="W2254">
        <v>0</v>
      </c>
      <c r="X2254">
        <v>0</v>
      </c>
      <c r="Y2254">
        <v>0</v>
      </c>
      <c r="Z2254">
        <v>0</v>
      </c>
      <c r="AA2254">
        <v>0</v>
      </c>
      <c r="AB2254">
        <v>0</v>
      </c>
      <c r="AC2254">
        <v>0</v>
      </c>
      <c r="AD2254">
        <v>0</v>
      </c>
      <c r="AE2254">
        <v>0</v>
      </c>
      <c r="AF2254">
        <v>0</v>
      </c>
      <c r="AG2254">
        <v>0</v>
      </c>
      <c r="AH2254">
        <v>0</v>
      </c>
      <c r="AI2254">
        <v>0</v>
      </c>
      <c r="AJ2254">
        <v>0</v>
      </c>
      <c r="AK2254">
        <v>0</v>
      </c>
      <c r="AL2254">
        <v>0</v>
      </c>
      <c r="AM2254">
        <v>8.58</v>
      </c>
      <c r="AN2254">
        <v>0</v>
      </c>
      <c r="AO2254">
        <v>0</v>
      </c>
      <c r="AP2254">
        <v>0</v>
      </c>
      <c r="AQ2254">
        <v>0</v>
      </c>
      <c r="AR2254">
        <v>0</v>
      </c>
      <c r="AS2254">
        <v>0</v>
      </c>
      <c r="AT2254">
        <v>0</v>
      </c>
      <c r="AU2254">
        <v>0</v>
      </c>
      <c r="AV2254">
        <v>0</v>
      </c>
      <c r="AW2254">
        <v>0</v>
      </c>
      <c r="AX2254">
        <v>0</v>
      </c>
      <c r="AY2254">
        <v>0</v>
      </c>
      <c r="AZ2254">
        <v>0</v>
      </c>
      <c r="BA2254">
        <v>0</v>
      </c>
      <c r="BB2254">
        <v>0</v>
      </c>
      <c r="BC2254">
        <v>0</v>
      </c>
      <c r="BD2254">
        <v>0</v>
      </c>
      <c r="BE2254">
        <v>0</v>
      </c>
      <c r="BF2254">
        <v>0</v>
      </c>
      <c r="BG2254">
        <v>0</v>
      </c>
      <c r="BH2254">
        <v>1</v>
      </c>
      <c r="BI2254">
        <v>0.6</v>
      </c>
      <c r="BJ2254">
        <v>1.2</v>
      </c>
      <c r="BK2254">
        <v>1.5</v>
      </c>
      <c r="BL2254" s="4">
        <v>50.45</v>
      </c>
      <c r="BM2254" s="4">
        <v>7.57</v>
      </c>
      <c r="BN2254" s="4">
        <v>58.02</v>
      </c>
      <c r="BO2254" s="4">
        <v>58.02</v>
      </c>
      <c r="BQ2254" t="s">
        <v>93</v>
      </c>
      <c r="BR2254" t="s">
        <v>84</v>
      </c>
      <c r="BS2254" s="3">
        <v>43811</v>
      </c>
      <c r="BT2254" s="5">
        <v>0.33333333333333331</v>
      </c>
      <c r="BU2254" t="s">
        <v>600</v>
      </c>
      <c r="BV2254" t="s">
        <v>86</v>
      </c>
      <c r="BY2254">
        <v>5829.41</v>
      </c>
      <c r="CA2254" t="s">
        <v>302</v>
      </c>
      <c r="CC2254" t="s">
        <v>80</v>
      </c>
      <c r="CD2254">
        <v>6001</v>
      </c>
      <c r="CE2254" t="s">
        <v>96</v>
      </c>
      <c r="CF2254" s="3">
        <v>43812</v>
      </c>
      <c r="CI2254">
        <v>1</v>
      </c>
      <c r="CJ2254">
        <v>1</v>
      </c>
      <c r="CK2254">
        <v>21</v>
      </c>
      <c r="CL2254" t="s">
        <v>89</v>
      </c>
    </row>
    <row r="2255" spans="1:90">
      <c r="A2255" t="s">
        <v>72</v>
      </c>
      <c r="B2255" t="s">
        <v>73</v>
      </c>
      <c r="C2255" t="s">
        <v>74</v>
      </c>
      <c r="E2255" t="str">
        <f>"FES1162727760"</f>
        <v>FES1162727760</v>
      </c>
      <c r="F2255" s="3">
        <v>43810</v>
      </c>
      <c r="G2255">
        <v>202006</v>
      </c>
      <c r="H2255" t="s">
        <v>75</v>
      </c>
      <c r="I2255" t="s">
        <v>76</v>
      </c>
      <c r="J2255" t="s">
        <v>77</v>
      </c>
      <c r="K2255" t="s">
        <v>78</v>
      </c>
      <c r="L2255" t="s">
        <v>79</v>
      </c>
      <c r="M2255" t="s">
        <v>80</v>
      </c>
      <c r="N2255" t="s">
        <v>300</v>
      </c>
      <c r="O2255" t="s">
        <v>82</v>
      </c>
      <c r="P2255" t="str">
        <f>"2170721190                    "</f>
        <v xml:space="preserve">2170721190                    </v>
      </c>
      <c r="Q2255">
        <v>0</v>
      </c>
      <c r="R2255">
        <v>0</v>
      </c>
      <c r="S2255">
        <v>0</v>
      </c>
      <c r="T2255">
        <v>0</v>
      </c>
      <c r="U2255">
        <v>0</v>
      </c>
      <c r="V2255">
        <v>0</v>
      </c>
      <c r="W2255">
        <v>0</v>
      </c>
      <c r="X2255">
        <v>0</v>
      </c>
      <c r="Y2255">
        <v>0</v>
      </c>
      <c r="Z2255">
        <v>0</v>
      </c>
      <c r="AA2255">
        <v>0</v>
      </c>
      <c r="AB2255">
        <v>0</v>
      </c>
      <c r="AC2255">
        <v>0</v>
      </c>
      <c r="AD2255">
        <v>0</v>
      </c>
      <c r="AE2255">
        <v>0</v>
      </c>
      <c r="AF2255">
        <v>0</v>
      </c>
      <c r="AG2255">
        <v>0</v>
      </c>
      <c r="AH2255">
        <v>0</v>
      </c>
      <c r="AI2255">
        <v>0</v>
      </c>
      <c r="AJ2255">
        <v>0</v>
      </c>
      <c r="AK2255">
        <v>0</v>
      </c>
      <c r="AL2255">
        <v>0</v>
      </c>
      <c r="AM2255">
        <v>8.58</v>
      </c>
      <c r="AN2255">
        <v>0</v>
      </c>
      <c r="AO2255">
        <v>0</v>
      </c>
      <c r="AP2255">
        <v>0</v>
      </c>
      <c r="AQ2255">
        <v>0</v>
      </c>
      <c r="AR2255">
        <v>0</v>
      </c>
      <c r="AS2255">
        <v>0</v>
      </c>
      <c r="AT2255">
        <v>0</v>
      </c>
      <c r="AU2255">
        <v>0</v>
      </c>
      <c r="AV2255">
        <v>0</v>
      </c>
      <c r="AW2255">
        <v>0</v>
      </c>
      <c r="AX2255">
        <v>0</v>
      </c>
      <c r="AY2255">
        <v>0</v>
      </c>
      <c r="AZ2255">
        <v>0</v>
      </c>
      <c r="BA2255">
        <v>0</v>
      </c>
      <c r="BB2255">
        <v>0</v>
      </c>
      <c r="BC2255">
        <v>0</v>
      </c>
      <c r="BD2255">
        <v>0</v>
      </c>
      <c r="BE2255">
        <v>0</v>
      </c>
      <c r="BF2255">
        <v>0</v>
      </c>
      <c r="BG2255">
        <v>0</v>
      </c>
      <c r="BH2255">
        <v>1</v>
      </c>
      <c r="BI2255">
        <v>1</v>
      </c>
      <c r="BJ2255">
        <v>0.2</v>
      </c>
      <c r="BK2255">
        <v>1</v>
      </c>
      <c r="BL2255" s="4">
        <v>50.45</v>
      </c>
      <c r="BM2255" s="4">
        <v>7.57</v>
      </c>
      <c r="BN2255" s="4">
        <v>58.02</v>
      </c>
      <c r="BO2255" s="4">
        <v>58.02</v>
      </c>
      <c r="BQ2255" t="s">
        <v>147</v>
      </c>
      <c r="BR2255" t="s">
        <v>84</v>
      </c>
      <c r="BS2255" s="3">
        <v>43811</v>
      </c>
      <c r="BT2255" s="5">
        <v>0.3888888888888889</v>
      </c>
      <c r="BU2255" t="s">
        <v>403</v>
      </c>
      <c r="BV2255" t="s">
        <v>86</v>
      </c>
      <c r="BY2255">
        <v>1200</v>
      </c>
      <c r="CA2255" t="s">
        <v>99</v>
      </c>
      <c r="CC2255" t="s">
        <v>80</v>
      </c>
      <c r="CD2255">
        <v>6001</v>
      </c>
      <c r="CE2255" t="s">
        <v>88</v>
      </c>
      <c r="CF2255" s="3">
        <v>43812</v>
      </c>
      <c r="CI2255">
        <v>1</v>
      </c>
      <c r="CJ2255">
        <v>1</v>
      </c>
      <c r="CK2255">
        <v>21</v>
      </c>
      <c r="CL2255" t="s">
        <v>89</v>
      </c>
    </row>
    <row r="2256" spans="1:90">
      <c r="A2256" t="s">
        <v>72</v>
      </c>
      <c r="B2256" t="s">
        <v>73</v>
      </c>
      <c r="C2256" t="s">
        <v>74</v>
      </c>
      <c r="E2256" t="str">
        <f>"FES1162727713"</f>
        <v>FES1162727713</v>
      </c>
      <c r="F2256" s="3">
        <v>43810</v>
      </c>
      <c r="G2256">
        <v>202006</v>
      </c>
      <c r="H2256" t="s">
        <v>75</v>
      </c>
      <c r="I2256" t="s">
        <v>76</v>
      </c>
      <c r="J2256" t="s">
        <v>77</v>
      </c>
      <c r="K2256" t="s">
        <v>78</v>
      </c>
      <c r="L2256" t="s">
        <v>79</v>
      </c>
      <c r="M2256" t="s">
        <v>80</v>
      </c>
      <c r="N2256" t="s">
        <v>1389</v>
      </c>
      <c r="O2256" t="s">
        <v>82</v>
      </c>
      <c r="P2256" t="str">
        <f>"2170721182                    "</f>
        <v xml:space="preserve">2170721182                    </v>
      </c>
      <c r="Q2256">
        <v>0</v>
      </c>
      <c r="R2256">
        <v>0</v>
      </c>
      <c r="S2256">
        <v>0</v>
      </c>
      <c r="T2256">
        <v>0</v>
      </c>
      <c r="U2256">
        <v>0</v>
      </c>
      <c r="V2256">
        <v>0</v>
      </c>
      <c r="W2256">
        <v>0</v>
      </c>
      <c r="X2256">
        <v>0</v>
      </c>
      <c r="Y2256">
        <v>0</v>
      </c>
      <c r="Z2256">
        <v>0</v>
      </c>
      <c r="AA2256">
        <v>0</v>
      </c>
      <c r="AB2256">
        <v>0</v>
      </c>
      <c r="AC2256">
        <v>0</v>
      </c>
      <c r="AD2256">
        <v>0</v>
      </c>
      <c r="AE2256">
        <v>0</v>
      </c>
      <c r="AF2256">
        <v>0</v>
      </c>
      <c r="AG2256">
        <v>0</v>
      </c>
      <c r="AH2256">
        <v>0</v>
      </c>
      <c r="AI2256">
        <v>0</v>
      </c>
      <c r="AJ2256">
        <v>0</v>
      </c>
      <c r="AK2256">
        <v>0</v>
      </c>
      <c r="AL2256">
        <v>0</v>
      </c>
      <c r="AM2256">
        <v>8.58</v>
      </c>
      <c r="AN2256">
        <v>0</v>
      </c>
      <c r="AO2256">
        <v>0</v>
      </c>
      <c r="AP2256">
        <v>0</v>
      </c>
      <c r="AQ2256">
        <v>0</v>
      </c>
      <c r="AR2256">
        <v>0</v>
      </c>
      <c r="AS2256">
        <v>0</v>
      </c>
      <c r="AT2256">
        <v>0</v>
      </c>
      <c r="AU2256">
        <v>0</v>
      </c>
      <c r="AV2256">
        <v>0</v>
      </c>
      <c r="AW2256">
        <v>0</v>
      </c>
      <c r="AX2256">
        <v>0</v>
      </c>
      <c r="AY2256">
        <v>0</v>
      </c>
      <c r="AZ2256">
        <v>0</v>
      </c>
      <c r="BA2256">
        <v>0</v>
      </c>
      <c r="BB2256">
        <v>0</v>
      </c>
      <c r="BC2256">
        <v>0</v>
      </c>
      <c r="BD2256">
        <v>0</v>
      </c>
      <c r="BE2256">
        <v>0</v>
      </c>
      <c r="BF2256">
        <v>0</v>
      </c>
      <c r="BG2256">
        <v>0</v>
      </c>
      <c r="BH2256">
        <v>1</v>
      </c>
      <c r="BI2256">
        <v>1</v>
      </c>
      <c r="BJ2256">
        <v>0.2</v>
      </c>
      <c r="BK2256">
        <v>1</v>
      </c>
      <c r="BL2256" s="4">
        <v>50.45</v>
      </c>
      <c r="BM2256" s="4">
        <v>7.57</v>
      </c>
      <c r="BN2256" s="4">
        <v>58.02</v>
      </c>
      <c r="BO2256" s="4">
        <v>58.02</v>
      </c>
      <c r="BR2256" t="s">
        <v>84</v>
      </c>
      <c r="BS2256" s="3">
        <v>43811</v>
      </c>
      <c r="BT2256" s="5">
        <v>0.38680555555555557</v>
      </c>
      <c r="BU2256" t="s">
        <v>2472</v>
      </c>
      <c r="BV2256" t="s">
        <v>86</v>
      </c>
      <c r="BY2256">
        <v>1200</v>
      </c>
      <c r="CA2256" t="s">
        <v>99</v>
      </c>
      <c r="CC2256" t="s">
        <v>80</v>
      </c>
      <c r="CD2256">
        <v>6000</v>
      </c>
      <c r="CE2256" t="s">
        <v>88</v>
      </c>
      <c r="CF2256" s="3">
        <v>43812</v>
      </c>
      <c r="CI2256">
        <v>1</v>
      </c>
      <c r="CJ2256">
        <v>1</v>
      </c>
      <c r="CK2256">
        <v>21</v>
      </c>
      <c r="CL2256" t="s">
        <v>89</v>
      </c>
    </row>
    <row r="2257" spans="1:90">
      <c r="A2257" t="s">
        <v>72</v>
      </c>
      <c r="B2257" t="s">
        <v>73</v>
      </c>
      <c r="C2257" t="s">
        <v>74</v>
      </c>
      <c r="E2257" t="str">
        <f>"FES1162727843"</f>
        <v>FES1162727843</v>
      </c>
      <c r="F2257" s="3">
        <v>43810</v>
      </c>
      <c r="G2257">
        <v>202006</v>
      </c>
      <c r="H2257" t="s">
        <v>75</v>
      </c>
      <c r="I2257" t="s">
        <v>76</v>
      </c>
      <c r="J2257" t="s">
        <v>77</v>
      </c>
      <c r="K2257" t="s">
        <v>78</v>
      </c>
      <c r="L2257" t="s">
        <v>164</v>
      </c>
      <c r="M2257" t="s">
        <v>165</v>
      </c>
      <c r="N2257" t="s">
        <v>369</v>
      </c>
      <c r="O2257" t="s">
        <v>82</v>
      </c>
      <c r="P2257" t="str">
        <f>"217071297                     "</f>
        <v xml:space="preserve">217071297                     </v>
      </c>
      <c r="Q2257">
        <v>0</v>
      </c>
      <c r="R2257">
        <v>0</v>
      </c>
      <c r="S2257">
        <v>0</v>
      </c>
      <c r="T2257">
        <v>0</v>
      </c>
      <c r="U2257">
        <v>0</v>
      </c>
      <c r="V2257">
        <v>0</v>
      </c>
      <c r="W2257">
        <v>0</v>
      </c>
      <c r="X2257">
        <v>0</v>
      </c>
      <c r="Y2257">
        <v>0</v>
      </c>
      <c r="Z2257">
        <v>0</v>
      </c>
      <c r="AA2257">
        <v>0</v>
      </c>
      <c r="AB2257">
        <v>0</v>
      </c>
      <c r="AC2257">
        <v>0</v>
      </c>
      <c r="AD2257">
        <v>0</v>
      </c>
      <c r="AE2257">
        <v>0</v>
      </c>
      <c r="AF2257">
        <v>0</v>
      </c>
      <c r="AG2257">
        <v>0</v>
      </c>
      <c r="AH2257">
        <v>0</v>
      </c>
      <c r="AI2257">
        <v>0</v>
      </c>
      <c r="AJ2257">
        <v>0</v>
      </c>
      <c r="AK2257">
        <v>0</v>
      </c>
      <c r="AL2257">
        <v>0</v>
      </c>
      <c r="AM2257">
        <v>8.58</v>
      </c>
      <c r="AN2257">
        <v>0</v>
      </c>
      <c r="AO2257">
        <v>0</v>
      </c>
      <c r="AP2257">
        <v>0</v>
      </c>
      <c r="AQ2257">
        <v>0</v>
      </c>
      <c r="AR2257">
        <v>0</v>
      </c>
      <c r="AS2257">
        <v>0</v>
      </c>
      <c r="AT2257">
        <v>0</v>
      </c>
      <c r="AU2257">
        <v>0</v>
      </c>
      <c r="AV2257">
        <v>0</v>
      </c>
      <c r="AW2257">
        <v>0</v>
      </c>
      <c r="AX2257">
        <v>0</v>
      </c>
      <c r="AY2257">
        <v>0</v>
      </c>
      <c r="AZ2257">
        <v>0</v>
      </c>
      <c r="BA2257">
        <v>0</v>
      </c>
      <c r="BB2257">
        <v>0</v>
      </c>
      <c r="BC2257">
        <v>0</v>
      </c>
      <c r="BD2257">
        <v>0</v>
      </c>
      <c r="BE2257">
        <v>0</v>
      </c>
      <c r="BF2257">
        <v>0</v>
      </c>
      <c r="BG2257">
        <v>0</v>
      </c>
      <c r="BH2257">
        <v>1</v>
      </c>
      <c r="BI2257">
        <v>0.2</v>
      </c>
      <c r="BJ2257">
        <v>1.1000000000000001</v>
      </c>
      <c r="BK2257">
        <v>1.5</v>
      </c>
      <c r="BL2257" s="4">
        <v>50.45</v>
      </c>
      <c r="BM2257" s="4">
        <v>7.57</v>
      </c>
      <c r="BN2257" s="4">
        <v>58.02</v>
      </c>
      <c r="BO2257" s="4">
        <v>58.02</v>
      </c>
      <c r="BQ2257" t="s">
        <v>93</v>
      </c>
      <c r="BR2257" t="s">
        <v>84</v>
      </c>
      <c r="BS2257" s="3">
        <v>43811</v>
      </c>
      <c r="BT2257" s="5">
        <v>0.4055555555555555</v>
      </c>
      <c r="BU2257" t="s">
        <v>1352</v>
      </c>
      <c r="BV2257" t="s">
        <v>86</v>
      </c>
      <c r="BY2257">
        <v>5651.92</v>
      </c>
      <c r="CA2257" t="s">
        <v>766</v>
      </c>
      <c r="CC2257" t="s">
        <v>165</v>
      </c>
      <c r="CD2257">
        <v>5201</v>
      </c>
      <c r="CE2257" t="s">
        <v>88</v>
      </c>
      <c r="CF2257" s="3">
        <v>43816</v>
      </c>
      <c r="CI2257">
        <v>1</v>
      </c>
      <c r="CJ2257">
        <v>1</v>
      </c>
      <c r="CK2257">
        <v>21</v>
      </c>
      <c r="CL2257" t="s">
        <v>89</v>
      </c>
    </row>
    <row r="2258" spans="1:90">
      <c r="A2258" t="s">
        <v>72</v>
      </c>
      <c r="B2258" t="s">
        <v>73</v>
      </c>
      <c r="C2258" t="s">
        <v>74</v>
      </c>
      <c r="E2258" t="str">
        <f>"FES1162727722"</f>
        <v>FES1162727722</v>
      </c>
      <c r="F2258" s="3">
        <v>43810</v>
      </c>
      <c r="G2258">
        <v>202006</v>
      </c>
      <c r="H2258" t="s">
        <v>75</v>
      </c>
      <c r="I2258" t="s">
        <v>76</v>
      </c>
      <c r="J2258" t="s">
        <v>77</v>
      </c>
      <c r="K2258" t="s">
        <v>78</v>
      </c>
      <c r="L2258" t="s">
        <v>164</v>
      </c>
      <c r="M2258" t="s">
        <v>165</v>
      </c>
      <c r="N2258" t="s">
        <v>263</v>
      </c>
      <c r="O2258" t="s">
        <v>82</v>
      </c>
      <c r="P2258" t="str">
        <f>"2170719414                    "</f>
        <v xml:space="preserve">2170719414                    </v>
      </c>
      <c r="Q2258">
        <v>0</v>
      </c>
      <c r="R2258">
        <v>0</v>
      </c>
      <c r="S2258">
        <v>0</v>
      </c>
      <c r="T2258">
        <v>0</v>
      </c>
      <c r="U2258">
        <v>0</v>
      </c>
      <c r="V2258">
        <v>0</v>
      </c>
      <c r="W2258">
        <v>0</v>
      </c>
      <c r="X2258">
        <v>0</v>
      </c>
      <c r="Y2258">
        <v>0</v>
      </c>
      <c r="Z2258">
        <v>0</v>
      </c>
      <c r="AA2258">
        <v>0</v>
      </c>
      <c r="AB2258">
        <v>0</v>
      </c>
      <c r="AC2258">
        <v>0</v>
      </c>
      <c r="AD2258">
        <v>0</v>
      </c>
      <c r="AE2258">
        <v>0</v>
      </c>
      <c r="AF2258">
        <v>0</v>
      </c>
      <c r="AG2258">
        <v>0</v>
      </c>
      <c r="AH2258">
        <v>0</v>
      </c>
      <c r="AI2258">
        <v>0</v>
      </c>
      <c r="AJ2258">
        <v>0</v>
      </c>
      <c r="AK2258">
        <v>0</v>
      </c>
      <c r="AL2258">
        <v>0</v>
      </c>
      <c r="AM2258">
        <v>8.58</v>
      </c>
      <c r="AN2258">
        <v>0</v>
      </c>
      <c r="AO2258">
        <v>0</v>
      </c>
      <c r="AP2258">
        <v>0</v>
      </c>
      <c r="AQ2258">
        <v>0</v>
      </c>
      <c r="AR2258">
        <v>0</v>
      </c>
      <c r="AS2258">
        <v>0</v>
      </c>
      <c r="AT2258">
        <v>0</v>
      </c>
      <c r="AU2258">
        <v>0</v>
      </c>
      <c r="AV2258">
        <v>0</v>
      </c>
      <c r="AW2258">
        <v>0</v>
      </c>
      <c r="AX2258">
        <v>0</v>
      </c>
      <c r="AY2258">
        <v>0</v>
      </c>
      <c r="AZ2258">
        <v>0</v>
      </c>
      <c r="BA2258">
        <v>0</v>
      </c>
      <c r="BB2258">
        <v>0</v>
      </c>
      <c r="BC2258">
        <v>0</v>
      </c>
      <c r="BD2258">
        <v>0</v>
      </c>
      <c r="BE2258">
        <v>0</v>
      </c>
      <c r="BF2258">
        <v>0</v>
      </c>
      <c r="BG2258">
        <v>0</v>
      </c>
      <c r="BH2258">
        <v>1</v>
      </c>
      <c r="BI2258">
        <v>1</v>
      </c>
      <c r="BJ2258">
        <v>0.2</v>
      </c>
      <c r="BK2258">
        <v>1</v>
      </c>
      <c r="BL2258" s="4">
        <v>50.45</v>
      </c>
      <c r="BM2258" s="4">
        <v>7.57</v>
      </c>
      <c r="BN2258" s="4">
        <v>58.02</v>
      </c>
      <c r="BO2258" s="4">
        <v>58.02</v>
      </c>
      <c r="BQ2258" t="s">
        <v>147</v>
      </c>
      <c r="BR2258" t="s">
        <v>84</v>
      </c>
      <c r="BS2258" s="3">
        <v>43811</v>
      </c>
      <c r="BT2258" s="5">
        <v>0.3833333333333333</v>
      </c>
      <c r="BU2258" t="s">
        <v>2473</v>
      </c>
      <c r="BV2258" t="s">
        <v>86</v>
      </c>
      <c r="BY2258">
        <v>1200</v>
      </c>
      <c r="CA2258" t="s">
        <v>766</v>
      </c>
      <c r="CC2258" t="s">
        <v>165</v>
      </c>
      <c r="CD2258">
        <v>5201</v>
      </c>
      <c r="CE2258" t="s">
        <v>88</v>
      </c>
      <c r="CF2258" s="3">
        <v>43816</v>
      </c>
      <c r="CI2258">
        <v>1</v>
      </c>
      <c r="CJ2258">
        <v>1</v>
      </c>
      <c r="CK2258">
        <v>21</v>
      </c>
      <c r="CL2258" t="s">
        <v>89</v>
      </c>
    </row>
    <row r="2259" spans="1:90">
      <c r="A2259" t="s">
        <v>72</v>
      </c>
      <c r="B2259" t="s">
        <v>73</v>
      </c>
      <c r="C2259" t="s">
        <v>74</v>
      </c>
      <c r="E2259" t="str">
        <f>"FES1162726606"</f>
        <v>FES1162726606</v>
      </c>
      <c r="F2259" s="3">
        <v>43810</v>
      </c>
      <c r="G2259">
        <v>202006</v>
      </c>
      <c r="H2259" t="s">
        <v>75</v>
      </c>
      <c r="I2259" t="s">
        <v>76</v>
      </c>
      <c r="J2259" t="s">
        <v>77</v>
      </c>
      <c r="K2259" t="s">
        <v>78</v>
      </c>
      <c r="L2259" t="s">
        <v>2474</v>
      </c>
      <c r="M2259" t="s">
        <v>2475</v>
      </c>
      <c r="N2259" t="s">
        <v>2476</v>
      </c>
      <c r="O2259" t="s">
        <v>82</v>
      </c>
      <c r="P2259" t="str">
        <f>"217071200873                  "</f>
        <v xml:space="preserve">217071200873                  </v>
      </c>
      <c r="Q2259">
        <v>0</v>
      </c>
      <c r="R2259">
        <v>0</v>
      </c>
      <c r="S2259">
        <v>0</v>
      </c>
      <c r="T2259">
        <v>0</v>
      </c>
      <c r="U2259">
        <v>0</v>
      </c>
      <c r="V2259">
        <v>0</v>
      </c>
      <c r="W2259">
        <v>0</v>
      </c>
      <c r="X2259">
        <v>0</v>
      </c>
      <c r="Y2259">
        <v>0</v>
      </c>
      <c r="Z2259">
        <v>0</v>
      </c>
      <c r="AA2259">
        <v>0</v>
      </c>
      <c r="AB2259">
        <v>0</v>
      </c>
      <c r="AC2259">
        <v>0</v>
      </c>
      <c r="AD2259">
        <v>0</v>
      </c>
      <c r="AE2259">
        <v>0</v>
      </c>
      <c r="AF2259">
        <v>0</v>
      </c>
      <c r="AG2259">
        <v>0</v>
      </c>
      <c r="AH2259">
        <v>0</v>
      </c>
      <c r="AI2259">
        <v>0</v>
      </c>
      <c r="AJ2259">
        <v>0</v>
      </c>
      <c r="AK2259">
        <v>0</v>
      </c>
      <c r="AL2259">
        <v>0</v>
      </c>
      <c r="AM2259">
        <v>16.63</v>
      </c>
      <c r="AN2259">
        <v>0</v>
      </c>
      <c r="AO2259">
        <v>0</v>
      </c>
      <c r="AP2259">
        <v>0</v>
      </c>
      <c r="AQ2259">
        <v>0</v>
      </c>
      <c r="AR2259">
        <v>0</v>
      </c>
      <c r="AS2259">
        <v>0</v>
      </c>
      <c r="AT2259">
        <v>0</v>
      </c>
      <c r="AU2259">
        <v>0</v>
      </c>
      <c r="AV2259">
        <v>0</v>
      </c>
      <c r="AW2259">
        <v>0</v>
      </c>
      <c r="AX2259">
        <v>0</v>
      </c>
      <c r="AY2259">
        <v>0</v>
      </c>
      <c r="AZ2259">
        <v>0</v>
      </c>
      <c r="BA2259">
        <v>0</v>
      </c>
      <c r="BB2259">
        <v>0</v>
      </c>
      <c r="BC2259">
        <v>0</v>
      </c>
      <c r="BD2259">
        <v>0</v>
      </c>
      <c r="BE2259">
        <v>0</v>
      </c>
      <c r="BF2259">
        <v>0</v>
      </c>
      <c r="BG2259">
        <v>0</v>
      </c>
      <c r="BH2259">
        <v>1</v>
      </c>
      <c r="BI2259">
        <v>1</v>
      </c>
      <c r="BJ2259">
        <v>0.2</v>
      </c>
      <c r="BK2259">
        <v>1</v>
      </c>
      <c r="BL2259" s="4">
        <v>97.75</v>
      </c>
      <c r="BM2259" s="4">
        <v>14.66</v>
      </c>
      <c r="BN2259" s="4">
        <v>112.41</v>
      </c>
      <c r="BO2259" s="4">
        <v>112.41</v>
      </c>
      <c r="BQ2259" t="s">
        <v>232</v>
      </c>
      <c r="BR2259" t="s">
        <v>84</v>
      </c>
      <c r="BS2259" s="3">
        <v>43816</v>
      </c>
      <c r="BT2259" s="5">
        <v>0.61388888888888882</v>
      </c>
      <c r="BU2259" t="s">
        <v>2477</v>
      </c>
      <c r="BV2259" t="s">
        <v>86</v>
      </c>
      <c r="BY2259">
        <v>1200</v>
      </c>
      <c r="CC2259" t="s">
        <v>2475</v>
      </c>
      <c r="CD2259">
        <v>6309</v>
      </c>
      <c r="CE2259" t="s">
        <v>88</v>
      </c>
      <c r="CI2259">
        <v>4</v>
      </c>
      <c r="CJ2259">
        <v>4</v>
      </c>
      <c r="CK2259">
        <v>23</v>
      </c>
      <c r="CL2259" t="s">
        <v>89</v>
      </c>
    </row>
    <row r="2260" spans="1:90">
      <c r="A2260" t="s">
        <v>72</v>
      </c>
      <c r="B2260" t="s">
        <v>73</v>
      </c>
      <c r="C2260" t="s">
        <v>74</v>
      </c>
      <c r="E2260" t="str">
        <f>"FES1162727736"</f>
        <v>FES1162727736</v>
      </c>
      <c r="F2260" s="3">
        <v>43810</v>
      </c>
      <c r="G2260">
        <v>202006</v>
      </c>
      <c r="H2260" t="s">
        <v>75</v>
      </c>
      <c r="I2260" t="s">
        <v>76</v>
      </c>
      <c r="J2260" t="s">
        <v>77</v>
      </c>
      <c r="K2260" t="s">
        <v>78</v>
      </c>
      <c r="L2260" t="s">
        <v>79</v>
      </c>
      <c r="M2260" t="s">
        <v>80</v>
      </c>
      <c r="N2260" t="s">
        <v>420</v>
      </c>
      <c r="O2260" t="s">
        <v>82</v>
      </c>
      <c r="P2260" t="str">
        <f>"21707121215                   "</f>
        <v xml:space="preserve">21707121215                   </v>
      </c>
      <c r="Q2260">
        <v>0</v>
      </c>
      <c r="R2260">
        <v>0</v>
      </c>
      <c r="S2260">
        <v>0</v>
      </c>
      <c r="T2260">
        <v>0</v>
      </c>
      <c r="U2260">
        <v>0</v>
      </c>
      <c r="V2260">
        <v>0</v>
      </c>
      <c r="W2260">
        <v>0</v>
      </c>
      <c r="X2260">
        <v>0</v>
      </c>
      <c r="Y2260">
        <v>0</v>
      </c>
      <c r="Z2260">
        <v>0</v>
      </c>
      <c r="AA2260">
        <v>0</v>
      </c>
      <c r="AB2260">
        <v>0</v>
      </c>
      <c r="AC2260">
        <v>0</v>
      </c>
      <c r="AD2260">
        <v>0</v>
      </c>
      <c r="AE2260">
        <v>0</v>
      </c>
      <c r="AF2260">
        <v>0</v>
      </c>
      <c r="AG2260">
        <v>0</v>
      </c>
      <c r="AH2260">
        <v>0</v>
      </c>
      <c r="AI2260">
        <v>0</v>
      </c>
      <c r="AJ2260">
        <v>0</v>
      </c>
      <c r="AK2260">
        <v>0</v>
      </c>
      <c r="AL2260">
        <v>0</v>
      </c>
      <c r="AM2260">
        <v>8.58</v>
      </c>
      <c r="AN2260">
        <v>0</v>
      </c>
      <c r="AO2260">
        <v>0</v>
      </c>
      <c r="AP2260">
        <v>0</v>
      </c>
      <c r="AQ2260">
        <v>0</v>
      </c>
      <c r="AR2260">
        <v>0</v>
      </c>
      <c r="AS2260">
        <v>0</v>
      </c>
      <c r="AT2260">
        <v>0</v>
      </c>
      <c r="AU2260">
        <v>0</v>
      </c>
      <c r="AV2260">
        <v>0</v>
      </c>
      <c r="AW2260">
        <v>0</v>
      </c>
      <c r="AX2260">
        <v>0</v>
      </c>
      <c r="AY2260">
        <v>0</v>
      </c>
      <c r="AZ2260">
        <v>0</v>
      </c>
      <c r="BA2260">
        <v>0</v>
      </c>
      <c r="BB2260">
        <v>0</v>
      </c>
      <c r="BC2260">
        <v>0</v>
      </c>
      <c r="BD2260">
        <v>0</v>
      </c>
      <c r="BE2260">
        <v>0</v>
      </c>
      <c r="BF2260">
        <v>0</v>
      </c>
      <c r="BG2260">
        <v>0</v>
      </c>
      <c r="BH2260">
        <v>1</v>
      </c>
      <c r="BI2260">
        <v>1</v>
      </c>
      <c r="BJ2260">
        <v>0.2</v>
      </c>
      <c r="BK2260">
        <v>1</v>
      </c>
      <c r="BL2260" s="4">
        <v>50.45</v>
      </c>
      <c r="BM2260" s="4">
        <v>7.57</v>
      </c>
      <c r="BN2260" s="4">
        <v>58.02</v>
      </c>
      <c r="BO2260" s="4">
        <v>58.02</v>
      </c>
      <c r="BQ2260" t="s">
        <v>147</v>
      </c>
      <c r="BR2260" t="s">
        <v>84</v>
      </c>
      <c r="BS2260" s="3">
        <v>43811</v>
      </c>
      <c r="BT2260" s="5">
        <v>0.39374999999999999</v>
      </c>
      <c r="BU2260" t="s">
        <v>1968</v>
      </c>
      <c r="BV2260" t="s">
        <v>86</v>
      </c>
      <c r="BY2260">
        <v>1200</v>
      </c>
      <c r="CA2260" t="s">
        <v>185</v>
      </c>
      <c r="CC2260" t="s">
        <v>80</v>
      </c>
      <c r="CD2260">
        <v>6001</v>
      </c>
      <c r="CE2260" t="s">
        <v>88</v>
      </c>
      <c r="CF2260" s="3">
        <v>43812</v>
      </c>
      <c r="CI2260">
        <v>1</v>
      </c>
      <c r="CJ2260">
        <v>1</v>
      </c>
      <c r="CK2260">
        <v>21</v>
      </c>
      <c r="CL2260" t="s">
        <v>89</v>
      </c>
    </row>
    <row r="2261" spans="1:90">
      <c r="A2261" t="s">
        <v>72</v>
      </c>
      <c r="B2261" t="s">
        <v>73</v>
      </c>
      <c r="C2261" t="s">
        <v>74</v>
      </c>
      <c r="E2261" t="str">
        <f>"FES1162727749"</f>
        <v>FES1162727749</v>
      </c>
      <c r="F2261" s="3">
        <v>43810</v>
      </c>
      <c r="G2261">
        <v>202006</v>
      </c>
      <c r="H2261" t="s">
        <v>75</v>
      </c>
      <c r="I2261" t="s">
        <v>76</v>
      </c>
      <c r="J2261" t="s">
        <v>77</v>
      </c>
      <c r="K2261" t="s">
        <v>78</v>
      </c>
      <c r="L2261" t="s">
        <v>164</v>
      </c>
      <c r="M2261" t="s">
        <v>165</v>
      </c>
      <c r="N2261" t="s">
        <v>369</v>
      </c>
      <c r="O2261" t="s">
        <v>82</v>
      </c>
      <c r="P2261" t="str">
        <f>"2170721233                    "</f>
        <v xml:space="preserve">2170721233                    </v>
      </c>
      <c r="Q2261">
        <v>0</v>
      </c>
      <c r="R2261">
        <v>0</v>
      </c>
      <c r="S2261">
        <v>0</v>
      </c>
      <c r="T2261">
        <v>0</v>
      </c>
      <c r="U2261">
        <v>0</v>
      </c>
      <c r="V2261">
        <v>0</v>
      </c>
      <c r="W2261">
        <v>0</v>
      </c>
      <c r="X2261">
        <v>0</v>
      </c>
      <c r="Y2261">
        <v>0</v>
      </c>
      <c r="Z2261">
        <v>0</v>
      </c>
      <c r="AA2261">
        <v>0</v>
      </c>
      <c r="AB2261">
        <v>0</v>
      </c>
      <c r="AC2261">
        <v>0</v>
      </c>
      <c r="AD2261">
        <v>0</v>
      </c>
      <c r="AE2261">
        <v>0</v>
      </c>
      <c r="AF2261">
        <v>0</v>
      </c>
      <c r="AG2261">
        <v>0</v>
      </c>
      <c r="AH2261">
        <v>0</v>
      </c>
      <c r="AI2261">
        <v>0</v>
      </c>
      <c r="AJ2261">
        <v>0</v>
      </c>
      <c r="AK2261">
        <v>0</v>
      </c>
      <c r="AL2261">
        <v>0</v>
      </c>
      <c r="AM2261">
        <v>8.58</v>
      </c>
      <c r="AN2261">
        <v>0</v>
      </c>
      <c r="AO2261">
        <v>0</v>
      </c>
      <c r="AP2261">
        <v>0</v>
      </c>
      <c r="AQ2261">
        <v>0</v>
      </c>
      <c r="AR2261">
        <v>0</v>
      </c>
      <c r="AS2261">
        <v>0</v>
      </c>
      <c r="AT2261">
        <v>0</v>
      </c>
      <c r="AU2261">
        <v>0</v>
      </c>
      <c r="AV2261">
        <v>0</v>
      </c>
      <c r="AW2261">
        <v>0</v>
      </c>
      <c r="AX2261">
        <v>0</v>
      </c>
      <c r="AY2261">
        <v>0</v>
      </c>
      <c r="AZ2261">
        <v>0</v>
      </c>
      <c r="BA2261">
        <v>0</v>
      </c>
      <c r="BB2261">
        <v>0</v>
      </c>
      <c r="BC2261">
        <v>0</v>
      </c>
      <c r="BD2261">
        <v>0</v>
      </c>
      <c r="BE2261">
        <v>0</v>
      </c>
      <c r="BF2261">
        <v>0</v>
      </c>
      <c r="BG2261">
        <v>0</v>
      </c>
      <c r="BH2261">
        <v>1</v>
      </c>
      <c r="BI2261">
        <v>1</v>
      </c>
      <c r="BJ2261">
        <v>0.2</v>
      </c>
      <c r="BK2261">
        <v>1</v>
      </c>
      <c r="BL2261" s="4">
        <v>50.45</v>
      </c>
      <c r="BM2261" s="4">
        <v>7.57</v>
      </c>
      <c r="BN2261" s="4">
        <v>58.02</v>
      </c>
      <c r="BO2261" s="4">
        <v>58.02</v>
      </c>
      <c r="BQ2261" t="s">
        <v>93</v>
      </c>
      <c r="BR2261" t="s">
        <v>84</v>
      </c>
      <c r="BS2261" s="3">
        <v>43811</v>
      </c>
      <c r="BT2261" s="5">
        <v>0.4055555555555555</v>
      </c>
      <c r="BU2261" t="s">
        <v>1352</v>
      </c>
      <c r="BV2261" t="s">
        <v>86</v>
      </c>
      <c r="BY2261">
        <v>1200</v>
      </c>
      <c r="CA2261" t="s">
        <v>766</v>
      </c>
      <c r="CC2261" t="s">
        <v>165</v>
      </c>
      <c r="CD2261">
        <v>5201</v>
      </c>
      <c r="CE2261" t="s">
        <v>88</v>
      </c>
      <c r="CF2261" s="3">
        <v>43816</v>
      </c>
      <c r="CI2261">
        <v>1</v>
      </c>
      <c r="CJ2261">
        <v>1</v>
      </c>
      <c r="CK2261">
        <v>21</v>
      </c>
      <c r="CL2261" t="s">
        <v>89</v>
      </c>
    </row>
    <row r="2262" spans="1:90">
      <c r="A2262" t="s">
        <v>72</v>
      </c>
      <c r="B2262" t="s">
        <v>73</v>
      </c>
      <c r="C2262" t="s">
        <v>74</v>
      </c>
      <c r="E2262" t="str">
        <f>"FES1162727728"</f>
        <v>FES1162727728</v>
      </c>
      <c r="F2262" s="3">
        <v>43810</v>
      </c>
      <c r="G2262">
        <v>202006</v>
      </c>
      <c r="H2262" t="s">
        <v>75</v>
      </c>
      <c r="I2262" t="s">
        <v>76</v>
      </c>
      <c r="J2262" t="s">
        <v>77</v>
      </c>
      <c r="K2262" t="s">
        <v>78</v>
      </c>
      <c r="L2262" t="s">
        <v>79</v>
      </c>
      <c r="M2262" t="s">
        <v>80</v>
      </c>
      <c r="N2262" t="s">
        <v>1244</v>
      </c>
      <c r="O2262" t="s">
        <v>82</v>
      </c>
      <c r="P2262" t="str">
        <f>"21707190132                   "</f>
        <v xml:space="preserve">21707190132                   </v>
      </c>
      <c r="Q2262">
        <v>0</v>
      </c>
      <c r="R2262">
        <v>0</v>
      </c>
      <c r="S2262">
        <v>0</v>
      </c>
      <c r="T2262">
        <v>0</v>
      </c>
      <c r="U2262">
        <v>0</v>
      </c>
      <c r="V2262">
        <v>0</v>
      </c>
      <c r="W2262">
        <v>0</v>
      </c>
      <c r="X2262">
        <v>0</v>
      </c>
      <c r="Y2262">
        <v>0</v>
      </c>
      <c r="Z2262">
        <v>0</v>
      </c>
      <c r="AA2262">
        <v>0</v>
      </c>
      <c r="AB2262">
        <v>0</v>
      </c>
      <c r="AC2262">
        <v>0</v>
      </c>
      <c r="AD2262">
        <v>0</v>
      </c>
      <c r="AE2262">
        <v>0</v>
      </c>
      <c r="AF2262">
        <v>0</v>
      </c>
      <c r="AG2262">
        <v>0</v>
      </c>
      <c r="AH2262">
        <v>0</v>
      </c>
      <c r="AI2262">
        <v>0</v>
      </c>
      <c r="AJ2262">
        <v>0</v>
      </c>
      <c r="AK2262">
        <v>0</v>
      </c>
      <c r="AL2262">
        <v>0</v>
      </c>
      <c r="AM2262">
        <v>8.58</v>
      </c>
      <c r="AN2262">
        <v>0</v>
      </c>
      <c r="AO2262">
        <v>0</v>
      </c>
      <c r="AP2262">
        <v>0</v>
      </c>
      <c r="AQ2262">
        <v>0</v>
      </c>
      <c r="AR2262">
        <v>0</v>
      </c>
      <c r="AS2262">
        <v>0</v>
      </c>
      <c r="AT2262">
        <v>0</v>
      </c>
      <c r="AU2262">
        <v>0</v>
      </c>
      <c r="AV2262">
        <v>0</v>
      </c>
      <c r="AW2262">
        <v>0</v>
      </c>
      <c r="AX2262">
        <v>0</v>
      </c>
      <c r="AY2262">
        <v>0</v>
      </c>
      <c r="AZ2262">
        <v>0</v>
      </c>
      <c r="BA2262">
        <v>0</v>
      </c>
      <c r="BB2262">
        <v>0</v>
      </c>
      <c r="BC2262">
        <v>0</v>
      </c>
      <c r="BD2262">
        <v>0</v>
      </c>
      <c r="BE2262">
        <v>0</v>
      </c>
      <c r="BF2262">
        <v>0</v>
      </c>
      <c r="BG2262">
        <v>0</v>
      </c>
      <c r="BH2262">
        <v>1</v>
      </c>
      <c r="BI2262">
        <v>1</v>
      </c>
      <c r="BJ2262">
        <v>0.2</v>
      </c>
      <c r="BK2262">
        <v>1</v>
      </c>
      <c r="BL2262" s="4">
        <v>50.45</v>
      </c>
      <c r="BM2262" s="4">
        <v>7.57</v>
      </c>
      <c r="BN2262" s="4">
        <v>58.02</v>
      </c>
      <c r="BO2262" s="4">
        <v>58.02</v>
      </c>
      <c r="BQ2262" t="s">
        <v>93</v>
      </c>
      <c r="BR2262" t="s">
        <v>84</v>
      </c>
      <c r="BS2262" s="3">
        <v>43811</v>
      </c>
      <c r="BT2262" s="5">
        <v>0.36249999999999999</v>
      </c>
      <c r="BU2262" t="s">
        <v>2478</v>
      </c>
      <c r="BV2262" t="s">
        <v>86</v>
      </c>
      <c r="BY2262">
        <v>1200</v>
      </c>
      <c r="CA2262" t="s">
        <v>185</v>
      </c>
      <c r="CC2262" t="s">
        <v>80</v>
      </c>
      <c r="CD2262">
        <v>6001</v>
      </c>
      <c r="CE2262" t="s">
        <v>88</v>
      </c>
      <c r="CF2262" s="3">
        <v>43812</v>
      </c>
      <c r="CI2262">
        <v>1</v>
      </c>
      <c r="CJ2262">
        <v>1</v>
      </c>
      <c r="CK2262">
        <v>21</v>
      </c>
      <c r="CL2262" t="s">
        <v>89</v>
      </c>
    </row>
    <row r="2263" spans="1:90">
      <c r="A2263" t="s">
        <v>72</v>
      </c>
      <c r="B2263" t="s">
        <v>73</v>
      </c>
      <c r="C2263" t="s">
        <v>74</v>
      </c>
      <c r="E2263" t="str">
        <f>"FES1162727719"</f>
        <v>FES1162727719</v>
      </c>
      <c r="F2263" s="3">
        <v>43810</v>
      </c>
      <c r="G2263">
        <v>202006</v>
      </c>
      <c r="H2263" t="s">
        <v>75</v>
      </c>
      <c r="I2263" t="s">
        <v>76</v>
      </c>
      <c r="J2263" t="s">
        <v>77</v>
      </c>
      <c r="K2263" t="s">
        <v>78</v>
      </c>
      <c r="L2263" t="s">
        <v>164</v>
      </c>
      <c r="M2263" t="s">
        <v>165</v>
      </c>
      <c r="N2263" t="s">
        <v>238</v>
      </c>
      <c r="O2263" t="s">
        <v>82</v>
      </c>
      <c r="P2263" t="str">
        <f>"217071968                     "</f>
        <v xml:space="preserve">217071968                     </v>
      </c>
      <c r="Q2263">
        <v>0</v>
      </c>
      <c r="R2263">
        <v>0</v>
      </c>
      <c r="S2263">
        <v>0</v>
      </c>
      <c r="T2263">
        <v>0</v>
      </c>
      <c r="U2263">
        <v>0</v>
      </c>
      <c r="V2263">
        <v>0</v>
      </c>
      <c r="W2263">
        <v>0</v>
      </c>
      <c r="X2263">
        <v>0</v>
      </c>
      <c r="Y2263">
        <v>0</v>
      </c>
      <c r="Z2263">
        <v>0</v>
      </c>
      <c r="AA2263">
        <v>0</v>
      </c>
      <c r="AB2263">
        <v>0</v>
      </c>
      <c r="AC2263">
        <v>0</v>
      </c>
      <c r="AD2263">
        <v>0</v>
      </c>
      <c r="AE2263">
        <v>0</v>
      </c>
      <c r="AF2263">
        <v>0</v>
      </c>
      <c r="AG2263">
        <v>0</v>
      </c>
      <c r="AH2263">
        <v>0</v>
      </c>
      <c r="AI2263">
        <v>0</v>
      </c>
      <c r="AJ2263">
        <v>0</v>
      </c>
      <c r="AK2263">
        <v>0</v>
      </c>
      <c r="AL2263">
        <v>0</v>
      </c>
      <c r="AM2263">
        <v>8.58</v>
      </c>
      <c r="AN2263">
        <v>0</v>
      </c>
      <c r="AO2263">
        <v>0</v>
      </c>
      <c r="AP2263">
        <v>0</v>
      </c>
      <c r="AQ2263">
        <v>0</v>
      </c>
      <c r="AR2263">
        <v>0</v>
      </c>
      <c r="AS2263">
        <v>0</v>
      </c>
      <c r="AT2263">
        <v>0</v>
      </c>
      <c r="AU2263">
        <v>0</v>
      </c>
      <c r="AV2263">
        <v>0</v>
      </c>
      <c r="AW2263">
        <v>0</v>
      </c>
      <c r="AX2263">
        <v>0</v>
      </c>
      <c r="AY2263">
        <v>0</v>
      </c>
      <c r="AZ2263">
        <v>0</v>
      </c>
      <c r="BA2263">
        <v>0</v>
      </c>
      <c r="BB2263">
        <v>0</v>
      </c>
      <c r="BC2263">
        <v>0</v>
      </c>
      <c r="BD2263">
        <v>0</v>
      </c>
      <c r="BE2263">
        <v>0</v>
      </c>
      <c r="BF2263">
        <v>0</v>
      </c>
      <c r="BG2263">
        <v>0</v>
      </c>
      <c r="BH2263">
        <v>1</v>
      </c>
      <c r="BI2263">
        <v>1</v>
      </c>
      <c r="BJ2263">
        <v>0.2</v>
      </c>
      <c r="BK2263">
        <v>1</v>
      </c>
      <c r="BL2263" s="4">
        <v>50.45</v>
      </c>
      <c r="BM2263" s="4">
        <v>7.57</v>
      </c>
      <c r="BN2263" s="4">
        <v>58.02</v>
      </c>
      <c r="BO2263" s="4">
        <v>58.02</v>
      </c>
      <c r="BQ2263" t="s">
        <v>147</v>
      </c>
      <c r="BR2263" t="s">
        <v>84</v>
      </c>
      <c r="BS2263" s="3">
        <v>43811</v>
      </c>
      <c r="BT2263" s="5">
        <v>0.43402777777777773</v>
      </c>
      <c r="BU2263" t="s">
        <v>2479</v>
      </c>
      <c r="BV2263" t="s">
        <v>86</v>
      </c>
      <c r="BY2263">
        <v>1200</v>
      </c>
      <c r="CA2263" t="s">
        <v>1647</v>
      </c>
      <c r="CC2263" t="s">
        <v>165</v>
      </c>
      <c r="CD2263">
        <v>5201</v>
      </c>
      <c r="CE2263" t="s">
        <v>88</v>
      </c>
      <c r="CF2263" s="3">
        <v>43816</v>
      </c>
      <c r="CI2263">
        <v>1</v>
      </c>
      <c r="CJ2263">
        <v>1</v>
      </c>
      <c r="CK2263">
        <v>21</v>
      </c>
      <c r="CL2263" t="s">
        <v>89</v>
      </c>
    </row>
    <row r="2264" spans="1:90">
      <c r="A2264" t="s">
        <v>72</v>
      </c>
      <c r="B2264" t="s">
        <v>73</v>
      </c>
      <c r="C2264" t="s">
        <v>74</v>
      </c>
      <c r="E2264" t="str">
        <f>"FES1162727811"</f>
        <v>FES1162727811</v>
      </c>
      <c r="F2264" s="3">
        <v>43810</v>
      </c>
      <c r="G2264">
        <v>202006</v>
      </c>
      <c r="H2264" t="s">
        <v>75</v>
      </c>
      <c r="I2264" t="s">
        <v>76</v>
      </c>
      <c r="J2264" t="s">
        <v>77</v>
      </c>
      <c r="K2264" t="s">
        <v>78</v>
      </c>
      <c r="L2264" t="s">
        <v>332</v>
      </c>
      <c r="M2264" t="s">
        <v>333</v>
      </c>
      <c r="N2264" t="s">
        <v>2480</v>
      </c>
      <c r="O2264" t="s">
        <v>82</v>
      </c>
      <c r="P2264" t="str">
        <f>"2170719216                    "</f>
        <v xml:space="preserve">2170719216                    </v>
      </c>
      <c r="Q2264">
        <v>0</v>
      </c>
      <c r="R2264">
        <v>0</v>
      </c>
      <c r="S2264">
        <v>0</v>
      </c>
      <c r="T2264">
        <v>0</v>
      </c>
      <c r="U2264">
        <v>0</v>
      </c>
      <c r="V2264">
        <v>0</v>
      </c>
      <c r="W2264">
        <v>0</v>
      </c>
      <c r="X2264">
        <v>0</v>
      </c>
      <c r="Y2264">
        <v>0</v>
      </c>
      <c r="Z2264">
        <v>0</v>
      </c>
      <c r="AA2264">
        <v>0</v>
      </c>
      <c r="AB2264">
        <v>0</v>
      </c>
      <c r="AC2264">
        <v>0</v>
      </c>
      <c r="AD2264">
        <v>0</v>
      </c>
      <c r="AE2264">
        <v>0</v>
      </c>
      <c r="AF2264">
        <v>0</v>
      </c>
      <c r="AG2264">
        <v>0</v>
      </c>
      <c r="AH2264">
        <v>0</v>
      </c>
      <c r="AI2264">
        <v>0</v>
      </c>
      <c r="AJ2264">
        <v>0</v>
      </c>
      <c r="AK2264">
        <v>0</v>
      </c>
      <c r="AL2264">
        <v>0</v>
      </c>
      <c r="AM2264">
        <v>6.71</v>
      </c>
      <c r="AN2264">
        <v>0</v>
      </c>
      <c r="AO2264">
        <v>0</v>
      </c>
      <c r="AP2264">
        <v>0</v>
      </c>
      <c r="AQ2264">
        <v>0</v>
      </c>
      <c r="AR2264">
        <v>0</v>
      </c>
      <c r="AS2264">
        <v>0</v>
      </c>
      <c r="AT2264">
        <v>0</v>
      </c>
      <c r="AU2264">
        <v>0</v>
      </c>
      <c r="AV2264">
        <v>0</v>
      </c>
      <c r="AW2264">
        <v>0</v>
      </c>
      <c r="AX2264">
        <v>0</v>
      </c>
      <c r="AY2264">
        <v>0</v>
      </c>
      <c r="AZ2264">
        <v>0</v>
      </c>
      <c r="BA2264">
        <v>0</v>
      </c>
      <c r="BB2264">
        <v>0</v>
      </c>
      <c r="BC2264">
        <v>0</v>
      </c>
      <c r="BD2264">
        <v>0</v>
      </c>
      <c r="BE2264">
        <v>0</v>
      </c>
      <c r="BF2264">
        <v>0</v>
      </c>
      <c r="BG2264">
        <v>0</v>
      </c>
      <c r="BH2264">
        <v>1</v>
      </c>
      <c r="BI2264">
        <v>1</v>
      </c>
      <c r="BJ2264">
        <v>0.2</v>
      </c>
      <c r="BK2264">
        <v>1</v>
      </c>
      <c r="BL2264" s="4">
        <v>39.42</v>
      </c>
      <c r="BM2264" s="4">
        <v>5.91</v>
      </c>
      <c r="BN2264" s="4">
        <v>45.33</v>
      </c>
      <c r="BO2264" s="4">
        <v>45.33</v>
      </c>
      <c r="BQ2264" t="s">
        <v>93</v>
      </c>
      <c r="BR2264" t="s">
        <v>84</v>
      </c>
      <c r="BS2264" s="3">
        <v>43811</v>
      </c>
      <c r="BT2264" s="5">
        <v>0.33333333333333331</v>
      </c>
      <c r="BU2264" t="s">
        <v>2481</v>
      </c>
      <c r="BV2264" t="s">
        <v>86</v>
      </c>
      <c r="BY2264">
        <v>1200</v>
      </c>
      <c r="CA2264" t="s">
        <v>2482</v>
      </c>
      <c r="CC2264" t="s">
        <v>333</v>
      </c>
      <c r="CD2264">
        <v>2157</v>
      </c>
      <c r="CE2264" t="s">
        <v>88</v>
      </c>
      <c r="CF2264" s="3">
        <v>43812</v>
      </c>
      <c r="CI2264">
        <v>1</v>
      </c>
      <c r="CJ2264">
        <v>1</v>
      </c>
      <c r="CK2264">
        <v>22</v>
      </c>
      <c r="CL2264" t="s">
        <v>89</v>
      </c>
    </row>
    <row r="2265" spans="1:90">
      <c r="A2265" t="s">
        <v>72</v>
      </c>
      <c r="B2265" t="s">
        <v>73</v>
      </c>
      <c r="C2265" t="s">
        <v>74</v>
      </c>
      <c r="E2265" t="str">
        <f>"FES1162727815"</f>
        <v>FES1162727815</v>
      </c>
      <c r="F2265" s="3">
        <v>43810</v>
      </c>
      <c r="G2265">
        <v>202006</v>
      </c>
      <c r="H2265" t="s">
        <v>75</v>
      </c>
      <c r="I2265" t="s">
        <v>76</v>
      </c>
      <c r="J2265" t="s">
        <v>77</v>
      </c>
      <c r="K2265" t="s">
        <v>78</v>
      </c>
      <c r="L2265" t="s">
        <v>671</v>
      </c>
      <c r="M2265" t="s">
        <v>672</v>
      </c>
      <c r="N2265" t="s">
        <v>1417</v>
      </c>
      <c r="O2265" t="s">
        <v>82</v>
      </c>
      <c r="P2265" t="str">
        <f>"2170719293                    "</f>
        <v xml:space="preserve">2170719293                    </v>
      </c>
      <c r="Q2265">
        <v>0</v>
      </c>
      <c r="R2265">
        <v>0</v>
      </c>
      <c r="S2265">
        <v>0</v>
      </c>
      <c r="T2265">
        <v>0</v>
      </c>
      <c r="U2265">
        <v>0</v>
      </c>
      <c r="V2265">
        <v>0</v>
      </c>
      <c r="W2265">
        <v>0</v>
      </c>
      <c r="X2265">
        <v>0</v>
      </c>
      <c r="Y2265">
        <v>0</v>
      </c>
      <c r="Z2265">
        <v>0</v>
      </c>
      <c r="AA2265">
        <v>0</v>
      </c>
      <c r="AB2265">
        <v>0</v>
      </c>
      <c r="AC2265">
        <v>0</v>
      </c>
      <c r="AD2265">
        <v>0</v>
      </c>
      <c r="AE2265">
        <v>0</v>
      </c>
      <c r="AF2265">
        <v>0</v>
      </c>
      <c r="AG2265">
        <v>0</v>
      </c>
      <c r="AH2265">
        <v>0</v>
      </c>
      <c r="AI2265">
        <v>0</v>
      </c>
      <c r="AJ2265">
        <v>0</v>
      </c>
      <c r="AK2265">
        <v>0</v>
      </c>
      <c r="AL2265">
        <v>0</v>
      </c>
      <c r="AM2265">
        <v>16.63</v>
      </c>
      <c r="AN2265">
        <v>0</v>
      </c>
      <c r="AO2265">
        <v>0</v>
      </c>
      <c r="AP2265">
        <v>0</v>
      </c>
      <c r="AQ2265">
        <v>0</v>
      </c>
      <c r="AR2265">
        <v>0</v>
      </c>
      <c r="AS2265">
        <v>0</v>
      </c>
      <c r="AT2265">
        <v>0</v>
      </c>
      <c r="AU2265">
        <v>0</v>
      </c>
      <c r="AV2265">
        <v>0</v>
      </c>
      <c r="AW2265">
        <v>0</v>
      </c>
      <c r="AX2265">
        <v>0</v>
      </c>
      <c r="AY2265">
        <v>0</v>
      </c>
      <c r="AZ2265">
        <v>0</v>
      </c>
      <c r="BA2265">
        <v>0</v>
      </c>
      <c r="BB2265">
        <v>0</v>
      </c>
      <c r="BC2265">
        <v>0</v>
      </c>
      <c r="BD2265">
        <v>0</v>
      </c>
      <c r="BE2265">
        <v>0</v>
      </c>
      <c r="BF2265">
        <v>0</v>
      </c>
      <c r="BG2265">
        <v>0</v>
      </c>
      <c r="BH2265">
        <v>1</v>
      </c>
      <c r="BI2265">
        <v>1</v>
      </c>
      <c r="BJ2265">
        <v>0.2</v>
      </c>
      <c r="BK2265">
        <v>1</v>
      </c>
      <c r="BL2265" s="4">
        <v>97.75</v>
      </c>
      <c r="BM2265" s="4">
        <v>14.66</v>
      </c>
      <c r="BN2265" s="4">
        <v>112.41</v>
      </c>
      <c r="BO2265" s="4">
        <v>112.41</v>
      </c>
      <c r="BQ2265" t="s">
        <v>93</v>
      </c>
      <c r="BR2265" t="s">
        <v>84</v>
      </c>
      <c r="BS2265" s="3">
        <v>43811</v>
      </c>
      <c r="BT2265" s="5">
        <v>0.41319444444444442</v>
      </c>
      <c r="BU2265" t="s">
        <v>2483</v>
      </c>
      <c r="BV2265" t="s">
        <v>86</v>
      </c>
      <c r="BY2265">
        <v>1200</v>
      </c>
      <c r="CA2265" t="s">
        <v>946</v>
      </c>
      <c r="CC2265" t="s">
        <v>672</v>
      </c>
      <c r="CD2265">
        <v>1900</v>
      </c>
      <c r="CE2265" t="s">
        <v>88</v>
      </c>
      <c r="CF2265" s="3">
        <v>43812</v>
      </c>
      <c r="CI2265">
        <v>1</v>
      </c>
      <c r="CJ2265">
        <v>1</v>
      </c>
      <c r="CK2265">
        <v>23</v>
      </c>
      <c r="CL2265" t="s">
        <v>89</v>
      </c>
    </row>
    <row r="2266" spans="1:90">
      <c r="A2266" t="s">
        <v>72</v>
      </c>
      <c r="B2266" t="s">
        <v>73</v>
      </c>
      <c r="C2266" t="s">
        <v>74</v>
      </c>
      <c r="E2266" t="str">
        <f>"FES1162727701"</f>
        <v>FES1162727701</v>
      </c>
      <c r="F2266" s="3">
        <v>43810</v>
      </c>
      <c r="G2266">
        <v>202006</v>
      </c>
      <c r="H2266" t="s">
        <v>75</v>
      </c>
      <c r="I2266" t="s">
        <v>76</v>
      </c>
      <c r="J2266" t="s">
        <v>77</v>
      </c>
      <c r="K2266" t="s">
        <v>78</v>
      </c>
      <c r="L2266" t="s">
        <v>164</v>
      </c>
      <c r="M2266" t="s">
        <v>165</v>
      </c>
      <c r="N2266" t="s">
        <v>315</v>
      </c>
      <c r="O2266" t="s">
        <v>82</v>
      </c>
      <c r="P2266" t="str">
        <f>"2170711924                    "</f>
        <v xml:space="preserve">2170711924                    </v>
      </c>
      <c r="Q2266">
        <v>0</v>
      </c>
      <c r="R2266">
        <v>0</v>
      </c>
      <c r="S2266">
        <v>0</v>
      </c>
      <c r="T2266">
        <v>0</v>
      </c>
      <c r="U2266">
        <v>0</v>
      </c>
      <c r="V2266">
        <v>0</v>
      </c>
      <c r="W2266">
        <v>0</v>
      </c>
      <c r="X2266">
        <v>0</v>
      </c>
      <c r="Y2266">
        <v>0</v>
      </c>
      <c r="Z2266">
        <v>0</v>
      </c>
      <c r="AA2266">
        <v>0</v>
      </c>
      <c r="AB2266">
        <v>0</v>
      </c>
      <c r="AC2266">
        <v>0</v>
      </c>
      <c r="AD2266">
        <v>0</v>
      </c>
      <c r="AE2266">
        <v>0</v>
      </c>
      <c r="AF2266">
        <v>0</v>
      </c>
      <c r="AG2266">
        <v>0</v>
      </c>
      <c r="AH2266">
        <v>0</v>
      </c>
      <c r="AI2266">
        <v>0</v>
      </c>
      <c r="AJ2266">
        <v>0</v>
      </c>
      <c r="AK2266">
        <v>0</v>
      </c>
      <c r="AL2266">
        <v>0</v>
      </c>
      <c r="AM2266">
        <v>8.58</v>
      </c>
      <c r="AN2266">
        <v>0</v>
      </c>
      <c r="AO2266">
        <v>0</v>
      </c>
      <c r="AP2266">
        <v>0</v>
      </c>
      <c r="AQ2266">
        <v>0</v>
      </c>
      <c r="AR2266">
        <v>0</v>
      </c>
      <c r="AS2266">
        <v>0</v>
      </c>
      <c r="AT2266">
        <v>0</v>
      </c>
      <c r="AU2266">
        <v>0</v>
      </c>
      <c r="AV2266">
        <v>0</v>
      </c>
      <c r="AW2266">
        <v>0</v>
      </c>
      <c r="AX2266">
        <v>0</v>
      </c>
      <c r="AY2266">
        <v>0</v>
      </c>
      <c r="AZ2266">
        <v>0</v>
      </c>
      <c r="BA2266">
        <v>0</v>
      </c>
      <c r="BB2266">
        <v>0</v>
      </c>
      <c r="BC2266">
        <v>0</v>
      </c>
      <c r="BD2266">
        <v>0</v>
      </c>
      <c r="BE2266">
        <v>0</v>
      </c>
      <c r="BF2266">
        <v>0</v>
      </c>
      <c r="BG2266">
        <v>0</v>
      </c>
      <c r="BH2266">
        <v>1</v>
      </c>
      <c r="BI2266">
        <v>1</v>
      </c>
      <c r="BJ2266">
        <v>0.2</v>
      </c>
      <c r="BK2266">
        <v>1</v>
      </c>
      <c r="BL2266" s="4">
        <v>50.45</v>
      </c>
      <c r="BM2266" s="4">
        <v>7.57</v>
      </c>
      <c r="BN2266" s="4">
        <v>58.02</v>
      </c>
      <c r="BO2266" s="4">
        <v>58.02</v>
      </c>
      <c r="BQ2266" t="s">
        <v>93</v>
      </c>
      <c r="BR2266" t="s">
        <v>84</v>
      </c>
      <c r="BS2266" s="3">
        <v>43811</v>
      </c>
      <c r="BT2266" s="5">
        <v>0.35972222222222222</v>
      </c>
      <c r="BU2266" t="s">
        <v>2484</v>
      </c>
      <c r="BV2266" t="s">
        <v>86</v>
      </c>
      <c r="BY2266">
        <v>1200</v>
      </c>
      <c r="CA2266" t="s">
        <v>168</v>
      </c>
      <c r="CC2266" t="s">
        <v>165</v>
      </c>
      <c r="CD2266">
        <v>5201</v>
      </c>
      <c r="CE2266" t="s">
        <v>88</v>
      </c>
      <c r="CF2266" s="3">
        <v>43812</v>
      </c>
      <c r="CI2266">
        <v>1</v>
      </c>
      <c r="CJ2266">
        <v>1</v>
      </c>
      <c r="CK2266">
        <v>21</v>
      </c>
      <c r="CL2266" t="s">
        <v>89</v>
      </c>
    </row>
    <row r="2267" spans="1:90">
      <c r="A2267" t="s">
        <v>72</v>
      </c>
      <c r="B2267" t="s">
        <v>73</v>
      </c>
      <c r="C2267" t="s">
        <v>74</v>
      </c>
      <c r="E2267" t="str">
        <f>"FES1162727710"</f>
        <v>FES1162727710</v>
      </c>
      <c r="F2267" s="3">
        <v>43810</v>
      </c>
      <c r="G2267">
        <v>202006</v>
      </c>
      <c r="H2267" t="s">
        <v>75</v>
      </c>
      <c r="I2267" t="s">
        <v>76</v>
      </c>
      <c r="J2267" t="s">
        <v>77</v>
      </c>
      <c r="K2267" t="s">
        <v>78</v>
      </c>
      <c r="L2267" t="s">
        <v>90</v>
      </c>
      <c r="M2267" t="s">
        <v>91</v>
      </c>
      <c r="N2267" t="s">
        <v>2485</v>
      </c>
      <c r="O2267" t="s">
        <v>82</v>
      </c>
      <c r="P2267" t="str">
        <f>"21707185235                   "</f>
        <v xml:space="preserve">21707185235                   </v>
      </c>
      <c r="Q2267">
        <v>0</v>
      </c>
      <c r="R2267">
        <v>0</v>
      </c>
      <c r="S2267">
        <v>0</v>
      </c>
      <c r="T2267">
        <v>0</v>
      </c>
      <c r="U2267">
        <v>0</v>
      </c>
      <c r="V2267">
        <v>0</v>
      </c>
      <c r="W2267">
        <v>0</v>
      </c>
      <c r="X2267">
        <v>0</v>
      </c>
      <c r="Y2267">
        <v>0</v>
      </c>
      <c r="Z2267">
        <v>0</v>
      </c>
      <c r="AA2267">
        <v>0</v>
      </c>
      <c r="AB2267">
        <v>0</v>
      </c>
      <c r="AC2267">
        <v>0</v>
      </c>
      <c r="AD2267">
        <v>0</v>
      </c>
      <c r="AE2267">
        <v>0</v>
      </c>
      <c r="AF2267">
        <v>0</v>
      </c>
      <c r="AG2267">
        <v>0</v>
      </c>
      <c r="AH2267">
        <v>0</v>
      </c>
      <c r="AI2267">
        <v>0</v>
      </c>
      <c r="AJ2267">
        <v>0</v>
      </c>
      <c r="AK2267">
        <v>0</v>
      </c>
      <c r="AL2267">
        <v>0</v>
      </c>
      <c r="AM2267">
        <v>47.18</v>
      </c>
      <c r="AN2267">
        <v>0</v>
      </c>
      <c r="AO2267">
        <v>0</v>
      </c>
      <c r="AP2267">
        <v>0</v>
      </c>
      <c r="AQ2267">
        <v>0</v>
      </c>
      <c r="AR2267">
        <v>0</v>
      </c>
      <c r="AS2267">
        <v>0</v>
      </c>
      <c r="AT2267">
        <v>0</v>
      </c>
      <c r="AU2267">
        <v>0</v>
      </c>
      <c r="AV2267">
        <v>0</v>
      </c>
      <c r="AW2267">
        <v>0</v>
      </c>
      <c r="AX2267">
        <v>0</v>
      </c>
      <c r="AY2267">
        <v>0</v>
      </c>
      <c r="AZ2267">
        <v>0</v>
      </c>
      <c r="BA2267">
        <v>0</v>
      </c>
      <c r="BB2267">
        <v>0</v>
      </c>
      <c r="BC2267">
        <v>0</v>
      </c>
      <c r="BD2267">
        <v>0</v>
      </c>
      <c r="BE2267">
        <v>0</v>
      </c>
      <c r="BF2267">
        <v>0</v>
      </c>
      <c r="BG2267">
        <v>0</v>
      </c>
      <c r="BH2267">
        <v>2</v>
      </c>
      <c r="BI2267">
        <v>10.8</v>
      </c>
      <c r="BJ2267">
        <v>8.1999999999999993</v>
      </c>
      <c r="BK2267">
        <v>11</v>
      </c>
      <c r="BL2267" s="4">
        <v>277.33</v>
      </c>
      <c r="BM2267" s="4">
        <v>41.6</v>
      </c>
      <c r="BN2267" s="4">
        <v>318.93</v>
      </c>
      <c r="BO2267" s="4">
        <v>318.93</v>
      </c>
      <c r="BQ2267" t="s">
        <v>2486</v>
      </c>
      <c r="BR2267" t="s">
        <v>84</v>
      </c>
      <c r="BS2267" s="3">
        <v>43811</v>
      </c>
      <c r="BT2267" s="5">
        <v>0.35694444444444445</v>
      </c>
      <c r="BU2267" t="s">
        <v>2487</v>
      </c>
      <c r="BV2267" t="s">
        <v>86</v>
      </c>
      <c r="BY2267">
        <v>41094.42</v>
      </c>
      <c r="CA2267" t="s">
        <v>440</v>
      </c>
      <c r="CC2267" t="s">
        <v>91</v>
      </c>
      <c r="CD2267">
        <v>7493</v>
      </c>
      <c r="CE2267" t="s">
        <v>122</v>
      </c>
      <c r="CF2267" s="3">
        <v>43812</v>
      </c>
      <c r="CI2267">
        <v>1</v>
      </c>
      <c r="CJ2267">
        <v>1</v>
      </c>
      <c r="CK2267">
        <v>21</v>
      </c>
      <c r="CL2267" t="s">
        <v>89</v>
      </c>
    </row>
    <row r="2268" spans="1:90">
      <c r="A2268" t="s">
        <v>72</v>
      </c>
      <c r="B2268" t="s">
        <v>73</v>
      </c>
      <c r="C2268" t="s">
        <v>74</v>
      </c>
      <c r="E2268" t="str">
        <f>"FES1162727742"</f>
        <v>FES1162727742</v>
      </c>
      <c r="F2268" s="3">
        <v>43810</v>
      </c>
      <c r="G2268">
        <v>202006</v>
      </c>
      <c r="H2268" t="s">
        <v>75</v>
      </c>
      <c r="I2268" t="s">
        <v>76</v>
      </c>
      <c r="J2268" t="s">
        <v>77</v>
      </c>
      <c r="K2268" t="s">
        <v>78</v>
      </c>
      <c r="L2268" t="s">
        <v>198</v>
      </c>
      <c r="M2268" t="s">
        <v>199</v>
      </c>
      <c r="N2268" t="s">
        <v>2255</v>
      </c>
      <c r="O2268" t="s">
        <v>82</v>
      </c>
      <c r="P2268" t="str">
        <f>"217071221                     "</f>
        <v xml:space="preserve">217071221                     </v>
      </c>
      <c r="Q2268">
        <v>0</v>
      </c>
      <c r="R2268">
        <v>0</v>
      </c>
      <c r="S2268">
        <v>0</v>
      </c>
      <c r="T2268">
        <v>0</v>
      </c>
      <c r="U2268">
        <v>0</v>
      </c>
      <c r="V2268">
        <v>0</v>
      </c>
      <c r="W2268">
        <v>0</v>
      </c>
      <c r="X2268">
        <v>0</v>
      </c>
      <c r="Y2268">
        <v>0</v>
      </c>
      <c r="Z2268">
        <v>0</v>
      </c>
      <c r="AA2268">
        <v>0</v>
      </c>
      <c r="AB2268">
        <v>0</v>
      </c>
      <c r="AC2268">
        <v>0</v>
      </c>
      <c r="AD2268">
        <v>0</v>
      </c>
      <c r="AE2268">
        <v>0</v>
      </c>
      <c r="AF2268">
        <v>0</v>
      </c>
      <c r="AG2268">
        <v>0</v>
      </c>
      <c r="AH2268">
        <v>0</v>
      </c>
      <c r="AI2268">
        <v>0</v>
      </c>
      <c r="AJ2268">
        <v>0</v>
      </c>
      <c r="AK2268">
        <v>0</v>
      </c>
      <c r="AL2268">
        <v>0</v>
      </c>
      <c r="AM2268">
        <v>17.16</v>
      </c>
      <c r="AN2268">
        <v>0</v>
      </c>
      <c r="AO2268">
        <v>0</v>
      </c>
      <c r="AP2268">
        <v>0</v>
      </c>
      <c r="AQ2268">
        <v>0</v>
      </c>
      <c r="AR2268">
        <v>0</v>
      </c>
      <c r="AS2268">
        <v>0</v>
      </c>
      <c r="AT2268">
        <v>0</v>
      </c>
      <c r="AU2268">
        <v>0</v>
      </c>
      <c r="AV2268">
        <v>0</v>
      </c>
      <c r="AW2268">
        <v>0</v>
      </c>
      <c r="AX2268">
        <v>0</v>
      </c>
      <c r="AY2268">
        <v>0</v>
      </c>
      <c r="AZ2268">
        <v>0</v>
      </c>
      <c r="BA2268">
        <v>0</v>
      </c>
      <c r="BB2268">
        <v>0</v>
      </c>
      <c r="BC2268">
        <v>0</v>
      </c>
      <c r="BD2268">
        <v>0</v>
      </c>
      <c r="BE2268">
        <v>0</v>
      </c>
      <c r="BF2268">
        <v>0</v>
      </c>
      <c r="BG2268">
        <v>0</v>
      </c>
      <c r="BH2268">
        <v>1</v>
      </c>
      <c r="BI2268">
        <v>3.6</v>
      </c>
      <c r="BJ2268">
        <v>1.4</v>
      </c>
      <c r="BK2268">
        <v>4</v>
      </c>
      <c r="BL2268" s="4">
        <v>100.87</v>
      </c>
      <c r="BM2268" s="4">
        <v>15.13</v>
      </c>
      <c r="BN2268" s="4">
        <v>116</v>
      </c>
      <c r="BO2268" s="4">
        <v>116</v>
      </c>
      <c r="BQ2268" t="s">
        <v>436</v>
      </c>
      <c r="BR2268" t="s">
        <v>84</v>
      </c>
      <c r="BS2268" s="3">
        <v>43811</v>
      </c>
      <c r="BT2268" s="5">
        <v>0.38194444444444442</v>
      </c>
      <c r="BU2268" t="s">
        <v>2488</v>
      </c>
      <c r="BV2268" t="s">
        <v>86</v>
      </c>
      <c r="BY2268">
        <v>7142.87</v>
      </c>
      <c r="CA2268" t="s">
        <v>941</v>
      </c>
      <c r="CC2268" t="s">
        <v>199</v>
      </c>
      <c r="CD2268">
        <v>4001</v>
      </c>
      <c r="CE2268" t="s">
        <v>96</v>
      </c>
      <c r="CF2268" s="3">
        <v>43812</v>
      </c>
      <c r="CI2268">
        <v>1</v>
      </c>
      <c r="CJ2268">
        <v>1</v>
      </c>
      <c r="CK2268">
        <v>21</v>
      </c>
      <c r="CL2268" t="s">
        <v>89</v>
      </c>
    </row>
    <row r="2269" spans="1:90">
      <c r="A2269" t="s">
        <v>72</v>
      </c>
      <c r="B2269" t="s">
        <v>73</v>
      </c>
      <c r="C2269" t="s">
        <v>74</v>
      </c>
      <c r="E2269" t="str">
        <f>"FES1162727706"</f>
        <v>FES1162727706</v>
      </c>
      <c r="F2269" s="3">
        <v>43810</v>
      </c>
      <c r="G2269">
        <v>202006</v>
      </c>
      <c r="H2269" t="s">
        <v>75</v>
      </c>
      <c r="I2269" t="s">
        <v>76</v>
      </c>
      <c r="J2269" t="s">
        <v>77</v>
      </c>
      <c r="K2269" t="s">
        <v>78</v>
      </c>
      <c r="L2269" t="s">
        <v>221</v>
      </c>
      <c r="M2269" t="s">
        <v>222</v>
      </c>
      <c r="N2269" t="s">
        <v>245</v>
      </c>
      <c r="O2269" t="s">
        <v>82</v>
      </c>
      <c r="P2269" t="str">
        <f>"21707191195                   "</f>
        <v xml:space="preserve">21707191195                   </v>
      </c>
      <c r="Q2269">
        <v>0</v>
      </c>
      <c r="R2269">
        <v>0</v>
      </c>
      <c r="S2269">
        <v>0</v>
      </c>
      <c r="T2269">
        <v>0</v>
      </c>
      <c r="U2269">
        <v>0</v>
      </c>
      <c r="V2269">
        <v>0</v>
      </c>
      <c r="W2269">
        <v>0</v>
      </c>
      <c r="X2269">
        <v>0</v>
      </c>
      <c r="Y2269">
        <v>0</v>
      </c>
      <c r="Z2269">
        <v>0</v>
      </c>
      <c r="AA2269">
        <v>0</v>
      </c>
      <c r="AB2269">
        <v>0</v>
      </c>
      <c r="AC2269">
        <v>0</v>
      </c>
      <c r="AD2269">
        <v>0</v>
      </c>
      <c r="AE2269">
        <v>0</v>
      </c>
      <c r="AF2269">
        <v>0</v>
      </c>
      <c r="AG2269">
        <v>0</v>
      </c>
      <c r="AH2269">
        <v>0</v>
      </c>
      <c r="AI2269">
        <v>0</v>
      </c>
      <c r="AJ2269">
        <v>0</v>
      </c>
      <c r="AK2269">
        <v>0</v>
      </c>
      <c r="AL2269">
        <v>0</v>
      </c>
      <c r="AM2269">
        <v>21.45</v>
      </c>
      <c r="AN2269">
        <v>0</v>
      </c>
      <c r="AO2269">
        <v>0</v>
      </c>
      <c r="AP2269">
        <v>0</v>
      </c>
      <c r="AQ2269">
        <v>0</v>
      </c>
      <c r="AR2269">
        <v>0</v>
      </c>
      <c r="AS2269">
        <v>0</v>
      </c>
      <c r="AT2269">
        <v>0</v>
      </c>
      <c r="AU2269">
        <v>0</v>
      </c>
      <c r="AV2269">
        <v>0</v>
      </c>
      <c r="AW2269">
        <v>0</v>
      </c>
      <c r="AX2269">
        <v>0</v>
      </c>
      <c r="AY2269">
        <v>0</v>
      </c>
      <c r="AZ2269">
        <v>0</v>
      </c>
      <c r="BA2269">
        <v>0</v>
      </c>
      <c r="BB2269">
        <v>0</v>
      </c>
      <c r="BC2269">
        <v>0</v>
      </c>
      <c r="BD2269">
        <v>0</v>
      </c>
      <c r="BE2269">
        <v>0</v>
      </c>
      <c r="BF2269">
        <v>0</v>
      </c>
      <c r="BG2269">
        <v>0</v>
      </c>
      <c r="BH2269">
        <v>1</v>
      </c>
      <c r="BI2269">
        <v>3</v>
      </c>
      <c r="BJ2269">
        <v>4.5999999999999996</v>
      </c>
      <c r="BK2269">
        <v>5</v>
      </c>
      <c r="BL2269" s="4">
        <v>126.08</v>
      </c>
      <c r="BM2269" s="4">
        <v>18.91</v>
      </c>
      <c r="BN2269" s="4">
        <v>144.99</v>
      </c>
      <c r="BO2269" s="4">
        <v>144.99</v>
      </c>
      <c r="BR2269" t="s">
        <v>84</v>
      </c>
      <c r="BS2269" s="3">
        <v>43811</v>
      </c>
      <c r="BT2269" s="5">
        <v>0.57361111111111118</v>
      </c>
      <c r="BU2269" t="s">
        <v>2489</v>
      </c>
      <c r="BV2269" t="s">
        <v>89</v>
      </c>
      <c r="BW2269" t="s">
        <v>506</v>
      </c>
      <c r="BX2269" t="s">
        <v>524</v>
      </c>
      <c r="BY2269">
        <v>23114.39</v>
      </c>
      <c r="CA2269" t="s">
        <v>1609</v>
      </c>
      <c r="CC2269" t="s">
        <v>222</v>
      </c>
      <c r="CD2269">
        <v>3200</v>
      </c>
      <c r="CE2269" t="s">
        <v>116</v>
      </c>
      <c r="CF2269" s="3">
        <v>43812</v>
      </c>
      <c r="CI2269">
        <v>1</v>
      </c>
      <c r="CJ2269">
        <v>1</v>
      </c>
      <c r="CK2269">
        <v>21</v>
      </c>
      <c r="CL2269" t="s">
        <v>89</v>
      </c>
    </row>
    <row r="2270" spans="1:90">
      <c r="A2270" t="s">
        <v>72</v>
      </c>
      <c r="B2270" t="s">
        <v>73</v>
      </c>
      <c r="C2270" t="s">
        <v>74</v>
      </c>
      <c r="E2270" t="str">
        <f>"FES1162727819"</f>
        <v>FES1162727819</v>
      </c>
      <c r="F2270" s="3">
        <v>43810</v>
      </c>
      <c r="G2270">
        <v>202006</v>
      </c>
      <c r="H2270" t="s">
        <v>75</v>
      </c>
      <c r="I2270" t="s">
        <v>76</v>
      </c>
      <c r="J2270" t="s">
        <v>77</v>
      </c>
      <c r="K2270" t="s">
        <v>78</v>
      </c>
      <c r="L2270" t="s">
        <v>90</v>
      </c>
      <c r="M2270" t="s">
        <v>91</v>
      </c>
      <c r="N2270" t="s">
        <v>1582</v>
      </c>
      <c r="O2270" t="s">
        <v>82</v>
      </c>
      <c r="P2270" t="str">
        <f>"2170719492                    "</f>
        <v xml:space="preserve">2170719492                    </v>
      </c>
      <c r="Q2270">
        <v>0</v>
      </c>
      <c r="R2270">
        <v>0</v>
      </c>
      <c r="S2270">
        <v>0</v>
      </c>
      <c r="T2270">
        <v>0</v>
      </c>
      <c r="U2270">
        <v>0</v>
      </c>
      <c r="V2270">
        <v>0</v>
      </c>
      <c r="W2270">
        <v>0</v>
      </c>
      <c r="X2270">
        <v>0</v>
      </c>
      <c r="Y2270">
        <v>0</v>
      </c>
      <c r="Z2270">
        <v>0</v>
      </c>
      <c r="AA2270">
        <v>0</v>
      </c>
      <c r="AB2270">
        <v>0</v>
      </c>
      <c r="AC2270">
        <v>0</v>
      </c>
      <c r="AD2270">
        <v>0</v>
      </c>
      <c r="AE2270">
        <v>0</v>
      </c>
      <c r="AF2270">
        <v>0</v>
      </c>
      <c r="AG2270">
        <v>0</v>
      </c>
      <c r="AH2270">
        <v>0</v>
      </c>
      <c r="AI2270">
        <v>0</v>
      </c>
      <c r="AJ2270">
        <v>0</v>
      </c>
      <c r="AK2270">
        <v>0</v>
      </c>
      <c r="AL2270">
        <v>0</v>
      </c>
      <c r="AM2270">
        <v>40.75</v>
      </c>
      <c r="AN2270">
        <v>0</v>
      </c>
      <c r="AO2270">
        <v>0</v>
      </c>
      <c r="AP2270">
        <v>0</v>
      </c>
      <c r="AQ2270">
        <v>0</v>
      </c>
      <c r="AR2270">
        <v>0</v>
      </c>
      <c r="AS2270">
        <v>0</v>
      </c>
      <c r="AT2270">
        <v>0</v>
      </c>
      <c r="AU2270">
        <v>0</v>
      </c>
      <c r="AV2270">
        <v>0</v>
      </c>
      <c r="AW2270">
        <v>0</v>
      </c>
      <c r="AX2270">
        <v>0</v>
      </c>
      <c r="AY2270">
        <v>0</v>
      </c>
      <c r="AZ2270">
        <v>0</v>
      </c>
      <c r="BA2270">
        <v>0</v>
      </c>
      <c r="BB2270">
        <v>0</v>
      </c>
      <c r="BC2270">
        <v>0</v>
      </c>
      <c r="BD2270">
        <v>0</v>
      </c>
      <c r="BE2270">
        <v>0</v>
      </c>
      <c r="BF2270">
        <v>0</v>
      </c>
      <c r="BG2270">
        <v>0</v>
      </c>
      <c r="BH2270">
        <v>1</v>
      </c>
      <c r="BI2270">
        <v>3.1</v>
      </c>
      <c r="BJ2270">
        <v>9.4</v>
      </c>
      <c r="BK2270">
        <v>9.5</v>
      </c>
      <c r="BL2270" s="4">
        <v>239.52</v>
      </c>
      <c r="BM2270" s="4">
        <v>35.93</v>
      </c>
      <c r="BN2270" s="4">
        <v>275.45</v>
      </c>
      <c r="BO2270" s="4">
        <v>275.45</v>
      </c>
      <c r="BQ2270" t="s">
        <v>256</v>
      </c>
      <c r="BR2270" t="s">
        <v>84</v>
      </c>
      <c r="BS2270" s="3">
        <v>43811</v>
      </c>
      <c r="BT2270" s="5">
        <v>0.4375</v>
      </c>
      <c r="BU2270" t="s">
        <v>678</v>
      </c>
      <c r="BV2270" t="s">
        <v>86</v>
      </c>
      <c r="BY2270">
        <v>47231.88</v>
      </c>
      <c r="CA2270" t="s">
        <v>539</v>
      </c>
      <c r="CC2270" t="s">
        <v>91</v>
      </c>
      <c r="CD2270">
        <v>7580</v>
      </c>
      <c r="CE2270" t="s">
        <v>116</v>
      </c>
      <c r="CF2270" s="3">
        <v>43812</v>
      </c>
      <c r="CI2270">
        <v>1</v>
      </c>
      <c r="CJ2270">
        <v>1</v>
      </c>
      <c r="CK2270">
        <v>21</v>
      </c>
      <c r="CL2270" t="s">
        <v>89</v>
      </c>
    </row>
    <row r="2271" spans="1:90">
      <c r="A2271" t="s">
        <v>72</v>
      </c>
      <c r="B2271" t="s">
        <v>73</v>
      </c>
      <c r="C2271" t="s">
        <v>74</v>
      </c>
      <c r="E2271" t="str">
        <f>"FES1162727747"</f>
        <v>FES1162727747</v>
      </c>
      <c r="F2271" s="3">
        <v>43810</v>
      </c>
      <c r="G2271">
        <v>202006</v>
      </c>
      <c r="H2271" t="s">
        <v>75</v>
      </c>
      <c r="I2271" t="s">
        <v>76</v>
      </c>
      <c r="J2271" t="s">
        <v>77</v>
      </c>
      <c r="K2271" t="s">
        <v>78</v>
      </c>
      <c r="L2271" t="s">
        <v>396</v>
      </c>
      <c r="M2271" t="s">
        <v>397</v>
      </c>
      <c r="N2271" t="s">
        <v>913</v>
      </c>
      <c r="O2271" t="s">
        <v>82</v>
      </c>
      <c r="P2271" t="str">
        <f>"21707121231                   "</f>
        <v xml:space="preserve">21707121231                   </v>
      </c>
      <c r="Q2271">
        <v>0</v>
      </c>
      <c r="R2271">
        <v>0</v>
      </c>
      <c r="S2271">
        <v>0</v>
      </c>
      <c r="T2271">
        <v>0</v>
      </c>
      <c r="U2271">
        <v>0</v>
      </c>
      <c r="V2271">
        <v>0</v>
      </c>
      <c r="W2271">
        <v>0</v>
      </c>
      <c r="X2271">
        <v>0</v>
      </c>
      <c r="Y2271">
        <v>0</v>
      </c>
      <c r="Z2271">
        <v>0</v>
      </c>
      <c r="AA2271">
        <v>0</v>
      </c>
      <c r="AB2271">
        <v>0</v>
      </c>
      <c r="AC2271">
        <v>0</v>
      </c>
      <c r="AD2271">
        <v>0</v>
      </c>
      <c r="AE2271">
        <v>0</v>
      </c>
      <c r="AF2271">
        <v>0</v>
      </c>
      <c r="AG2271">
        <v>0</v>
      </c>
      <c r="AH2271">
        <v>0</v>
      </c>
      <c r="AI2271">
        <v>0</v>
      </c>
      <c r="AJ2271">
        <v>0</v>
      </c>
      <c r="AK2271">
        <v>0</v>
      </c>
      <c r="AL2271">
        <v>0</v>
      </c>
      <c r="AM2271">
        <v>50.43</v>
      </c>
      <c r="AN2271">
        <v>0</v>
      </c>
      <c r="AO2271">
        <v>0</v>
      </c>
      <c r="AP2271">
        <v>0</v>
      </c>
      <c r="AQ2271">
        <v>0</v>
      </c>
      <c r="AR2271">
        <v>0</v>
      </c>
      <c r="AS2271">
        <v>0</v>
      </c>
      <c r="AT2271">
        <v>0</v>
      </c>
      <c r="AU2271">
        <v>0</v>
      </c>
      <c r="AV2271">
        <v>0</v>
      </c>
      <c r="AW2271">
        <v>0</v>
      </c>
      <c r="AX2271">
        <v>0</v>
      </c>
      <c r="AY2271">
        <v>0</v>
      </c>
      <c r="AZ2271">
        <v>0</v>
      </c>
      <c r="BA2271">
        <v>0</v>
      </c>
      <c r="BB2271">
        <v>0</v>
      </c>
      <c r="BC2271">
        <v>0</v>
      </c>
      <c r="BD2271">
        <v>0</v>
      </c>
      <c r="BE2271">
        <v>0</v>
      </c>
      <c r="BF2271">
        <v>0</v>
      </c>
      <c r="BG2271">
        <v>0</v>
      </c>
      <c r="BH2271">
        <v>1</v>
      </c>
      <c r="BI2271">
        <v>6.5</v>
      </c>
      <c r="BJ2271">
        <v>1.8</v>
      </c>
      <c r="BK2271">
        <v>6.5</v>
      </c>
      <c r="BL2271" s="4">
        <v>296.43</v>
      </c>
      <c r="BM2271" s="4">
        <v>44.46</v>
      </c>
      <c r="BN2271" s="4">
        <v>340.89</v>
      </c>
      <c r="BO2271" s="4">
        <v>340.89</v>
      </c>
      <c r="BQ2271" t="s">
        <v>147</v>
      </c>
      <c r="BR2271" t="s">
        <v>84</v>
      </c>
      <c r="BS2271" s="3">
        <v>43811</v>
      </c>
      <c r="BT2271" s="5">
        <v>0.47638888888888892</v>
      </c>
      <c r="BU2271" t="s">
        <v>1500</v>
      </c>
      <c r="BV2271" t="s">
        <v>86</v>
      </c>
      <c r="BY2271">
        <v>8770.02</v>
      </c>
      <c r="CA2271" t="s">
        <v>400</v>
      </c>
      <c r="CC2271" t="s">
        <v>397</v>
      </c>
      <c r="CD2271">
        <v>7130</v>
      </c>
      <c r="CE2271" t="s">
        <v>96</v>
      </c>
      <c r="CF2271" s="3">
        <v>43812</v>
      </c>
      <c r="CI2271">
        <v>1</v>
      </c>
      <c r="CJ2271">
        <v>1</v>
      </c>
      <c r="CK2271">
        <v>23</v>
      </c>
      <c r="CL2271" t="s">
        <v>89</v>
      </c>
    </row>
    <row r="2272" spans="1:90">
      <c r="A2272" t="s">
        <v>72</v>
      </c>
      <c r="B2272" t="s">
        <v>73</v>
      </c>
      <c r="C2272" t="s">
        <v>74</v>
      </c>
      <c r="E2272" t="str">
        <f>"FES1162727837"</f>
        <v>FES1162727837</v>
      </c>
      <c r="F2272" s="3">
        <v>43810</v>
      </c>
      <c r="G2272">
        <v>202006</v>
      </c>
      <c r="H2272" t="s">
        <v>75</v>
      </c>
      <c r="I2272" t="s">
        <v>76</v>
      </c>
      <c r="J2272" t="s">
        <v>77</v>
      </c>
      <c r="K2272" t="s">
        <v>78</v>
      </c>
      <c r="L2272" t="s">
        <v>2490</v>
      </c>
      <c r="M2272" t="s">
        <v>2491</v>
      </c>
      <c r="N2272" t="s">
        <v>2492</v>
      </c>
      <c r="O2272" t="s">
        <v>82</v>
      </c>
      <c r="P2272" t="str">
        <f>"2170721287                    "</f>
        <v xml:space="preserve">2170721287                    </v>
      </c>
      <c r="Q2272">
        <v>0</v>
      </c>
      <c r="R2272">
        <v>0</v>
      </c>
      <c r="S2272">
        <v>0</v>
      </c>
      <c r="T2272">
        <v>0</v>
      </c>
      <c r="U2272">
        <v>0</v>
      </c>
      <c r="V2272">
        <v>0</v>
      </c>
      <c r="W2272">
        <v>0</v>
      </c>
      <c r="X2272">
        <v>0</v>
      </c>
      <c r="Y2272">
        <v>0</v>
      </c>
      <c r="Z2272">
        <v>0</v>
      </c>
      <c r="AA2272">
        <v>0</v>
      </c>
      <c r="AB2272">
        <v>0</v>
      </c>
      <c r="AC2272">
        <v>0</v>
      </c>
      <c r="AD2272">
        <v>0</v>
      </c>
      <c r="AE2272">
        <v>0</v>
      </c>
      <c r="AF2272">
        <v>0</v>
      </c>
      <c r="AG2272">
        <v>0</v>
      </c>
      <c r="AH2272">
        <v>0</v>
      </c>
      <c r="AI2272">
        <v>0</v>
      </c>
      <c r="AJ2272">
        <v>0</v>
      </c>
      <c r="AK2272">
        <v>0</v>
      </c>
      <c r="AL2272">
        <v>0</v>
      </c>
      <c r="AM2272">
        <v>27.9</v>
      </c>
      <c r="AN2272">
        <v>0</v>
      </c>
      <c r="AO2272">
        <v>0</v>
      </c>
      <c r="AP2272">
        <v>0</v>
      </c>
      <c r="AQ2272">
        <v>0</v>
      </c>
      <c r="AR2272">
        <v>0</v>
      </c>
      <c r="AS2272">
        <v>0</v>
      </c>
      <c r="AT2272">
        <v>0</v>
      </c>
      <c r="AU2272">
        <v>0</v>
      </c>
      <c r="AV2272">
        <v>0</v>
      </c>
      <c r="AW2272">
        <v>0</v>
      </c>
      <c r="AX2272">
        <v>0</v>
      </c>
      <c r="AY2272">
        <v>0</v>
      </c>
      <c r="AZ2272">
        <v>0</v>
      </c>
      <c r="BA2272">
        <v>0</v>
      </c>
      <c r="BB2272">
        <v>0</v>
      </c>
      <c r="BC2272">
        <v>0</v>
      </c>
      <c r="BD2272">
        <v>0</v>
      </c>
      <c r="BE2272">
        <v>0</v>
      </c>
      <c r="BF2272">
        <v>0</v>
      </c>
      <c r="BG2272">
        <v>0</v>
      </c>
      <c r="BH2272">
        <v>1</v>
      </c>
      <c r="BI2272">
        <v>3.5</v>
      </c>
      <c r="BJ2272">
        <v>1.3</v>
      </c>
      <c r="BK2272">
        <v>3.5</v>
      </c>
      <c r="BL2272" s="4">
        <v>163.98</v>
      </c>
      <c r="BM2272" s="4">
        <v>24.6</v>
      </c>
      <c r="BN2272" s="4">
        <v>188.58</v>
      </c>
      <c r="BO2272" s="4">
        <v>188.58</v>
      </c>
      <c r="BQ2272" t="s">
        <v>2493</v>
      </c>
      <c r="BR2272" t="s">
        <v>84</v>
      </c>
      <c r="BS2272" s="3">
        <v>43812</v>
      </c>
      <c r="BT2272" s="5">
        <v>0.52083333333333337</v>
      </c>
      <c r="BU2272" t="s">
        <v>2494</v>
      </c>
      <c r="BV2272" t="s">
        <v>86</v>
      </c>
      <c r="BY2272">
        <v>6294.17</v>
      </c>
      <c r="CA2272" t="s">
        <v>2495</v>
      </c>
      <c r="CC2272" t="s">
        <v>2491</v>
      </c>
      <c r="CD2272">
        <v>3236</v>
      </c>
      <c r="CE2272" t="s">
        <v>96</v>
      </c>
      <c r="CF2272" s="3">
        <v>43817</v>
      </c>
      <c r="CI2272">
        <v>4</v>
      </c>
      <c r="CJ2272">
        <v>2</v>
      </c>
      <c r="CK2272">
        <v>23</v>
      </c>
      <c r="CL2272" t="s">
        <v>89</v>
      </c>
    </row>
    <row r="2273" spans="1:90">
      <c r="A2273" t="s">
        <v>72</v>
      </c>
      <c r="B2273" t="s">
        <v>73</v>
      </c>
      <c r="C2273" t="s">
        <v>74</v>
      </c>
      <c r="E2273" t="str">
        <f>"FES1162727786"</f>
        <v>FES1162727786</v>
      </c>
      <c r="F2273" s="3">
        <v>43810</v>
      </c>
      <c r="G2273">
        <v>202006</v>
      </c>
      <c r="H2273" t="s">
        <v>75</v>
      </c>
      <c r="I2273" t="s">
        <v>76</v>
      </c>
      <c r="J2273" t="s">
        <v>77</v>
      </c>
      <c r="K2273" t="s">
        <v>78</v>
      </c>
      <c r="L2273" t="s">
        <v>90</v>
      </c>
      <c r="M2273" t="s">
        <v>91</v>
      </c>
      <c r="N2273" t="s">
        <v>1582</v>
      </c>
      <c r="O2273" t="s">
        <v>82</v>
      </c>
      <c r="P2273" t="str">
        <f>"2170716743                    "</f>
        <v xml:space="preserve">2170716743                    </v>
      </c>
      <c r="Q2273">
        <v>0</v>
      </c>
      <c r="R2273">
        <v>0</v>
      </c>
      <c r="S2273">
        <v>0</v>
      </c>
      <c r="T2273">
        <v>0</v>
      </c>
      <c r="U2273">
        <v>0</v>
      </c>
      <c r="V2273">
        <v>0</v>
      </c>
      <c r="W2273">
        <v>0</v>
      </c>
      <c r="X2273">
        <v>0</v>
      </c>
      <c r="Y2273">
        <v>0</v>
      </c>
      <c r="Z2273">
        <v>0</v>
      </c>
      <c r="AA2273">
        <v>0</v>
      </c>
      <c r="AB2273">
        <v>0</v>
      </c>
      <c r="AC2273">
        <v>0</v>
      </c>
      <c r="AD2273">
        <v>0</v>
      </c>
      <c r="AE2273">
        <v>0</v>
      </c>
      <c r="AF2273">
        <v>0</v>
      </c>
      <c r="AG2273">
        <v>0</v>
      </c>
      <c r="AH2273">
        <v>0</v>
      </c>
      <c r="AI2273">
        <v>0</v>
      </c>
      <c r="AJ2273">
        <v>0</v>
      </c>
      <c r="AK2273">
        <v>0</v>
      </c>
      <c r="AL2273">
        <v>0</v>
      </c>
      <c r="AM2273">
        <v>10.73</v>
      </c>
      <c r="AN2273">
        <v>0</v>
      </c>
      <c r="AO2273">
        <v>0</v>
      </c>
      <c r="AP2273">
        <v>0</v>
      </c>
      <c r="AQ2273">
        <v>0</v>
      </c>
      <c r="AR2273">
        <v>0</v>
      </c>
      <c r="AS2273">
        <v>0</v>
      </c>
      <c r="AT2273">
        <v>0</v>
      </c>
      <c r="AU2273">
        <v>0</v>
      </c>
      <c r="AV2273">
        <v>0</v>
      </c>
      <c r="AW2273">
        <v>0</v>
      </c>
      <c r="AX2273">
        <v>0</v>
      </c>
      <c r="AY2273">
        <v>0</v>
      </c>
      <c r="AZ2273">
        <v>0</v>
      </c>
      <c r="BA2273">
        <v>0</v>
      </c>
      <c r="BB2273">
        <v>0</v>
      </c>
      <c r="BC2273">
        <v>0</v>
      </c>
      <c r="BD2273">
        <v>0</v>
      </c>
      <c r="BE2273">
        <v>0</v>
      </c>
      <c r="BF2273">
        <v>0</v>
      </c>
      <c r="BG2273">
        <v>0</v>
      </c>
      <c r="BH2273">
        <v>1</v>
      </c>
      <c r="BI2273">
        <v>0.9</v>
      </c>
      <c r="BJ2273">
        <v>2.4</v>
      </c>
      <c r="BK2273">
        <v>2.5</v>
      </c>
      <c r="BL2273" s="4">
        <v>63.06</v>
      </c>
      <c r="BM2273" s="4">
        <v>9.4600000000000009</v>
      </c>
      <c r="BN2273" s="4">
        <v>72.52</v>
      </c>
      <c r="BO2273" s="4">
        <v>72.52</v>
      </c>
      <c r="BQ2273" t="s">
        <v>256</v>
      </c>
      <c r="BR2273" t="s">
        <v>84</v>
      </c>
      <c r="BS2273" s="3">
        <v>43811</v>
      </c>
      <c r="BT2273" s="5">
        <v>0.4375</v>
      </c>
      <c r="BU2273" t="s">
        <v>678</v>
      </c>
      <c r="BV2273" t="s">
        <v>86</v>
      </c>
      <c r="BY2273">
        <v>12107.62</v>
      </c>
      <c r="CA2273" t="s">
        <v>539</v>
      </c>
      <c r="CC2273" t="s">
        <v>91</v>
      </c>
      <c r="CD2273">
        <v>7580</v>
      </c>
      <c r="CE2273" t="s">
        <v>96</v>
      </c>
      <c r="CF2273" s="3">
        <v>43812</v>
      </c>
      <c r="CI2273">
        <v>1</v>
      </c>
      <c r="CJ2273">
        <v>1</v>
      </c>
      <c r="CK2273">
        <v>21</v>
      </c>
      <c r="CL2273" t="s">
        <v>89</v>
      </c>
    </row>
    <row r="2274" spans="1:90">
      <c r="A2274" t="s">
        <v>72</v>
      </c>
      <c r="B2274" t="s">
        <v>73</v>
      </c>
      <c r="C2274" t="s">
        <v>74</v>
      </c>
      <c r="E2274" t="str">
        <f>"FES1162727703"</f>
        <v>FES1162727703</v>
      </c>
      <c r="F2274" s="3">
        <v>43810</v>
      </c>
      <c r="G2274">
        <v>202006</v>
      </c>
      <c r="H2274" t="s">
        <v>75</v>
      </c>
      <c r="I2274" t="s">
        <v>76</v>
      </c>
      <c r="J2274" t="s">
        <v>77</v>
      </c>
      <c r="K2274" t="s">
        <v>78</v>
      </c>
      <c r="L2274" t="s">
        <v>201</v>
      </c>
      <c r="M2274" t="s">
        <v>202</v>
      </c>
      <c r="N2274" t="s">
        <v>2496</v>
      </c>
      <c r="O2274" t="s">
        <v>82</v>
      </c>
      <c r="P2274" t="str">
        <f>"21707150630                   "</f>
        <v xml:space="preserve">21707150630                   </v>
      </c>
      <c r="Q2274">
        <v>0</v>
      </c>
      <c r="R2274">
        <v>0</v>
      </c>
      <c r="S2274">
        <v>0</v>
      </c>
      <c r="T2274">
        <v>0</v>
      </c>
      <c r="U2274">
        <v>0</v>
      </c>
      <c r="V2274">
        <v>0</v>
      </c>
      <c r="W2274">
        <v>0</v>
      </c>
      <c r="X2274">
        <v>0</v>
      </c>
      <c r="Y2274">
        <v>0</v>
      </c>
      <c r="Z2274">
        <v>0</v>
      </c>
      <c r="AA2274">
        <v>0</v>
      </c>
      <c r="AB2274">
        <v>0</v>
      </c>
      <c r="AC2274">
        <v>0</v>
      </c>
      <c r="AD2274">
        <v>0</v>
      </c>
      <c r="AE2274">
        <v>0</v>
      </c>
      <c r="AF2274">
        <v>0</v>
      </c>
      <c r="AG2274">
        <v>0</v>
      </c>
      <c r="AH2274">
        <v>0</v>
      </c>
      <c r="AI2274">
        <v>0</v>
      </c>
      <c r="AJ2274">
        <v>0</v>
      </c>
      <c r="AK2274">
        <v>0</v>
      </c>
      <c r="AL2274">
        <v>0</v>
      </c>
      <c r="AM2274">
        <v>12.87</v>
      </c>
      <c r="AN2274">
        <v>0</v>
      </c>
      <c r="AO2274">
        <v>0</v>
      </c>
      <c r="AP2274">
        <v>0</v>
      </c>
      <c r="AQ2274">
        <v>0</v>
      </c>
      <c r="AR2274">
        <v>0</v>
      </c>
      <c r="AS2274">
        <v>0</v>
      </c>
      <c r="AT2274">
        <v>0</v>
      </c>
      <c r="AU2274">
        <v>0</v>
      </c>
      <c r="AV2274">
        <v>0</v>
      </c>
      <c r="AW2274">
        <v>0</v>
      </c>
      <c r="AX2274">
        <v>0</v>
      </c>
      <c r="AY2274">
        <v>0</v>
      </c>
      <c r="AZ2274">
        <v>0</v>
      </c>
      <c r="BA2274">
        <v>0</v>
      </c>
      <c r="BB2274">
        <v>0</v>
      </c>
      <c r="BC2274">
        <v>0</v>
      </c>
      <c r="BD2274">
        <v>0</v>
      </c>
      <c r="BE2274">
        <v>0</v>
      </c>
      <c r="BF2274">
        <v>0</v>
      </c>
      <c r="BG2274">
        <v>0</v>
      </c>
      <c r="BH2274">
        <v>1</v>
      </c>
      <c r="BI2274">
        <v>2.6</v>
      </c>
      <c r="BJ2274">
        <v>1.3</v>
      </c>
      <c r="BK2274">
        <v>3</v>
      </c>
      <c r="BL2274" s="4">
        <v>75.66</v>
      </c>
      <c r="BM2274" s="4">
        <v>11.35</v>
      </c>
      <c r="BN2274" s="4">
        <v>87.01</v>
      </c>
      <c r="BO2274" s="4">
        <v>87.01</v>
      </c>
      <c r="BQ2274" t="s">
        <v>2497</v>
      </c>
      <c r="BR2274" t="s">
        <v>84</v>
      </c>
      <c r="BS2274" s="3">
        <v>43811</v>
      </c>
      <c r="BT2274" s="5">
        <v>0.38472222222222219</v>
      </c>
      <c r="BU2274" t="s">
        <v>142</v>
      </c>
      <c r="BV2274" t="s">
        <v>86</v>
      </c>
      <c r="BY2274">
        <v>6342.15</v>
      </c>
      <c r="CC2274" t="s">
        <v>202</v>
      </c>
      <c r="CD2274">
        <v>3610</v>
      </c>
      <c r="CE2274" t="s">
        <v>116</v>
      </c>
      <c r="CF2274" s="3">
        <v>43812</v>
      </c>
      <c r="CI2274">
        <v>1</v>
      </c>
      <c r="CJ2274">
        <v>1</v>
      </c>
      <c r="CK2274">
        <v>21</v>
      </c>
      <c r="CL2274" t="s">
        <v>89</v>
      </c>
    </row>
    <row r="2275" spans="1:90">
      <c r="A2275" t="s">
        <v>72</v>
      </c>
      <c r="B2275" t="s">
        <v>73</v>
      </c>
      <c r="C2275" t="s">
        <v>74</v>
      </c>
      <c r="E2275" t="str">
        <f>"FES1162727817"</f>
        <v>FES1162727817</v>
      </c>
      <c r="F2275" s="3">
        <v>43810</v>
      </c>
      <c r="G2275">
        <v>202006</v>
      </c>
      <c r="H2275" t="s">
        <v>75</v>
      </c>
      <c r="I2275" t="s">
        <v>76</v>
      </c>
      <c r="J2275" t="s">
        <v>77</v>
      </c>
      <c r="K2275" t="s">
        <v>78</v>
      </c>
      <c r="L2275" t="s">
        <v>308</v>
      </c>
      <c r="M2275" t="s">
        <v>308</v>
      </c>
      <c r="N2275" t="s">
        <v>540</v>
      </c>
      <c r="O2275" t="s">
        <v>82</v>
      </c>
      <c r="P2275" t="str">
        <f>"21707193892                   "</f>
        <v xml:space="preserve">21707193892                   </v>
      </c>
      <c r="Q2275">
        <v>0</v>
      </c>
      <c r="R2275">
        <v>0</v>
      </c>
      <c r="S2275">
        <v>0</v>
      </c>
      <c r="T2275">
        <v>0</v>
      </c>
      <c r="U2275">
        <v>0</v>
      </c>
      <c r="V2275">
        <v>0</v>
      </c>
      <c r="W2275">
        <v>0</v>
      </c>
      <c r="X2275">
        <v>0</v>
      </c>
      <c r="Y2275">
        <v>0</v>
      </c>
      <c r="Z2275">
        <v>0</v>
      </c>
      <c r="AA2275">
        <v>0</v>
      </c>
      <c r="AB2275">
        <v>0</v>
      </c>
      <c r="AC2275">
        <v>0</v>
      </c>
      <c r="AD2275">
        <v>0</v>
      </c>
      <c r="AE2275">
        <v>0</v>
      </c>
      <c r="AF2275">
        <v>0</v>
      </c>
      <c r="AG2275">
        <v>0</v>
      </c>
      <c r="AH2275">
        <v>0</v>
      </c>
      <c r="AI2275">
        <v>0</v>
      </c>
      <c r="AJ2275">
        <v>0</v>
      </c>
      <c r="AK2275">
        <v>0</v>
      </c>
      <c r="AL2275">
        <v>0</v>
      </c>
      <c r="AM2275">
        <v>16.63</v>
      </c>
      <c r="AN2275">
        <v>0</v>
      </c>
      <c r="AO2275">
        <v>0</v>
      </c>
      <c r="AP2275">
        <v>0</v>
      </c>
      <c r="AQ2275">
        <v>0</v>
      </c>
      <c r="AR2275">
        <v>0</v>
      </c>
      <c r="AS2275">
        <v>0</v>
      </c>
      <c r="AT2275">
        <v>0</v>
      </c>
      <c r="AU2275">
        <v>0</v>
      </c>
      <c r="AV2275">
        <v>0</v>
      </c>
      <c r="AW2275">
        <v>0</v>
      </c>
      <c r="AX2275">
        <v>0</v>
      </c>
      <c r="AY2275">
        <v>0</v>
      </c>
      <c r="AZ2275">
        <v>0</v>
      </c>
      <c r="BA2275">
        <v>0</v>
      </c>
      <c r="BB2275">
        <v>0</v>
      </c>
      <c r="BC2275">
        <v>0</v>
      </c>
      <c r="BD2275">
        <v>0</v>
      </c>
      <c r="BE2275">
        <v>0</v>
      </c>
      <c r="BF2275">
        <v>0</v>
      </c>
      <c r="BG2275">
        <v>0</v>
      </c>
      <c r="BH2275">
        <v>1</v>
      </c>
      <c r="BI2275">
        <v>1.9</v>
      </c>
      <c r="BJ2275">
        <v>1.6</v>
      </c>
      <c r="BK2275">
        <v>2</v>
      </c>
      <c r="BL2275" s="4">
        <v>97.75</v>
      </c>
      <c r="BM2275" s="4">
        <v>14.66</v>
      </c>
      <c r="BN2275" s="4">
        <v>112.41</v>
      </c>
      <c r="BO2275" s="4">
        <v>112.41</v>
      </c>
      <c r="BQ2275" t="s">
        <v>147</v>
      </c>
      <c r="BR2275" t="s">
        <v>84</v>
      </c>
      <c r="BS2275" s="3">
        <v>43811</v>
      </c>
      <c r="BT2275" s="5">
        <v>0.48541666666666666</v>
      </c>
      <c r="BU2275" t="s">
        <v>1576</v>
      </c>
      <c r="BV2275" t="s">
        <v>86</v>
      </c>
      <c r="BY2275">
        <v>7757.37</v>
      </c>
      <c r="CA2275" t="s">
        <v>311</v>
      </c>
      <c r="CC2275" t="s">
        <v>308</v>
      </c>
      <c r="CD2275">
        <v>7646</v>
      </c>
      <c r="CE2275" t="s">
        <v>116</v>
      </c>
      <c r="CF2275" s="3">
        <v>43812</v>
      </c>
      <c r="CI2275">
        <v>1</v>
      </c>
      <c r="CJ2275">
        <v>1</v>
      </c>
      <c r="CK2275">
        <v>23</v>
      </c>
      <c r="CL2275" t="s">
        <v>89</v>
      </c>
    </row>
    <row r="2276" spans="1:90">
      <c r="A2276" t="s">
        <v>72</v>
      </c>
      <c r="B2276" t="s">
        <v>73</v>
      </c>
      <c r="C2276" t="s">
        <v>74</v>
      </c>
      <c r="E2276" t="str">
        <f>"FES1162727689"</f>
        <v>FES1162727689</v>
      </c>
      <c r="F2276" s="3">
        <v>43810</v>
      </c>
      <c r="G2276">
        <v>202006</v>
      </c>
      <c r="H2276" t="s">
        <v>75</v>
      </c>
      <c r="I2276" t="s">
        <v>76</v>
      </c>
      <c r="J2276" t="s">
        <v>77</v>
      </c>
      <c r="K2276" t="s">
        <v>78</v>
      </c>
      <c r="L2276" t="s">
        <v>361</v>
      </c>
      <c r="M2276" t="s">
        <v>362</v>
      </c>
      <c r="N2276" t="s">
        <v>363</v>
      </c>
      <c r="O2276" t="s">
        <v>82</v>
      </c>
      <c r="P2276" t="str">
        <f>"217071126                     "</f>
        <v xml:space="preserve">217071126                     </v>
      </c>
      <c r="Q2276">
        <v>0</v>
      </c>
      <c r="R2276">
        <v>0</v>
      </c>
      <c r="S2276">
        <v>0</v>
      </c>
      <c r="T2276">
        <v>0</v>
      </c>
      <c r="U2276">
        <v>0</v>
      </c>
      <c r="V2276">
        <v>0</v>
      </c>
      <c r="W2276">
        <v>0</v>
      </c>
      <c r="X2276">
        <v>0</v>
      </c>
      <c r="Y2276">
        <v>0</v>
      </c>
      <c r="Z2276">
        <v>0</v>
      </c>
      <c r="AA2276">
        <v>0</v>
      </c>
      <c r="AB2276">
        <v>0</v>
      </c>
      <c r="AC2276">
        <v>0</v>
      </c>
      <c r="AD2276">
        <v>0</v>
      </c>
      <c r="AE2276">
        <v>0</v>
      </c>
      <c r="AF2276">
        <v>0</v>
      </c>
      <c r="AG2276">
        <v>0</v>
      </c>
      <c r="AH2276">
        <v>0</v>
      </c>
      <c r="AI2276">
        <v>0</v>
      </c>
      <c r="AJ2276">
        <v>0</v>
      </c>
      <c r="AK2276">
        <v>0</v>
      </c>
      <c r="AL2276">
        <v>0</v>
      </c>
      <c r="AM2276">
        <v>8.58</v>
      </c>
      <c r="AN2276">
        <v>0</v>
      </c>
      <c r="AO2276">
        <v>0</v>
      </c>
      <c r="AP2276">
        <v>0</v>
      </c>
      <c r="AQ2276">
        <v>0</v>
      </c>
      <c r="AR2276">
        <v>0</v>
      </c>
      <c r="AS2276">
        <v>0</v>
      </c>
      <c r="AT2276">
        <v>0</v>
      </c>
      <c r="AU2276">
        <v>0</v>
      </c>
      <c r="AV2276">
        <v>0</v>
      </c>
      <c r="AW2276">
        <v>0</v>
      </c>
      <c r="AX2276">
        <v>0</v>
      </c>
      <c r="AY2276">
        <v>0</v>
      </c>
      <c r="AZ2276">
        <v>0</v>
      </c>
      <c r="BA2276">
        <v>0</v>
      </c>
      <c r="BB2276">
        <v>0</v>
      </c>
      <c r="BC2276">
        <v>0</v>
      </c>
      <c r="BD2276">
        <v>0</v>
      </c>
      <c r="BE2276">
        <v>0</v>
      </c>
      <c r="BF2276">
        <v>0</v>
      </c>
      <c r="BG2276">
        <v>0</v>
      </c>
      <c r="BH2276">
        <v>1</v>
      </c>
      <c r="BI2276">
        <v>1</v>
      </c>
      <c r="BJ2276">
        <v>0.2</v>
      </c>
      <c r="BK2276">
        <v>1</v>
      </c>
      <c r="BL2276" s="4">
        <v>50.45</v>
      </c>
      <c r="BM2276" s="4">
        <v>7.57</v>
      </c>
      <c r="BN2276" s="4">
        <v>58.02</v>
      </c>
      <c r="BO2276" s="4">
        <v>58.02</v>
      </c>
      <c r="BQ2276" t="s">
        <v>93</v>
      </c>
      <c r="BR2276" t="s">
        <v>84</v>
      </c>
      <c r="BS2276" s="3">
        <v>43811</v>
      </c>
      <c r="BT2276" s="5">
        <v>0.42569444444444443</v>
      </c>
      <c r="BU2276" t="s">
        <v>364</v>
      </c>
      <c r="BV2276" t="s">
        <v>86</v>
      </c>
      <c r="BY2276">
        <v>1200</v>
      </c>
      <c r="CA2276" t="s">
        <v>185</v>
      </c>
      <c r="CC2276" t="s">
        <v>362</v>
      </c>
      <c r="CD2276">
        <v>6220</v>
      </c>
      <c r="CE2276" t="s">
        <v>88</v>
      </c>
      <c r="CF2276" s="3">
        <v>43812</v>
      </c>
      <c r="CI2276">
        <v>1</v>
      </c>
      <c r="CJ2276">
        <v>1</v>
      </c>
      <c r="CK2276">
        <v>21</v>
      </c>
      <c r="CL2276" t="s">
        <v>89</v>
      </c>
    </row>
    <row r="2277" spans="1:90">
      <c r="A2277" t="s">
        <v>72</v>
      </c>
      <c r="B2277" t="s">
        <v>73</v>
      </c>
      <c r="C2277" t="s">
        <v>74</v>
      </c>
      <c r="E2277" t="str">
        <f>"FES1162727798"</f>
        <v>FES1162727798</v>
      </c>
      <c r="F2277" s="3">
        <v>43810</v>
      </c>
      <c r="G2277">
        <v>202006</v>
      </c>
      <c r="H2277" t="s">
        <v>75</v>
      </c>
      <c r="I2277" t="s">
        <v>76</v>
      </c>
      <c r="J2277" t="s">
        <v>77</v>
      </c>
      <c r="K2277" t="s">
        <v>78</v>
      </c>
      <c r="L2277" t="s">
        <v>90</v>
      </c>
      <c r="M2277" t="s">
        <v>91</v>
      </c>
      <c r="N2277" t="s">
        <v>554</v>
      </c>
      <c r="O2277" t="s">
        <v>82</v>
      </c>
      <c r="P2277" t="str">
        <f>"2170718771                    "</f>
        <v xml:space="preserve">2170718771                    </v>
      </c>
      <c r="Q2277">
        <v>0</v>
      </c>
      <c r="R2277">
        <v>0</v>
      </c>
      <c r="S2277">
        <v>0</v>
      </c>
      <c r="T2277">
        <v>0</v>
      </c>
      <c r="U2277">
        <v>0</v>
      </c>
      <c r="V2277">
        <v>0</v>
      </c>
      <c r="W2277">
        <v>0</v>
      </c>
      <c r="X2277">
        <v>0</v>
      </c>
      <c r="Y2277">
        <v>0</v>
      </c>
      <c r="Z2277">
        <v>0</v>
      </c>
      <c r="AA2277">
        <v>0</v>
      </c>
      <c r="AB2277">
        <v>0</v>
      </c>
      <c r="AC2277">
        <v>0</v>
      </c>
      <c r="AD2277">
        <v>0</v>
      </c>
      <c r="AE2277">
        <v>0</v>
      </c>
      <c r="AF2277">
        <v>0</v>
      </c>
      <c r="AG2277">
        <v>0</v>
      </c>
      <c r="AH2277">
        <v>0</v>
      </c>
      <c r="AI2277">
        <v>0</v>
      </c>
      <c r="AJ2277">
        <v>0</v>
      </c>
      <c r="AK2277">
        <v>0</v>
      </c>
      <c r="AL2277">
        <v>0</v>
      </c>
      <c r="AM2277">
        <v>8.58</v>
      </c>
      <c r="AN2277">
        <v>0</v>
      </c>
      <c r="AO2277">
        <v>0</v>
      </c>
      <c r="AP2277">
        <v>0</v>
      </c>
      <c r="AQ2277">
        <v>0</v>
      </c>
      <c r="AR2277">
        <v>0</v>
      </c>
      <c r="AS2277">
        <v>0</v>
      </c>
      <c r="AT2277">
        <v>0</v>
      </c>
      <c r="AU2277">
        <v>0</v>
      </c>
      <c r="AV2277">
        <v>0</v>
      </c>
      <c r="AW2277">
        <v>0</v>
      </c>
      <c r="AX2277">
        <v>0</v>
      </c>
      <c r="AY2277">
        <v>0</v>
      </c>
      <c r="AZ2277">
        <v>0</v>
      </c>
      <c r="BA2277">
        <v>0</v>
      </c>
      <c r="BB2277">
        <v>0</v>
      </c>
      <c r="BC2277">
        <v>0</v>
      </c>
      <c r="BD2277">
        <v>0</v>
      </c>
      <c r="BE2277">
        <v>0</v>
      </c>
      <c r="BF2277">
        <v>0</v>
      </c>
      <c r="BG2277">
        <v>0</v>
      </c>
      <c r="BH2277">
        <v>1</v>
      </c>
      <c r="BI2277">
        <v>1</v>
      </c>
      <c r="BJ2277">
        <v>0.2</v>
      </c>
      <c r="BK2277">
        <v>1</v>
      </c>
      <c r="BL2277" s="4">
        <v>50.45</v>
      </c>
      <c r="BM2277" s="4">
        <v>7.57</v>
      </c>
      <c r="BN2277" s="4">
        <v>58.02</v>
      </c>
      <c r="BO2277" s="4">
        <v>58.02</v>
      </c>
      <c r="BQ2277" t="s">
        <v>147</v>
      </c>
      <c r="BR2277" t="s">
        <v>84</v>
      </c>
      <c r="BS2277" s="3">
        <v>43811</v>
      </c>
      <c r="BT2277" s="5">
        <v>0.39999999999999997</v>
      </c>
      <c r="BU2277" t="s">
        <v>555</v>
      </c>
      <c r="BV2277" t="s">
        <v>86</v>
      </c>
      <c r="BY2277">
        <v>1200</v>
      </c>
      <c r="CA2277" t="s">
        <v>550</v>
      </c>
      <c r="CC2277" t="s">
        <v>91</v>
      </c>
      <c r="CD2277">
        <v>7560</v>
      </c>
      <c r="CE2277" t="s">
        <v>88</v>
      </c>
      <c r="CF2277" s="3">
        <v>43812</v>
      </c>
      <c r="CI2277">
        <v>1</v>
      </c>
      <c r="CJ2277">
        <v>1</v>
      </c>
      <c r="CK2277">
        <v>21</v>
      </c>
      <c r="CL2277" t="s">
        <v>89</v>
      </c>
    </row>
    <row r="2278" spans="1:90">
      <c r="A2278" t="s">
        <v>72</v>
      </c>
      <c r="B2278" t="s">
        <v>73</v>
      </c>
      <c r="C2278" t="s">
        <v>74</v>
      </c>
      <c r="E2278" t="str">
        <f>"FES1162727739"</f>
        <v>FES1162727739</v>
      </c>
      <c r="F2278" s="3">
        <v>43810</v>
      </c>
      <c r="G2278">
        <v>202006</v>
      </c>
      <c r="H2278" t="s">
        <v>75</v>
      </c>
      <c r="I2278" t="s">
        <v>76</v>
      </c>
      <c r="J2278" t="s">
        <v>77</v>
      </c>
      <c r="K2278" t="s">
        <v>78</v>
      </c>
      <c r="L2278" t="s">
        <v>2490</v>
      </c>
      <c r="M2278" t="s">
        <v>2491</v>
      </c>
      <c r="N2278" t="s">
        <v>2498</v>
      </c>
      <c r="O2278" t="s">
        <v>82</v>
      </c>
      <c r="P2278" t="str">
        <f>"21707121218                   "</f>
        <v xml:space="preserve">21707121218                   </v>
      </c>
      <c r="Q2278">
        <v>0</v>
      </c>
      <c r="R2278">
        <v>0</v>
      </c>
      <c r="S2278">
        <v>0</v>
      </c>
      <c r="T2278">
        <v>0</v>
      </c>
      <c r="U2278">
        <v>0</v>
      </c>
      <c r="V2278">
        <v>0</v>
      </c>
      <c r="W2278">
        <v>0</v>
      </c>
      <c r="X2278">
        <v>0</v>
      </c>
      <c r="Y2278">
        <v>0</v>
      </c>
      <c r="Z2278">
        <v>0</v>
      </c>
      <c r="AA2278">
        <v>0</v>
      </c>
      <c r="AB2278">
        <v>0</v>
      </c>
      <c r="AC2278">
        <v>0</v>
      </c>
      <c r="AD2278">
        <v>0</v>
      </c>
      <c r="AE2278">
        <v>0</v>
      </c>
      <c r="AF2278">
        <v>0</v>
      </c>
      <c r="AG2278">
        <v>0</v>
      </c>
      <c r="AH2278">
        <v>0</v>
      </c>
      <c r="AI2278">
        <v>0</v>
      </c>
      <c r="AJ2278">
        <v>0</v>
      </c>
      <c r="AK2278">
        <v>0</v>
      </c>
      <c r="AL2278">
        <v>0</v>
      </c>
      <c r="AM2278">
        <v>16.63</v>
      </c>
      <c r="AN2278">
        <v>0</v>
      </c>
      <c r="AO2278">
        <v>0</v>
      </c>
      <c r="AP2278">
        <v>0</v>
      </c>
      <c r="AQ2278">
        <v>0</v>
      </c>
      <c r="AR2278">
        <v>0</v>
      </c>
      <c r="AS2278">
        <v>0</v>
      </c>
      <c r="AT2278">
        <v>0</v>
      </c>
      <c r="AU2278">
        <v>0</v>
      </c>
      <c r="AV2278">
        <v>0</v>
      </c>
      <c r="AW2278">
        <v>0</v>
      </c>
      <c r="AX2278">
        <v>0</v>
      </c>
      <c r="AY2278">
        <v>0</v>
      </c>
      <c r="AZ2278">
        <v>0</v>
      </c>
      <c r="BA2278">
        <v>0</v>
      </c>
      <c r="BB2278">
        <v>0</v>
      </c>
      <c r="BC2278">
        <v>0</v>
      </c>
      <c r="BD2278">
        <v>0</v>
      </c>
      <c r="BE2278">
        <v>0</v>
      </c>
      <c r="BF2278">
        <v>0</v>
      </c>
      <c r="BG2278">
        <v>0</v>
      </c>
      <c r="BH2278">
        <v>1</v>
      </c>
      <c r="BI2278">
        <v>1</v>
      </c>
      <c r="BJ2278">
        <v>0.2</v>
      </c>
      <c r="BK2278">
        <v>1</v>
      </c>
      <c r="BL2278" s="4">
        <v>97.75</v>
      </c>
      <c r="BM2278" s="4">
        <v>14.66</v>
      </c>
      <c r="BN2278" s="4">
        <v>112.41</v>
      </c>
      <c r="BO2278" s="4">
        <v>112.41</v>
      </c>
      <c r="BQ2278" t="s">
        <v>2499</v>
      </c>
      <c r="BR2278" t="s">
        <v>84</v>
      </c>
      <c r="BS2278" s="3">
        <v>43812</v>
      </c>
      <c r="BT2278" s="5">
        <v>0.50763888888888886</v>
      </c>
      <c r="BU2278" t="s">
        <v>2494</v>
      </c>
      <c r="BV2278" t="s">
        <v>86</v>
      </c>
      <c r="BY2278">
        <v>1200</v>
      </c>
      <c r="CA2278" t="s">
        <v>2495</v>
      </c>
      <c r="CC2278" t="s">
        <v>2491</v>
      </c>
      <c r="CD2278">
        <v>3236</v>
      </c>
      <c r="CE2278" t="s">
        <v>88</v>
      </c>
      <c r="CF2278" s="3">
        <v>43817</v>
      </c>
      <c r="CI2278">
        <v>4</v>
      </c>
      <c r="CJ2278">
        <v>2</v>
      </c>
      <c r="CK2278">
        <v>23</v>
      </c>
      <c r="CL2278" t="s">
        <v>89</v>
      </c>
    </row>
    <row r="2279" spans="1:90">
      <c r="A2279" t="s">
        <v>72</v>
      </c>
      <c r="B2279" t="s">
        <v>73</v>
      </c>
      <c r="C2279" t="s">
        <v>74</v>
      </c>
      <c r="E2279" t="str">
        <f>"FES1162727808"</f>
        <v>FES1162727808</v>
      </c>
      <c r="F2279" s="3">
        <v>43810</v>
      </c>
      <c r="G2279">
        <v>202006</v>
      </c>
      <c r="H2279" t="s">
        <v>75</v>
      </c>
      <c r="I2279" t="s">
        <v>76</v>
      </c>
      <c r="J2279" t="s">
        <v>77</v>
      </c>
      <c r="K2279" t="s">
        <v>78</v>
      </c>
      <c r="L2279" t="s">
        <v>258</v>
      </c>
      <c r="M2279" t="s">
        <v>259</v>
      </c>
      <c r="N2279" t="s">
        <v>820</v>
      </c>
      <c r="O2279" t="s">
        <v>82</v>
      </c>
      <c r="P2279" t="str">
        <f>"21707191885                   "</f>
        <v xml:space="preserve">21707191885                   </v>
      </c>
      <c r="Q2279">
        <v>0</v>
      </c>
      <c r="R2279">
        <v>0</v>
      </c>
      <c r="S2279">
        <v>0</v>
      </c>
      <c r="T2279">
        <v>0</v>
      </c>
      <c r="U2279">
        <v>0</v>
      </c>
      <c r="V2279">
        <v>0</v>
      </c>
      <c r="W2279">
        <v>0</v>
      </c>
      <c r="X2279">
        <v>0</v>
      </c>
      <c r="Y2279">
        <v>0</v>
      </c>
      <c r="Z2279">
        <v>0</v>
      </c>
      <c r="AA2279">
        <v>0</v>
      </c>
      <c r="AB2279">
        <v>0</v>
      </c>
      <c r="AC2279">
        <v>0</v>
      </c>
      <c r="AD2279">
        <v>0</v>
      </c>
      <c r="AE2279">
        <v>0</v>
      </c>
      <c r="AF2279">
        <v>0</v>
      </c>
      <c r="AG2279">
        <v>0</v>
      </c>
      <c r="AH2279">
        <v>0</v>
      </c>
      <c r="AI2279">
        <v>0</v>
      </c>
      <c r="AJ2279">
        <v>0</v>
      </c>
      <c r="AK2279">
        <v>0</v>
      </c>
      <c r="AL2279">
        <v>0</v>
      </c>
      <c r="AM2279">
        <v>8.58</v>
      </c>
      <c r="AN2279">
        <v>0</v>
      </c>
      <c r="AO2279">
        <v>0</v>
      </c>
      <c r="AP2279">
        <v>0</v>
      </c>
      <c r="AQ2279">
        <v>0</v>
      </c>
      <c r="AR2279">
        <v>0</v>
      </c>
      <c r="AS2279">
        <v>0</v>
      </c>
      <c r="AT2279">
        <v>0</v>
      </c>
      <c r="AU2279">
        <v>0</v>
      </c>
      <c r="AV2279">
        <v>0</v>
      </c>
      <c r="AW2279">
        <v>0</v>
      </c>
      <c r="AX2279">
        <v>0</v>
      </c>
      <c r="AY2279">
        <v>0</v>
      </c>
      <c r="AZ2279">
        <v>0</v>
      </c>
      <c r="BA2279">
        <v>0</v>
      </c>
      <c r="BB2279">
        <v>0</v>
      </c>
      <c r="BC2279">
        <v>0</v>
      </c>
      <c r="BD2279">
        <v>0</v>
      </c>
      <c r="BE2279">
        <v>0</v>
      </c>
      <c r="BF2279">
        <v>0</v>
      </c>
      <c r="BG2279">
        <v>0</v>
      </c>
      <c r="BH2279">
        <v>1</v>
      </c>
      <c r="BI2279">
        <v>1</v>
      </c>
      <c r="BJ2279">
        <v>0.2</v>
      </c>
      <c r="BK2279">
        <v>1</v>
      </c>
      <c r="BL2279" s="4">
        <v>50.45</v>
      </c>
      <c r="BM2279" s="4">
        <v>7.57</v>
      </c>
      <c r="BN2279" s="4">
        <v>58.02</v>
      </c>
      <c r="BO2279" s="4">
        <v>58.02</v>
      </c>
      <c r="BQ2279" t="s">
        <v>93</v>
      </c>
      <c r="BR2279" t="s">
        <v>84</v>
      </c>
      <c r="BS2279" s="3">
        <v>43811</v>
      </c>
      <c r="BT2279" s="5">
        <v>0.41666666666666669</v>
      </c>
      <c r="BU2279" t="s">
        <v>2500</v>
      </c>
      <c r="BV2279" t="s">
        <v>86</v>
      </c>
      <c r="BY2279">
        <v>1200</v>
      </c>
      <c r="CC2279" t="s">
        <v>259</v>
      </c>
      <c r="CD2279">
        <v>7600</v>
      </c>
      <c r="CE2279" t="s">
        <v>88</v>
      </c>
      <c r="CF2279" s="3">
        <v>43812</v>
      </c>
      <c r="CI2279">
        <v>1</v>
      </c>
      <c r="CJ2279">
        <v>1</v>
      </c>
      <c r="CK2279">
        <v>21</v>
      </c>
      <c r="CL2279" t="s">
        <v>89</v>
      </c>
    </row>
    <row r="2280" spans="1:90">
      <c r="A2280" t="s">
        <v>72</v>
      </c>
      <c r="B2280" t="s">
        <v>73</v>
      </c>
      <c r="C2280" t="s">
        <v>74</v>
      </c>
      <c r="E2280" t="str">
        <f>"FES1162727820"</f>
        <v>FES1162727820</v>
      </c>
      <c r="F2280" s="3">
        <v>43810</v>
      </c>
      <c r="G2280">
        <v>202006</v>
      </c>
      <c r="H2280" t="s">
        <v>75</v>
      </c>
      <c r="I2280" t="s">
        <v>76</v>
      </c>
      <c r="J2280" t="s">
        <v>77</v>
      </c>
      <c r="K2280" t="s">
        <v>78</v>
      </c>
      <c r="L2280" t="s">
        <v>446</v>
      </c>
      <c r="M2280" t="s">
        <v>447</v>
      </c>
      <c r="N2280" t="s">
        <v>448</v>
      </c>
      <c r="O2280" t="s">
        <v>82</v>
      </c>
      <c r="P2280" t="str">
        <f>"2170719495                    "</f>
        <v xml:space="preserve">2170719495                    </v>
      </c>
      <c r="Q2280">
        <v>0</v>
      </c>
      <c r="R2280">
        <v>0</v>
      </c>
      <c r="S2280">
        <v>0</v>
      </c>
      <c r="T2280">
        <v>0</v>
      </c>
      <c r="U2280">
        <v>0</v>
      </c>
      <c r="V2280">
        <v>0</v>
      </c>
      <c r="W2280">
        <v>0</v>
      </c>
      <c r="X2280">
        <v>0</v>
      </c>
      <c r="Y2280">
        <v>0</v>
      </c>
      <c r="Z2280">
        <v>0</v>
      </c>
      <c r="AA2280">
        <v>0</v>
      </c>
      <c r="AB2280">
        <v>0</v>
      </c>
      <c r="AC2280">
        <v>0</v>
      </c>
      <c r="AD2280">
        <v>0</v>
      </c>
      <c r="AE2280">
        <v>0</v>
      </c>
      <c r="AF2280">
        <v>0</v>
      </c>
      <c r="AG2280">
        <v>0</v>
      </c>
      <c r="AH2280">
        <v>0</v>
      </c>
      <c r="AI2280">
        <v>0</v>
      </c>
      <c r="AJ2280">
        <v>0</v>
      </c>
      <c r="AK2280">
        <v>0</v>
      </c>
      <c r="AL2280">
        <v>0</v>
      </c>
      <c r="AM2280">
        <v>8.58</v>
      </c>
      <c r="AN2280">
        <v>0</v>
      </c>
      <c r="AO2280">
        <v>0</v>
      </c>
      <c r="AP2280">
        <v>0</v>
      </c>
      <c r="AQ2280">
        <v>0</v>
      </c>
      <c r="AR2280">
        <v>0</v>
      </c>
      <c r="AS2280">
        <v>0</v>
      </c>
      <c r="AT2280">
        <v>0</v>
      </c>
      <c r="AU2280">
        <v>0</v>
      </c>
      <c r="AV2280">
        <v>0</v>
      </c>
      <c r="AW2280">
        <v>0</v>
      </c>
      <c r="AX2280">
        <v>0</v>
      </c>
      <c r="AY2280">
        <v>0</v>
      </c>
      <c r="AZ2280">
        <v>0</v>
      </c>
      <c r="BA2280">
        <v>0</v>
      </c>
      <c r="BB2280">
        <v>0</v>
      </c>
      <c r="BC2280">
        <v>0</v>
      </c>
      <c r="BD2280">
        <v>0</v>
      </c>
      <c r="BE2280">
        <v>0</v>
      </c>
      <c r="BF2280">
        <v>0</v>
      </c>
      <c r="BG2280">
        <v>0</v>
      </c>
      <c r="BH2280">
        <v>1</v>
      </c>
      <c r="BI2280">
        <v>1</v>
      </c>
      <c r="BJ2280">
        <v>0.2</v>
      </c>
      <c r="BK2280">
        <v>1</v>
      </c>
      <c r="BL2280" s="4">
        <v>50.45</v>
      </c>
      <c r="BM2280" s="4">
        <v>7.57</v>
      </c>
      <c r="BN2280" s="4">
        <v>58.02</v>
      </c>
      <c r="BO2280" s="4">
        <v>58.02</v>
      </c>
      <c r="BQ2280" t="s">
        <v>256</v>
      </c>
      <c r="BR2280" t="s">
        <v>84</v>
      </c>
      <c r="BS2280" s="3">
        <v>43811</v>
      </c>
      <c r="BT2280" s="5">
        <v>0.34027777777777773</v>
      </c>
      <c r="BU2280" t="s">
        <v>730</v>
      </c>
      <c r="BV2280" t="s">
        <v>86</v>
      </c>
      <c r="BY2280">
        <v>1200</v>
      </c>
      <c r="CA2280" t="s">
        <v>212</v>
      </c>
      <c r="CC2280" t="s">
        <v>447</v>
      </c>
      <c r="CD2280">
        <v>4113</v>
      </c>
      <c r="CE2280" t="s">
        <v>88</v>
      </c>
      <c r="CF2280" s="3">
        <v>43812</v>
      </c>
      <c r="CI2280">
        <v>1</v>
      </c>
      <c r="CJ2280">
        <v>1</v>
      </c>
      <c r="CK2280">
        <v>21</v>
      </c>
      <c r="CL2280" t="s">
        <v>89</v>
      </c>
    </row>
    <row r="2281" spans="1:90">
      <c r="A2281" t="s">
        <v>72</v>
      </c>
      <c r="B2281" t="s">
        <v>73</v>
      </c>
      <c r="C2281" t="s">
        <v>74</v>
      </c>
      <c r="E2281" t="str">
        <f>"FES1162727814"</f>
        <v>FES1162727814</v>
      </c>
      <c r="F2281" s="3">
        <v>43810</v>
      </c>
      <c r="G2281">
        <v>202006</v>
      </c>
      <c r="H2281" t="s">
        <v>75</v>
      </c>
      <c r="I2281" t="s">
        <v>76</v>
      </c>
      <c r="J2281" t="s">
        <v>77</v>
      </c>
      <c r="K2281" t="s">
        <v>78</v>
      </c>
      <c r="L2281" t="s">
        <v>198</v>
      </c>
      <c r="M2281" t="s">
        <v>199</v>
      </c>
      <c r="N2281" t="s">
        <v>1713</v>
      </c>
      <c r="O2281" t="s">
        <v>82</v>
      </c>
      <c r="P2281" t="str">
        <f>"2170719283                    "</f>
        <v xml:space="preserve">2170719283                    </v>
      </c>
      <c r="Q2281">
        <v>0</v>
      </c>
      <c r="R2281">
        <v>0</v>
      </c>
      <c r="S2281">
        <v>0</v>
      </c>
      <c r="T2281">
        <v>0</v>
      </c>
      <c r="U2281">
        <v>0</v>
      </c>
      <c r="V2281">
        <v>0</v>
      </c>
      <c r="W2281">
        <v>0</v>
      </c>
      <c r="X2281">
        <v>0</v>
      </c>
      <c r="Y2281">
        <v>0</v>
      </c>
      <c r="Z2281">
        <v>0</v>
      </c>
      <c r="AA2281">
        <v>0</v>
      </c>
      <c r="AB2281">
        <v>0</v>
      </c>
      <c r="AC2281">
        <v>0</v>
      </c>
      <c r="AD2281">
        <v>0</v>
      </c>
      <c r="AE2281">
        <v>0</v>
      </c>
      <c r="AF2281">
        <v>0</v>
      </c>
      <c r="AG2281">
        <v>0</v>
      </c>
      <c r="AH2281">
        <v>0</v>
      </c>
      <c r="AI2281">
        <v>0</v>
      </c>
      <c r="AJ2281">
        <v>0</v>
      </c>
      <c r="AK2281">
        <v>0</v>
      </c>
      <c r="AL2281">
        <v>0</v>
      </c>
      <c r="AM2281">
        <v>8.58</v>
      </c>
      <c r="AN2281">
        <v>0</v>
      </c>
      <c r="AO2281">
        <v>0</v>
      </c>
      <c r="AP2281">
        <v>0</v>
      </c>
      <c r="AQ2281">
        <v>0</v>
      </c>
      <c r="AR2281">
        <v>0</v>
      </c>
      <c r="AS2281">
        <v>0</v>
      </c>
      <c r="AT2281">
        <v>0</v>
      </c>
      <c r="AU2281">
        <v>0</v>
      </c>
      <c r="AV2281">
        <v>0</v>
      </c>
      <c r="AW2281">
        <v>0</v>
      </c>
      <c r="AX2281">
        <v>0</v>
      </c>
      <c r="AY2281">
        <v>0</v>
      </c>
      <c r="AZ2281">
        <v>0</v>
      </c>
      <c r="BA2281">
        <v>0</v>
      </c>
      <c r="BB2281">
        <v>0</v>
      </c>
      <c r="BC2281">
        <v>0</v>
      </c>
      <c r="BD2281">
        <v>0</v>
      </c>
      <c r="BE2281">
        <v>0</v>
      </c>
      <c r="BF2281">
        <v>0</v>
      </c>
      <c r="BG2281">
        <v>0</v>
      </c>
      <c r="BH2281">
        <v>1</v>
      </c>
      <c r="BI2281">
        <v>1</v>
      </c>
      <c r="BJ2281">
        <v>0.2</v>
      </c>
      <c r="BK2281">
        <v>1</v>
      </c>
      <c r="BL2281" s="4">
        <v>50.45</v>
      </c>
      <c r="BM2281" s="4">
        <v>7.57</v>
      </c>
      <c r="BN2281" s="4">
        <v>58.02</v>
      </c>
      <c r="BO2281" s="4">
        <v>58.02</v>
      </c>
      <c r="BQ2281" t="s">
        <v>135</v>
      </c>
      <c r="BR2281" t="s">
        <v>84</v>
      </c>
      <c r="BS2281" s="3">
        <v>43811</v>
      </c>
      <c r="BT2281" s="5">
        <v>0.40763888888888888</v>
      </c>
      <c r="BU2281" t="s">
        <v>2501</v>
      </c>
      <c r="BV2281" t="s">
        <v>86</v>
      </c>
      <c r="BY2281">
        <v>1200</v>
      </c>
      <c r="CA2281" t="s">
        <v>212</v>
      </c>
      <c r="CC2281" t="s">
        <v>199</v>
      </c>
      <c r="CD2281">
        <v>4068</v>
      </c>
      <c r="CE2281" t="s">
        <v>88</v>
      </c>
      <c r="CF2281" s="3">
        <v>43812</v>
      </c>
      <c r="CI2281">
        <v>1</v>
      </c>
      <c r="CJ2281">
        <v>1</v>
      </c>
      <c r="CK2281">
        <v>21</v>
      </c>
      <c r="CL2281" t="s">
        <v>89</v>
      </c>
    </row>
    <row r="2282" spans="1:90">
      <c r="A2282" t="s">
        <v>72</v>
      </c>
      <c r="B2282" t="s">
        <v>73</v>
      </c>
      <c r="C2282" t="s">
        <v>74</v>
      </c>
      <c r="E2282" t="str">
        <f>"FES1162727693"</f>
        <v>FES1162727693</v>
      </c>
      <c r="F2282" s="3">
        <v>43810</v>
      </c>
      <c r="G2282">
        <v>202006</v>
      </c>
      <c r="H2282" t="s">
        <v>75</v>
      </c>
      <c r="I2282" t="s">
        <v>76</v>
      </c>
      <c r="J2282" t="s">
        <v>77</v>
      </c>
      <c r="K2282" t="s">
        <v>78</v>
      </c>
      <c r="L2282" t="s">
        <v>79</v>
      </c>
      <c r="M2282" t="s">
        <v>80</v>
      </c>
      <c r="N2282" t="s">
        <v>1942</v>
      </c>
      <c r="O2282" t="s">
        <v>82</v>
      </c>
      <c r="P2282" t="str">
        <f>"2170721186                    "</f>
        <v xml:space="preserve">2170721186                    </v>
      </c>
      <c r="Q2282">
        <v>0</v>
      </c>
      <c r="R2282">
        <v>0</v>
      </c>
      <c r="S2282">
        <v>0</v>
      </c>
      <c r="T2282">
        <v>0</v>
      </c>
      <c r="U2282">
        <v>0</v>
      </c>
      <c r="V2282">
        <v>0</v>
      </c>
      <c r="W2282">
        <v>0</v>
      </c>
      <c r="X2282">
        <v>0</v>
      </c>
      <c r="Y2282">
        <v>0</v>
      </c>
      <c r="Z2282">
        <v>0</v>
      </c>
      <c r="AA2282">
        <v>0</v>
      </c>
      <c r="AB2282">
        <v>0</v>
      </c>
      <c r="AC2282">
        <v>0</v>
      </c>
      <c r="AD2282">
        <v>0</v>
      </c>
      <c r="AE2282">
        <v>0</v>
      </c>
      <c r="AF2282">
        <v>0</v>
      </c>
      <c r="AG2282">
        <v>0</v>
      </c>
      <c r="AH2282">
        <v>0</v>
      </c>
      <c r="AI2282">
        <v>0</v>
      </c>
      <c r="AJ2282">
        <v>0</v>
      </c>
      <c r="AK2282">
        <v>0</v>
      </c>
      <c r="AL2282">
        <v>0</v>
      </c>
      <c r="AM2282">
        <v>12.87</v>
      </c>
      <c r="AN2282">
        <v>0</v>
      </c>
      <c r="AO2282">
        <v>0</v>
      </c>
      <c r="AP2282">
        <v>0</v>
      </c>
      <c r="AQ2282">
        <v>0</v>
      </c>
      <c r="AR2282">
        <v>0</v>
      </c>
      <c r="AS2282">
        <v>0</v>
      </c>
      <c r="AT2282">
        <v>0</v>
      </c>
      <c r="AU2282">
        <v>0</v>
      </c>
      <c r="AV2282">
        <v>0</v>
      </c>
      <c r="AW2282">
        <v>0</v>
      </c>
      <c r="AX2282">
        <v>0</v>
      </c>
      <c r="AY2282">
        <v>0</v>
      </c>
      <c r="AZ2282">
        <v>0</v>
      </c>
      <c r="BA2282">
        <v>0</v>
      </c>
      <c r="BB2282">
        <v>0</v>
      </c>
      <c r="BC2282">
        <v>0</v>
      </c>
      <c r="BD2282">
        <v>0</v>
      </c>
      <c r="BE2282">
        <v>0</v>
      </c>
      <c r="BF2282">
        <v>0</v>
      </c>
      <c r="BG2282">
        <v>0</v>
      </c>
      <c r="BH2282">
        <v>1</v>
      </c>
      <c r="BI2282">
        <v>1.4</v>
      </c>
      <c r="BJ2282">
        <v>2.9</v>
      </c>
      <c r="BK2282">
        <v>3</v>
      </c>
      <c r="BL2282" s="4">
        <v>75.66</v>
      </c>
      <c r="BM2282" s="4">
        <v>11.35</v>
      </c>
      <c r="BN2282" s="4">
        <v>87.01</v>
      </c>
      <c r="BO2282" s="4">
        <v>87.01</v>
      </c>
      <c r="BQ2282" t="s">
        <v>277</v>
      </c>
      <c r="BR2282" t="s">
        <v>84</v>
      </c>
      <c r="BS2282" s="3">
        <v>43811</v>
      </c>
      <c r="BT2282" s="5">
        <v>0.40138888888888885</v>
      </c>
      <c r="BU2282" t="s">
        <v>2502</v>
      </c>
      <c r="BV2282" t="s">
        <v>86</v>
      </c>
      <c r="BY2282">
        <v>14593.43</v>
      </c>
      <c r="CA2282" t="s">
        <v>131</v>
      </c>
      <c r="CC2282" t="s">
        <v>80</v>
      </c>
      <c r="CD2282">
        <v>6014</v>
      </c>
      <c r="CE2282" t="s">
        <v>96</v>
      </c>
      <c r="CF2282" s="3">
        <v>43812</v>
      </c>
      <c r="CI2282">
        <v>1</v>
      </c>
      <c r="CJ2282">
        <v>1</v>
      </c>
      <c r="CK2282">
        <v>21</v>
      </c>
      <c r="CL2282" t="s">
        <v>89</v>
      </c>
    </row>
    <row r="2283" spans="1:90">
      <c r="A2283" t="s">
        <v>72</v>
      </c>
      <c r="B2283" t="s">
        <v>73</v>
      </c>
      <c r="C2283" t="s">
        <v>74</v>
      </c>
      <c r="E2283" t="str">
        <f>"FES1162727653"</f>
        <v>FES1162727653</v>
      </c>
      <c r="F2283" s="3">
        <v>43810</v>
      </c>
      <c r="G2283">
        <v>202006</v>
      </c>
      <c r="H2283" t="s">
        <v>75</v>
      </c>
      <c r="I2283" t="s">
        <v>76</v>
      </c>
      <c r="J2283" t="s">
        <v>77</v>
      </c>
      <c r="K2283" t="s">
        <v>78</v>
      </c>
      <c r="L2283" t="s">
        <v>213</v>
      </c>
      <c r="M2283" t="s">
        <v>214</v>
      </c>
      <c r="N2283" t="s">
        <v>303</v>
      </c>
      <c r="O2283" t="s">
        <v>82</v>
      </c>
      <c r="P2283" t="str">
        <f>"2170721144                    "</f>
        <v xml:space="preserve">2170721144                    </v>
      </c>
      <c r="Q2283">
        <v>0</v>
      </c>
      <c r="R2283">
        <v>0</v>
      </c>
      <c r="S2283">
        <v>0</v>
      </c>
      <c r="T2283">
        <v>0</v>
      </c>
      <c r="U2283">
        <v>0</v>
      </c>
      <c r="V2283">
        <v>0</v>
      </c>
      <c r="W2283">
        <v>0</v>
      </c>
      <c r="X2283">
        <v>0</v>
      </c>
      <c r="Y2283">
        <v>0</v>
      </c>
      <c r="Z2283">
        <v>0</v>
      </c>
      <c r="AA2283">
        <v>0</v>
      </c>
      <c r="AB2283">
        <v>0</v>
      </c>
      <c r="AC2283">
        <v>0</v>
      </c>
      <c r="AD2283">
        <v>0</v>
      </c>
      <c r="AE2283">
        <v>0</v>
      </c>
      <c r="AF2283">
        <v>0</v>
      </c>
      <c r="AG2283">
        <v>0</v>
      </c>
      <c r="AH2283">
        <v>0</v>
      </c>
      <c r="AI2283">
        <v>0</v>
      </c>
      <c r="AJ2283">
        <v>0</v>
      </c>
      <c r="AK2283">
        <v>0</v>
      </c>
      <c r="AL2283">
        <v>0</v>
      </c>
      <c r="AM2283">
        <v>27.88</v>
      </c>
      <c r="AN2283">
        <v>0</v>
      </c>
      <c r="AO2283">
        <v>0</v>
      </c>
      <c r="AP2283">
        <v>0</v>
      </c>
      <c r="AQ2283">
        <v>0</v>
      </c>
      <c r="AR2283">
        <v>0</v>
      </c>
      <c r="AS2283">
        <v>0</v>
      </c>
      <c r="AT2283">
        <v>0</v>
      </c>
      <c r="AU2283">
        <v>0</v>
      </c>
      <c r="AV2283">
        <v>0</v>
      </c>
      <c r="AW2283">
        <v>0</v>
      </c>
      <c r="AX2283">
        <v>0</v>
      </c>
      <c r="AY2283">
        <v>0</v>
      </c>
      <c r="AZ2283">
        <v>0</v>
      </c>
      <c r="BA2283">
        <v>0</v>
      </c>
      <c r="BB2283">
        <v>0</v>
      </c>
      <c r="BC2283">
        <v>0</v>
      </c>
      <c r="BD2283">
        <v>0</v>
      </c>
      <c r="BE2283">
        <v>0</v>
      </c>
      <c r="BF2283">
        <v>0</v>
      </c>
      <c r="BG2283">
        <v>0</v>
      </c>
      <c r="BH2283">
        <v>1</v>
      </c>
      <c r="BI2283">
        <v>6.2</v>
      </c>
      <c r="BJ2283">
        <v>3</v>
      </c>
      <c r="BK2283">
        <v>6.5</v>
      </c>
      <c r="BL2283" s="4">
        <v>163.89</v>
      </c>
      <c r="BM2283" s="4">
        <v>24.58</v>
      </c>
      <c r="BN2283" s="4">
        <v>188.47</v>
      </c>
      <c r="BO2283" s="4">
        <v>188.47</v>
      </c>
      <c r="BQ2283" t="s">
        <v>147</v>
      </c>
      <c r="BR2283" t="s">
        <v>84</v>
      </c>
      <c r="BS2283" s="3">
        <v>43811</v>
      </c>
      <c r="BT2283" s="5">
        <v>0.3263888888888889</v>
      </c>
      <c r="BU2283" t="s">
        <v>2503</v>
      </c>
      <c r="BV2283" t="s">
        <v>86</v>
      </c>
      <c r="BY2283">
        <v>15061.68</v>
      </c>
      <c r="CA2283" t="s">
        <v>99</v>
      </c>
      <c r="CC2283" t="s">
        <v>214</v>
      </c>
      <c r="CD2283">
        <v>6230</v>
      </c>
      <c r="CE2283" t="s">
        <v>96</v>
      </c>
      <c r="CF2283" s="3">
        <v>43812</v>
      </c>
      <c r="CI2283">
        <v>1</v>
      </c>
      <c r="CJ2283">
        <v>1</v>
      </c>
      <c r="CK2283">
        <v>21</v>
      </c>
      <c r="CL2283" t="s">
        <v>89</v>
      </c>
    </row>
    <row r="2284" spans="1:90">
      <c r="A2284" t="s">
        <v>72</v>
      </c>
      <c r="B2284" t="s">
        <v>73</v>
      </c>
      <c r="C2284" t="s">
        <v>74</v>
      </c>
      <c r="E2284" t="str">
        <f>"FES1162727657"</f>
        <v>FES1162727657</v>
      </c>
      <c r="F2284" s="3">
        <v>43810</v>
      </c>
      <c r="G2284">
        <v>202006</v>
      </c>
      <c r="H2284" t="s">
        <v>75</v>
      </c>
      <c r="I2284" t="s">
        <v>76</v>
      </c>
      <c r="J2284" t="s">
        <v>77</v>
      </c>
      <c r="K2284" t="s">
        <v>78</v>
      </c>
      <c r="L2284" t="s">
        <v>79</v>
      </c>
      <c r="M2284" t="s">
        <v>80</v>
      </c>
      <c r="N2284" t="s">
        <v>1101</v>
      </c>
      <c r="O2284" t="s">
        <v>82</v>
      </c>
      <c r="P2284" t="str">
        <f>"2170721158                    "</f>
        <v xml:space="preserve">2170721158                    </v>
      </c>
      <c r="Q2284">
        <v>0</v>
      </c>
      <c r="R2284">
        <v>0</v>
      </c>
      <c r="S2284">
        <v>0</v>
      </c>
      <c r="T2284">
        <v>0</v>
      </c>
      <c r="U2284">
        <v>0</v>
      </c>
      <c r="V2284">
        <v>0</v>
      </c>
      <c r="W2284">
        <v>0</v>
      </c>
      <c r="X2284">
        <v>0</v>
      </c>
      <c r="Y2284">
        <v>0</v>
      </c>
      <c r="Z2284">
        <v>0</v>
      </c>
      <c r="AA2284">
        <v>0</v>
      </c>
      <c r="AB2284">
        <v>0</v>
      </c>
      <c r="AC2284">
        <v>0</v>
      </c>
      <c r="AD2284">
        <v>0</v>
      </c>
      <c r="AE2284">
        <v>0</v>
      </c>
      <c r="AF2284">
        <v>0</v>
      </c>
      <c r="AG2284">
        <v>0</v>
      </c>
      <c r="AH2284">
        <v>0</v>
      </c>
      <c r="AI2284">
        <v>0</v>
      </c>
      <c r="AJ2284">
        <v>0</v>
      </c>
      <c r="AK2284">
        <v>0</v>
      </c>
      <c r="AL2284">
        <v>0</v>
      </c>
      <c r="AM2284">
        <v>21.45</v>
      </c>
      <c r="AN2284">
        <v>0</v>
      </c>
      <c r="AO2284">
        <v>0</v>
      </c>
      <c r="AP2284">
        <v>0</v>
      </c>
      <c r="AQ2284">
        <v>0</v>
      </c>
      <c r="AR2284">
        <v>0</v>
      </c>
      <c r="AS2284">
        <v>0</v>
      </c>
      <c r="AT2284">
        <v>0</v>
      </c>
      <c r="AU2284">
        <v>0</v>
      </c>
      <c r="AV2284">
        <v>0</v>
      </c>
      <c r="AW2284">
        <v>0</v>
      </c>
      <c r="AX2284">
        <v>0</v>
      </c>
      <c r="AY2284">
        <v>0</v>
      </c>
      <c r="AZ2284">
        <v>0</v>
      </c>
      <c r="BA2284">
        <v>0</v>
      </c>
      <c r="BB2284">
        <v>0</v>
      </c>
      <c r="BC2284">
        <v>0</v>
      </c>
      <c r="BD2284">
        <v>0</v>
      </c>
      <c r="BE2284">
        <v>0</v>
      </c>
      <c r="BF2284">
        <v>0</v>
      </c>
      <c r="BG2284">
        <v>0</v>
      </c>
      <c r="BH2284">
        <v>1</v>
      </c>
      <c r="BI2284">
        <v>3.8</v>
      </c>
      <c r="BJ2284">
        <v>4.9000000000000004</v>
      </c>
      <c r="BK2284">
        <v>5</v>
      </c>
      <c r="BL2284" s="4">
        <v>126.08</v>
      </c>
      <c r="BM2284" s="4">
        <v>18.91</v>
      </c>
      <c r="BN2284" s="4">
        <v>144.99</v>
      </c>
      <c r="BO2284" s="4">
        <v>144.99</v>
      </c>
      <c r="BQ2284" t="s">
        <v>147</v>
      </c>
      <c r="BR2284" t="s">
        <v>84</v>
      </c>
      <c r="BS2284" s="3">
        <v>43811</v>
      </c>
      <c r="BT2284" s="5">
        <v>0.39583333333333331</v>
      </c>
      <c r="BU2284" t="s">
        <v>1120</v>
      </c>
      <c r="BV2284" t="s">
        <v>86</v>
      </c>
      <c r="BY2284">
        <v>24639</v>
      </c>
      <c r="CA2284" t="s">
        <v>419</v>
      </c>
      <c r="CC2284" t="s">
        <v>80</v>
      </c>
      <c r="CD2284">
        <v>6001</v>
      </c>
      <c r="CE2284" t="s">
        <v>116</v>
      </c>
      <c r="CF2284" s="3">
        <v>43812</v>
      </c>
      <c r="CI2284">
        <v>1</v>
      </c>
      <c r="CJ2284">
        <v>1</v>
      </c>
      <c r="CK2284">
        <v>21</v>
      </c>
      <c r="CL2284" t="s">
        <v>89</v>
      </c>
    </row>
    <row r="2285" spans="1:90">
      <c r="A2285" t="s">
        <v>72</v>
      </c>
      <c r="B2285" t="s">
        <v>73</v>
      </c>
      <c r="C2285" t="s">
        <v>74</v>
      </c>
      <c r="E2285" t="str">
        <f>"FES1162727697"</f>
        <v>FES1162727697</v>
      </c>
      <c r="F2285" s="3">
        <v>43810</v>
      </c>
      <c r="G2285">
        <v>202006</v>
      </c>
      <c r="H2285" t="s">
        <v>75</v>
      </c>
      <c r="I2285" t="s">
        <v>76</v>
      </c>
      <c r="J2285" t="s">
        <v>77</v>
      </c>
      <c r="K2285" t="s">
        <v>78</v>
      </c>
      <c r="L2285" t="s">
        <v>164</v>
      </c>
      <c r="M2285" t="s">
        <v>165</v>
      </c>
      <c r="N2285" t="s">
        <v>369</v>
      </c>
      <c r="O2285" t="s">
        <v>82</v>
      </c>
      <c r="P2285" t="str">
        <f>"217071192                     "</f>
        <v xml:space="preserve">217071192                     </v>
      </c>
      <c r="Q2285">
        <v>0</v>
      </c>
      <c r="R2285">
        <v>0</v>
      </c>
      <c r="S2285">
        <v>0</v>
      </c>
      <c r="T2285">
        <v>0</v>
      </c>
      <c r="U2285">
        <v>0</v>
      </c>
      <c r="V2285">
        <v>0</v>
      </c>
      <c r="W2285">
        <v>0</v>
      </c>
      <c r="X2285">
        <v>0</v>
      </c>
      <c r="Y2285">
        <v>0</v>
      </c>
      <c r="Z2285">
        <v>0</v>
      </c>
      <c r="AA2285">
        <v>0</v>
      </c>
      <c r="AB2285">
        <v>0</v>
      </c>
      <c r="AC2285">
        <v>0</v>
      </c>
      <c r="AD2285">
        <v>0</v>
      </c>
      <c r="AE2285">
        <v>0</v>
      </c>
      <c r="AF2285">
        <v>0</v>
      </c>
      <c r="AG2285">
        <v>0</v>
      </c>
      <c r="AH2285">
        <v>0</v>
      </c>
      <c r="AI2285">
        <v>0</v>
      </c>
      <c r="AJ2285">
        <v>0</v>
      </c>
      <c r="AK2285">
        <v>0</v>
      </c>
      <c r="AL2285">
        <v>0</v>
      </c>
      <c r="AM2285">
        <v>47.18</v>
      </c>
      <c r="AN2285">
        <v>0</v>
      </c>
      <c r="AO2285">
        <v>0</v>
      </c>
      <c r="AP2285">
        <v>0</v>
      </c>
      <c r="AQ2285">
        <v>0</v>
      </c>
      <c r="AR2285">
        <v>0</v>
      </c>
      <c r="AS2285">
        <v>0</v>
      </c>
      <c r="AT2285">
        <v>0</v>
      </c>
      <c r="AU2285">
        <v>0</v>
      </c>
      <c r="AV2285">
        <v>0</v>
      </c>
      <c r="AW2285">
        <v>0</v>
      </c>
      <c r="AX2285">
        <v>0</v>
      </c>
      <c r="AY2285">
        <v>0</v>
      </c>
      <c r="AZ2285">
        <v>0</v>
      </c>
      <c r="BA2285">
        <v>0</v>
      </c>
      <c r="BB2285">
        <v>0</v>
      </c>
      <c r="BC2285">
        <v>0</v>
      </c>
      <c r="BD2285">
        <v>0</v>
      </c>
      <c r="BE2285">
        <v>0</v>
      </c>
      <c r="BF2285">
        <v>0</v>
      </c>
      <c r="BG2285">
        <v>0</v>
      </c>
      <c r="BH2285">
        <v>1</v>
      </c>
      <c r="BI2285">
        <v>8.8000000000000007</v>
      </c>
      <c r="BJ2285">
        <v>11</v>
      </c>
      <c r="BK2285">
        <v>11</v>
      </c>
      <c r="BL2285" s="4">
        <v>277.33</v>
      </c>
      <c r="BM2285" s="4">
        <v>41.6</v>
      </c>
      <c r="BN2285" s="4">
        <v>318.93</v>
      </c>
      <c r="BO2285" s="4">
        <v>318.93</v>
      </c>
      <c r="BQ2285" t="s">
        <v>93</v>
      </c>
      <c r="BR2285" t="s">
        <v>84</v>
      </c>
      <c r="BS2285" s="3">
        <v>43811</v>
      </c>
      <c r="BT2285" s="5">
        <v>0.37847222222222227</v>
      </c>
      <c r="BU2285" t="s">
        <v>2504</v>
      </c>
      <c r="BV2285" t="s">
        <v>86</v>
      </c>
      <c r="BY2285">
        <v>55008.7</v>
      </c>
      <c r="CA2285" t="s">
        <v>265</v>
      </c>
      <c r="CC2285" t="s">
        <v>165</v>
      </c>
      <c r="CD2285">
        <v>5201</v>
      </c>
      <c r="CE2285" t="s">
        <v>116</v>
      </c>
      <c r="CF2285" s="3">
        <v>43812</v>
      </c>
      <c r="CI2285">
        <v>1</v>
      </c>
      <c r="CJ2285">
        <v>1</v>
      </c>
      <c r="CK2285">
        <v>21</v>
      </c>
      <c r="CL2285" t="s">
        <v>89</v>
      </c>
    </row>
    <row r="2286" spans="1:90">
      <c r="A2286" t="s">
        <v>72</v>
      </c>
      <c r="B2286" t="s">
        <v>73</v>
      </c>
      <c r="C2286" t="s">
        <v>74</v>
      </c>
      <c r="E2286" t="str">
        <f>"FES1162727763"</f>
        <v>FES1162727763</v>
      </c>
      <c r="F2286" s="3">
        <v>43810</v>
      </c>
      <c r="G2286">
        <v>202006</v>
      </c>
      <c r="H2286" t="s">
        <v>75</v>
      </c>
      <c r="I2286" t="s">
        <v>76</v>
      </c>
      <c r="J2286" t="s">
        <v>77</v>
      </c>
      <c r="K2286" t="s">
        <v>78</v>
      </c>
      <c r="L2286" t="s">
        <v>90</v>
      </c>
      <c r="M2286" t="s">
        <v>91</v>
      </c>
      <c r="N2286" t="s">
        <v>537</v>
      </c>
      <c r="O2286" t="s">
        <v>82</v>
      </c>
      <c r="P2286" t="str">
        <f>"217071247                     "</f>
        <v xml:space="preserve">217071247                     </v>
      </c>
      <c r="Q2286">
        <v>0</v>
      </c>
      <c r="R2286">
        <v>0</v>
      </c>
      <c r="S2286">
        <v>0</v>
      </c>
      <c r="T2286">
        <v>0</v>
      </c>
      <c r="U2286">
        <v>0</v>
      </c>
      <c r="V2286">
        <v>0</v>
      </c>
      <c r="W2286">
        <v>0</v>
      </c>
      <c r="X2286">
        <v>0</v>
      </c>
      <c r="Y2286">
        <v>0</v>
      </c>
      <c r="Z2286">
        <v>0</v>
      </c>
      <c r="AA2286">
        <v>0</v>
      </c>
      <c r="AB2286">
        <v>0</v>
      </c>
      <c r="AC2286">
        <v>0</v>
      </c>
      <c r="AD2286">
        <v>0</v>
      </c>
      <c r="AE2286">
        <v>0</v>
      </c>
      <c r="AF2286">
        <v>0</v>
      </c>
      <c r="AG2286">
        <v>0</v>
      </c>
      <c r="AH2286">
        <v>0</v>
      </c>
      <c r="AI2286">
        <v>0</v>
      </c>
      <c r="AJ2286">
        <v>0</v>
      </c>
      <c r="AK2286">
        <v>0</v>
      </c>
      <c r="AL2286">
        <v>0</v>
      </c>
      <c r="AM2286">
        <v>8.58</v>
      </c>
      <c r="AN2286">
        <v>0</v>
      </c>
      <c r="AO2286">
        <v>0</v>
      </c>
      <c r="AP2286">
        <v>0</v>
      </c>
      <c r="AQ2286">
        <v>0</v>
      </c>
      <c r="AR2286">
        <v>0</v>
      </c>
      <c r="AS2286">
        <v>0</v>
      </c>
      <c r="AT2286">
        <v>0</v>
      </c>
      <c r="AU2286">
        <v>0</v>
      </c>
      <c r="AV2286">
        <v>0</v>
      </c>
      <c r="AW2286">
        <v>0</v>
      </c>
      <c r="AX2286">
        <v>0</v>
      </c>
      <c r="AY2286">
        <v>0</v>
      </c>
      <c r="AZ2286">
        <v>0</v>
      </c>
      <c r="BA2286">
        <v>0</v>
      </c>
      <c r="BB2286">
        <v>0</v>
      </c>
      <c r="BC2286">
        <v>0</v>
      </c>
      <c r="BD2286">
        <v>0</v>
      </c>
      <c r="BE2286">
        <v>0</v>
      </c>
      <c r="BF2286">
        <v>0</v>
      </c>
      <c r="BG2286">
        <v>0</v>
      </c>
      <c r="BH2286">
        <v>1</v>
      </c>
      <c r="BI2286">
        <v>1</v>
      </c>
      <c r="BJ2286">
        <v>0.2</v>
      </c>
      <c r="BK2286">
        <v>1</v>
      </c>
      <c r="BL2286" s="4">
        <v>50.45</v>
      </c>
      <c r="BM2286" s="4">
        <v>7.57</v>
      </c>
      <c r="BN2286" s="4">
        <v>58.02</v>
      </c>
      <c r="BO2286" s="4">
        <v>58.02</v>
      </c>
      <c r="BQ2286" t="s">
        <v>93</v>
      </c>
      <c r="BR2286" t="s">
        <v>84</v>
      </c>
      <c r="BS2286" s="3">
        <v>43811</v>
      </c>
      <c r="BT2286" s="5">
        <v>0.33611111111111108</v>
      </c>
      <c r="BU2286" t="s">
        <v>1219</v>
      </c>
      <c r="BV2286" t="s">
        <v>86</v>
      </c>
      <c r="BY2286">
        <v>1200</v>
      </c>
      <c r="CA2286" t="s">
        <v>539</v>
      </c>
      <c r="CC2286" t="s">
        <v>91</v>
      </c>
      <c r="CD2286">
        <v>7530</v>
      </c>
      <c r="CE2286" t="s">
        <v>88</v>
      </c>
      <c r="CF2286" s="3">
        <v>43812</v>
      </c>
      <c r="CI2286">
        <v>1</v>
      </c>
      <c r="CJ2286">
        <v>1</v>
      </c>
      <c r="CK2286">
        <v>21</v>
      </c>
      <c r="CL2286" t="s">
        <v>89</v>
      </c>
    </row>
    <row r="2287" spans="1:90">
      <c r="A2287" t="s">
        <v>72</v>
      </c>
      <c r="B2287" t="s">
        <v>73</v>
      </c>
      <c r="C2287" t="s">
        <v>74</v>
      </c>
      <c r="E2287" t="str">
        <f>"FES1162727823"</f>
        <v>FES1162727823</v>
      </c>
      <c r="F2287" s="3">
        <v>43810</v>
      </c>
      <c r="G2287">
        <v>202006</v>
      </c>
      <c r="H2287" t="s">
        <v>75</v>
      </c>
      <c r="I2287" t="s">
        <v>76</v>
      </c>
      <c r="J2287" t="s">
        <v>77</v>
      </c>
      <c r="K2287" t="s">
        <v>78</v>
      </c>
      <c r="L2287" t="s">
        <v>90</v>
      </c>
      <c r="M2287" t="s">
        <v>91</v>
      </c>
      <c r="N2287" t="s">
        <v>548</v>
      </c>
      <c r="O2287" t="s">
        <v>82</v>
      </c>
      <c r="P2287" t="str">
        <f>"2170720626                    "</f>
        <v xml:space="preserve">2170720626                    </v>
      </c>
      <c r="Q2287">
        <v>0</v>
      </c>
      <c r="R2287">
        <v>0</v>
      </c>
      <c r="S2287">
        <v>0</v>
      </c>
      <c r="T2287">
        <v>0</v>
      </c>
      <c r="U2287">
        <v>0</v>
      </c>
      <c r="V2287">
        <v>0</v>
      </c>
      <c r="W2287">
        <v>0</v>
      </c>
      <c r="X2287">
        <v>0</v>
      </c>
      <c r="Y2287">
        <v>0</v>
      </c>
      <c r="Z2287">
        <v>0</v>
      </c>
      <c r="AA2287">
        <v>0</v>
      </c>
      <c r="AB2287">
        <v>0</v>
      </c>
      <c r="AC2287">
        <v>0</v>
      </c>
      <c r="AD2287">
        <v>0</v>
      </c>
      <c r="AE2287">
        <v>0</v>
      </c>
      <c r="AF2287">
        <v>0</v>
      </c>
      <c r="AG2287">
        <v>0</v>
      </c>
      <c r="AH2287">
        <v>0</v>
      </c>
      <c r="AI2287">
        <v>0</v>
      </c>
      <c r="AJ2287">
        <v>0</v>
      </c>
      <c r="AK2287">
        <v>0</v>
      </c>
      <c r="AL2287">
        <v>0</v>
      </c>
      <c r="AM2287">
        <v>10.73</v>
      </c>
      <c r="AN2287">
        <v>0</v>
      </c>
      <c r="AO2287">
        <v>0</v>
      </c>
      <c r="AP2287">
        <v>0</v>
      </c>
      <c r="AQ2287">
        <v>0</v>
      </c>
      <c r="AR2287">
        <v>0</v>
      </c>
      <c r="AS2287">
        <v>0</v>
      </c>
      <c r="AT2287">
        <v>0</v>
      </c>
      <c r="AU2287">
        <v>0</v>
      </c>
      <c r="AV2287">
        <v>0</v>
      </c>
      <c r="AW2287">
        <v>0</v>
      </c>
      <c r="AX2287">
        <v>0</v>
      </c>
      <c r="AY2287">
        <v>0</v>
      </c>
      <c r="AZ2287">
        <v>0</v>
      </c>
      <c r="BA2287">
        <v>0</v>
      </c>
      <c r="BB2287">
        <v>0</v>
      </c>
      <c r="BC2287">
        <v>0</v>
      </c>
      <c r="BD2287">
        <v>0</v>
      </c>
      <c r="BE2287">
        <v>0</v>
      </c>
      <c r="BF2287">
        <v>0</v>
      </c>
      <c r="BG2287">
        <v>0</v>
      </c>
      <c r="BH2287">
        <v>1</v>
      </c>
      <c r="BI2287">
        <v>0.2</v>
      </c>
      <c r="BJ2287">
        <v>2.4</v>
      </c>
      <c r="BK2287">
        <v>2.5</v>
      </c>
      <c r="BL2287" s="4">
        <v>63.06</v>
      </c>
      <c r="BM2287" s="4">
        <v>9.4600000000000009</v>
      </c>
      <c r="BN2287" s="4">
        <v>72.52</v>
      </c>
      <c r="BO2287" s="4">
        <v>72.52</v>
      </c>
      <c r="BQ2287" t="s">
        <v>147</v>
      </c>
      <c r="BR2287" t="s">
        <v>84</v>
      </c>
      <c r="BS2287" s="3">
        <v>43811</v>
      </c>
      <c r="BT2287" s="5">
        <v>0.31944444444444448</v>
      </c>
      <c r="BU2287" t="s">
        <v>1829</v>
      </c>
      <c r="BV2287" t="s">
        <v>86</v>
      </c>
      <c r="BY2287">
        <v>11911.68</v>
      </c>
      <c r="CA2287" t="s">
        <v>550</v>
      </c>
      <c r="CC2287" t="s">
        <v>91</v>
      </c>
      <c r="CD2287">
        <v>7530</v>
      </c>
      <c r="CE2287" t="s">
        <v>88</v>
      </c>
      <c r="CF2287" s="3">
        <v>43812</v>
      </c>
      <c r="CI2287">
        <v>1</v>
      </c>
      <c r="CJ2287">
        <v>1</v>
      </c>
      <c r="CK2287">
        <v>21</v>
      </c>
      <c r="CL2287" t="s">
        <v>89</v>
      </c>
    </row>
    <row r="2288" spans="1:90">
      <c r="A2288" t="s">
        <v>72</v>
      </c>
      <c r="B2288" t="s">
        <v>73</v>
      </c>
      <c r="C2288" t="s">
        <v>74</v>
      </c>
      <c r="E2288" t="str">
        <f>"FES1162727796"</f>
        <v>FES1162727796</v>
      </c>
      <c r="F2288" s="3">
        <v>43810</v>
      </c>
      <c r="G2288">
        <v>202006</v>
      </c>
      <c r="H2288" t="s">
        <v>75</v>
      </c>
      <c r="I2288" t="s">
        <v>76</v>
      </c>
      <c r="J2288" t="s">
        <v>77</v>
      </c>
      <c r="K2288" t="s">
        <v>78</v>
      </c>
      <c r="L2288" t="s">
        <v>90</v>
      </c>
      <c r="M2288" t="s">
        <v>91</v>
      </c>
      <c r="N2288" t="s">
        <v>1582</v>
      </c>
      <c r="O2288" t="s">
        <v>82</v>
      </c>
      <c r="P2288" t="str">
        <f>"2170718764                    "</f>
        <v xml:space="preserve">2170718764                    </v>
      </c>
      <c r="Q2288">
        <v>0</v>
      </c>
      <c r="R2288">
        <v>0</v>
      </c>
      <c r="S2288">
        <v>0</v>
      </c>
      <c r="T2288">
        <v>0</v>
      </c>
      <c r="U2288">
        <v>0</v>
      </c>
      <c r="V2288">
        <v>0</v>
      </c>
      <c r="W2288">
        <v>0</v>
      </c>
      <c r="X2288">
        <v>0</v>
      </c>
      <c r="Y2288">
        <v>0</v>
      </c>
      <c r="Z2288">
        <v>0</v>
      </c>
      <c r="AA2288">
        <v>0</v>
      </c>
      <c r="AB2288">
        <v>0</v>
      </c>
      <c r="AC2288">
        <v>0</v>
      </c>
      <c r="AD2288">
        <v>0</v>
      </c>
      <c r="AE2288">
        <v>0</v>
      </c>
      <c r="AF2288">
        <v>0</v>
      </c>
      <c r="AG2288">
        <v>0</v>
      </c>
      <c r="AH2288">
        <v>0</v>
      </c>
      <c r="AI2288">
        <v>0</v>
      </c>
      <c r="AJ2288">
        <v>0</v>
      </c>
      <c r="AK2288">
        <v>0</v>
      </c>
      <c r="AL2288">
        <v>0</v>
      </c>
      <c r="AM2288">
        <v>8.58</v>
      </c>
      <c r="AN2288">
        <v>0</v>
      </c>
      <c r="AO2288">
        <v>0</v>
      </c>
      <c r="AP2288">
        <v>0</v>
      </c>
      <c r="AQ2288">
        <v>0</v>
      </c>
      <c r="AR2288">
        <v>0</v>
      </c>
      <c r="AS2288">
        <v>0</v>
      </c>
      <c r="AT2288">
        <v>0</v>
      </c>
      <c r="AU2288">
        <v>0</v>
      </c>
      <c r="AV2288">
        <v>0</v>
      </c>
      <c r="AW2288">
        <v>0</v>
      </c>
      <c r="AX2288">
        <v>0</v>
      </c>
      <c r="AY2288">
        <v>0</v>
      </c>
      <c r="AZ2288">
        <v>0</v>
      </c>
      <c r="BA2288">
        <v>0</v>
      </c>
      <c r="BB2288">
        <v>0</v>
      </c>
      <c r="BC2288">
        <v>0</v>
      </c>
      <c r="BD2288">
        <v>0</v>
      </c>
      <c r="BE2288">
        <v>0</v>
      </c>
      <c r="BF2288">
        <v>0</v>
      </c>
      <c r="BG2288">
        <v>0</v>
      </c>
      <c r="BH2288">
        <v>1</v>
      </c>
      <c r="BI2288">
        <v>1</v>
      </c>
      <c r="BJ2288">
        <v>0.2</v>
      </c>
      <c r="BK2288">
        <v>1</v>
      </c>
      <c r="BL2288" s="4">
        <v>50.45</v>
      </c>
      <c r="BM2288" s="4">
        <v>7.57</v>
      </c>
      <c r="BN2288" s="4">
        <v>58.02</v>
      </c>
      <c r="BO2288" s="4">
        <v>58.02</v>
      </c>
      <c r="BQ2288" t="s">
        <v>256</v>
      </c>
      <c r="BR2288" t="s">
        <v>84</v>
      </c>
      <c r="BS2288" s="3">
        <v>43811</v>
      </c>
      <c r="BT2288" s="5">
        <v>0.4375</v>
      </c>
      <c r="BU2288" t="s">
        <v>678</v>
      </c>
      <c r="BV2288" t="s">
        <v>86</v>
      </c>
      <c r="BY2288">
        <v>1200</v>
      </c>
      <c r="CA2288" t="s">
        <v>539</v>
      </c>
      <c r="CC2288" t="s">
        <v>91</v>
      </c>
      <c r="CD2288">
        <v>7580</v>
      </c>
      <c r="CE2288" t="s">
        <v>88</v>
      </c>
      <c r="CF2288" s="3">
        <v>43812</v>
      </c>
      <c r="CI2288">
        <v>1</v>
      </c>
      <c r="CJ2288">
        <v>1</v>
      </c>
      <c r="CK2288">
        <v>21</v>
      </c>
      <c r="CL2288" t="s">
        <v>89</v>
      </c>
    </row>
    <row r="2289" spans="1:90">
      <c r="A2289" t="s">
        <v>72</v>
      </c>
      <c r="B2289" t="s">
        <v>73</v>
      </c>
      <c r="C2289" t="s">
        <v>74</v>
      </c>
      <c r="E2289" t="str">
        <f>"FES1162727807"</f>
        <v>FES1162727807</v>
      </c>
      <c r="F2289" s="3">
        <v>43810</v>
      </c>
      <c r="G2289">
        <v>202006</v>
      </c>
      <c r="H2289" t="s">
        <v>75</v>
      </c>
      <c r="I2289" t="s">
        <v>76</v>
      </c>
      <c r="J2289" t="s">
        <v>77</v>
      </c>
      <c r="K2289" t="s">
        <v>78</v>
      </c>
      <c r="L2289" t="s">
        <v>90</v>
      </c>
      <c r="M2289" t="s">
        <v>91</v>
      </c>
      <c r="N2289" t="s">
        <v>554</v>
      </c>
      <c r="O2289" t="s">
        <v>82</v>
      </c>
      <c r="P2289" t="str">
        <f>"2170719073                    "</f>
        <v xml:space="preserve">2170719073                    </v>
      </c>
      <c r="Q2289">
        <v>0</v>
      </c>
      <c r="R2289">
        <v>0</v>
      </c>
      <c r="S2289">
        <v>0</v>
      </c>
      <c r="T2289">
        <v>0</v>
      </c>
      <c r="U2289">
        <v>0</v>
      </c>
      <c r="V2289">
        <v>0</v>
      </c>
      <c r="W2289">
        <v>0</v>
      </c>
      <c r="X2289">
        <v>0</v>
      </c>
      <c r="Y2289">
        <v>0</v>
      </c>
      <c r="Z2289">
        <v>0</v>
      </c>
      <c r="AA2289">
        <v>0</v>
      </c>
      <c r="AB2289">
        <v>0</v>
      </c>
      <c r="AC2289">
        <v>0</v>
      </c>
      <c r="AD2289">
        <v>0</v>
      </c>
      <c r="AE2289">
        <v>0</v>
      </c>
      <c r="AF2289">
        <v>0</v>
      </c>
      <c r="AG2289">
        <v>0</v>
      </c>
      <c r="AH2289">
        <v>0</v>
      </c>
      <c r="AI2289">
        <v>0</v>
      </c>
      <c r="AJ2289">
        <v>0</v>
      </c>
      <c r="AK2289">
        <v>0</v>
      </c>
      <c r="AL2289">
        <v>0</v>
      </c>
      <c r="AM2289">
        <v>8.58</v>
      </c>
      <c r="AN2289">
        <v>0</v>
      </c>
      <c r="AO2289">
        <v>0</v>
      </c>
      <c r="AP2289">
        <v>0</v>
      </c>
      <c r="AQ2289">
        <v>0</v>
      </c>
      <c r="AR2289">
        <v>0</v>
      </c>
      <c r="AS2289">
        <v>0</v>
      </c>
      <c r="AT2289">
        <v>0</v>
      </c>
      <c r="AU2289">
        <v>0</v>
      </c>
      <c r="AV2289">
        <v>0</v>
      </c>
      <c r="AW2289">
        <v>0</v>
      </c>
      <c r="AX2289">
        <v>0</v>
      </c>
      <c r="AY2289">
        <v>0</v>
      </c>
      <c r="AZ2289">
        <v>0</v>
      </c>
      <c r="BA2289">
        <v>0</v>
      </c>
      <c r="BB2289">
        <v>0</v>
      </c>
      <c r="BC2289">
        <v>0</v>
      </c>
      <c r="BD2289">
        <v>0</v>
      </c>
      <c r="BE2289">
        <v>0</v>
      </c>
      <c r="BF2289">
        <v>0</v>
      </c>
      <c r="BG2289">
        <v>0</v>
      </c>
      <c r="BH2289">
        <v>1</v>
      </c>
      <c r="BI2289">
        <v>1</v>
      </c>
      <c r="BJ2289">
        <v>0.2</v>
      </c>
      <c r="BK2289">
        <v>1</v>
      </c>
      <c r="BL2289" s="4">
        <v>50.45</v>
      </c>
      <c r="BM2289" s="4">
        <v>7.57</v>
      </c>
      <c r="BN2289" s="4">
        <v>58.02</v>
      </c>
      <c r="BO2289" s="4">
        <v>58.02</v>
      </c>
      <c r="BQ2289" t="s">
        <v>147</v>
      </c>
      <c r="BR2289" t="s">
        <v>84</v>
      </c>
      <c r="BS2289" s="3">
        <v>43811</v>
      </c>
      <c r="BT2289" s="5">
        <v>0.39999999999999997</v>
      </c>
      <c r="BU2289" t="s">
        <v>555</v>
      </c>
      <c r="BV2289" t="s">
        <v>86</v>
      </c>
      <c r="BY2289">
        <v>1200</v>
      </c>
      <c r="CA2289" t="s">
        <v>550</v>
      </c>
      <c r="CC2289" t="s">
        <v>91</v>
      </c>
      <c r="CD2289">
        <v>7560</v>
      </c>
      <c r="CE2289" t="s">
        <v>88</v>
      </c>
      <c r="CF2289" s="3">
        <v>43812</v>
      </c>
      <c r="CI2289">
        <v>1</v>
      </c>
      <c r="CJ2289">
        <v>1</v>
      </c>
      <c r="CK2289">
        <v>21</v>
      </c>
      <c r="CL2289" t="s">
        <v>89</v>
      </c>
    </row>
    <row r="2290" spans="1:90">
      <c r="A2290" t="s">
        <v>72</v>
      </c>
      <c r="B2290" t="s">
        <v>73</v>
      </c>
      <c r="C2290" t="s">
        <v>74</v>
      </c>
      <c r="E2290" t="str">
        <f>"FES1162727810"</f>
        <v>FES1162727810</v>
      </c>
      <c r="F2290" s="3">
        <v>43810</v>
      </c>
      <c r="G2290">
        <v>202006</v>
      </c>
      <c r="H2290" t="s">
        <v>75</v>
      </c>
      <c r="I2290" t="s">
        <v>76</v>
      </c>
      <c r="J2290" t="s">
        <v>77</v>
      </c>
      <c r="K2290" t="s">
        <v>78</v>
      </c>
      <c r="L2290" t="s">
        <v>90</v>
      </c>
      <c r="M2290" t="s">
        <v>91</v>
      </c>
      <c r="N2290" t="s">
        <v>207</v>
      </c>
      <c r="O2290" t="s">
        <v>82</v>
      </c>
      <c r="P2290" t="str">
        <f>"2170719152                    "</f>
        <v xml:space="preserve">2170719152                    </v>
      </c>
      <c r="Q2290">
        <v>0</v>
      </c>
      <c r="R2290">
        <v>0</v>
      </c>
      <c r="S2290">
        <v>0</v>
      </c>
      <c r="T2290">
        <v>0</v>
      </c>
      <c r="U2290">
        <v>0</v>
      </c>
      <c r="V2290">
        <v>0</v>
      </c>
      <c r="W2290">
        <v>0</v>
      </c>
      <c r="X2290">
        <v>0</v>
      </c>
      <c r="Y2290">
        <v>0</v>
      </c>
      <c r="Z2290">
        <v>0</v>
      </c>
      <c r="AA2290">
        <v>0</v>
      </c>
      <c r="AB2290">
        <v>0</v>
      </c>
      <c r="AC2290">
        <v>0</v>
      </c>
      <c r="AD2290">
        <v>0</v>
      </c>
      <c r="AE2290">
        <v>0</v>
      </c>
      <c r="AF2290">
        <v>0</v>
      </c>
      <c r="AG2290">
        <v>0</v>
      </c>
      <c r="AH2290">
        <v>0</v>
      </c>
      <c r="AI2290">
        <v>0</v>
      </c>
      <c r="AJ2290">
        <v>0</v>
      </c>
      <c r="AK2290">
        <v>0</v>
      </c>
      <c r="AL2290">
        <v>0</v>
      </c>
      <c r="AM2290">
        <v>8.58</v>
      </c>
      <c r="AN2290">
        <v>0</v>
      </c>
      <c r="AO2290">
        <v>0</v>
      </c>
      <c r="AP2290">
        <v>0</v>
      </c>
      <c r="AQ2290">
        <v>0</v>
      </c>
      <c r="AR2290">
        <v>0</v>
      </c>
      <c r="AS2290">
        <v>0</v>
      </c>
      <c r="AT2290">
        <v>0</v>
      </c>
      <c r="AU2290">
        <v>0</v>
      </c>
      <c r="AV2290">
        <v>0</v>
      </c>
      <c r="AW2290">
        <v>0</v>
      </c>
      <c r="AX2290">
        <v>0</v>
      </c>
      <c r="AY2290">
        <v>0</v>
      </c>
      <c r="AZ2290">
        <v>0</v>
      </c>
      <c r="BA2290">
        <v>0</v>
      </c>
      <c r="BB2290">
        <v>0</v>
      </c>
      <c r="BC2290">
        <v>0</v>
      </c>
      <c r="BD2290">
        <v>0</v>
      </c>
      <c r="BE2290">
        <v>0</v>
      </c>
      <c r="BF2290">
        <v>0</v>
      </c>
      <c r="BG2290">
        <v>0</v>
      </c>
      <c r="BH2290">
        <v>1</v>
      </c>
      <c r="BI2290">
        <v>1</v>
      </c>
      <c r="BJ2290">
        <v>0.2</v>
      </c>
      <c r="BK2290">
        <v>1</v>
      </c>
      <c r="BL2290" s="4">
        <v>50.45</v>
      </c>
      <c r="BM2290" s="4">
        <v>7.57</v>
      </c>
      <c r="BN2290" s="4">
        <v>58.02</v>
      </c>
      <c r="BO2290" s="4">
        <v>58.02</v>
      </c>
      <c r="BQ2290" t="s">
        <v>147</v>
      </c>
      <c r="BR2290" t="s">
        <v>84</v>
      </c>
      <c r="BS2290" s="3">
        <v>43811</v>
      </c>
      <c r="BT2290" s="5">
        <v>0.37083333333333335</v>
      </c>
      <c r="BU2290" t="s">
        <v>349</v>
      </c>
      <c r="BV2290" t="s">
        <v>86</v>
      </c>
      <c r="BY2290">
        <v>1200</v>
      </c>
      <c r="CA2290" t="s">
        <v>209</v>
      </c>
      <c r="CC2290" t="s">
        <v>91</v>
      </c>
      <c r="CD2290">
        <v>7441</v>
      </c>
      <c r="CE2290" t="s">
        <v>88</v>
      </c>
      <c r="CF2290" s="3">
        <v>43812</v>
      </c>
      <c r="CI2290">
        <v>1</v>
      </c>
      <c r="CJ2290">
        <v>1</v>
      </c>
      <c r="CK2290">
        <v>21</v>
      </c>
      <c r="CL2290" t="s">
        <v>89</v>
      </c>
    </row>
    <row r="2291" spans="1:90">
      <c r="A2291" t="s">
        <v>72</v>
      </c>
      <c r="B2291" t="s">
        <v>73</v>
      </c>
      <c r="C2291" t="s">
        <v>74</v>
      </c>
      <c r="E2291" t="str">
        <f>"FES1162727816"</f>
        <v>FES1162727816</v>
      </c>
      <c r="F2291" s="3">
        <v>43810</v>
      </c>
      <c r="G2291">
        <v>202006</v>
      </c>
      <c r="H2291" t="s">
        <v>75</v>
      </c>
      <c r="I2291" t="s">
        <v>76</v>
      </c>
      <c r="J2291" t="s">
        <v>77</v>
      </c>
      <c r="K2291" t="s">
        <v>78</v>
      </c>
      <c r="L2291" t="s">
        <v>90</v>
      </c>
      <c r="M2291" t="s">
        <v>91</v>
      </c>
      <c r="N2291" t="s">
        <v>856</v>
      </c>
      <c r="O2291" t="s">
        <v>82</v>
      </c>
      <c r="P2291" t="str">
        <f>"2170719299                    "</f>
        <v xml:space="preserve">2170719299                    </v>
      </c>
      <c r="Q2291">
        <v>0</v>
      </c>
      <c r="R2291">
        <v>0</v>
      </c>
      <c r="S2291">
        <v>0</v>
      </c>
      <c r="T2291">
        <v>0</v>
      </c>
      <c r="U2291">
        <v>0</v>
      </c>
      <c r="V2291">
        <v>0</v>
      </c>
      <c r="W2291">
        <v>0</v>
      </c>
      <c r="X2291">
        <v>0</v>
      </c>
      <c r="Y2291">
        <v>0</v>
      </c>
      <c r="Z2291">
        <v>0</v>
      </c>
      <c r="AA2291">
        <v>0</v>
      </c>
      <c r="AB2291">
        <v>0</v>
      </c>
      <c r="AC2291">
        <v>0</v>
      </c>
      <c r="AD2291">
        <v>0</v>
      </c>
      <c r="AE2291">
        <v>0</v>
      </c>
      <c r="AF2291">
        <v>0</v>
      </c>
      <c r="AG2291">
        <v>0</v>
      </c>
      <c r="AH2291">
        <v>0</v>
      </c>
      <c r="AI2291">
        <v>0</v>
      </c>
      <c r="AJ2291">
        <v>0</v>
      </c>
      <c r="AK2291">
        <v>0</v>
      </c>
      <c r="AL2291">
        <v>0</v>
      </c>
      <c r="AM2291">
        <v>8.58</v>
      </c>
      <c r="AN2291">
        <v>0</v>
      </c>
      <c r="AO2291">
        <v>0</v>
      </c>
      <c r="AP2291">
        <v>0</v>
      </c>
      <c r="AQ2291">
        <v>0</v>
      </c>
      <c r="AR2291">
        <v>0</v>
      </c>
      <c r="AS2291">
        <v>0</v>
      </c>
      <c r="AT2291">
        <v>0</v>
      </c>
      <c r="AU2291">
        <v>0</v>
      </c>
      <c r="AV2291">
        <v>0</v>
      </c>
      <c r="AW2291">
        <v>0</v>
      </c>
      <c r="AX2291">
        <v>0</v>
      </c>
      <c r="AY2291">
        <v>0</v>
      </c>
      <c r="AZ2291">
        <v>0</v>
      </c>
      <c r="BA2291">
        <v>0</v>
      </c>
      <c r="BB2291">
        <v>0</v>
      </c>
      <c r="BC2291">
        <v>0</v>
      </c>
      <c r="BD2291">
        <v>0</v>
      </c>
      <c r="BE2291">
        <v>0</v>
      </c>
      <c r="BF2291">
        <v>0</v>
      </c>
      <c r="BG2291">
        <v>0</v>
      </c>
      <c r="BH2291">
        <v>1</v>
      </c>
      <c r="BI2291">
        <v>1</v>
      </c>
      <c r="BJ2291">
        <v>0.2</v>
      </c>
      <c r="BK2291">
        <v>1</v>
      </c>
      <c r="BL2291" s="4">
        <v>50.45</v>
      </c>
      <c r="BM2291" s="4">
        <v>7.57</v>
      </c>
      <c r="BN2291" s="4">
        <v>58.02</v>
      </c>
      <c r="BO2291" s="4">
        <v>58.02</v>
      </c>
      <c r="BQ2291" t="s">
        <v>93</v>
      </c>
      <c r="BR2291" t="s">
        <v>84</v>
      </c>
      <c r="BS2291" s="3">
        <v>43811</v>
      </c>
      <c r="BT2291" s="5">
        <v>0.41180555555555554</v>
      </c>
      <c r="BU2291" t="s">
        <v>1126</v>
      </c>
      <c r="BV2291" t="s">
        <v>86</v>
      </c>
      <c r="BY2291">
        <v>1200</v>
      </c>
      <c r="CA2291" t="s">
        <v>209</v>
      </c>
      <c r="CC2291" t="s">
        <v>91</v>
      </c>
      <c r="CD2291">
        <v>7441</v>
      </c>
      <c r="CE2291" t="s">
        <v>88</v>
      </c>
      <c r="CF2291" s="3">
        <v>43812</v>
      </c>
      <c r="CI2291">
        <v>1</v>
      </c>
      <c r="CJ2291">
        <v>1</v>
      </c>
      <c r="CK2291">
        <v>21</v>
      </c>
      <c r="CL2291" t="s">
        <v>89</v>
      </c>
    </row>
    <row r="2292" spans="1:90">
      <c r="A2292" t="s">
        <v>72</v>
      </c>
      <c r="B2292" t="s">
        <v>73</v>
      </c>
      <c r="C2292" t="s">
        <v>74</v>
      </c>
      <c r="E2292" t="str">
        <f>"FES1162727812"</f>
        <v>FES1162727812</v>
      </c>
      <c r="F2292" s="3">
        <v>43810</v>
      </c>
      <c r="G2292">
        <v>202006</v>
      </c>
      <c r="H2292" t="s">
        <v>75</v>
      </c>
      <c r="I2292" t="s">
        <v>76</v>
      </c>
      <c r="J2292" t="s">
        <v>77</v>
      </c>
      <c r="K2292" t="s">
        <v>78</v>
      </c>
      <c r="L2292" t="s">
        <v>90</v>
      </c>
      <c r="M2292" t="s">
        <v>91</v>
      </c>
      <c r="N2292" t="s">
        <v>219</v>
      </c>
      <c r="O2292" t="s">
        <v>82</v>
      </c>
      <c r="P2292" t="str">
        <f>"2170719234                    "</f>
        <v xml:space="preserve">2170719234                    </v>
      </c>
      <c r="Q2292">
        <v>0</v>
      </c>
      <c r="R2292">
        <v>0</v>
      </c>
      <c r="S2292">
        <v>0</v>
      </c>
      <c r="T2292">
        <v>0</v>
      </c>
      <c r="U2292">
        <v>0</v>
      </c>
      <c r="V2292">
        <v>0</v>
      </c>
      <c r="W2292">
        <v>0</v>
      </c>
      <c r="X2292">
        <v>0</v>
      </c>
      <c r="Y2292">
        <v>0</v>
      </c>
      <c r="Z2292">
        <v>0</v>
      </c>
      <c r="AA2292">
        <v>0</v>
      </c>
      <c r="AB2292">
        <v>0</v>
      </c>
      <c r="AC2292">
        <v>0</v>
      </c>
      <c r="AD2292">
        <v>0</v>
      </c>
      <c r="AE2292">
        <v>0</v>
      </c>
      <c r="AF2292">
        <v>0</v>
      </c>
      <c r="AG2292">
        <v>0</v>
      </c>
      <c r="AH2292">
        <v>0</v>
      </c>
      <c r="AI2292">
        <v>0</v>
      </c>
      <c r="AJ2292">
        <v>0</v>
      </c>
      <c r="AK2292">
        <v>0</v>
      </c>
      <c r="AL2292">
        <v>0</v>
      </c>
      <c r="AM2292">
        <v>8.58</v>
      </c>
      <c r="AN2292">
        <v>0</v>
      </c>
      <c r="AO2292">
        <v>0</v>
      </c>
      <c r="AP2292">
        <v>0</v>
      </c>
      <c r="AQ2292">
        <v>0</v>
      </c>
      <c r="AR2292">
        <v>0</v>
      </c>
      <c r="AS2292">
        <v>0</v>
      </c>
      <c r="AT2292">
        <v>0</v>
      </c>
      <c r="AU2292">
        <v>0</v>
      </c>
      <c r="AV2292">
        <v>0</v>
      </c>
      <c r="AW2292">
        <v>0</v>
      </c>
      <c r="AX2292">
        <v>0</v>
      </c>
      <c r="AY2292">
        <v>0</v>
      </c>
      <c r="AZ2292">
        <v>0</v>
      </c>
      <c r="BA2292">
        <v>0</v>
      </c>
      <c r="BB2292">
        <v>0</v>
      </c>
      <c r="BC2292">
        <v>0</v>
      </c>
      <c r="BD2292">
        <v>0</v>
      </c>
      <c r="BE2292">
        <v>0</v>
      </c>
      <c r="BF2292">
        <v>0</v>
      </c>
      <c r="BG2292">
        <v>0</v>
      </c>
      <c r="BH2292">
        <v>1</v>
      </c>
      <c r="BI2292">
        <v>1</v>
      </c>
      <c r="BJ2292">
        <v>0.2</v>
      </c>
      <c r="BK2292">
        <v>1</v>
      </c>
      <c r="BL2292" s="4">
        <v>50.45</v>
      </c>
      <c r="BM2292" s="4">
        <v>7.57</v>
      </c>
      <c r="BN2292" s="4">
        <v>58.02</v>
      </c>
      <c r="BO2292" s="4">
        <v>58.02</v>
      </c>
      <c r="BQ2292" t="s">
        <v>147</v>
      </c>
      <c r="BR2292" t="s">
        <v>84</v>
      </c>
      <c r="BS2292" s="3">
        <v>43811</v>
      </c>
      <c r="BT2292" s="5">
        <v>0.3611111111111111</v>
      </c>
      <c r="BU2292" t="s">
        <v>220</v>
      </c>
      <c r="BV2292" t="s">
        <v>86</v>
      </c>
      <c r="BY2292">
        <v>1200</v>
      </c>
      <c r="CA2292" t="s">
        <v>112</v>
      </c>
      <c r="CC2292" t="s">
        <v>91</v>
      </c>
      <c r="CD2292">
        <v>7441</v>
      </c>
      <c r="CE2292" t="s">
        <v>88</v>
      </c>
      <c r="CF2292" s="3">
        <v>43812</v>
      </c>
      <c r="CI2292">
        <v>1</v>
      </c>
      <c r="CJ2292">
        <v>1</v>
      </c>
      <c r="CK2292">
        <v>21</v>
      </c>
      <c r="CL2292" t="s">
        <v>89</v>
      </c>
    </row>
    <row r="2293" spans="1:90">
      <c r="A2293" t="s">
        <v>72</v>
      </c>
      <c r="B2293" t="s">
        <v>73</v>
      </c>
      <c r="C2293" t="s">
        <v>74</v>
      </c>
      <c r="E2293" t="str">
        <f>"FES1162727745"</f>
        <v>FES1162727745</v>
      </c>
      <c r="F2293" s="3">
        <v>43810</v>
      </c>
      <c r="G2293">
        <v>202006</v>
      </c>
      <c r="H2293" t="s">
        <v>75</v>
      </c>
      <c r="I2293" t="s">
        <v>76</v>
      </c>
      <c r="J2293" t="s">
        <v>77</v>
      </c>
      <c r="K2293" t="s">
        <v>78</v>
      </c>
      <c r="L2293" t="s">
        <v>90</v>
      </c>
      <c r="M2293" t="s">
        <v>91</v>
      </c>
      <c r="N2293" t="s">
        <v>2505</v>
      </c>
      <c r="O2293" t="s">
        <v>82</v>
      </c>
      <c r="P2293" t="str">
        <f>"217071225                     "</f>
        <v xml:space="preserve">217071225                     </v>
      </c>
      <c r="Q2293">
        <v>0</v>
      </c>
      <c r="R2293">
        <v>0</v>
      </c>
      <c r="S2293">
        <v>0</v>
      </c>
      <c r="T2293">
        <v>0</v>
      </c>
      <c r="U2293">
        <v>0</v>
      </c>
      <c r="V2293">
        <v>0</v>
      </c>
      <c r="W2293">
        <v>0</v>
      </c>
      <c r="X2293">
        <v>0</v>
      </c>
      <c r="Y2293">
        <v>0</v>
      </c>
      <c r="Z2293">
        <v>0</v>
      </c>
      <c r="AA2293">
        <v>0</v>
      </c>
      <c r="AB2293">
        <v>0</v>
      </c>
      <c r="AC2293">
        <v>0</v>
      </c>
      <c r="AD2293">
        <v>0</v>
      </c>
      <c r="AE2293">
        <v>0</v>
      </c>
      <c r="AF2293">
        <v>0</v>
      </c>
      <c r="AG2293">
        <v>0</v>
      </c>
      <c r="AH2293">
        <v>0</v>
      </c>
      <c r="AI2293">
        <v>0</v>
      </c>
      <c r="AJ2293">
        <v>0</v>
      </c>
      <c r="AK2293">
        <v>0</v>
      </c>
      <c r="AL2293">
        <v>0</v>
      </c>
      <c r="AM2293">
        <v>8.58</v>
      </c>
      <c r="AN2293">
        <v>0</v>
      </c>
      <c r="AO2293">
        <v>0</v>
      </c>
      <c r="AP2293">
        <v>0</v>
      </c>
      <c r="AQ2293">
        <v>0</v>
      </c>
      <c r="AR2293">
        <v>0</v>
      </c>
      <c r="AS2293">
        <v>0</v>
      </c>
      <c r="AT2293">
        <v>0</v>
      </c>
      <c r="AU2293">
        <v>0</v>
      </c>
      <c r="AV2293">
        <v>0</v>
      </c>
      <c r="AW2293">
        <v>0</v>
      </c>
      <c r="AX2293">
        <v>0</v>
      </c>
      <c r="AY2293">
        <v>0</v>
      </c>
      <c r="AZ2293">
        <v>0</v>
      </c>
      <c r="BA2293">
        <v>0</v>
      </c>
      <c r="BB2293">
        <v>0</v>
      </c>
      <c r="BC2293">
        <v>0</v>
      </c>
      <c r="BD2293">
        <v>0</v>
      </c>
      <c r="BE2293">
        <v>0</v>
      </c>
      <c r="BF2293">
        <v>0</v>
      </c>
      <c r="BG2293">
        <v>0</v>
      </c>
      <c r="BH2293">
        <v>1</v>
      </c>
      <c r="BI2293">
        <v>1</v>
      </c>
      <c r="BJ2293">
        <v>0.2</v>
      </c>
      <c r="BK2293">
        <v>1</v>
      </c>
      <c r="BL2293" s="4">
        <v>50.45</v>
      </c>
      <c r="BM2293" s="4">
        <v>7.57</v>
      </c>
      <c r="BN2293" s="4">
        <v>58.02</v>
      </c>
      <c r="BO2293" s="4">
        <v>58.02</v>
      </c>
      <c r="BQ2293" t="s">
        <v>93</v>
      </c>
      <c r="BR2293" t="s">
        <v>84</v>
      </c>
      <c r="BS2293" s="3">
        <v>43811</v>
      </c>
      <c r="BT2293" s="5">
        <v>0.39861111111111108</v>
      </c>
      <c r="BU2293" t="s">
        <v>2506</v>
      </c>
      <c r="BV2293" t="s">
        <v>86</v>
      </c>
      <c r="BY2293">
        <v>1200</v>
      </c>
      <c r="CA2293" t="s">
        <v>532</v>
      </c>
      <c r="CC2293" t="s">
        <v>91</v>
      </c>
      <c r="CD2293">
        <v>7405</v>
      </c>
      <c r="CE2293" t="s">
        <v>88</v>
      </c>
      <c r="CF2293" s="3">
        <v>43812</v>
      </c>
      <c r="CI2293">
        <v>1</v>
      </c>
      <c r="CJ2293">
        <v>1</v>
      </c>
      <c r="CK2293">
        <v>21</v>
      </c>
      <c r="CL2293" t="s">
        <v>89</v>
      </c>
    </row>
    <row r="2294" spans="1:90">
      <c r="A2294" t="s">
        <v>72</v>
      </c>
      <c r="B2294" t="s">
        <v>73</v>
      </c>
      <c r="C2294" t="s">
        <v>74</v>
      </c>
      <c r="E2294" t="str">
        <f>"FES1162727758"</f>
        <v>FES1162727758</v>
      </c>
      <c r="F2294" s="3">
        <v>43810</v>
      </c>
      <c r="G2294">
        <v>202006</v>
      </c>
      <c r="H2294" t="s">
        <v>75</v>
      </c>
      <c r="I2294" t="s">
        <v>76</v>
      </c>
      <c r="J2294" t="s">
        <v>77</v>
      </c>
      <c r="K2294" t="s">
        <v>78</v>
      </c>
      <c r="L2294" t="s">
        <v>79</v>
      </c>
      <c r="M2294" t="s">
        <v>80</v>
      </c>
      <c r="N2294" t="s">
        <v>388</v>
      </c>
      <c r="O2294" t="s">
        <v>82</v>
      </c>
      <c r="P2294" t="str">
        <f>"2170712142                    "</f>
        <v xml:space="preserve">2170712142                    </v>
      </c>
      <c r="Q2294">
        <v>0</v>
      </c>
      <c r="R2294">
        <v>0</v>
      </c>
      <c r="S2294">
        <v>0</v>
      </c>
      <c r="T2294">
        <v>0</v>
      </c>
      <c r="U2294">
        <v>0</v>
      </c>
      <c r="V2294">
        <v>0</v>
      </c>
      <c r="W2294">
        <v>0</v>
      </c>
      <c r="X2294">
        <v>0</v>
      </c>
      <c r="Y2294">
        <v>0</v>
      </c>
      <c r="Z2294">
        <v>0</v>
      </c>
      <c r="AA2294">
        <v>0</v>
      </c>
      <c r="AB2294">
        <v>0</v>
      </c>
      <c r="AC2294">
        <v>0</v>
      </c>
      <c r="AD2294">
        <v>0</v>
      </c>
      <c r="AE2294">
        <v>0</v>
      </c>
      <c r="AF2294">
        <v>0</v>
      </c>
      <c r="AG2294">
        <v>0</v>
      </c>
      <c r="AH2294">
        <v>0</v>
      </c>
      <c r="AI2294">
        <v>0</v>
      </c>
      <c r="AJ2294">
        <v>0</v>
      </c>
      <c r="AK2294">
        <v>0</v>
      </c>
      <c r="AL2294">
        <v>0</v>
      </c>
      <c r="AM2294">
        <v>19.3</v>
      </c>
      <c r="AN2294">
        <v>0</v>
      </c>
      <c r="AO2294">
        <v>0</v>
      </c>
      <c r="AP2294">
        <v>0</v>
      </c>
      <c r="AQ2294">
        <v>0</v>
      </c>
      <c r="AR2294">
        <v>0</v>
      </c>
      <c r="AS2294">
        <v>0</v>
      </c>
      <c r="AT2294">
        <v>0</v>
      </c>
      <c r="AU2294">
        <v>0</v>
      </c>
      <c r="AV2294">
        <v>0</v>
      </c>
      <c r="AW2294">
        <v>0</v>
      </c>
      <c r="AX2294">
        <v>0</v>
      </c>
      <c r="AY2294">
        <v>0</v>
      </c>
      <c r="AZ2294">
        <v>0</v>
      </c>
      <c r="BA2294">
        <v>0</v>
      </c>
      <c r="BB2294">
        <v>0</v>
      </c>
      <c r="BC2294">
        <v>0</v>
      </c>
      <c r="BD2294">
        <v>0</v>
      </c>
      <c r="BE2294">
        <v>0</v>
      </c>
      <c r="BF2294">
        <v>0</v>
      </c>
      <c r="BG2294">
        <v>0</v>
      </c>
      <c r="BH2294">
        <v>1</v>
      </c>
      <c r="BI2294">
        <v>4.0999999999999996</v>
      </c>
      <c r="BJ2294">
        <v>3</v>
      </c>
      <c r="BK2294">
        <v>4.5</v>
      </c>
      <c r="BL2294" s="4">
        <v>113.47</v>
      </c>
      <c r="BM2294" s="4">
        <v>17.02</v>
      </c>
      <c r="BN2294" s="4">
        <v>130.49</v>
      </c>
      <c r="BO2294" s="4">
        <v>130.49</v>
      </c>
      <c r="BQ2294" t="s">
        <v>147</v>
      </c>
      <c r="BR2294" t="s">
        <v>84</v>
      </c>
      <c r="BS2294" s="3">
        <v>43811</v>
      </c>
      <c r="BT2294" s="5">
        <v>0.37083333333333335</v>
      </c>
      <c r="BU2294" t="s">
        <v>368</v>
      </c>
      <c r="BV2294" t="s">
        <v>86</v>
      </c>
      <c r="BY2294">
        <v>15097.25</v>
      </c>
      <c r="CA2294" t="s">
        <v>131</v>
      </c>
      <c r="CC2294" t="s">
        <v>80</v>
      </c>
      <c r="CD2294">
        <v>6001</v>
      </c>
      <c r="CE2294" t="s">
        <v>96</v>
      </c>
      <c r="CF2294" s="3">
        <v>43812</v>
      </c>
      <c r="CI2294">
        <v>1</v>
      </c>
      <c r="CJ2294">
        <v>1</v>
      </c>
      <c r="CK2294">
        <v>21</v>
      </c>
      <c r="CL2294" t="s">
        <v>89</v>
      </c>
    </row>
    <row r="2295" spans="1:90">
      <c r="A2295" t="s">
        <v>72</v>
      </c>
      <c r="B2295" t="s">
        <v>73</v>
      </c>
      <c r="C2295" t="s">
        <v>74</v>
      </c>
      <c r="E2295" t="str">
        <f>"FES1162727761"</f>
        <v>FES1162727761</v>
      </c>
      <c r="F2295" s="3">
        <v>43810</v>
      </c>
      <c r="G2295">
        <v>202006</v>
      </c>
      <c r="H2295" t="s">
        <v>75</v>
      </c>
      <c r="I2295" t="s">
        <v>76</v>
      </c>
      <c r="J2295" t="s">
        <v>77</v>
      </c>
      <c r="K2295" t="s">
        <v>78</v>
      </c>
      <c r="L2295" t="s">
        <v>79</v>
      </c>
      <c r="M2295" t="s">
        <v>80</v>
      </c>
      <c r="N2295" t="s">
        <v>388</v>
      </c>
      <c r="O2295" t="s">
        <v>82</v>
      </c>
      <c r="P2295" t="str">
        <f>"217071244                     "</f>
        <v xml:space="preserve">217071244                     </v>
      </c>
      <c r="Q2295">
        <v>0</v>
      </c>
      <c r="R2295">
        <v>0</v>
      </c>
      <c r="S2295">
        <v>0</v>
      </c>
      <c r="T2295">
        <v>0</v>
      </c>
      <c r="U2295">
        <v>0</v>
      </c>
      <c r="V2295">
        <v>0</v>
      </c>
      <c r="W2295">
        <v>0</v>
      </c>
      <c r="X2295">
        <v>0</v>
      </c>
      <c r="Y2295">
        <v>0</v>
      </c>
      <c r="Z2295">
        <v>0</v>
      </c>
      <c r="AA2295">
        <v>0</v>
      </c>
      <c r="AB2295">
        <v>0</v>
      </c>
      <c r="AC2295">
        <v>0</v>
      </c>
      <c r="AD2295">
        <v>0</v>
      </c>
      <c r="AE2295">
        <v>0</v>
      </c>
      <c r="AF2295">
        <v>0</v>
      </c>
      <c r="AG2295">
        <v>0</v>
      </c>
      <c r="AH2295">
        <v>0</v>
      </c>
      <c r="AI2295">
        <v>0</v>
      </c>
      <c r="AJ2295">
        <v>0</v>
      </c>
      <c r="AK2295">
        <v>0</v>
      </c>
      <c r="AL2295">
        <v>0</v>
      </c>
      <c r="AM2295">
        <v>21.45</v>
      </c>
      <c r="AN2295">
        <v>0</v>
      </c>
      <c r="AO2295">
        <v>0</v>
      </c>
      <c r="AP2295">
        <v>0</v>
      </c>
      <c r="AQ2295">
        <v>0</v>
      </c>
      <c r="AR2295">
        <v>0</v>
      </c>
      <c r="AS2295">
        <v>0</v>
      </c>
      <c r="AT2295">
        <v>0</v>
      </c>
      <c r="AU2295">
        <v>0</v>
      </c>
      <c r="AV2295">
        <v>0</v>
      </c>
      <c r="AW2295">
        <v>0</v>
      </c>
      <c r="AX2295">
        <v>0</v>
      </c>
      <c r="AY2295">
        <v>0</v>
      </c>
      <c r="AZ2295">
        <v>0</v>
      </c>
      <c r="BA2295">
        <v>0</v>
      </c>
      <c r="BB2295">
        <v>0</v>
      </c>
      <c r="BC2295">
        <v>0</v>
      </c>
      <c r="BD2295">
        <v>0</v>
      </c>
      <c r="BE2295">
        <v>0</v>
      </c>
      <c r="BF2295">
        <v>0</v>
      </c>
      <c r="BG2295">
        <v>0</v>
      </c>
      <c r="BH2295">
        <v>1</v>
      </c>
      <c r="BI2295">
        <v>4.5999999999999996</v>
      </c>
      <c r="BJ2295">
        <v>1.6</v>
      </c>
      <c r="BK2295">
        <v>5</v>
      </c>
      <c r="BL2295" s="4">
        <v>126.08</v>
      </c>
      <c r="BM2295" s="4">
        <v>18.91</v>
      </c>
      <c r="BN2295" s="4">
        <v>144.99</v>
      </c>
      <c r="BO2295" s="4">
        <v>144.99</v>
      </c>
      <c r="BQ2295" t="s">
        <v>147</v>
      </c>
      <c r="BR2295" t="s">
        <v>84</v>
      </c>
      <c r="BS2295" s="3">
        <v>43811</v>
      </c>
      <c r="BT2295" s="5">
        <v>0.37083333333333335</v>
      </c>
      <c r="BU2295" t="s">
        <v>368</v>
      </c>
      <c r="BV2295" t="s">
        <v>86</v>
      </c>
      <c r="BY2295">
        <v>7879.68</v>
      </c>
      <c r="CA2295" t="s">
        <v>131</v>
      </c>
      <c r="CC2295" t="s">
        <v>80</v>
      </c>
      <c r="CD2295">
        <v>6001</v>
      </c>
      <c r="CE2295" t="s">
        <v>96</v>
      </c>
      <c r="CF2295" s="3">
        <v>43812</v>
      </c>
      <c r="CI2295">
        <v>1</v>
      </c>
      <c r="CJ2295">
        <v>1</v>
      </c>
      <c r="CK2295">
        <v>21</v>
      </c>
      <c r="CL2295" t="s">
        <v>89</v>
      </c>
    </row>
    <row r="2296" spans="1:90">
      <c r="A2296" t="s">
        <v>72</v>
      </c>
      <c r="B2296" t="s">
        <v>73</v>
      </c>
      <c r="C2296" t="s">
        <v>74</v>
      </c>
      <c r="E2296" t="str">
        <f>"FES1162727787"</f>
        <v>FES1162727787</v>
      </c>
      <c r="F2296" s="3">
        <v>43810</v>
      </c>
      <c r="G2296">
        <v>202006</v>
      </c>
      <c r="H2296" t="s">
        <v>75</v>
      </c>
      <c r="I2296" t="s">
        <v>76</v>
      </c>
      <c r="J2296" t="s">
        <v>77</v>
      </c>
      <c r="K2296" t="s">
        <v>78</v>
      </c>
      <c r="L2296" t="s">
        <v>169</v>
      </c>
      <c r="M2296" t="s">
        <v>170</v>
      </c>
      <c r="N2296" t="s">
        <v>248</v>
      </c>
      <c r="O2296" t="s">
        <v>82</v>
      </c>
      <c r="P2296" t="str">
        <f>"2170712753                    "</f>
        <v xml:space="preserve">2170712753                    </v>
      </c>
      <c r="Q2296">
        <v>0</v>
      </c>
      <c r="R2296">
        <v>0</v>
      </c>
      <c r="S2296">
        <v>0</v>
      </c>
      <c r="T2296">
        <v>0</v>
      </c>
      <c r="U2296">
        <v>0</v>
      </c>
      <c r="V2296">
        <v>0</v>
      </c>
      <c r="W2296">
        <v>0</v>
      </c>
      <c r="X2296">
        <v>0</v>
      </c>
      <c r="Y2296">
        <v>0</v>
      </c>
      <c r="Z2296">
        <v>0</v>
      </c>
      <c r="AA2296">
        <v>0</v>
      </c>
      <c r="AB2296">
        <v>0</v>
      </c>
      <c r="AC2296">
        <v>0</v>
      </c>
      <c r="AD2296">
        <v>0</v>
      </c>
      <c r="AE2296">
        <v>0</v>
      </c>
      <c r="AF2296">
        <v>0</v>
      </c>
      <c r="AG2296">
        <v>0</v>
      </c>
      <c r="AH2296">
        <v>0</v>
      </c>
      <c r="AI2296">
        <v>0</v>
      </c>
      <c r="AJ2296">
        <v>0</v>
      </c>
      <c r="AK2296">
        <v>0</v>
      </c>
      <c r="AL2296">
        <v>0</v>
      </c>
      <c r="AM2296">
        <v>6.71</v>
      </c>
      <c r="AN2296">
        <v>0</v>
      </c>
      <c r="AO2296">
        <v>0</v>
      </c>
      <c r="AP2296">
        <v>0</v>
      </c>
      <c r="AQ2296">
        <v>0</v>
      </c>
      <c r="AR2296">
        <v>0</v>
      </c>
      <c r="AS2296">
        <v>0</v>
      </c>
      <c r="AT2296">
        <v>0</v>
      </c>
      <c r="AU2296">
        <v>0</v>
      </c>
      <c r="AV2296">
        <v>0</v>
      </c>
      <c r="AW2296">
        <v>0</v>
      </c>
      <c r="AX2296">
        <v>0</v>
      </c>
      <c r="AY2296">
        <v>0</v>
      </c>
      <c r="AZ2296">
        <v>0</v>
      </c>
      <c r="BA2296">
        <v>0</v>
      </c>
      <c r="BB2296">
        <v>0</v>
      </c>
      <c r="BC2296">
        <v>0</v>
      </c>
      <c r="BD2296">
        <v>0</v>
      </c>
      <c r="BE2296">
        <v>0</v>
      </c>
      <c r="BF2296">
        <v>0</v>
      </c>
      <c r="BG2296">
        <v>0</v>
      </c>
      <c r="BH2296">
        <v>1</v>
      </c>
      <c r="BI2296">
        <v>1</v>
      </c>
      <c r="BJ2296">
        <v>0.2</v>
      </c>
      <c r="BK2296">
        <v>1</v>
      </c>
      <c r="BL2296" s="4">
        <v>39.42</v>
      </c>
      <c r="BM2296" s="4">
        <v>5.91</v>
      </c>
      <c r="BN2296" s="4">
        <v>45.33</v>
      </c>
      <c r="BO2296" s="4">
        <v>45.33</v>
      </c>
      <c r="BQ2296" t="s">
        <v>147</v>
      </c>
      <c r="BR2296" t="s">
        <v>84</v>
      </c>
      <c r="BS2296" s="3">
        <v>43811</v>
      </c>
      <c r="BT2296" s="5">
        <v>0.34583333333333338</v>
      </c>
      <c r="BU2296" t="s">
        <v>1644</v>
      </c>
      <c r="BV2296" t="s">
        <v>86</v>
      </c>
      <c r="BY2296">
        <v>1200</v>
      </c>
      <c r="CA2296" t="s">
        <v>250</v>
      </c>
      <c r="CC2296" t="s">
        <v>170</v>
      </c>
      <c r="CD2296">
        <v>1459</v>
      </c>
      <c r="CE2296" t="s">
        <v>88</v>
      </c>
      <c r="CF2296" s="3">
        <v>43816</v>
      </c>
      <c r="CI2296">
        <v>1</v>
      </c>
      <c r="CJ2296">
        <v>1</v>
      </c>
      <c r="CK2296">
        <v>22</v>
      </c>
      <c r="CL2296" t="s">
        <v>89</v>
      </c>
    </row>
    <row r="2297" spans="1:90">
      <c r="A2297" t="s">
        <v>72</v>
      </c>
      <c r="B2297" t="s">
        <v>73</v>
      </c>
      <c r="C2297" t="s">
        <v>74</v>
      </c>
      <c r="E2297" t="str">
        <f>"FES1162727825"</f>
        <v>FES1162727825</v>
      </c>
      <c r="F2297" s="3">
        <v>43810</v>
      </c>
      <c r="G2297">
        <v>202006</v>
      </c>
      <c r="H2297" t="s">
        <v>75</v>
      </c>
      <c r="I2297" t="s">
        <v>76</v>
      </c>
      <c r="J2297" t="s">
        <v>77</v>
      </c>
      <c r="K2297" t="s">
        <v>78</v>
      </c>
      <c r="L2297" t="s">
        <v>90</v>
      </c>
      <c r="M2297" t="s">
        <v>91</v>
      </c>
      <c r="N2297" t="s">
        <v>548</v>
      </c>
      <c r="O2297" t="s">
        <v>82</v>
      </c>
      <c r="P2297" t="str">
        <f>"2170272124                    "</f>
        <v xml:space="preserve">2170272124                    </v>
      </c>
      <c r="Q2297">
        <v>0</v>
      </c>
      <c r="R2297">
        <v>0</v>
      </c>
      <c r="S2297">
        <v>0</v>
      </c>
      <c r="T2297">
        <v>0</v>
      </c>
      <c r="U2297">
        <v>0</v>
      </c>
      <c r="V2297">
        <v>0</v>
      </c>
      <c r="W2297">
        <v>0</v>
      </c>
      <c r="X2297">
        <v>0</v>
      </c>
      <c r="Y2297">
        <v>0</v>
      </c>
      <c r="Z2297">
        <v>0</v>
      </c>
      <c r="AA2297">
        <v>0</v>
      </c>
      <c r="AB2297">
        <v>0</v>
      </c>
      <c r="AC2297">
        <v>0</v>
      </c>
      <c r="AD2297">
        <v>0</v>
      </c>
      <c r="AE2297">
        <v>0</v>
      </c>
      <c r="AF2297">
        <v>0</v>
      </c>
      <c r="AG2297">
        <v>0</v>
      </c>
      <c r="AH2297">
        <v>0</v>
      </c>
      <c r="AI2297">
        <v>0</v>
      </c>
      <c r="AJ2297">
        <v>0</v>
      </c>
      <c r="AK2297">
        <v>0</v>
      </c>
      <c r="AL2297">
        <v>0</v>
      </c>
      <c r="AM2297">
        <v>8.58</v>
      </c>
      <c r="AN2297">
        <v>0</v>
      </c>
      <c r="AO2297">
        <v>0</v>
      </c>
      <c r="AP2297">
        <v>0</v>
      </c>
      <c r="AQ2297">
        <v>0</v>
      </c>
      <c r="AR2297">
        <v>0</v>
      </c>
      <c r="AS2297">
        <v>0</v>
      </c>
      <c r="AT2297">
        <v>0</v>
      </c>
      <c r="AU2297">
        <v>0</v>
      </c>
      <c r="AV2297">
        <v>0</v>
      </c>
      <c r="AW2297">
        <v>0</v>
      </c>
      <c r="AX2297">
        <v>0</v>
      </c>
      <c r="AY2297">
        <v>0</v>
      </c>
      <c r="AZ2297">
        <v>0</v>
      </c>
      <c r="BA2297">
        <v>0</v>
      </c>
      <c r="BB2297">
        <v>0</v>
      </c>
      <c r="BC2297">
        <v>0</v>
      </c>
      <c r="BD2297">
        <v>0</v>
      </c>
      <c r="BE2297">
        <v>0</v>
      </c>
      <c r="BF2297">
        <v>0</v>
      </c>
      <c r="BG2297">
        <v>0</v>
      </c>
      <c r="BH2297">
        <v>1</v>
      </c>
      <c r="BI2297">
        <v>1</v>
      </c>
      <c r="BJ2297">
        <v>0.2</v>
      </c>
      <c r="BK2297">
        <v>1</v>
      </c>
      <c r="BL2297" s="4">
        <v>50.45</v>
      </c>
      <c r="BM2297" s="4">
        <v>7.57</v>
      </c>
      <c r="BN2297" s="4">
        <v>58.02</v>
      </c>
      <c r="BO2297" s="4">
        <v>58.02</v>
      </c>
      <c r="BQ2297" t="s">
        <v>147</v>
      </c>
      <c r="BR2297" t="s">
        <v>84</v>
      </c>
      <c r="BS2297" s="3">
        <v>43811</v>
      </c>
      <c r="BT2297" s="5">
        <v>0.31944444444444448</v>
      </c>
      <c r="BU2297" t="s">
        <v>1829</v>
      </c>
      <c r="BV2297" t="s">
        <v>86</v>
      </c>
      <c r="BY2297">
        <v>1200</v>
      </c>
      <c r="CA2297" t="s">
        <v>550</v>
      </c>
      <c r="CC2297" t="s">
        <v>91</v>
      </c>
      <c r="CD2297">
        <v>7530</v>
      </c>
      <c r="CE2297" t="s">
        <v>88</v>
      </c>
      <c r="CF2297" s="3">
        <v>43812</v>
      </c>
      <c r="CI2297">
        <v>1</v>
      </c>
      <c r="CJ2297">
        <v>1</v>
      </c>
      <c r="CK2297">
        <v>21</v>
      </c>
      <c r="CL2297" t="s">
        <v>89</v>
      </c>
    </row>
    <row r="2298" spans="1:90">
      <c r="A2298" t="s">
        <v>72</v>
      </c>
      <c r="B2298" t="s">
        <v>73</v>
      </c>
      <c r="C2298" t="s">
        <v>74</v>
      </c>
      <c r="E2298" t="str">
        <f>"FES1162727826"</f>
        <v>FES1162727826</v>
      </c>
      <c r="F2298" s="3">
        <v>43810</v>
      </c>
      <c r="G2298">
        <v>202006</v>
      </c>
      <c r="H2298" t="s">
        <v>75</v>
      </c>
      <c r="I2298" t="s">
        <v>76</v>
      </c>
      <c r="J2298" t="s">
        <v>77</v>
      </c>
      <c r="K2298" t="s">
        <v>78</v>
      </c>
      <c r="L2298" t="s">
        <v>90</v>
      </c>
      <c r="M2298" t="s">
        <v>91</v>
      </c>
      <c r="N2298" t="s">
        <v>548</v>
      </c>
      <c r="O2298" t="s">
        <v>82</v>
      </c>
      <c r="P2298" t="str">
        <f>"2170712175                    "</f>
        <v xml:space="preserve">2170712175                    </v>
      </c>
      <c r="Q2298">
        <v>0</v>
      </c>
      <c r="R2298">
        <v>0</v>
      </c>
      <c r="S2298">
        <v>0</v>
      </c>
      <c r="T2298">
        <v>0</v>
      </c>
      <c r="U2298">
        <v>0</v>
      </c>
      <c r="V2298">
        <v>0</v>
      </c>
      <c r="W2298">
        <v>0</v>
      </c>
      <c r="X2298">
        <v>0</v>
      </c>
      <c r="Y2298">
        <v>0</v>
      </c>
      <c r="Z2298">
        <v>0</v>
      </c>
      <c r="AA2298">
        <v>0</v>
      </c>
      <c r="AB2298">
        <v>0</v>
      </c>
      <c r="AC2298">
        <v>0</v>
      </c>
      <c r="AD2298">
        <v>0</v>
      </c>
      <c r="AE2298">
        <v>0</v>
      </c>
      <c r="AF2298">
        <v>0</v>
      </c>
      <c r="AG2298">
        <v>0</v>
      </c>
      <c r="AH2298">
        <v>0</v>
      </c>
      <c r="AI2298">
        <v>0</v>
      </c>
      <c r="AJ2298">
        <v>0</v>
      </c>
      <c r="AK2298">
        <v>0</v>
      </c>
      <c r="AL2298">
        <v>0</v>
      </c>
      <c r="AM2298">
        <v>8.58</v>
      </c>
      <c r="AN2298">
        <v>0</v>
      </c>
      <c r="AO2298">
        <v>0</v>
      </c>
      <c r="AP2298">
        <v>0</v>
      </c>
      <c r="AQ2298">
        <v>0</v>
      </c>
      <c r="AR2298">
        <v>0</v>
      </c>
      <c r="AS2298">
        <v>0</v>
      </c>
      <c r="AT2298">
        <v>0</v>
      </c>
      <c r="AU2298">
        <v>0</v>
      </c>
      <c r="AV2298">
        <v>0</v>
      </c>
      <c r="AW2298">
        <v>0</v>
      </c>
      <c r="AX2298">
        <v>0</v>
      </c>
      <c r="AY2298">
        <v>0</v>
      </c>
      <c r="AZ2298">
        <v>0</v>
      </c>
      <c r="BA2298">
        <v>0</v>
      </c>
      <c r="BB2298">
        <v>0</v>
      </c>
      <c r="BC2298">
        <v>0</v>
      </c>
      <c r="BD2298">
        <v>0</v>
      </c>
      <c r="BE2298">
        <v>0</v>
      </c>
      <c r="BF2298">
        <v>0</v>
      </c>
      <c r="BG2298">
        <v>0</v>
      </c>
      <c r="BH2298">
        <v>1</v>
      </c>
      <c r="BI2298">
        <v>1</v>
      </c>
      <c r="BJ2298">
        <v>0.2</v>
      </c>
      <c r="BK2298">
        <v>1</v>
      </c>
      <c r="BL2298" s="4">
        <v>50.45</v>
      </c>
      <c r="BM2298" s="4">
        <v>7.57</v>
      </c>
      <c r="BN2298" s="4">
        <v>58.02</v>
      </c>
      <c r="BO2298" s="4">
        <v>58.02</v>
      </c>
      <c r="BQ2298" t="s">
        <v>147</v>
      </c>
      <c r="BR2298" t="s">
        <v>84</v>
      </c>
      <c r="BS2298" s="3">
        <v>43811</v>
      </c>
      <c r="BT2298" s="5">
        <v>0.31944444444444448</v>
      </c>
      <c r="BU2298" t="s">
        <v>1829</v>
      </c>
      <c r="BV2298" t="s">
        <v>86</v>
      </c>
      <c r="BY2298">
        <v>1200</v>
      </c>
      <c r="CA2298" t="s">
        <v>550</v>
      </c>
      <c r="CC2298" t="s">
        <v>91</v>
      </c>
      <c r="CD2298">
        <v>7530</v>
      </c>
      <c r="CE2298" t="s">
        <v>88</v>
      </c>
      <c r="CF2298" s="3">
        <v>43812</v>
      </c>
      <c r="CI2298">
        <v>1</v>
      </c>
      <c r="CJ2298">
        <v>1</v>
      </c>
      <c r="CK2298">
        <v>21</v>
      </c>
      <c r="CL2298" t="s">
        <v>89</v>
      </c>
    </row>
    <row r="2299" spans="1:90">
      <c r="A2299" t="s">
        <v>72</v>
      </c>
      <c r="B2299" t="s">
        <v>73</v>
      </c>
      <c r="C2299" t="s">
        <v>74</v>
      </c>
      <c r="E2299" t="str">
        <f>"FES1162727733"</f>
        <v>FES1162727733</v>
      </c>
      <c r="F2299" s="3">
        <v>43810</v>
      </c>
      <c r="G2299">
        <v>202006</v>
      </c>
      <c r="H2299" t="s">
        <v>75</v>
      </c>
      <c r="I2299" t="s">
        <v>76</v>
      </c>
      <c r="J2299" t="s">
        <v>77</v>
      </c>
      <c r="K2299" t="s">
        <v>78</v>
      </c>
      <c r="L2299" t="s">
        <v>90</v>
      </c>
      <c r="M2299" t="s">
        <v>91</v>
      </c>
      <c r="N2299" t="s">
        <v>110</v>
      </c>
      <c r="O2299" t="s">
        <v>82</v>
      </c>
      <c r="P2299" t="str">
        <f>"2170712018                    "</f>
        <v xml:space="preserve">2170712018                    </v>
      </c>
      <c r="Q2299">
        <v>0</v>
      </c>
      <c r="R2299">
        <v>0</v>
      </c>
      <c r="S2299">
        <v>0</v>
      </c>
      <c r="T2299">
        <v>0</v>
      </c>
      <c r="U2299">
        <v>0</v>
      </c>
      <c r="V2299">
        <v>0</v>
      </c>
      <c r="W2299">
        <v>0</v>
      </c>
      <c r="X2299">
        <v>0</v>
      </c>
      <c r="Y2299">
        <v>0</v>
      </c>
      <c r="Z2299">
        <v>0</v>
      </c>
      <c r="AA2299">
        <v>0</v>
      </c>
      <c r="AB2299">
        <v>0</v>
      </c>
      <c r="AC2299">
        <v>0</v>
      </c>
      <c r="AD2299">
        <v>0</v>
      </c>
      <c r="AE2299">
        <v>0</v>
      </c>
      <c r="AF2299">
        <v>0</v>
      </c>
      <c r="AG2299">
        <v>0</v>
      </c>
      <c r="AH2299">
        <v>0</v>
      </c>
      <c r="AI2299">
        <v>0</v>
      </c>
      <c r="AJ2299">
        <v>0</v>
      </c>
      <c r="AK2299">
        <v>0</v>
      </c>
      <c r="AL2299">
        <v>0</v>
      </c>
      <c r="AM2299">
        <v>8.58</v>
      </c>
      <c r="AN2299">
        <v>0</v>
      </c>
      <c r="AO2299">
        <v>0</v>
      </c>
      <c r="AP2299">
        <v>0</v>
      </c>
      <c r="AQ2299">
        <v>0</v>
      </c>
      <c r="AR2299">
        <v>0</v>
      </c>
      <c r="AS2299">
        <v>0</v>
      </c>
      <c r="AT2299">
        <v>0</v>
      </c>
      <c r="AU2299">
        <v>0</v>
      </c>
      <c r="AV2299">
        <v>0</v>
      </c>
      <c r="AW2299">
        <v>0</v>
      </c>
      <c r="AX2299">
        <v>0</v>
      </c>
      <c r="AY2299">
        <v>0</v>
      </c>
      <c r="AZ2299">
        <v>0</v>
      </c>
      <c r="BA2299">
        <v>0</v>
      </c>
      <c r="BB2299">
        <v>0</v>
      </c>
      <c r="BC2299">
        <v>0</v>
      </c>
      <c r="BD2299">
        <v>0</v>
      </c>
      <c r="BE2299">
        <v>0</v>
      </c>
      <c r="BF2299">
        <v>0</v>
      </c>
      <c r="BG2299">
        <v>0</v>
      </c>
      <c r="BH2299">
        <v>1</v>
      </c>
      <c r="BI2299">
        <v>1</v>
      </c>
      <c r="BJ2299">
        <v>0.2</v>
      </c>
      <c r="BK2299">
        <v>1</v>
      </c>
      <c r="BL2299" s="4">
        <v>50.45</v>
      </c>
      <c r="BM2299" s="4">
        <v>7.57</v>
      </c>
      <c r="BN2299" s="4">
        <v>58.02</v>
      </c>
      <c r="BO2299" s="4">
        <v>58.02</v>
      </c>
      <c r="BQ2299" t="s">
        <v>147</v>
      </c>
      <c r="BR2299" t="s">
        <v>84</v>
      </c>
      <c r="BS2299" s="3">
        <v>43811</v>
      </c>
      <c r="BT2299" s="5">
        <v>0.33402777777777781</v>
      </c>
      <c r="BU2299" t="s">
        <v>730</v>
      </c>
      <c r="BV2299" t="s">
        <v>86</v>
      </c>
      <c r="BY2299">
        <v>1200</v>
      </c>
      <c r="CA2299" t="s">
        <v>112</v>
      </c>
      <c r="CC2299" t="s">
        <v>91</v>
      </c>
      <c r="CD2299">
        <v>7405</v>
      </c>
      <c r="CE2299" t="s">
        <v>88</v>
      </c>
      <c r="CF2299" s="3">
        <v>43812</v>
      </c>
      <c r="CI2299">
        <v>1</v>
      </c>
      <c r="CJ2299">
        <v>1</v>
      </c>
      <c r="CK2299">
        <v>21</v>
      </c>
      <c r="CL2299" t="s">
        <v>89</v>
      </c>
    </row>
    <row r="2300" spans="1:90">
      <c r="A2300" t="s">
        <v>72</v>
      </c>
      <c r="B2300" t="s">
        <v>73</v>
      </c>
      <c r="C2300" t="s">
        <v>74</v>
      </c>
      <c r="E2300" t="str">
        <f>"FES1162727717"</f>
        <v>FES1162727717</v>
      </c>
      <c r="F2300" s="3">
        <v>43810</v>
      </c>
      <c r="G2300">
        <v>202006</v>
      </c>
      <c r="H2300" t="s">
        <v>75</v>
      </c>
      <c r="I2300" t="s">
        <v>76</v>
      </c>
      <c r="J2300" t="s">
        <v>77</v>
      </c>
      <c r="K2300" t="s">
        <v>78</v>
      </c>
      <c r="L2300" t="s">
        <v>151</v>
      </c>
      <c r="M2300" t="s">
        <v>102</v>
      </c>
      <c r="N2300" t="s">
        <v>103</v>
      </c>
      <c r="O2300" t="s">
        <v>82</v>
      </c>
      <c r="P2300" t="str">
        <f>"2170716743                    "</f>
        <v xml:space="preserve">2170716743                    </v>
      </c>
      <c r="Q2300">
        <v>0</v>
      </c>
      <c r="R2300">
        <v>0</v>
      </c>
      <c r="S2300">
        <v>0</v>
      </c>
      <c r="T2300">
        <v>0</v>
      </c>
      <c r="U2300">
        <v>0</v>
      </c>
      <c r="V2300">
        <v>0</v>
      </c>
      <c r="W2300">
        <v>0</v>
      </c>
      <c r="X2300">
        <v>0</v>
      </c>
      <c r="Y2300">
        <v>0</v>
      </c>
      <c r="Z2300">
        <v>0</v>
      </c>
      <c r="AA2300">
        <v>0</v>
      </c>
      <c r="AB2300">
        <v>0</v>
      </c>
      <c r="AC2300">
        <v>0</v>
      </c>
      <c r="AD2300">
        <v>0</v>
      </c>
      <c r="AE2300">
        <v>0</v>
      </c>
      <c r="AF2300">
        <v>0</v>
      </c>
      <c r="AG2300">
        <v>0</v>
      </c>
      <c r="AH2300">
        <v>0</v>
      </c>
      <c r="AI2300">
        <v>0</v>
      </c>
      <c r="AJ2300">
        <v>0</v>
      </c>
      <c r="AK2300">
        <v>0</v>
      </c>
      <c r="AL2300">
        <v>0</v>
      </c>
      <c r="AM2300">
        <v>8.58</v>
      </c>
      <c r="AN2300">
        <v>0</v>
      </c>
      <c r="AO2300">
        <v>0</v>
      </c>
      <c r="AP2300">
        <v>0</v>
      </c>
      <c r="AQ2300">
        <v>0</v>
      </c>
      <c r="AR2300">
        <v>0</v>
      </c>
      <c r="AS2300">
        <v>0</v>
      </c>
      <c r="AT2300">
        <v>0</v>
      </c>
      <c r="AU2300">
        <v>0</v>
      </c>
      <c r="AV2300">
        <v>0</v>
      </c>
      <c r="AW2300">
        <v>0</v>
      </c>
      <c r="AX2300">
        <v>0</v>
      </c>
      <c r="AY2300">
        <v>0</v>
      </c>
      <c r="AZ2300">
        <v>0</v>
      </c>
      <c r="BA2300">
        <v>0</v>
      </c>
      <c r="BB2300">
        <v>0</v>
      </c>
      <c r="BC2300">
        <v>0</v>
      </c>
      <c r="BD2300">
        <v>0</v>
      </c>
      <c r="BE2300">
        <v>0</v>
      </c>
      <c r="BF2300">
        <v>0</v>
      </c>
      <c r="BG2300">
        <v>0</v>
      </c>
      <c r="BH2300">
        <v>1</v>
      </c>
      <c r="BI2300">
        <v>0.8</v>
      </c>
      <c r="BJ2300">
        <v>1.6</v>
      </c>
      <c r="BK2300">
        <v>2</v>
      </c>
      <c r="BL2300" s="4">
        <v>50.45</v>
      </c>
      <c r="BM2300" s="4">
        <v>7.57</v>
      </c>
      <c r="BN2300" s="4">
        <v>58.02</v>
      </c>
      <c r="BO2300" s="4">
        <v>58.02</v>
      </c>
      <c r="BQ2300" t="s">
        <v>93</v>
      </c>
      <c r="BR2300" t="s">
        <v>84</v>
      </c>
      <c r="BS2300" s="3">
        <v>43817</v>
      </c>
      <c r="BT2300" s="5">
        <v>0.52083333333333337</v>
      </c>
      <c r="BU2300" t="s">
        <v>2507</v>
      </c>
      <c r="BV2300" t="s">
        <v>89</v>
      </c>
      <c r="BW2300" t="s">
        <v>618</v>
      </c>
      <c r="BX2300" t="s">
        <v>2377</v>
      </c>
      <c r="BY2300">
        <v>7974.61</v>
      </c>
      <c r="CA2300" t="s">
        <v>620</v>
      </c>
      <c r="CC2300" t="s">
        <v>102</v>
      </c>
      <c r="CD2300">
        <v>1</v>
      </c>
      <c r="CE2300" t="s">
        <v>96</v>
      </c>
      <c r="CF2300" s="3">
        <v>43818</v>
      </c>
      <c r="CI2300">
        <v>1</v>
      </c>
      <c r="CJ2300">
        <v>5</v>
      </c>
      <c r="CK2300">
        <v>21</v>
      </c>
      <c r="CL2300" t="s">
        <v>89</v>
      </c>
    </row>
    <row r="2301" spans="1:90">
      <c r="A2301" t="s">
        <v>72</v>
      </c>
      <c r="B2301" t="s">
        <v>73</v>
      </c>
      <c r="C2301" t="s">
        <v>74</v>
      </c>
      <c r="E2301" t="str">
        <f>"FES1162727735"</f>
        <v>FES1162727735</v>
      </c>
      <c r="F2301" s="3">
        <v>43810</v>
      </c>
      <c r="G2301">
        <v>202006</v>
      </c>
      <c r="H2301" t="s">
        <v>75</v>
      </c>
      <c r="I2301" t="s">
        <v>76</v>
      </c>
      <c r="J2301" t="s">
        <v>77</v>
      </c>
      <c r="K2301" t="s">
        <v>78</v>
      </c>
      <c r="L2301" t="s">
        <v>90</v>
      </c>
      <c r="M2301" t="s">
        <v>91</v>
      </c>
      <c r="N2301" t="s">
        <v>110</v>
      </c>
      <c r="O2301" t="s">
        <v>82</v>
      </c>
      <c r="P2301" t="str">
        <f>"2170712121                    "</f>
        <v xml:space="preserve">2170712121                    </v>
      </c>
      <c r="Q2301">
        <v>0</v>
      </c>
      <c r="R2301">
        <v>0</v>
      </c>
      <c r="S2301">
        <v>0</v>
      </c>
      <c r="T2301">
        <v>0</v>
      </c>
      <c r="U2301">
        <v>0</v>
      </c>
      <c r="V2301">
        <v>0</v>
      </c>
      <c r="W2301">
        <v>0</v>
      </c>
      <c r="X2301">
        <v>0</v>
      </c>
      <c r="Y2301">
        <v>0</v>
      </c>
      <c r="Z2301">
        <v>0</v>
      </c>
      <c r="AA2301">
        <v>0</v>
      </c>
      <c r="AB2301">
        <v>0</v>
      </c>
      <c r="AC2301">
        <v>0</v>
      </c>
      <c r="AD2301">
        <v>0</v>
      </c>
      <c r="AE2301">
        <v>0</v>
      </c>
      <c r="AF2301">
        <v>0</v>
      </c>
      <c r="AG2301">
        <v>0</v>
      </c>
      <c r="AH2301">
        <v>0</v>
      </c>
      <c r="AI2301">
        <v>0</v>
      </c>
      <c r="AJ2301">
        <v>0</v>
      </c>
      <c r="AK2301">
        <v>0</v>
      </c>
      <c r="AL2301">
        <v>0</v>
      </c>
      <c r="AM2301">
        <v>40.75</v>
      </c>
      <c r="AN2301">
        <v>0</v>
      </c>
      <c r="AO2301">
        <v>0</v>
      </c>
      <c r="AP2301">
        <v>0</v>
      </c>
      <c r="AQ2301">
        <v>0</v>
      </c>
      <c r="AR2301">
        <v>0</v>
      </c>
      <c r="AS2301">
        <v>0</v>
      </c>
      <c r="AT2301">
        <v>0</v>
      </c>
      <c r="AU2301">
        <v>0</v>
      </c>
      <c r="AV2301">
        <v>0</v>
      </c>
      <c r="AW2301">
        <v>0</v>
      </c>
      <c r="AX2301">
        <v>0</v>
      </c>
      <c r="AY2301">
        <v>0</v>
      </c>
      <c r="AZ2301">
        <v>0</v>
      </c>
      <c r="BA2301">
        <v>0</v>
      </c>
      <c r="BB2301">
        <v>0</v>
      </c>
      <c r="BC2301">
        <v>0</v>
      </c>
      <c r="BD2301">
        <v>0</v>
      </c>
      <c r="BE2301">
        <v>0</v>
      </c>
      <c r="BF2301">
        <v>0</v>
      </c>
      <c r="BG2301">
        <v>0</v>
      </c>
      <c r="BH2301">
        <v>1</v>
      </c>
      <c r="BI2301">
        <v>5.9</v>
      </c>
      <c r="BJ2301">
        <v>9.3000000000000007</v>
      </c>
      <c r="BK2301">
        <v>9.5</v>
      </c>
      <c r="BL2301" s="4">
        <v>239.52</v>
      </c>
      <c r="BM2301" s="4">
        <v>35.93</v>
      </c>
      <c r="BN2301" s="4">
        <v>275.45</v>
      </c>
      <c r="BO2301" s="4">
        <v>275.45</v>
      </c>
      <c r="BQ2301" t="s">
        <v>147</v>
      </c>
      <c r="BR2301" t="s">
        <v>84</v>
      </c>
      <c r="BS2301" s="3">
        <v>43811</v>
      </c>
      <c r="BT2301" s="5">
        <v>0.33333333333333331</v>
      </c>
      <c r="BU2301" t="s">
        <v>730</v>
      </c>
      <c r="BV2301" t="s">
        <v>86</v>
      </c>
      <c r="BY2301">
        <v>46660.01</v>
      </c>
      <c r="CA2301" t="s">
        <v>112</v>
      </c>
      <c r="CC2301" t="s">
        <v>91</v>
      </c>
      <c r="CD2301">
        <v>7405</v>
      </c>
      <c r="CE2301" t="s">
        <v>96</v>
      </c>
      <c r="CF2301" s="3">
        <v>43812</v>
      </c>
      <c r="CI2301">
        <v>1</v>
      </c>
      <c r="CJ2301">
        <v>1</v>
      </c>
      <c r="CK2301">
        <v>21</v>
      </c>
      <c r="CL2301" t="s">
        <v>89</v>
      </c>
    </row>
    <row r="2302" spans="1:90">
      <c r="A2302" t="s">
        <v>72</v>
      </c>
      <c r="B2302" t="s">
        <v>73</v>
      </c>
      <c r="C2302" t="s">
        <v>74</v>
      </c>
      <c r="E2302" t="str">
        <f>"FES1162727769"</f>
        <v>FES1162727769</v>
      </c>
      <c r="F2302" s="3">
        <v>43810</v>
      </c>
      <c r="G2302">
        <v>202006</v>
      </c>
      <c r="H2302" t="s">
        <v>75</v>
      </c>
      <c r="I2302" t="s">
        <v>76</v>
      </c>
      <c r="J2302" t="s">
        <v>77</v>
      </c>
      <c r="K2302" t="s">
        <v>78</v>
      </c>
      <c r="L2302" t="s">
        <v>577</v>
      </c>
      <c r="M2302" t="s">
        <v>578</v>
      </c>
      <c r="N2302" t="s">
        <v>579</v>
      </c>
      <c r="O2302" t="s">
        <v>82</v>
      </c>
      <c r="P2302" t="str">
        <f>"21707121256                   "</f>
        <v xml:space="preserve">21707121256                   </v>
      </c>
      <c r="Q2302">
        <v>0</v>
      </c>
      <c r="R2302">
        <v>0</v>
      </c>
      <c r="S2302">
        <v>0</v>
      </c>
      <c r="T2302">
        <v>0</v>
      </c>
      <c r="U2302">
        <v>0</v>
      </c>
      <c r="V2302">
        <v>0</v>
      </c>
      <c r="W2302">
        <v>0</v>
      </c>
      <c r="X2302">
        <v>0</v>
      </c>
      <c r="Y2302">
        <v>0</v>
      </c>
      <c r="Z2302">
        <v>0</v>
      </c>
      <c r="AA2302">
        <v>0</v>
      </c>
      <c r="AB2302">
        <v>0</v>
      </c>
      <c r="AC2302">
        <v>0</v>
      </c>
      <c r="AD2302">
        <v>0</v>
      </c>
      <c r="AE2302">
        <v>0</v>
      </c>
      <c r="AF2302">
        <v>0</v>
      </c>
      <c r="AG2302">
        <v>0</v>
      </c>
      <c r="AH2302">
        <v>0</v>
      </c>
      <c r="AI2302">
        <v>0</v>
      </c>
      <c r="AJ2302">
        <v>0</v>
      </c>
      <c r="AK2302">
        <v>0</v>
      </c>
      <c r="AL2302">
        <v>0</v>
      </c>
      <c r="AM2302">
        <v>72.91</v>
      </c>
      <c r="AN2302">
        <v>0</v>
      </c>
      <c r="AO2302">
        <v>0</v>
      </c>
      <c r="AP2302">
        <v>0</v>
      </c>
      <c r="AQ2302">
        <v>0</v>
      </c>
      <c r="AR2302">
        <v>0</v>
      </c>
      <c r="AS2302">
        <v>0</v>
      </c>
      <c r="AT2302">
        <v>0</v>
      </c>
      <c r="AU2302">
        <v>0</v>
      </c>
      <c r="AV2302">
        <v>0</v>
      </c>
      <c r="AW2302">
        <v>0</v>
      </c>
      <c r="AX2302">
        <v>0</v>
      </c>
      <c r="AY2302">
        <v>0</v>
      </c>
      <c r="AZ2302">
        <v>0</v>
      </c>
      <c r="BA2302">
        <v>0</v>
      </c>
      <c r="BB2302">
        <v>0</v>
      </c>
      <c r="BC2302">
        <v>0</v>
      </c>
      <c r="BD2302">
        <v>0</v>
      </c>
      <c r="BE2302">
        <v>0</v>
      </c>
      <c r="BF2302">
        <v>0</v>
      </c>
      <c r="BG2302">
        <v>0</v>
      </c>
      <c r="BH2302">
        <v>1</v>
      </c>
      <c r="BI2302">
        <v>6.3</v>
      </c>
      <c r="BJ2302">
        <v>16.8</v>
      </c>
      <c r="BK2302">
        <v>17</v>
      </c>
      <c r="BL2302" s="4">
        <v>428.58</v>
      </c>
      <c r="BM2302" s="4">
        <v>64.290000000000006</v>
      </c>
      <c r="BN2302" s="4">
        <v>492.87</v>
      </c>
      <c r="BO2302" s="4">
        <v>492.87</v>
      </c>
      <c r="BQ2302" t="s">
        <v>147</v>
      </c>
      <c r="BR2302" t="s">
        <v>84</v>
      </c>
      <c r="BS2302" s="3">
        <v>43811</v>
      </c>
      <c r="BT2302" s="5">
        <v>0.42430555555555555</v>
      </c>
      <c r="BU2302" t="s">
        <v>580</v>
      </c>
      <c r="BV2302" t="s">
        <v>86</v>
      </c>
      <c r="BY2302">
        <v>84052.11</v>
      </c>
      <c r="CC2302" t="s">
        <v>578</v>
      </c>
      <c r="CD2302">
        <v>6536</v>
      </c>
      <c r="CE2302" t="s">
        <v>96</v>
      </c>
      <c r="CF2302" s="3">
        <v>43812</v>
      </c>
      <c r="CI2302">
        <v>1</v>
      </c>
      <c r="CJ2302">
        <v>1</v>
      </c>
      <c r="CK2302">
        <v>21</v>
      </c>
      <c r="CL2302" t="s">
        <v>89</v>
      </c>
    </row>
    <row r="2303" spans="1:90">
      <c r="A2303" t="s">
        <v>72</v>
      </c>
      <c r="B2303" t="s">
        <v>73</v>
      </c>
      <c r="C2303" t="s">
        <v>74</v>
      </c>
      <c r="E2303" t="str">
        <f>"FES1162727746"</f>
        <v>FES1162727746</v>
      </c>
      <c r="F2303" s="3">
        <v>43810</v>
      </c>
      <c r="G2303">
        <v>202006</v>
      </c>
      <c r="H2303" t="s">
        <v>75</v>
      </c>
      <c r="I2303" t="s">
        <v>76</v>
      </c>
      <c r="J2303" t="s">
        <v>77</v>
      </c>
      <c r="K2303" t="s">
        <v>78</v>
      </c>
      <c r="L2303" t="s">
        <v>350</v>
      </c>
      <c r="M2303" t="s">
        <v>351</v>
      </c>
      <c r="N2303" t="s">
        <v>727</v>
      </c>
      <c r="O2303" t="s">
        <v>82</v>
      </c>
      <c r="P2303" t="str">
        <f>"217071228                     "</f>
        <v xml:space="preserve">217071228                     </v>
      </c>
      <c r="Q2303">
        <v>0</v>
      </c>
      <c r="R2303">
        <v>0</v>
      </c>
      <c r="S2303">
        <v>0</v>
      </c>
      <c r="T2303">
        <v>0</v>
      </c>
      <c r="U2303">
        <v>0</v>
      </c>
      <c r="V2303">
        <v>0</v>
      </c>
      <c r="W2303">
        <v>0</v>
      </c>
      <c r="X2303">
        <v>0</v>
      </c>
      <c r="Y2303">
        <v>0</v>
      </c>
      <c r="Z2303">
        <v>0</v>
      </c>
      <c r="AA2303">
        <v>0</v>
      </c>
      <c r="AB2303">
        <v>0</v>
      </c>
      <c r="AC2303">
        <v>0</v>
      </c>
      <c r="AD2303">
        <v>0</v>
      </c>
      <c r="AE2303">
        <v>0</v>
      </c>
      <c r="AF2303">
        <v>0</v>
      </c>
      <c r="AG2303">
        <v>0</v>
      </c>
      <c r="AH2303">
        <v>0</v>
      </c>
      <c r="AI2303">
        <v>0</v>
      </c>
      <c r="AJ2303">
        <v>0</v>
      </c>
      <c r="AK2303">
        <v>0</v>
      </c>
      <c r="AL2303">
        <v>0</v>
      </c>
      <c r="AM2303">
        <v>12.33</v>
      </c>
      <c r="AN2303">
        <v>0</v>
      </c>
      <c r="AO2303">
        <v>0</v>
      </c>
      <c r="AP2303">
        <v>0</v>
      </c>
      <c r="AQ2303">
        <v>0</v>
      </c>
      <c r="AR2303">
        <v>0</v>
      </c>
      <c r="AS2303">
        <v>0</v>
      </c>
      <c r="AT2303">
        <v>0</v>
      </c>
      <c r="AU2303">
        <v>0</v>
      </c>
      <c r="AV2303">
        <v>0</v>
      </c>
      <c r="AW2303">
        <v>0</v>
      </c>
      <c r="AX2303">
        <v>0</v>
      </c>
      <c r="AY2303">
        <v>0</v>
      </c>
      <c r="AZ2303">
        <v>0</v>
      </c>
      <c r="BA2303">
        <v>0</v>
      </c>
      <c r="BB2303">
        <v>0</v>
      </c>
      <c r="BC2303">
        <v>0</v>
      </c>
      <c r="BD2303">
        <v>0</v>
      </c>
      <c r="BE2303">
        <v>0</v>
      </c>
      <c r="BF2303">
        <v>0</v>
      </c>
      <c r="BG2303">
        <v>0</v>
      </c>
      <c r="BH2303">
        <v>1</v>
      </c>
      <c r="BI2303">
        <v>2.8</v>
      </c>
      <c r="BJ2303">
        <v>5.4</v>
      </c>
      <c r="BK2303">
        <v>5.5</v>
      </c>
      <c r="BL2303" s="4">
        <v>72.48</v>
      </c>
      <c r="BM2303" s="4">
        <v>10.87</v>
      </c>
      <c r="BN2303" s="4">
        <v>83.35</v>
      </c>
      <c r="BO2303" s="4">
        <v>83.35</v>
      </c>
      <c r="BQ2303" t="s">
        <v>147</v>
      </c>
      <c r="BR2303" t="s">
        <v>84</v>
      </c>
      <c r="BS2303" s="3">
        <v>43811</v>
      </c>
      <c r="BT2303" s="5">
        <v>0.2951388888888889</v>
      </c>
      <c r="BU2303" t="s">
        <v>2508</v>
      </c>
      <c r="BV2303" t="s">
        <v>86</v>
      </c>
      <c r="BY2303">
        <v>26845.56</v>
      </c>
      <c r="CA2303" t="s">
        <v>729</v>
      </c>
      <c r="CC2303" t="s">
        <v>351</v>
      </c>
      <c r="CD2303">
        <v>1501</v>
      </c>
      <c r="CE2303" t="s">
        <v>116</v>
      </c>
      <c r="CF2303" s="3">
        <v>43812</v>
      </c>
      <c r="CI2303">
        <v>1</v>
      </c>
      <c r="CJ2303">
        <v>1</v>
      </c>
      <c r="CK2303">
        <v>22</v>
      </c>
      <c r="CL2303" t="s">
        <v>89</v>
      </c>
    </row>
    <row r="2304" spans="1:90">
      <c r="A2304" t="s">
        <v>72</v>
      </c>
      <c r="B2304" t="s">
        <v>73</v>
      </c>
      <c r="C2304" t="s">
        <v>74</v>
      </c>
      <c r="E2304" t="str">
        <f>"FES1162727659"</f>
        <v>FES1162727659</v>
      </c>
      <c r="F2304" s="3">
        <v>43810</v>
      </c>
      <c r="G2304">
        <v>202006</v>
      </c>
      <c r="H2304" t="s">
        <v>75</v>
      </c>
      <c r="I2304" t="s">
        <v>76</v>
      </c>
      <c r="J2304" t="s">
        <v>77</v>
      </c>
      <c r="K2304" t="s">
        <v>78</v>
      </c>
      <c r="L2304" t="s">
        <v>164</v>
      </c>
      <c r="M2304" t="s">
        <v>165</v>
      </c>
      <c r="N2304" t="s">
        <v>369</v>
      </c>
      <c r="O2304" t="s">
        <v>82</v>
      </c>
      <c r="P2304" t="str">
        <f>"217071165                     "</f>
        <v xml:space="preserve">217071165                     </v>
      </c>
      <c r="Q2304">
        <v>0</v>
      </c>
      <c r="R2304">
        <v>0</v>
      </c>
      <c r="S2304">
        <v>0</v>
      </c>
      <c r="T2304">
        <v>0</v>
      </c>
      <c r="U2304">
        <v>0</v>
      </c>
      <c r="V2304">
        <v>0</v>
      </c>
      <c r="W2304">
        <v>0</v>
      </c>
      <c r="X2304">
        <v>0</v>
      </c>
      <c r="Y2304">
        <v>0</v>
      </c>
      <c r="Z2304">
        <v>0</v>
      </c>
      <c r="AA2304">
        <v>0</v>
      </c>
      <c r="AB2304">
        <v>0</v>
      </c>
      <c r="AC2304">
        <v>0</v>
      </c>
      <c r="AD2304">
        <v>0</v>
      </c>
      <c r="AE2304">
        <v>0</v>
      </c>
      <c r="AF2304">
        <v>0</v>
      </c>
      <c r="AG2304">
        <v>0</v>
      </c>
      <c r="AH2304">
        <v>0</v>
      </c>
      <c r="AI2304">
        <v>0</v>
      </c>
      <c r="AJ2304">
        <v>0</v>
      </c>
      <c r="AK2304">
        <v>0</v>
      </c>
      <c r="AL2304">
        <v>0</v>
      </c>
      <c r="AM2304">
        <v>70.77</v>
      </c>
      <c r="AN2304">
        <v>0</v>
      </c>
      <c r="AO2304">
        <v>0</v>
      </c>
      <c r="AP2304">
        <v>0</v>
      </c>
      <c r="AQ2304">
        <v>0</v>
      </c>
      <c r="AR2304">
        <v>0</v>
      </c>
      <c r="AS2304">
        <v>0</v>
      </c>
      <c r="AT2304">
        <v>0</v>
      </c>
      <c r="AU2304">
        <v>0</v>
      </c>
      <c r="AV2304">
        <v>0</v>
      </c>
      <c r="AW2304">
        <v>0</v>
      </c>
      <c r="AX2304">
        <v>0</v>
      </c>
      <c r="AY2304">
        <v>0</v>
      </c>
      <c r="AZ2304">
        <v>0</v>
      </c>
      <c r="BA2304">
        <v>0</v>
      </c>
      <c r="BB2304">
        <v>0</v>
      </c>
      <c r="BC2304">
        <v>0</v>
      </c>
      <c r="BD2304">
        <v>0</v>
      </c>
      <c r="BE2304">
        <v>0</v>
      </c>
      <c r="BF2304">
        <v>0</v>
      </c>
      <c r="BG2304">
        <v>0</v>
      </c>
      <c r="BH2304">
        <v>1</v>
      </c>
      <c r="BI2304">
        <v>3.1</v>
      </c>
      <c r="BJ2304">
        <v>16.100000000000001</v>
      </c>
      <c r="BK2304">
        <v>16.5</v>
      </c>
      <c r="BL2304" s="4">
        <v>415.98</v>
      </c>
      <c r="BM2304" s="4">
        <v>62.4</v>
      </c>
      <c r="BN2304" s="4">
        <v>478.38</v>
      </c>
      <c r="BO2304" s="4">
        <v>478.38</v>
      </c>
      <c r="BQ2304" t="s">
        <v>93</v>
      </c>
      <c r="BR2304" t="s">
        <v>84</v>
      </c>
      <c r="BS2304" s="3">
        <v>43811</v>
      </c>
      <c r="BT2304" s="5">
        <v>0.37847222222222227</v>
      </c>
      <c r="BU2304" t="s">
        <v>2504</v>
      </c>
      <c r="BV2304" t="s">
        <v>86</v>
      </c>
      <c r="BY2304">
        <v>80324.28</v>
      </c>
      <c r="CA2304" t="s">
        <v>265</v>
      </c>
      <c r="CC2304" t="s">
        <v>165</v>
      </c>
      <c r="CD2304">
        <v>5201</v>
      </c>
      <c r="CE2304" t="s">
        <v>96</v>
      </c>
      <c r="CF2304" s="3">
        <v>43812</v>
      </c>
      <c r="CI2304">
        <v>1</v>
      </c>
      <c r="CJ2304">
        <v>1</v>
      </c>
      <c r="CK2304">
        <v>21</v>
      </c>
      <c r="CL2304" t="s">
        <v>89</v>
      </c>
    </row>
    <row r="2305" spans="1:90">
      <c r="A2305" t="s">
        <v>72</v>
      </c>
      <c r="B2305" t="s">
        <v>73</v>
      </c>
      <c r="C2305" t="s">
        <v>74</v>
      </c>
      <c r="E2305" t="str">
        <f>"FES1162727704"</f>
        <v>FES1162727704</v>
      </c>
      <c r="F2305" s="3">
        <v>43810</v>
      </c>
      <c r="G2305">
        <v>202006</v>
      </c>
      <c r="H2305" t="s">
        <v>75</v>
      </c>
      <c r="I2305" t="s">
        <v>76</v>
      </c>
      <c r="J2305" t="s">
        <v>77</v>
      </c>
      <c r="K2305" t="s">
        <v>78</v>
      </c>
      <c r="L2305" t="s">
        <v>308</v>
      </c>
      <c r="M2305" t="s">
        <v>308</v>
      </c>
      <c r="N2305" t="s">
        <v>540</v>
      </c>
      <c r="O2305" t="s">
        <v>82</v>
      </c>
      <c r="P2305" t="str">
        <f>"2170717762                    "</f>
        <v xml:space="preserve">2170717762                    </v>
      </c>
      <c r="Q2305">
        <v>0</v>
      </c>
      <c r="R2305">
        <v>0</v>
      </c>
      <c r="S2305">
        <v>0</v>
      </c>
      <c r="T2305">
        <v>0</v>
      </c>
      <c r="U2305">
        <v>0</v>
      </c>
      <c r="V2305">
        <v>0</v>
      </c>
      <c r="W2305">
        <v>0</v>
      </c>
      <c r="X2305">
        <v>0</v>
      </c>
      <c r="Y2305">
        <v>0</v>
      </c>
      <c r="Z2305">
        <v>0</v>
      </c>
      <c r="AA2305">
        <v>0</v>
      </c>
      <c r="AB2305">
        <v>0</v>
      </c>
      <c r="AC2305">
        <v>0</v>
      </c>
      <c r="AD2305">
        <v>0</v>
      </c>
      <c r="AE2305">
        <v>0</v>
      </c>
      <c r="AF2305">
        <v>0</v>
      </c>
      <c r="AG2305">
        <v>0</v>
      </c>
      <c r="AH2305">
        <v>0</v>
      </c>
      <c r="AI2305">
        <v>0</v>
      </c>
      <c r="AJ2305">
        <v>0</v>
      </c>
      <c r="AK2305">
        <v>0</v>
      </c>
      <c r="AL2305">
        <v>0</v>
      </c>
      <c r="AM2305">
        <v>46.67</v>
      </c>
      <c r="AN2305">
        <v>0</v>
      </c>
      <c r="AO2305">
        <v>0</v>
      </c>
      <c r="AP2305">
        <v>0</v>
      </c>
      <c r="AQ2305">
        <v>0</v>
      </c>
      <c r="AR2305">
        <v>0</v>
      </c>
      <c r="AS2305">
        <v>0</v>
      </c>
      <c r="AT2305">
        <v>0</v>
      </c>
      <c r="AU2305">
        <v>0</v>
      </c>
      <c r="AV2305">
        <v>0</v>
      </c>
      <c r="AW2305">
        <v>0</v>
      </c>
      <c r="AX2305">
        <v>0</v>
      </c>
      <c r="AY2305">
        <v>0</v>
      </c>
      <c r="AZ2305">
        <v>0</v>
      </c>
      <c r="BA2305">
        <v>0</v>
      </c>
      <c r="BB2305">
        <v>0</v>
      </c>
      <c r="BC2305">
        <v>0</v>
      </c>
      <c r="BD2305">
        <v>0</v>
      </c>
      <c r="BE2305">
        <v>0</v>
      </c>
      <c r="BF2305">
        <v>0</v>
      </c>
      <c r="BG2305">
        <v>0</v>
      </c>
      <c r="BH2305">
        <v>2</v>
      </c>
      <c r="BI2305">
        <v>5.9</v>
      </c>
      <c r="BJ2305">
        <v>5.4</v>
      </c>
      <c r="BK2305">
        <v>6</v>
      </c>
      <c r="BL2305" s="4">
        <v>274.35000000000002</v>
      </c>
      <c r="BM2305" s="4">
        <v>41.15</v>
      </c>
      <c r="BN2305" s="4">
        <v>315.5</v>
      </c>
      <c r="BO2305" s="4">
        <v>315.5</v>
      </c>
      <c r="BQ2305" t="s">
        <v>147</v>
      </c>
      <c r="BR2305" t="s">
        <v>84</v>
      </c>
      <c r="BS2305" s="3">
        <v>43811</v>
      </c>
      <c r="BT2305" s="5">
        <v>0.48541666666666666</v>
      </c>
      <c r="BU2305" t="s">
        <v>1306</v>
      </c>
      <c r="BV2305" t="s">
        <v>86</v>
      </c>
      <c r="BY2305">
        <v>27231.15</v>
      </c>
      <c r="CA2305" t="s">
        <v>1277</v>
      </c>
      <c r="CC2305" t="s">
        <v>308</v>
      </c>
      <c r="CD2305">
        <v>7646</v>
      </c>
      <c r="CE2305" t="s">
        <v>413</v>
      </c>
      <c r="CF2305" s="3">
        <v>43812</v>
      </c>
      <c r="CI2305">
        <v>1</v>
      </c>
      <c r="CJ2305">
        <v>1</v>
      </c>
      <c r="CK2305">
        <v>23</v>
      </c>
      <c r="CL2305" t="s">
        <v>89</v>
      </c>
    </row>
    <row r="2306" spans="1:90">
      <c r="A2306" t="s">
        <v>72</v>
      </c>
      <c r="B2306" t="s">
        <v>73</v>
      </c>
      <c r="C2306" t="s">
        <v>74</v>
      </c>
      <c r="E2306" t="str">
        <f>"FES1162727712"</f>
        <v>FES1162727712</v>
      </c>
      <c r="F2306" s="3">
        <v>43810</v>
      </c>
      <c r="G2306">
        <v>202006</v>
      </c>
      <c r="H2306" t="s">
        <v>75</v>
      </c>
      <c r="I2306" t="s">
        <v>76</v>
      </c>
      <c r="J2306" t="s">
        <v>77</v>
      </c>
      <c r="K2306" t="s">
        <v>78</v>
      </c>
      <c r="L2306" t="s">
        <v>138</v>
      </c>
      <c r="M2306" t="s">
        <v>139</v>
      </c>
      <c r="N2306" t="s">
        <v>146</v>
      </c>
      <c r="O2306" t="s">
        <v>82</v>
      </c>
      <c r="P2306" t="str">
        <f>"2170712015                    "</f>
        <v xml:space="preserve">2170712015                    </v>
      </c>
      <c r="Q2306">
        <v>0</v>
      </c>
      <c r="R2306">
        <v>0</v>
      </c>
      <c r="S2306">
        <v>0</v>
      </c>
      <c r="T2306">
        <v>0</v>
      </c>
      <c r="U2306">
        <v>0</v>
      </c>
      <c r="V2306">
        <v>0</v>
      </c>
      <c r="W2306">
        <v>0</v>
      </c>
      <c r="X2306">
        <v>0</v>
      </c>
      <c r="Y2306">
        <v>0</v>
      </c>
      <c r="Z2306">
        <v>0</v>
      </c>
      <c r="AA2306">
        <v>0</v>
      </c>
      <c r="AB2306">
        <v>0</v>
      </c>
      <c r="AC2306">
        <v>0</v>
      </c>
      <c r="AD2306">
        <v>0</v>
      </c>
      <c r="AE2306">
        <v>0</v>
      </c>
      <c r="AF2306">
        <v>0</v>
      </c>
      <c r="AG2306">
        <v>0</v>
      </c>
      <c r="AH2306">
        <v>0</v>
      </c>
      <c r="AI2306">
        <v>0</v>
      </c>
      <c r="AJ2306">
        <v>0</v>
      </c>
      <c r="AK2306">
        <v>0</v>
      </c>
      <c r="AL2306">
        <v>0</v>
      </c>
      <c r="AM2306">
        <v>10.72</v>
      </c>
      <c r="AN2306">
        <v>0</v>
      </c>
      <c r="AO2306">
        <v>0</v>
      </c>
      <c r="AP2306">
        <v>0</v>
      </c>
      <c r="AQ2306">
        <v>0</v>
      </c>
      <c r="AR2306">
        <v>0</v>
      </c>
      <c r="AS2306">
        <v>0</v>
      </c>
      <c r="AT2306">
        <v>0</v>
      </c>
      <c r="AU2306">
        <v>0</v>
      </c>
      <c r="AV2306">
        <v>0</v>
      </c>
      <c r="AW2306">
        <v>0</v>
      </c>
      <c r="AX2306">
        <v>0</v>
      </c>
      <c r="AY2306">
        <v>0</v>
      </c>
      <c r="AZ2306">
        <v>0</v>
      </c>
      <c r="BA2306">
        <v>0</v>
      </c>
      <c r="BB2306">
        <v>0</v>
      </c>
      <c r="BC2306">
        <v>0</v>
      </c>
      <c r="BD2306">
        <v>0</v>
      </c>
      <c r="BE2306">
        <v>0</v>
      </c>
      <c r="BF2306">
        <v>0</v>
      </c>
      <c r="BG2306">
        <v>0</v>
      </c>
      <c r="BH2306">
        <v>1</v>
      </c>
      <c r="BI2306">
        <v>4.5</v>
      </c>
      <c r="BJ2306">
        <v>4</v>
      </c>
      <c r="BK2306">
        <v>4.5</v>
      </c>
      <c r="BL2306" s="4">
        <v>63.03</v>
      </c>
      <c r="BM2306" s="4">
        <v>9.4499999999999993</v>
      </c>
      <c r="BN2306" s="4">
        <v>72.48</v>
      </c>
      <c r="BO2306" s="4">
        <v>72.48</v>
      </c>
      <c r="BQ2306" t="s">
        <v>147</v>
      </c>
      <c r="BR2306" t="s">
        <v>84</v>
      </c>
      <c r="BS2306" s="3">
        <v>43811</v>
      </c>
      <c r="BT2306" s="5">
        <v>0.37847222222222227</v>
      </c>
      <c r="BU2306" t="s">
        <v>2469</v>
      </c>
      <c r="BV2306" t="s">
        <v>86</v>
      </c>
      <c r="BY2306">
        <v>20164.32</v>
      </c>
      <c r="CC2306" t="s">
        <v>139</v>
      </c>
      <c r="CD2306">
        <v>1428</v>
      </c>
      <c r="CE2306" t="s">
        <v>116</v>
      </c>
      <c r="CF2306" s="3">
        <v>43812</v>
      </c>
      <c r="CI2306">
        <v>1</v>
      </c>
      <c r="CJ2306">
        <v>1</v>
      </c>
      <c r="CK2306">
        <v>22</v>
      </c>
      <c r="CL2306" t="s">
        <v>89</v>
      </c>
    </row>
    <row r="2307" spans="1:90">
      <c r="A2307" t="s">
        <v>72</v>
      </c>
      <c r="B2307" t="s">
        <v>73</v>
      </c>
      <c r="C2307" t="s">
        <v>74</v>
      </c>
      <c r="E2307" t="str">
        <f>"FES1162727672"</f>
        <v>FES1162727672</v>
      </c>
      <c r="F2307" s="3">
        <v>43810</v>
      </c>
      <c r="G2307">
        <v>202006</v>
      </c>
      <c r="H2307" t="s">
        <v>75</v>
      </c>
      <c r="I2307" t="s">
        <v>76</v>
      </c>
      <c r="J2307" t="s">
        <v>77</v>
      </c>
      <c r="K2307" t="s">
        <v>78</v>
      </c>
      <c r="L2307" t="s">
        <v>79</v>
      </c>
      <c r="M2307" t="s">
        <v>80</v>
      </c>
      <c r="N2307" t="s">
        <v>183</v>
      </c>
      <c r="O2307" t="s">
        <v>82</v>
      </c>
      <c r="P2307" t="str">
        <f>"2170714726                    "</f>
        <v xml:space="preserve">2170714726                    </v>
      </c>
      <c r="Q2307">
        <v>0</v>
      </c>
      <c r="R2307">
        <v>0</v>
      </c>
      <c r="S2307">
        <v>0</v>
      </c>
      <c r="T2307">
        <v>0</v>
      </c>
      <c r="U2307">
        <v>0</v>
      </c>
      <c r="V2307">
        <v>0</v>
      </c>
      <c r="W2307">
        <v>0</v>
      </c>
      <c r="X2307">
        <v>0</v>
      </c>
      <c r="Y2307">
        <v>0</v>
      </c>
      <c r="Z2307">
        <v>0</v>
      </c>
      <c r="AA2307">
        <v>0</v>
      </c>
      <c r="AB2307">
        <v>0</v>
      </c>
      <c r="AC2307">
        <v>0</v>
      </c>
      <c r="AD2307">
        <v>0</v>
      </c>
      <c r="AE2307">
        <v>0</v>
      </c>
      <c r="AF2307">
        <v>0</v>
      </c>
      <c r="AG2307">
        <v>0</v>
      </c>
      <c r="AH2307">
        <v>0</v>
      </c>
      <c r="AI2307">
        <v>0</v>
      </c>
      <c r="AJ2307">
        <v>0</v>
      </c>
      <c r="AK2307">
        <v>0</v>
      </c>
      <c r="AL2307">
        <v>0</v>
      </c>
      <c r="AM2307">
        <v>72.91</v>
      </c>
      <c r="AN2307">
        <v>0</v>
      </c>
      <c r="AO2307">
        <v>0</v>
      </c>
      <c r="AP2307">
        <v>0</v>
      </c>
      <c r="AQ2307">
        <v>0</v>
      </c>
      <c r="AR2307">
        <v>0</v>
      </c>
      <c r="AS2307">
        <v>0</v>
      </c>
      <c r="AT2307">
        <v>0</v>
      </c>
      <c r="AU2307">
        <v>0</v>
      </c>
      <c r="AV2307">
        <v>0</v>
      </c>
      <c r="AW2307">
        <v>0</v>
      </c>
      <c r="AX2307">
        <v>0</v>
      </c>
      <c r="AY2307">
        <v>0</v>
      </c>
      <c r="AZ2307">
        <v>0</v>
      </c>
      <c r="BA2307">
        <v>0</v>
      </c>
      <c r="BB2307">
        <v>0</v>
      </c>
      <c r="BC2307">
        <v>0</v>
      </c>
      <c r="BD2307">
        <v>0</v>
      </c>
      <c r="BE2307">
        <v>0</v>
      </c>
      <c r="BF2307">
        <v>0</v>
      </c>
      <c r="BG2307">
        <v>0</v>
      </c>
      <c r="BH2307">
        <v>2</v>
      </c>
      <c r="BI2307">
        <v>16.899999999999999</v>
      </c>
      <c r="BJ2307">
        <v>17</v>
      </c>
      <c r="BK2307">
        <v>17</v>
      </c>
      <c r="BL2307" s="4">
        <v>428.58</v>
      </c>
      <c r="BM2307" s="4">
        <v>64.290000000000006</v>
      </c>
      <c r="BN2307" s="4">
        <v>492.87</v>
      </c>
      <c r="BO2307" s="4">
        <v>492.87</v>
      </c>
      <c r="BQ2307" t="s">
        <v>147</v>
      </c>
      <c r="BR2307" t="s">
        <v>84</v>
      </c>
      <c r="BS2307" s="3">
        <v>43811</v>
      </c>
      <c r="BT2307" s="5">
        <v>0.38958333333333334</v>
      </c>
      <c r="BU2307" t="s">
        <v>2509</v>
      </c>
      <c r="BV2307" t="s">
        <v>86</v>
      </c>
      <c r="BY2307">
        <v>84932.39</v>
      </c>
      <c r="CA2307" t="s">
        <v>185</v>
      </c>
      <c r="CC2307" t="s">
        <v>80</v>
      </c>
      <c r="CD2307">
        <v>6001</v>
      </c>
      <c r="CE2307" t="s">
        <v>413</v>
      </c>
      <c r="CF2307" s="3">
        <v>43812</v>
      </c>
      <c r="CI2307">
        <v>1</v>
      </c>
      <c r="CJ2307">
        <v>1</v>
      </c>
      <c r="CK2307">
        <v>21</v>
      </c>
      <c r="CL2307" t="s">
        <v>89</v>
      </c>
    </row>
    <row r="2308" spans="1:90">
      <c r="A2308" t="s">
        <v>72</v>
      </c>
      <c r="B2308" t="s">
        <v>73</v>
      </c>
      <c r="C2308" t="s">
        <v>74</v>
      </c>
      <c r="E2308" t="str">
        <f>"FES1162727707"</f>
        <v>FES1162727707</v>
      </c>
      <c r="F2308" s="3">
        <v>43810</v>
      </c>
      <c r="G2308">
        <v>202006</v>
      </c>
      <c r="H2308" t="s">
        <v>75</v>
      </c>
      <c r="I2308" t="s">
        <v>76</v>
      </c>
      <c r="J2308" t="s">
        <v>77</v>
      </c>
      <c r="K2308" t="s">
        <v>78</v>
      </c>
      <c r="L2308" t="s">
        <v>308</v>
      </c>
      <c r="M2308" t="s">
        <v>308</v>
      </c>
      <c r="N2308" t="s">
        <v>309</v>
      </c>
      <c r="O2308" t="s">
        <v>82</v>
      </c>
      <c r="P2308" t="str">
        <f>"217071196                     "</f>
        <v xml:space="preserve">217071196                     </v>
      </c>
      <c r="Q2308">
        <v>0</v>
      </c>
      <c r="R2308">
        <v>0</v>
      </c>
      <c r="S2308">
        <v>0</v>
      </c>
      <c r="T2308">
        <v>0</v>
      </c>
      <c r="U2308">
        <v>0</v>
      </c>
      <c r="V2308">
        <v>0</v>
      </c>
      <c r="W2308">
        <v>0</v>
      </c>
      <c r="X2308">
        <v>0</v>
      </c>
      <c r="Y2308">
        <v>0</v>
      </c>
      <c r="Z2308">
        <v>0</v>
      </c>
      <c r="AA2308">
        <v>0</v>
      </c>
      <c r="AB2308">
        <v>0</v>
      </c>
      <c r="AC2308">
        <v>0</v>
      </c>
      <c r="AD2308">
        <v>0</v>
      </c>
      <c r="AE2308">
        <v>0</v>
      </c>
      <c r="AF2308">
        <v>0</v>
      </c>
      <c r="AG2308">
        <v>0</v>
      </c>
      <c r="AH2308">
        <v>0</v>
      </c>
      <c r="AI2308">
        <v>0</v>
      </c>
      <c r="AJ2308">
        <v>0</v>
      </c>
      <c r="AK2308">
        <v>0</v>
      </c>
      <c r="AL2308">
        <v>0</v>
      </c>
      <c r="AM2308">
        <v>16.63</v>
      </c>
      <c r="AN2308">
        <v>0</v>
      </c>
      <c r="AO2308">
        <v>0</v>
      </c>
      <c r="AP2308">
        <v>0</v>
      </c>
      <c r="AQ2308">
        <v>0</v>
      </c>
      <c r="AR2308">
        <v>0</v>
      </c>
      <c r="AS2308">
        <v>0</v>
      </c>
      <c r="AT2308">
        <v>0</v>
      </c>
      <c r="AU2308">
        <v>0</v>
      </c>
      <c r="AV2308">
        <v>0</v>
      </c>
      <c r="AW2308">
        <v>0</v>
      </c>
      <c r="AX2308">
        <v>0</v>
      </c>
      <c r="AY2308">
        <v>0</v>
      </c>
      <c r="AZ2308">
        <v>0</v>
      </c>
      <c r="BA2308">
        <v>0</v>
      </c>
      <c r="BB2308">
        <v>0</v>
      </c>
      <c r="BC2308">
        <v>0</v>
      </c>
      <c r="BD2308">
        <v>0</v>
      </c>
      <c r="BE2308">
        <v>0</v>
      </c>
      <c r="BF2308">
        <v>0</v>
      </c>
      <c r="BG2308">
        <v>0</v>
      </c>
      <c r="BH2308">
        <v>1</v>
      </c>
      <c r="BI2308">
        <v>1.3</v>
      </c>
      <c r="BJ2308">
        <v>1</v>
      </c>
      <c r="BK2308">
        <v>1.5</v>
      </c>
      <c r="BL2308" s="4">
        <v>97.75</v>
      </c>
      <c r="BM2308" s="4">
        <v>14.66</v>
      </c>
      <c r="BN2308" s="4">
        <v>112.41</v>
      </c>
      <c r="BO2308" s="4">
        <v>112.41</v>
      </c>
      <c r="BQ2308" t="s">
        <v>93</v>
      </c>
      <c r="BR2308" t="s">
        <v>84</v>
      </c>
      <c r="BS2308" s="3">
        <v>43811</v>
      </c>
      <c r="BT2308" s="5">
        <v>0.49374999999999997</v>
      </c>
      <c r="BU2308" t="s">
        <v>2510</v>
      </c>
      <c r="BV2308" t="s">
        <v>86</v>
      </c>
      <c r="BY2308">
        <v>4816.28</v>
      </c>
      <c r="CA2308" t="s">
        <v>1277</v>
      </c>
      <c r="CC2308" t="s">
        <v>308</v>
      </c>
      <c r="CD2308">
        <v>7646</v>
      </c>
      <c r="CE2308" t="s">
        <v>96</v>
      </c>
      <c r="CF2308" s="3">
        <v>43812</v>
      </c>
      <c r="CI2308">
        <v>1</v>
      </c>
      <c r="CJ2308">
        <v>1</v>
      </c>
      <c r="CK2308">
        <v>23</v>
      </c>
      <c r="CL2308" t="s">
        <v>89</v>
      </c>
    </row>
    <row r="2309" spans="1:90">
      <c r="A2309" t="s">
        <v>72</v>
      </c>
      <c r="B2309" t="s">
        <v>73</v>
      </c>
      <c r="C2309" t="s">
        <v>74</v>
      </c>
      <c r="E2309" t="str">
        <f>"FES1162727665"</f>
        <v>FES1162727665</v>
      </c>
      <c r="F2309" s="3">
        <v>43810</v>
      </c>
      <c r="G2309">
        <v>202006</v>
      </c>
      <c r="H2309" t="s">
        <v>75</v>
      </c>
      <c r="I2309" t="s">
        <v>76</v>
      </c>
      <c r="J2309" t="s">
        <v>77</v>
      </c>
      <c r="K2309" t="s">
        <v>78</v>
      </c>
      <c r="L2309" t="s">
        <v>164</v>
      </c>
      <c r="M2309" t="s">
        <v>165</v>
      </c>
      <c r="N2309" t="s">
        <v>369</v>
      </c>
      <c r="O2309" t="s">
        <v>82</v>
      </c>
      <c r="P2309" t="str">
        <f>"217071167                     "</f>
        <v xml:space="preserve">217071167                     </v>
      </c>
      <c r="Q2309">
        <v>0</v>
      </c>
      <c r="R2309">
        <v>0</v>
      </c>
      <c r="S2309">
        <v>0</v>
      </c>
      <c r="T2309">
        <v>0</v>
      </c>
      <c r="U2309">
        <v>0</v>
      </c>
      <c r="V2309">
        <v>0</v>
      </c>
      <c r="W2309">
        <v>0</v>
      </c>
      <c r="X2309">
        <v>0</v>
      </c>
      <c r="Y2309">
        <v>0</v>
      </c>
      <c r="Z2309">
        <v>0</v>
      </c>
      <c r="AA2309">
        <v>0</v>
      </c>
      <c r="AB2309">
        <v>0</v>
      </c>
      <c r="AC2309">
        <v>0</v>
      </c>
      <c r="AD2309">
        <v>0</v>
      </c>
      <c r="AE2309">
        <v>0</v>
      </c>
      <c r="AF2309">
        <v>0</v>
      </c>
      <c r="AG2309">
        <v>0</v>
      </c>
      <c r="AH2309">
        <v>0</v>
      </c>
      <c r="AI2309">
        <v>0</v>
      </c>
      <c r="AJ2309">
        <v>0</v>
      </c>
      <c r="AK2309">
        <v>0</v>
      </c>
      <c r="AL2309">
        <v>0</v>
      </c>
      <c r="AM2309">
        <v>8.58</v>
      </c>
      <c r="AN2309">
        <v>0</v>
      </c>
      <c r="AO2309">
        <v>0</v>
      </c>
      <c r="AP2309">
        <v>0</v>
      </c>
      <c r="AQ2309">
        <v>0</v>
      </c>
      <c r="AR2309">
        <v>0</v>
      </c>
      <c r="AS2309">
        <v>0</v>
      </c>
      <c r="AT2309">
        <v>0</v>
      </c>
      <c r="AU2309">
        <v>0</v>
      </c>
      <c r="AV2309">
        <v>0</v>
      </c>
      <c r="AW2309">
        <v>0</v>
      </c>
      <c r="AX2309">
        <v>0</v>
      </c>
      <c r="AY2309">
        <v>0</v>
      </c>
      <c r="AZ2309">
        <v>0</v>
      </c>
      <c r="BA2309">
        <v>0</v>
      </c>
      <c r="BB2309">
        <v>0</v>
      </c>
      <c r="BC2309">
        <v>0</v>
      </c>
      <c r="BD2309">
        <v>0</v>
      </c>
      <c r="BE2309">
        <v>0</v>
      </c>
      <c r="BF2309">
        <v>0</v>
      </c>
      <c r="BG2309">
        <v>0</v>
      </c>
      <c r="BH2309">
        <v>1</v>
      </c>
      <c r="BI2309">
        <v>1</v>
      </c>
      <c r="BJ2309">
        <v>0.2</v>
      </c>
      <c r="BK2309">
        <v>1</v>
      </c>
      <c r="BL2309" s="4">
        <v>50.45</v>
      </c>
      <c r="BM2309" s="4">
        <v>7.57</v>
      </c>
      <c r="BN2309" s="4">
        <v>58.02</v>
      </c>
      <c r="BO2309" s="4">
        <v>58.02</v>
      </c>
      <c r="BQ2309" t="s">
        <v>93</v>
      </c>
      <c r="BR2309" t="s">
        <v>84</v>
      </c>
      <c r="BS2309" s="3">
        <v>43811</v>
      </c>
      <c r="BT2309" s="5">
        <v>0.4055555555555555</v>
      </c>
      <c r="BU2309" t="s">
        <v>1352</v>
      </c>
      <c r="BV2309" t="s">
        <v>86</v>
      </c>
      <c r="BY2309">
        <v>1200</v>
      </c>
      <c r="CA2309" t="s">
        <v>766</v>
      </c>
      <c r="CC2309" t="s">
        <v>165</v>
      </c>
      <c r="CD2309">
        <v>5201</v>
      </c>
      <c r="CE2309" t="s">
        <v>88</v>
      </c>
      <c r="CF2309" s="3">
        <v>43816</v>
      </c>
      <c r="CI2309">
        <v>1</v>
      </c>
      <c r="CJ2309">
        <v>1</v>
      </c>
      <c r="CK2309">
        <v>21</v>
      </c>
      <c r="CL2309" t="s">
        <v>89</v>
      </c>
    </row>
    <row r="2310" spans="1:90">
      <c r="A2310" t="s">
        <v>72</v>
      </c>
      <c r="B2310" t="s">
        <v>73</v>
      </c>
      <c r="C2310" t="s">
        <v>74</v>
      </c>
      <c r="E2310" t="str">
        <f>"FES1162727649"</f>
        <v>FES1162727649</v>
      </c>
      <c r="F2310" s="3">
        <v>43810</v>
      </c>
      <c r="G2310">
        <v>202006</v>
      </c>
      <c r="H2310" t="s">
        <v>75</v>
      </c>
      <c r="I2310" t="s">
        <v>76</v>
      </c>
      <c r="J2310" t="s">
        <v>77</v>
      </c>
      <c r="K2310" t="s">
        <v>78</v>
      </c>
      <c r="L2310" t="s">
        <v>361</v>
      </c>
      <c r="M2310" t="s">
        <v>362</v>
      </c>
      <c r="N2310" t="s">
        <v>363</v>
      </c>
      <c r="O2310" t="s">
        <v>82</v>
      </c>
      <c r="P2310" t="str">
        <f>"2170720501                    "</f>
        <v xml:space="preserve">2170720501                    </v>
      </c>
      <c r="Q2310">
        <v>0</v>
      </c>
      <c r="R2310">
        <v>0</v>
      </c>
      <c r="S2310">
        <v>0</v>
      </c>
      <c r="T2310">
        <v>0</v>
      </c>
      <c r="U2310">
        <v>0</v>
      </c>
      <c r="V2310">
        <v>0</v>
      </c>
      <c r="W2310">
        <v>0</v>
      </c>
      <c r="X2310">
        <v>0</v>
      </c>
      <c r="Y2310">
        <v>0</v>
      </c>
      <c r="Z2310">
        <v>0</v>
      </c>
      <c r="AA2310">
        <v>0</v>
      </c>
      <c r="AB2310">
        <v>0</v>
      </c>
      <c r="AC2310">
        <v>0</v>
      </c>
      <c r="AD2310">
        <v>0</v>
      </c>
      <c r="AE2310">
        <v>0</v>
      </c>
      <c r="AF2310">
        <v>0</v>
      </c>
      <c r="AG2310">
        <v>0</v>
      </c>
      <c r="AH2310">
        <v>0</v>
      </c>
      <c r="AI2310">
        <v>0</v>
      </c>
      <c r="AJ2310">
        <v>0</v>
      </c>
      <c r="AK2310">
        <v>0</v>
      </c>
      <c r="AL2310">
        <v>0</v>
      </c>
      <c r="AM2310">
        <v>8.58</v>
      </c>
      <c r="AN2310">
        <v>0</v>
      </c>
      <c r="AO2310">
        <v>0</v>
      </c>
      <c r="AP2310">
        <v>0</v>
      </c>
      <c r="AQ2310">
        <v>0</v>
      </c>
      <c r="AR2310">
        <v>0</v>
      </c>
      <c r="AS2310">
        <v>0</v>
      </c>
      <c r="AT2310">
        <v>0</v>
      </c>
      <c r="AU2310">
        <v>0</v>
      </c>
      <c r="AV2310">
        <v>0</v>
      </c>
      <c r="AW2310">
        <v>0</v>
      </c>
      <c r="AX2310">
        <v>0</v>
      </c>
      <c r="AY2310">
        <v>0</v>
      </c>
      <c r="AZ2310">
        <v>0</v>
      </c>
      <c r="BA2310">
        <v>0</v>
      </c>
      <c r="BB2310">
        <v>0</v>
      </c>
      <c r="BC2310">
        <v>0</v>
      </c>
      <c r="BD2310">
        <v>0</v>
      </c>
      <c r="BE2310">
        <v>0</v>
      </c>
      <c r="BF2310">
        <v>0</v>
      </c>
      <c r="BG2310">
        <v>0</v>
      </c>
      <c r="BH2310">
        <v>1</v>
      </c>
      <c r="BI2310">
        <v>1</v>
      </c>
      <c r="BJ2310">
        <v>0.2</v>
      </c>
      <c r="BK2310">
        <v>1</v>
      </c>
      <c r="BL2310" s="4">
        <v>50.45</v>
      </c>
      <c r="BM2310" s="4">
        <v>7.57</v>
      </c>
      <c r="BN2310" s="4">
        <v>58.02</v>
      </c>
      <c r="BO2310" s="4">
        <v>58.02</v>
      </c>
      <c r="BQ2310" t="s">
        <v>93</v>
      </c>
      <c r="BR2310" t="s">
        <v>84</v>
      </c>
      <c r="BS2310" s="3">
        <v>43811</v>
      </c>
      <c r="BT2310" s="5">
        <v>0.42569444444444443</v>
      </c>
      <c r="BU2310" t="s">
        <v>364</v>
      </c>
      <c r="BV2310" t="s">
        <v>86</v>
      </c>
      <c r="BY2310">
        <v>1200</v>
      </c>
      <c r="CA2310" t="s">
        <v>2511</v>
      </c>
      <c r="CC2310" t="s">
        <v>362</v>
      </c>
      <c r="CD2310">
        <v>6220</v>
      </c>
      <c r="CE2310" t="s">
        <v>88</v>
      </c>
      <c r="CF2310" s="3">
        <v>43812</v>
      </c>
      <c r="CI2310">
        <v>1</v>
      </c>
      <c r="CJ2310">
        <v>1</v>
      </c>
      <c r="CK2310">
        <v>21</v>
      </c>
      <c r="CL2310" t="s">
        <v>89</v>
      </c>
    </row>
    <row r="2311" spans="1:90">
      <c r="A2311" t="s">
        <v>72</v>
      </c>
      <c r="B2311" t="s">
        <v>73</v>
      </c>
      <c r="C2311" t="s">
        <v>74</v>
      </c>
      <c r="E2311" t="str">
        <f>"FES1162727708"</f>
        <v>FES1162727708</v>
      </c>
      <c r="F2311" s="3">
        <v>43810</v>
      </c>
      <c r="G2311">
        <v>202006</v>
      </c>
      <c r="H2311" t="s">
        <v>75</v>
      </c>
      <c r="I2311" t="s">
        <v>76</v>
      </c>
      <c r="J2311" t="s">
        <v>77</v>
      </c>
      <c r="K2311" t="s">
        <v>78</v>
      </c>
      <c r="L2311" t="s">
        <v>90</v>
      </c>
      <c r="M2311" t="s">
        <v>91</v>
      </c>
      <c r="N2311" t="s">
        <v>1815</v>
      </c>
      <c r="O2311" t="s">
        <v>82</v>
      </c>
      <c r="P2311" t="str">
        <f>"217071197                     "</f>
        <v xml:space="preserve">217071197                     </v>
      </c>
      <c r="Q2311">
        <v>0</v>
      </c>
      <c r="R2311">
        <v>0</v>
      </c>
      <c r="S2311">
        <v>0</v>
      </c>
      <c r="T2311">
        <v>0</v>
      </c>
      <c r="U2311">
        <v>0</v>
      </c>
      <c r="V2311">
        <v>0</v>
      </c>
      <c r="W2311">
        <v>0</v>
      </c>
      <c r="X2311">
        <v>0</v>
      </c>
      <c r="Y2311">
        <v>0</v>
      </c>
      <c r="Z2311">
        <v>0</v>
      </c>
      <c r="AA2311">
        <v>0</v>
      </c>
      <c r="AB2311">
        <v>0</v>
      </c>
      <c r="AC2311">
        <v>0</v>
      </c>
      <c r="AD2311">
        <v>0</v>
      </c>
      <c r="AE2311">
        <v>0</v>
      </c>
      <c r="AF2311">
        <v>0</v>
      </c>
      <c r="AG2311">
        <v>0</v>
      </c>
      <c r="AH2311">
        <v>0</v>
      </c>
      <c r="AI2311">
        <v>0</v>
      </c>
      <c r="AJ2311">
        <v>0</v>
      </c>
      <c r="AK2311">
        <v>0</v>
      </c>
      <c r="AL2311">
        <v>0</v>
      </c>
      <c r="AM2311">
        <v>8.58</v>
      </c>
      <c r="AN2311">
        <v>0</v>
      </c>
      <c r="AO2311">
        <v>0</v>
      </c>
      <c r="AP2311">
        <v>0</v>
      </c>
      <c r="AQ2311">
        <v>0</v>
      </c>
      <c r="AR2311">
        <v>0</v>
      </c>
      <c r="AS2311">
        <v>0</v>
      </c>
      <c r="AT2311">
        <v>0</v>
      </c>
      <c r="AU2311">
        <v>0</v>
      </c>
      <c r="AV2311">
        <v>0</v>
      </c>
      <c r="AW2311">
        <v>0</v>
      </c>
      <c r="AX2311">
        <v>0</v>
      </c>
      <c r="AY2311">
        <v>0</v>
      </c>
      <c r="AZ2311">
        <v>0</v>
      </c>
      <c r="BA2311">
        <v>0</v>
      </c>
      <c r="BB2311">
        <v>0</v>
      </c>
      <c r="BC2311">
        <v>0</v>
      </c>
      <c r="BD2311">
        <v>0</v>
      </c>
      <c r="BE2311">
        <v>0</v>
      </c>
      <c r="BF2311">
        <v>0</v>
      </c>
      <c r="BG2311">
        <v>0</v>
      </c>
      <c r="BH2311">
        <v>1</v>
      </c>
      <c r="BI2311">
        <v>1</v>
      </c>
      <c r="BJ2311">
        <v>0.2</v>
      </c>
      <c r="BK2311">
        <v>1</v>
      </c>
      <c r="BL2311" s="4">
        <v>50.45</v>
      </c>
      <c r="BM2311" s="4">
        <v>7.57</v>
      </c>
      <c r="BN2311" s="4">
        <v>58.02</v>
      </c>
      <c r="BO2311" s="4">
        <v>58.02</v>
      </c>
      <c r="BQ2311" t="s">
        <v>135</v>
      </c>
      <c r="BR2311" t="s">
        <v>84</v>
      </c>
      <c r="BS2311" s="3">
        <v>43811</v>
      </c>
      <c r="BT2311" s="5">
        <v>0.35902777777777778</v>
      </c>
      <c r="BU2311" t="s">
        <v>1816</v>
      </c>
      <c r="BV2311" t="s">
        <v>86</v>
      </c>
      <c r="BY2311">
        <v>1200</v>
      </c>
      <c r="CA2311" t="s">
        <v>145</v>
      </c>
      <c r="CC2311" t="s">
        <v>91</v>
      </c>
      <c r="CD2311">
        <v>7441</v>
      </c>
      <c r="CE2311" t="s">
        <v>88</v>
      </c>
      <c r="CF2311" s="3">
        <v>43812</v>
      </c>
      <c r="CI2311">
        <v>1</v>
      </c>
      <c r="CJ2311">
        <v>1</v>
      </c>
      <c r="CK2311">
        <v>21</v>
      </c>
      <c r="CL2311" t="s">
        <v>89</v>
      </c>
    </row>
    <row r="2312" spans="1:90">
      <c r="A2312" t="s">
        <v>72</v>
      </c>
      <c r="B2312" t="s">
        <v>73</v>
      </c>
      <c r="C2312" t="s">
        <v>74</v>
      </c>
      <c r="E2312" t="str">
        <f>"FES1162727827"</f>
        <v>FES1162727827</v>
      </c>
      <c r="F2312" s="3">
        <v>43810</v>
      </c>
      <c r="G2312">
        <v>202006</v>
      </c>
      <c r="H2312" t="s">
        <v>75</v>
      </c>
      <c r="I2312" t="s">
        <v>76</v>
      </c>
      <c r="J2312" t="s">
        <v>77</v>
      </c>
      <c r="K2312" t="s">
        <v>78</v>
      </c>
      <c r="L2312" t="s">
        <v>332</v>
      </c>
      <c r="M2312" t="s">
        <v>333</v>
      </c>
      <c r="N2312" t="s">
        <v>701</v>
      </c>
      <c r="O2312" t="s">
        <v>82</v>
      </c>
      <c r="P2312" t="str">
        <f>"2170721276                    "</f>
        <v xml:space="preserve">2170721276                    </v>
      </c>
      <c r="Q2312">
        <v>0</v>
      </c>
      <c r="R2312">
        <v>0</v>
      </c>
      <c r="S2312">
        <v>0</v>
      </c>
      <c r="T2312">
        <v>0</v>
      </c>
      <c r="U2312">
        <v>0</v>
      </c>
      <c r="V2312">
        <v>0</v>
      </c>
      <c r="W2312">
        <v>0</v>
      </c>
      <c r="X2312">
        <v>0</v>
      </c>
      <c r="Y2312">
        <v>0</v>
      </c>
      <c r="Z2312">
        <v>0</v>
      </c>
      <c r="AA2312">
        <v>0</v>
      </c>
      <c r="AB2312">
        <v>0</v>
      </c>
      <c r="AC2312">
        <v>0</v>
      </c>
      <c r="AD2312">
        <v>0</v>
      </c>
      <c r="AE2312">
        <v>0</v>
      </c>
      <c r="AF2312">
        <v>0</v>
      </c>
      <c r="AG2312">
        <v>0</v>
      </c>
      <c r="AH2312">
        <v>0</v>
      </c>
      <c r="AI2312">
        <v>0</v>
      </c>
      <c r="AJ2312">
        <v>0</v>
      </c>
      <c r="AK2312">
        <v>0</v>
      </c>
      <c r="AL2312">
        <v>0</v>
      </c>
      <c r="AM2312">
        <v>6.71</v>
      </c>
      <c r="AN2312">
        <v>0</v>
      </c>
      <c r="AO2312">
        <v>0</v>
      </c>
      <c r="AP2312">
        <v>0</v>
      </c>
      <c r="AQ2312">
        <v>0</v>
      </c>
      <c r="AR2312">
        <v>0</v>
      </c>
      <c r="AS2312">
        <v>0</v>
      </c>
      <c r="AT2312">
        <v>0</v>
      </c>
      <c r="AU2312">
        <v>0</v>
      </c>
      <c r="AV2312">
        <v>0</v>
      </c>
      <c r="AW2312">
        <v>0</v>
      </c>
      <c r="AX2312">
        <v>0</v>
      </c>
      <c r="AY2312">
        <v>0</v>
      </c>
      <c r="AZ2312">
        <v>0</v>
      </c>
      <c r="BA2312">
        <v>0</v>
      </c>
      <c r="BB2312">
        <v>0</v>
      </c>
      <c r="BC2312">
        <v>0</v>
      </c>
      <c r="BD2312">
        <v>0</v>
      </c>
      <c r="BE2312">
        <v>0</v>
      </c>
      <c r="BF2312">
        <v>0</v>
      </c>
      <c r="BG2312">
        <v>0</v>
      </c>
      <c r="BH2312">
        <v>1</v>
      </c>
      <c r="BI2312">
        <v>1</v>
      </c>
      <c r="BJ2312">
        <v>0.2</v>
      </c>
      <c r="BK2312">
        <v>1</v>
      </c>
      <c r="BL2312" s="4">
        <v>39.42</v>
      </c>
      <c r="BM2312" s="4">
        <v>5.91</v>
      </c>
      <c r="BN2312" s="4">
        <v>45.33</v>
      </c>
      <c r="BO2312" s="4">
        <v>45.33</v>
      </c>
      <c r="BQ2312" t="s">
        <v>93</v>
      </c>
      <c r="BR2312" t="s">
        <v>84</v>
      </c>
      <c r="BS2312" s="3">
        <v>43811</v>
      </c>
      <c r="BT2312" s="5">
        <v>0.36805555555555558</v>
      </c>
      <c r="BU2312" t="s">
        <v>1327</v>
      </c>
      <c r="BV2312" t="s">
        <v>86</v>
      </c>
      <c r="BY2312">
        <v>1200</v>
      </c>
      <c r="CC2312" t="s">
        <v>333</v>
      </c>
      <c r="CD2312">
        <v>2094</v>
      </c>
      <c r="CE2312" t="s">
        <v>88</v>
      </c>
      <c r="CF2312" s="3">
        <v>43812</v>
      </c>
      <c r="CI2312">
        <v>1</v>
      </c>
      <c r="CJ2312">
        <v>1</v>
      </c>
      <c r="CK2312">
        <v>22</v>
      </c>
      <c r="CL2312" t="s">
        <v>89</v>
      </c>
    </row>
    <row r="2313" spans="1:90">
      <c r="A2313" t="s">
        <v>72</v>
      </c>
      <c r="B2313" t="s">
        <v>73</v>
      </c>
      <c r="C2313" t="s">
        <v>74</v>
      </c>
      <c r="E2313" t="str">
        <f>"FES1162727759"</f>
        <v>FES1162727759</v>
      </c>
      <c r="F2313" s="3">
        <v>43810</v>
      </c>
      <c r="G2313">
        <v>202006</v>
      </c>
      <c r="H2313" t="s">
        <v>75</v>
      </c>
      <c r="I2313" t="s">
        <v>76</v>
      </c>
      <c r="J2313" t="s">
        <v>77</v>
      </c>
      <c r="K2313" t="s">
        <v>78</v>
      </c>
      <c r="L2313" t="s">
        <v>198</v>
      </c>
      <c r="M2313" t="s">
        <v>199</v>
      </c>
      <c r="N2313" t="s">
        <v>2255</v>
      </c>
      <c r="O2313" t="s">
        <v>82</v>
      </c>
      <c r="P2313" t="str">
        <f>"2170721243                    "</f>
        <v xml:space="preserve">2170721243                    </v>
      </c>
      <c r="Q2313">
        <v>0</v>
      </c>
      <c r="R2313">
        <v>0</v>
      </c>
      <c r="S2313">
        <v>0</v>
      </c>
      <c r="T2313">
        <v>0</v>
      </c>
      <c r="U2313">
        <v>0</v>
      </c>
      <c r="V2313">
        <v>0</v>
      </c>
      <c r="W2313">
        <v>0</v>
      </c>
      <c r="X2313">
        <v>0</v>
      </c>
      <c r="Y2313">
        <v>0</v>
      </c>
      <c r="Z2313">
        <v>0</v>
      </c>
      <c r="AA2313">
        <v>0</v>
      </c>
      <c r="AB2313">
        <v>0</v>
      </c>
      <c r="AC2313">
        <v>0</v>
      </c>
      <c r="AD2313">
        <v>0</v>
      </c>
      <c r="AE2313">
        <v>0</v>
      </c>
      <c r="AF2313">
        <v>0</v>
      </c>
      <c r="AG2313">
        <v>0</v>
      </c>
      <c r="AH2313">
        <v>0</v>
      </c>
      <c r="AI2313">
        <v>0</v>
      </c>
      <c r="AJ2313">
        <v>0</v>
      </c>
      <c r="AK2313">
        <v>0</v>
      </c>
      <c r="AL2313">
        <v>0</v>
      </c>
      <c r="AM2313">
        <v>8.58</v>
      </c>
      <c r="AN2313">
        <v>0</v>
      </c>
      <c r="AO2313">
        <v>0</v>
      </c>
      <c r="AP2313">
        <v>0</v>
      </c>
      <c r="AQ2313">
        <v>0</v>
      </c>
      <c r="AR2313">
        <v>0</v>
      </c>
      <c r="AS2313">
        <v>0</v>
      </c>
      <c r="AT2313">
        <v>0</v>
      </c>
      <c r="AU2313">
        <v>0</v>
      </c>
      <c r="AV2313">
        <v>0</v>
      </c>
      <c r="AW2313">
        <v>0</v>
      </c>
      <c r="AX2313">
        <v>0</v>
      </c>
      <c r="AY2313">
        <v>0</v>
      </c>
      <c r="AZ2313">
        <v>0</v>
      </c>
      <c r="BA2313">
        <v>0</v>
      </c>
      <c r="BB2313">
        <v>0</v>
      </c>
      <c r="BC2313">
        <v>0</v>
      </c>
      <c r="BD2313">
        <v>0</v>
      </c>
      <c r="BE2313">
        <v>0</v>
      </c>
      <c r="BF2313">
        <v>0</v>
      </c>
      <c r="BG2313">
        <v>0</v>
      </c>
      <c r="BH2313">
        <v>1</v>
      </c>
      <c r="BI2313">
        <v>1</v>
      </c>
      <c r="BJ2313">
        <v>0.2</v>
      </c>
      <c r="BK2313">
        <v>1</v>
      </c>
      <c r="BL2313" s="4">
        <v>50.45</v>
      </c>
      <c r="BM2313" s="4">
        <v>7.57</v>
      </c>
      <c r="BN2313" s="4">
        <v>58.02</v>
      </c>
      <c r="BO2313" s="4">
        <v>58.02</v>
      </c>
      <c r="BQ2313" t="s">
        <v>436</v>
      </c>
      <c r="BR2313" t="s">
        <v>84</v>
      </c>
      <c r="BS2313" s="3">
        <v>43811</v>
      </c>
      <c r="BT2313" s="5">
        <v>0.38194444444444442</v>
      </c>
      <c r="BU2313" t="s">
        <v>2488</v>
      </c>
      <c r="BV2313" t="s">
        <v>86</v>
      </c>
      <c r="BY2313">
        <v>1200</v>
      </c>
      <c r="CA2313" t="s">
        <v>941</v>
      </c>
      <c r="CC2313" t="s">
        <v>199</v>
      </c>
      <c r="CD2313">
        <v>4001</v>
      </c>
      <c r="CE2313" t="s">
        <v>88</v>
      </c>
      <c r="CF2313" s="3">
        <v>43812</v>
      </c>
      <c r="CI2313">
        <v>1</v>
      </c>
      <c r="CJ2313">
        <v>1</v>
      </c>
      <c r="CK2313">
        <v>21</v>
      </c>
      <c r="CL2313" t="s">
        <v>89</v>
      </c>
    </row>
    <row r="2314" spans="1:90">
      <c r="A2314" t="s">
        <v>72</v>
      </c>
      <c r="B2314" t="s">
        <v>73</v>
      </c>
      <c r="C2314" t="s">
        <v>74</v>
      </c>
      <c r="E2314" t="str">
        <f>"FES1162727741"</f>
        <v>FES1162727741</v>
      </c>
      <c r="F2314" s="3">
        <v>43810</v>
      </c>
      <c r="G2314">
        <v>202006</v>
      </c>
      <c r="H2314" t="s">
        <v>75</v>
      </c>
      <c r="I2314" t="s">
        <v>76</v>
      </c>
      <c r="J2314" t="s">
        <v>77</v>
      </c>
      <c r="K2314" t="s">
        <v>78</v>
      </c>
      <c r="L2314" t="s">
        <v>198</v>
      </c>
      <c r="M2314" t="s">
        <v>199</v>
      </c>
      <c r="N2314" t="s">
        <v>1207</v>
      </c>
      <c r="O2314" t="s">
        <v>82</v>
      </c>
      <c r="P2314" t="str">
        <f>"2170721220                    "</f>
        <v xml:space="preserve">2170721220                    </v>
      </c>
      <c r="Q2314">
        <v>0</v>
      </c>
      <c r="R2314">
        <v>0</v>
      </c>
      <c r="S2314">
        <v>0</v>
      </c>
      <c r="T2314">
        <v>0</v>
      </c>
      <c r="U2314">
        <v>0</v>
      </c>
      <c r="V2314">
        <v>0</v>
      </c>
      <c r="W2314">
        <v>0</v>
      </c>
      <c r="X2314">
        <v>0</v>
      </c>
      <c r="Y2314">
        <v>0</v>
      </c>
      <c r="Z2314">
        <v>0</v>
      </c>
      <c r="AA2314">
        <v>0</v>
      </c>
      <c r="AB2314">
        <v>0</v>
      </c>
      <c r="AC2314">
        <v>0</v>
      </c>
      <c r="AD2314">
        <v>0</v>
      </c>
      <c r="AE2314">
        <v>0</v>
      </c>
      <c r="AF2314">
        <v>0</v>
      </c>
      <c r="AG2314">
        <v>0</v>
      </c>
      <c r="AH2314">
        <v>0</v>
      </c>
      <c r="AI2314">
        <v>0</v>
      </c>
      <c r="AJ2314">
        <v>0</v>
      </c>
      <c r="AK2314">
        <v>0</v>
      </c>
      <c r="AL2314">
        <v>0</v>
      </c>
      <c r="AM2314">
        <v>38.6</v>
      </c>
      <c r="AN2314">
        <v>0</v>
      </c>
      <c r="AO2314">
        <v>0</v>
      </c>
      <c r="AP2314">
        <v>0</v>
      </c>
      <c r="AQ2314">
        <v>0</v>
      </c>
      <c r="AR2314">
        <v>0</v>
      </c>
      <c r="AS2314">
        <v>0</v>
      </c>
      <c r="AT2314">
        <v>0</v>
      </c>
      <c r="AU2314">
        <v>0</v>
      </c>
      <c r="AV2314">
        <v>0</v>
      </c>
      <c r="AW2314">
        <v>0</v>
      </c>
      <c r="AX2314">
        <v>0</v>
      </c>
      <c r="AY2314">
        <v>0</v>
      </c>
      <c r="AZ2314">
        <v>0</v>
      </c>
      <c r="BA2314">
        <v>0</v>
      </c>
      <c r="BB2314">
        <v>0</v>
      </c>
      <c r="BC2314">
        <v>0</v>
      </c>
      <c r="BD2314">
        <v>0</v>
      </c>
      <c r="BE2314">
        <v>0</v>
      </c>
      <c r="BF2314">
        <v>0</v>
      </c>
      <c r="BG2314">
        <v>0</v>
      </c>
      <c r="BH2314">
        <v>1</v>
      </c>
      <c r="BI2314">
        <v>5.4</v>
      </c>
      <c r="BJ2314">
        <v>8.8000000000000007</v>
      </c>
      <c r="BK2314">
        <v>9</v>
      </c>
      <c r="BL2314" s="4">
        <v>226.91</v>
      </c>
      <c r="BM2314" s="4">
        <v>34.04</v>
      </c>
      <c r="BN2314" s="4">
        <v>260.95</v>
      </c>
      <c r="BO2314" s="4">
        <v>260.95</v>
      </c>
      <c r="BQ2314" t="s">
        <v>436</v>
      </c>
      <c r="BR2314" t="s">
        <v>84</v>
      </c>
      <c r="BS2314" s="3">
        <v>43811</v>
      </c>
      <c r="BT2314" s="5">
        <v>0.38194444444444442</v>
      </c>
      <c r="BU2314" t="s">
        <v>2488</v>
      </c>
      <c r="BV2314" t="s">
        <v>86</v>
      </c>
      <c r="BY2314">
        <v>43953</v>
      </c>
      <c r="CA2314" t="s">
        <v>941</v>
      </c>
      <c r="CC2314" t="s">
        <v>199</v>
      </c>
      <c r="CD2314">
        <v>4052</v>
      </c>
      <c r="CE2314" t="s">
        <v>96</v>
      </c>
      <c r="CF2314" s="3">
        <v>43812</v>
      </c>
      <c r="CI2314">
        <v>1</v>
      </c>
      <c r="CJ2314">
        <v>1</v>
      </c>
      <c r="CK2314">
        <v>21</v>
      </c>
      <c r="CL2314" t="s">
        <v>89</v>
      </c>
    </row>
    <row r="2315" spans="1:90">
      <c r="A2315" t="s">
        <v>72</v>
      </c>
      <c r="B2315" t="s">
        <v>73</v>
      </c>
      <c r="C2315" t="s">
        <v>74</v>
      </c>
      <c r="E2315" t="str">
        <f>"FES1162727822"</f>
        <v>FES1162727822</v>
      </c>
      <c r="F2315" s="3">
        <v>43810</v>
      </c>
      <c r="G2315">
        <v>202006</v>
      </c>
      <c r="H2315" t="s">
        <v>75</v>
      </c>
      <c r="I2315" t="s">
        <v>76</v>
      </c>
      <c r="J2315" t="s">
        <v>77</v>
      </c>
      <c r="K2315" t="s">
        <v>78</v>
      </c>
      <c r="L2315" t="s">
        <v>446</v>
      </c>
      <c r="M2315" t="s">
        <v>447</v>
      </c>
      <c r="N2315" t="s">
        <v>448</v>
      </c>
      <c r="O2315" t="s">
        <v>82</v>
      </c>
      <c r="P2315" t="str">
        <f>"2170719781                    "</f>
        <v xml:space="preserve">2170719781                    </v>
      </c>
      <c r="Q2315">
        <v>0</v>
      </c>
      <c r="R2315">
        <v>0</v>
      </c>
      <c r="S2315">
        <v>0</v>
      </c>
      <c r="T2315">
        <v>0</v>
      </c>
      <c r="U2315">
        <v>0</v>
      </c>
      <c r="V2315">
        <v>0</v>
      </c>
      <c r="W2315">
        <v>0</v>
      </c>
      <c r="X2315">
        <v>0</v>
      </c>
      <c r="Y2315">
        <v>0</v>
      </c>
      <c r="Z2315">
        <v>0</v>
      </c>
      <c r="AA2315">
        <v>0</v>
      </c>
      <c r="AB2315">
        <v>0</v>
      </c>
      <c r="AC2315">
        <v>0</v>
      </c>
      <c r="AD2315">
        <v>0</v>
      </c>
      <c r="AE2315">
        <v>0</v>
      </c>
      <c r="AF2315">
        <v>0</v>
      </c>
      <c r="AG2315">
        <v>0</v>
      </c>
      <c r="AH2315">
        <v>0</v>
      </c>
      <c r="AI2315">
        <v>0</v>
      </c>
      <c r="AJ2315">
        <v>0</v>
      </c>
      <c r="AK2315">
        <v>0</v>
      </c>
      <c r="AL2315">
        <v>0</v>
      </c>
      <c r="AM2315">
        <v>8.58</v>
      </c>
      <c r="AN2315">
        <v>0</v>
      </c>
      <c r="AO2315">
        <v>0</v>
      </c>
      <c r="AP2315">
        <v>0</v>
      </c>
      <c r="AQ2315">
        <v>0</v>
      </c>
      <c r="AR2315">
        <v>0</v>
      </c>
      <c r="AS2315">
        <v>0</v>
      </c>
      <c r="AT2315">
        <v>0</v>
      </c>
      <c r="AU2315">
        <v>0</v>
      </c>
      <c r="AV2315">
        <v>0</v>
      </c>
      <c r="AW2315">
        <v>0</v>
      </c>
      <c r="AX2315">
        <v>0</v>
      </c>
      <c r="AY2315">
        <v>0</v>
      </c>
      <c r="AZ2315">
        <v>0</v>
      </c>
      <c r="BA2315">
        <v>0</v>
      </c>
      <c r="BB2315">
        <v>0</v>
      </c>
      <c r="BC2315">
        <v>0</v>
      </c>
      <c r="BD2315">
        <v>0</v>
      </c>
      <c r="BE2315">
        <v>0</v>
      </c>
      <c r="BF2315">
        <v>0</v>
      </c>
      <c r="BG2315">
        <v>0</v>
      </c>
      <c r="BH2315">
        <v>1</v>
      </c>
      <c r="BI2315">
        <v>1.6</v>
      </c>
      <c r="BJ2315">
        <v>1</v>
      </c>
      <c r="BK2315">
        <v>2</v>
      </c>
      <c r="BL2315" s="4">
        <v>50.45</v>
      </c>
      <c r="BM2315" s="4">
        <v>7.57</v>
      </c>
      <c r="BN2315" s="4">
        <v>58.02</v>
      </c>
      <c r="BO2315" s="4">
        <v>58.02</v>
      </c>
      <c r="BQ2315" t="s">
        <v>256</v>
      </c>
      <c r="BR2315" t="s">
        <v>84</v>
      </c>
      <c r="BS2315" s="3">
        <v>43811</v>
      </c>
      <c r="BT2315" s="5">
        <v>0.34027777777777773</v>
      </c>
      <c r="BU2315" t="s">
        <v>730</v>
      </c>
      <c r="BV2315" t="s">
        <v>86</v>
      </c>
      <c r="BY2315">
        <v>4796.07</v>
      </c>
      <c r="CA2315" t="s">
        <v>212</v>
      </c>
      <c r="CC2315" t="s">
        <v>447</v>
      </c>
      <c r="CD2315">
        <v>4113</v>
      </c>
      <c r="CE2315" t="s">
        <v>96</v>
      </c>
      <c r="CF2315" s="3">
        <v>43812</v>
      </c>
      <c r="CI2315">
        <v>1</v>
      </c>
      <c r="CJ2315">
        <v>1</v>
      </c>
      <c r="CK2315">
        <v>21</v>
      </c>
      <c r="CL2315" t="s">
        <v>89</v>
      </c>
    </row>
    <row r="2316" spans="1:90">
      <c r="A2316" t="s">
        <v>72</v>
      </c>
      <c r="B2316" t="s">
        <v>73</v>
      </c>
      <c r="C2316" t="s">
        <v>74</v>
      </c>
      <c r="E2316" t="str">
        <f>"FES1162727781"</f>
        <v>FES1162727781</v>
      </c>
      <c r="F2316" s="3">
        <v>43810</v>
      </c>
      <c r="G2316">
        <v>202006</v>
      </c>
      <c r="H2316" t="s">
        <v>75</v>
      </c>
      <c r="I2316" t="s">
        <v>76</v>
      </c>
      <c r="J2316" t="s">
        <v>77</v>
      </c>
      <c r="K2316" t="s">
        <v>78</v>
      </c>
      <c r="L2316" t="s">
        <v>308</v>
      </c>
      <c r="M2316" t="s">
        <v>308</v>
      </c>
      <c r="N2316" t="s">
        <v>309</v>
      </c>
      <c r="O2316" t="s">
        <v>82</v>
      </c>
      <c r="P2316" t="str">
        <f>"217071271                     "</f>
        <v xml:space="preserve">217071271                     </v>
      </c>
      <c r="Q2316">
        <v>0</v>
      </c>
      <c r="R2316">
        <v>0</v>
      </c>
      <c r="S2316">
        <v>0</v>
      </c>
      <c r="T2316">
        <v>0</v>
      </c>
      <c r="U2316">
        <v>0</v>
      </c>
      <c r="V2316">
        <v>0</v>
      </c>
      <c r="W2316">
        <v>0</v>
      </c>
      <c r="X2316">
        <v>0</v>
      </c>
      <c r="Y2316">
        <v>0</v>
      </c>
      <c r="Z2316">
        <v>0</v>
      </c>
      <c r="AA2316">
        <v>0</v>
      </c>
      <c r="AB2316">
        <v>0</v>
      </c>
      <c r="AC2316">
        <v>0</v>
      </c>
      <c r="AD2316">
        <v>0</v>
      </c>
      <c r="AE2316">
        <v>0</v>
      </c>
      <c r="AF2316">
        <v>0</v>
      </c>
      <c r="AG2316">
        <v>0</v>
      </c>
      <c r="AH2316">
        <v>0</v>
      </c>
      <c r="AI2316">
        <v>0</v>
      </c>
      <c r="AJ2316">
        <v>0</v>
      </c>
      <c r="AK2316">
        <v>0</v>
      </c>
      <c r="AL2316">
        <v>0</v>
      </c>
      <c r="AM2316">
        <v>24.14</v>
      </c>
      <c r="AN2316">
        <v>0</v>
      </c>
      <c r="AO2316">
        <v>0</v>
      </c>
      <c r="AP2316">
        <v>0</v>
      </c>
      <c r="AQ2316">
        <v>0</v>
      </c>
      <c r="AR2316">
        <v>0</v>
      </c>
      <c r="AS2316">
        <v>0</v>
      </c>
      <c r="AT2316">
        <v>0</v>
      </c>
      <c r="AU2316">
        <v>0</v>
      </c>
      <c r="AV2316">
        <v>0</v>
      </c>
      <c r="AW2316">
        <v>0</v>
      </c>
      <c r="AX2316">
        <v>0</v>
      </c>
      <c r="AY2316">
        <v>0</v>
      </c>
      <c r="AZ2316">
        <v>0</v>
      </c>
      <c r="BA2316">
        <v>0</v>
      </c>
      <c r="BB2316">
        <v>0</v>
      </c>
      <c r="BC2316">
        <v>0</v>
      </c>
      <c r="BD2316">
        <v>0</v>
      </c>
      <c r="BE2316">
        <v>0</v>
      </c>
      <c r="BF2316">
        <v>0</v>
      </c>
      <c r="BG2316">
        <v>0</v>
      </c>
      <c r="BH2316">
        <v>1</v>
      </c>
      <c r="BI2316">
        <v>1</v>
      </c>
      <c r="BJ2316">
        <v>2.6</v>
      </c>
      <c r="BK2316">
        <v>3</v>
      </c>
      <c r="BL2316" s="4">
        <v>141.9</v>
      </c>
      <c r="BM2316" s="4">
        <v>21.29</v>
      </c>
      <c r="BN2316" s="4">
        <v>163.19</v>
      </c>
      <c r="BO2316" s="4">
        <v>163.19</v>
      </c>
      <c r="BQ2316" t="s">
        <v>93</v>
      </c>
      <c r="BR2316" t="s">
        <v>84</v>
      </c>
      <c r="BS2316" s="3">
        <v>43811</v>
      </c>
      <c r="BT2316" s="5">
        <v>0.49374999999999997</v>
      </c>
      <c r="BU2316" t="s">
        <v>2510</v>
      </c>
      <c r="BV2316" t="s">
        <v>86</v>
      </c>
      <c r="BY2316">
        <v>13082.64</v>
      </c>
      <c r="CA2316" t="s">
        <v>1277</v>
      </c>
      <c r="CC2316" t="s">
        <v>308</v>
      </c>
      <c r="CD2316">
        <v>7646</v>
      </c>
      <c r="CE2316" t="s">
        <v>116</v>
      </c>
      <c r="CF2316" s="3">
        <v>43812</v>
      </c>
      <c r="CI2316">
        <v>1</v>
      </c>
      <c r="CJ2316">
        <v>1</v>
      </c>
      <c r="CK2316">
        <v>23</v>
      </c>
      <c r="CL2316" t="s">
        <v>89</v>
      </c>
    </row>
    <row r="2317" spans="1:90">
      <c r="A2317" t="s">
        <v>72</v>
      </c>
      <c r="B2317" t="s">
        <v>73</v>
      </c>
      <c r="C2317" t="s">
        <v>74</v>
      </c>
      <c r="E2317" t="str">
        <f>"FES1162727850"</f>
        <v>FES1162727850</v>
      </c>
      <c r="F2317" s="3">
        <v>43810</v>
      </c>
      <c r="G2317">
        <v>202006</v>
      </c>
      <c r="H2317" t="s">
        <v>75</v>
      </c>
      <c r="I2317" t="s">
        <v>76</v>
      </c>
      <c r="J2317" t="s">
        <v>77</v>
      </c>
      <c r="K2317" t="s">
        <v>78</v>
      </c>
      <c r="L2317" t="s">
        <v>90</v>
      </c>
      <c r="M2317" t="s">
        <v>91</v>
      </c>
      <c r="N2317" t="s">
        <v>207</v>
      </c>
      <c r="O2317" t="s">
        <v>82</v>
      </c>
      <c r="P2317" t="str">
        <f>"2170713098                    "</f>
        <v xml:space="preserve">2170713098                    </v>
      </c>
      <c r="Q2317">
        <v>0</v>
      </c>
      <c r="R2317">
        <v>0</v>
      </c>
      <c r="S2317">
        <v>0</v>
      </c>
      <c r="T2317">
        <v>0</v>
      </c>
      <c r="U2317">
        <v>0</v>
      </c>
      <c r="V2317">
        <v>0</v>
      </c>
      <c r="W2317">
        <v>0</v>
      </c>
      <c r="X2317">
        <v>0</v>
      </c>
      <c r="Y2317">
        <v>0</v>
      </c>
      <c r="Z2317">
        <v>0</v>
      </c>
      <c r="AA2317">
        <v>0</v>
      </c>
      <c r="AB2317">
        <v>0</v>
      </c>
      <c r="AC2317">
        <v>0</v>
      </c>
      <c r="AD2317">
        <v>0</v>
      </c>
      <c r="AE2317">
        <v>0</v>
      </c>
      <c r="AF2317">
        <v>0</v>
      </c>
      <c r="AG2317">
        <v>0</v>
      </c>
      <c r="AH2317">
        <v>0</v>
      </c>
      <c r="AI2317">
        <v>0</v>
      </c>
      <c r="AJ2317">
        <v>0</v>
      </c>
      <c r="AK2317">
        <v>0</v>
      </c>
      <c r="AL2317">
        <v>0</v>
      </c>
      <c r="AM2317">
        <v>34.31</v>
      </c>
      <c r="AN2317">
        <v>0</v>
      </c>
      <c r="AO2317">
        <v>0</v>
      </c>
      <c r="AP2317">
        <v>0</v>
      </c>
      <c r="AQ2317">
        <v>0</v>
      </c>
      <c r="AR2317">
        <v>0</v>
      </c>
      <c r="AS2317">
        <v>0</v>
      </c>
      <c r="AT2317">
        <v>0</v>
      </c>
      <c r="AU2317">
        <v>0</v>
      </c>
      <c r="AV2317">
        <v>0</v>
      </c>
      <c r="AW2317">
        <v>0</v>
      </c>
      <c r="AX2317">
        <v>0</v>
      </c>
      <c r="AY2317">
        <v>0</v>
      </c>
      <c r="AZ2317">
        <v>0</v>
      </c>
      <c r="BA2317">
        <v>0</v>
      </c>
      <c r="BB2317">
        <v>0</v>
      </c>
      <c r="BC2317">
        <v>0</v>
      </c>
      <c r="BD2317">
        <v>0</v>
      </c>
      <c r="BE2317">
        <v>0</v>
      </c>
      <c r="BF2317">
        <v>0</v>
      </c>
      <c r="BG2317">
        <v>0</v>
      </c>
      <c r="BH2317">
        <v>2</v>
      </c>
      <c r="BI2317">
        <v>7.6</v>
      </c>
      <c r="BJ2317">
        <v>7.2</v>
      </c>
      <c r="BK2317">
        <v>8</v>
      </c>
      <c r="BL2317" s="4">
        <v>201.7</v>
      </c>
      <c r="BM2317" s="4">
        <v>30.26</v>
      </c>
      <c r="BN2317" s="4">
        <v>231.96</v>
      </c>
      <c r="BO2317" s="4">
        <v>231.96</v>
      </c>
      <c r="BQ2317" t="s">
        <v>147</v>
      </c>
      <c r="BR2317" t="s">
        <v>84</v>
      </c>
      <c r="BS2317" s="3">
        <v>43811</v>
      </c>
      <c r="BT2317" s="5">
        <v>0.37152777777777773</v>
      </c>
      <c r="BU2317" t="s">
        <v>349</v>
      </c>
      <c r="BV2317" t="s">
        <v>86</v>
      </c>
      <c r="BY2317">
        <v>35893.29</v>
      </c>
      <c r="CA2317" t="s">
        <v>209</v>
      </c>
      <c r="CC2317" t="s">
        <v>91</v>
      </c>
      <c r="CD2317">
        <v>7441</v>
      </c>
      <c r="CE2317" t="s">
        <v>122</v>
      </c>
      <c r="CF2317" s="3">
        <v>43812</v>
      </c>
      <c r="CI2317">
        <v>1</v>
      </c>
      <c r="CJ2317">
        <v>1</v>
      </c>
      <c r="CK2317">
        <v>21</v>
      </c>
      <c r="CL2317" t="s">
        <v>89</v>
      </c>
    </row>
    <row r="2318" spans="1:90">
      <c r="A2318" t="s">
        <v>72</v>
      </c>
      <c r="B2318" t="s">
        <v>73</v>
      </c>
      <c r="C2318" t="s">
        <v>74</v>
      </c>
      <c r="E2318" t="str">
        <f>"FES1162727770"</f>
        <v>FES1162727770</v>
      </c>
      <c r="F2318" s="3">
        <v>43810</v>
      </c>
      <c r="G2318">
        <v>202006</v>
      </c>
      <c r="H2318" t="s">
        <v>75</v>
      </c>
      <c r="I2318" t="s">
        <v>76</v>
      </c>
      <c r="J2318" t="s">
        <v>77</v>
      </c>
      <c r="K2318" t="s">
        <v>78</v>
      </c>
      <c r="L2318" t="s">
        <v>186</v>
      </c>
      <c r="M2318" t="s">
        <v>187</v>
      </c>
      <c r="N2318" t="s">
        <v>572</v>
      </c>
      <c r="O2318" t="s">
        <v>82</v>
      </c>
      <c r="P2318" t="str">
        <f>"217071257                     "</f>
        <v xml:space="preserve">217071257                     </v>
      </c>
      <c r="Q2318">
        <v>0</v>
      </c>
      <c r="R2318">
        <v>0</v>
      </c>
      <c r="S2318">
        <v>0</v>
      </c>
      <c r="T2318">
        <v>0</v>
      </c>
      <c r="U2318">
        <v>0</v>
      </c>
      <c r="V2318">
        <v>0</v>
      </c>
      <c r="W2318">
        <v>0</v>
      </c>
      <c r="X2318">
        <v>0</v>
      </c>
      <c r="Y2318">
        <v>0</v>
      </c>
      <c r="Z2318">
        <v>0</v>
      </c>
      <c r="AA2318">
        <v>0</v>
      </c>
      <c r="AB2318">
        <v>0</v>
      </c>
      <c r="AC2318">
        <v>0</v>
      </c>
      <c r="AD2318">
        <v>0</v>
      </c>
      <c r="AE2318">
        <v>0</v>
      </c>
      <c r="AF2318">
        <v>0</v>
      </c>
      <c r="AG2318">
        <v>0</v>
      </c>
      <c r="AH2318">
        <v>0</v>
      </c>
      <c r="AI2318">
        <v>0</v>
      </c>
      <c r="AJ2318">
        <v>0</v>
      </c>
      <c r="AK2318">
        <v>0</v>
      </c>
      <c r="AL2318">
        <v>0</v>
      </c>
      <c r="AM2318">
        <v>31.65</v>
      </c>
      <c r="AN2318">
        <v>0</v>
      </c>
      <c r="AO2318">
        <v>0</v>
      </c>
      <c r="AP2318">
        <v>0</v>
      </c>
      <c r="AQ2318">
        <v>0</v>
      </c>
      <c r="AR2318">
        <v>0</v>
      </c>
      <c r="AS2318">
        <v>0</v>
      </c>
      <c r="AT2318">
        <v>0</v>
      </c>
      <c r="AU2318">
        <v>0</v>
      </c>
      <c r="AV2318">
        <v>0</v>
      </c>
      <c r="AW2318">
        <v>0</v>
      </c>
      <c r="AX2318">
        <v>0</v>
      </c>
      <c r="AY2318">
        <v>0</v>
      </c>
      <c r="AZ2318">
        <v>0</v>
      </c>
      <c r="BA2318">
        <v>0</v>
      </c>
      <c r="BB2318">
        <v>0</v>
      </c>
      <c r="BC2318">
        <v>0</v>
      </c>
      <c r="BD2318">
        <v>0</v>
      </c>
      <c r="BE2318">
        <v>0</v>
      </c>
      <c r="BF2318">
        <v>0</v>
      </c>
      <c r="BG2318">
        <v>0</v>
      </c>
      <c r="BH2318">
        <v>1</v>
      </c>
      <c r="BI2318">
        <v>1.2</v>
      </c>
      <c r="BJ2318">
        <v>3.6</v>
      </c>
      <c r="BK2318">
        <v>4</v>
      </c>
      <c r="BL2318" s="4">
        <v>186.05</v>
      </c>
      <c r="BM2318" s="4">
        <v>27.91</v>
      </c>
      <c r="BN2318" s="4">
        <v>213.96</v>
      </c>
      <c r="BO2318" s="4">
        <v>213.96</v>
      </c>
      <c r="BQ2318" t="s">
        <v>93</v>
      </c>
      <c r="BR2318" t="s">
        <v>84</v>
      </c>
      <c r="BS2318" s="3">
        <v>43812</v>
      </c>
      <c r="BT2318" s="5">
        <v>0.38194444444444442</v>
      </c>
      <c r="BU2318" t="s">
        <v>2512</v>
      </c>
      <c r="BV2318" t="s">
        <v>86</v>
      </c>
      <c r="BY2318">
        <v>18072.77</v>
      </c>
      <c r="CA2318" t="s">
        <v>190</v>
      </c>
      <c r="CC2318" t="s">
        <v>187</v>
      </c>
      <c r="CD2318">
        <v>6850</v>
      </c>
      <c r="CE2318" t="s">
        <v>116</v>
      </c>
      <c r="CF2318" s="3">
        <v>43816</v>
      </c>
      <c r="CI2318">
        <v>3</v>
      </c>
      <c r="CJ2318">
        <v>2</v>
      </c>
      <c r="CK2318">
        <v>23</v>
      </c>
      <c r="CL2318" t="s">
        <v>89</v>
      </c>
    </row>
    <row r="2319" spans="1:90">
      <c r="A2319" t="s">
        <v>72</v>
      </c>
      <c r="B2319" t="s">
        <v>73</v>
      </c>
      <c r="C2319" t="s">
        <v>74</v>
      </c>
      <c r="E2319" t="str">
        <f>"FES1162727846"</f>
        <v>FES1162727846</v>
      </c>
      <c r="F2319" s="3">
        <v>43810</v>
      </c>
      <c r="G2319">
        <v>202006</v>
      </c>
      <c r="H2319" t="s">
        <v>75</v>
      </c>
      <c r="I2319" t="s">
        <v>76</v>
      </c>
      <c r="J2319" t="s">
        <v>77</v>
      </c>
      <c r="K2319" t="s">
        <v>78</v>
      </c>
      <c r="L2319" t="s">
        <v>90</v>
      </c>
      <c r="M2319" t="s">
        <v>91</v>
      </c>
      <c r="N2319" t="s">
        <v>2015</v>
      </c>
      <c r="O2319" t="s">
        <v>82</v>
      </c>
      <c r="P2319" t="str">
        <f>"217071300                     "</f>
        <v xml:space="preserve">217071300                     </v>
      </c>
      <c r="Q2319">
        <v>0</v>
      </c>
      <c r="R2319">
        <v>0</v>
      </c>
      <c r="S2319">
        <v>0</v>
      </c>
      <c r="T2319">
        <v>0</v>
      </c>
      <c r="U2319">
        <v>0</v>
      </c>
      <c r="V2319">
        <v>0</v>
      </c>
      <c r="W2319">
        <v>0</v>
      </c>
      <c r="X2319">
        <v>0</v>
      </c>
      <c r="Y2319">
        <v>0</v>
      </c>
      <c r="Z2319">
        <v>0</v>
      </c>
      <c r="AA2319">
        <v>0</v>
      </c>
      <c r="AB2319">
        <v>0</v>
      </c>
      <c r="AC2319">
        <v>0</v>
      </c>
      <c r="AD2319">
        <v>0</v>
      </c>
      <c r="AE2319">
        <v>0</v>
      </c>
      <c r="AF2319">
        <v>0</v>
      </c>
      <c r="AG2319">
        <v>0</v>
      </c>
      <c r="AH2319">
        <v>0</v>
      </c>
      <c r="AI2319">
        <v>0</v>
      </c>
      <c r="AJ2319">
        <v>0</v>
      </c>
      <c r="AK2319">
        <v>0</v>
      </c>
      <c r="AL2319">
        <v>0</v>
      </c>
      <c r="AM2319">
        <v>8.58</v>
      </c>
      <c r="AN2319">
        <v>0</v>
      </c>
      <c r="AO2319">
        <v>0</v>
      </c>
      <c r="AP2319">
        <v>0</v>
      </c>
      <c r="AQ2319">
        <v>0</v>
      </c>
      <c r="AR2319">
        <v>0</v>
      </c>
      <c r="AS2319">
        <v>0</v>
      </c>
      <c r="AT2319">
        <v>0</v>
      </c>
      <c r="AU2319">
        <v>0</v>
      </c>
      <c r="AV2319">
        <v>0</v>
      </c>
      <c r="AW2319">
        <v>0</v>
      </c>
      <c r="AX2319">
        <v>0</v>
      </c>
      <c r="AY2319">
        <v>0</v>
      </c>
      <c r="AZ2319">
        <v>0</v>
      </c>
      <c r="BA2319">
        <v>0</v>
      </c>
      <c r="BB2319">
        <v>0</v>
      </c>
      <c r="BC2319">
        <v>0</v>
      </c>
      <c r="BD2319">
        <v>0</v>
      </c>
      <c r="BE2319">
        <v>0</v>
      </c>
      <c r="BF2319">
        <v>0</v>
      </c>
      <c r="BG2319">
        <v>0</v>
      </c>
      <c r="BH2319">
        <v>1</v>
      </c>
      <c r="BI2319">
        <v>1</v>
      </c>
      <c r="BJ2319">
        <v>0.2</v>
      </c>
      <c r="BK2319">
        <v>1</v>
      </c>
      <c r="BL2319" s="4">
        <v>50.45</v>
      </c>
      <c r="BM2319" s="4">
        <v>7.57</v>
      </c>
      <c r="BN2319" s="4">
        <v>58.02</v>
      </c>
      <c r="BO2319" s="4">
        <v>58.02</v>
      </c>
      <c r="BQ2319" t="s">
        <v>93</v>
      </c>
      <c r="BR2319" t="s">
        <v>84</v>
      </c>
      <c r="BS2319" s="3">
        <v>43811</v>
      </c>
      <c r="BT2319" s="5">
        <v>0.38958333333333334</v>
      </c>
      <c r="BU2319" t="s">
        <v>2513</v>
      </c>
      <c r="BV2319" t="s">
        <v>86</v>
      </c>
      <c r="BY2319">
        <v>1200</v>
      </c>
      <c r="CA2319" t="s">
        <v>809</v>
      </c>
      <c r="CC2319" t="s">
        <v>91</v>
      </c>
      <c r="CD2319">
        <v>7925</v>
      </c>
      <c r="CE2319" t="s">
        <v>88</v>
      </c>
      <c r="CF2319" s="3">
        <v>43812</v>
      </c>
      <c r="CI2319">
        <v>1</v>
      </c>
      <c r="CJ2319">
        <v>1</v>
      </c>
      <c r="CK2319">
        <v>21</v>
      </c>
      <c r="CL2319" t="s">
        <v>89</v>
      </c>
    </row>
    <row r="2320" spans="1:90">
      <c r="A2320" t="s">
        <v>72</v>
      </c>
      <c r="B2320" t="s">
        <v>73</v>
      </c>
      <c r="C2320" t="s">
        <v>74</v>
      </c>
      <c r="E2320" t="str">
        <f>"FES1162727833"</f>
        <v>FES1162727833</v>
      </c>
      <c r="F2320" s="3">
        <v>43810</v>
      </c>
      <c r="G2320">
        <v>202006</v>
      </c>
      <c r="H2320" t="s">
        <v>75</v>
      </c>
      <c r="I2320" t="s">
        <v>76</v>
      </c>
      <c r="J2320" t="s">
        <v>77</v>
      </c>
      <c r="K2320" t="s">
        <v>78</v>
      </c>
      <c r="L2320" t="s">
        <v>75</v>
      </c>
      <c r="M2320" t="s">
        <v>76</v>
      </c>
      <c r="N2320" t="s">
        <v>312</v>
      </c>
      <c r="O2320" t="s">
        <v>82</v>
      </c>
      <c r="P2320" t="str">
        <f>"2170721282                    "</f>
        <v xml:space="preserve">2170721282                    </v>
      </c>
      <c r="Q2320">
        <v>0</v>
      </c>
      <c r="R2320">
        <v>0</v>
      </c>
      <c r="S2320">
        <v>0</v>
      </c>
      <c r="T2320">
        <v>0</v>
      </c>
      <c r="U2320">
        <v>0</v>
      </c>
      <c r="V2320">
        <v>0</v>
      </c>
      <c r="W2320">
        <v>0</v>
      </c>
      <c r="X2320">
        <v>0</v>
      </c>
      <c r="Y2320">
        <v>0</v>
      </c>
      <c r="Z2320">
        <v>0</v>
      </c>
      <c r="AA2320">
        <v>0</v>
      </c>
      <c r="AB2320">
        <v>0</v>
      </c>
      <c r="AC2320">
        <v>0</v>
      </c>
      <c r="AD2320">
        <v>0</v>
      </c>
      <c r="AE2320">
        <v>0</v>
      </c>
      <c r="AF2320">
        <v>0</v>
      </c>
      <c r="AG2320">
        <v>0</v>
      </c>
      <c r="AH2320">
        <v>0</v>
      </c>
      <c r="AI2320">
        <v>0</v>
      </c>
      <c r="AJ2320">
        <v>0</v>
      </c>
      <c r="AK2320">
        <v>0</v>
      </c>
      <c r="AL2320">
        <v>0</v>
      </c>
      <c r="AM2320">
        <v>6.71</v>
      </c>
      <c r="AN2320">
        <v>0</v>
      </c>
      <c r="AO2320">
        <v>0</v>
      </c>
      <c r="AP2320">
        <v>0</v>
      </c>
      <c r="AQ2320">
        <v>0</v>
      </c>
      <c r="AR2320">
        <v>0</v>
      </c>
      <c r="AS2320">
        <v>0</v>
      </c>
      <c r="AT2320">
        <v>0</v>
      </c>
      <c r="AU2320">
        <v>0</v>
      </c>
      <c r="AV2320">
        <v>0</v>
      </c>
      <c r="AW2320">
        <v>0</v>
      </c>
      <c r="AX2320">
        <v>0</v>
      </c>
      <c r="AY2320">
        <v>0</v>
      </c>
      <c r="AZ2320">
        <v>0</v>
      </c>
      <c r="BA2320">
        <v>0</v>
      </c>
      <c r="BB2320">
        <v>0</v>
      </c>
      <c r="BC2320">
        <v>0</v>
      </c>
      <c r="BD2320">
        <v>0</v>
      </c>
      <c r="BE2320">
        <v>0</v>
      </c>
      <c r="BF2320">
        <v>0</v>
      </c>
      <c r="BG2320">
        <v>0</v>
      </c>
      <c r="BH2320">
        <v>1</v>
      </c>
      <c r="BI2320">
        <v>1</v>
      </c>
      <c r="BJ2320">
        <v>0.2</v>
      </c>
      <c r="BK2320">
        <v>1</v>
      </c>
      <c r="BL2320" s="4">
        <v>39.42</v>
      </c>
      <c r="BM2320" s="4">
        <v>5.91</v>
      </c>
      <c r="BN2320" s="4">
        <v>45.33</v>
      </c>
      <c r="BO2320" s="4">
        <v>45.33</v>
      </c>
      <c r="BQ2320" t="s">
        <v>147</v>
      </c>
      <c r="BR2320" t="s">
        <v>84</v>
      </c>
      <c r="BS2320" s="3">
        <v>43811</v>
      </c>
      <c r="BT2320" s="5">
        <v>0.37152777777777773</v>
      </c>
      <c r="BU2320" t="s">
        <v>625</v>
      </c>
      <c r="BV2320" t="s">
        <v>86</v>
      </c>
      <c r="BY2320">
        <v>1200</v>
      </c>
      <c r="CC2320" t="s">
        <v>76</v>
      </c>
      <c r="CD2320">
        <v>1609</v>
      </c>
      <c r="CE2320" t="s">
        <v>88</v>
      </c>
      <c r="CF2320" s="3">
        <v>43812</v>
      </c>
      <c r="CI2320">
        <v>1</v>
      </c>
      <c r="CJ2320">
        <v>1</v>
      </c>
      <c r="CK2320">
        <v>22</v>
      </c>
      <c r="CL2320" t="s">
        <v>89</v>
      </c>
    </row>
    <row r="2321" spans="1:90">
      <c r="A2321" t="s">
        <v>72</v>
      </c>
      <c r="B2321" t="s">
        <v>73</v>
      </c>
      <c r="C2321" t="s">
        <v>74</v>
      </c>
      <c r="E2321" t="str">
        <f>"FES1162727809"</f>
        <v>FES1162727809</v>
      </c>
      <c r="F2321" s="3">
        <v>43810</v>
      </c>
      <c r="G2321">
        <v>202006</v>
      </c>
      <c r="H2321" t="s">
        <v>75</v>
      </c>
      <c r="I2321" t="s">
        <v>76</v>
      </c>
      <c r="J2321" t="s">
        <v>77</v>
      </c>
      <c r="K2321" t="s">
        <v>78</v>
      </c>
      <c r="L2321" t="s">
        <v>646</v>
      </c>
      <c r="M2321" t="s">
        <v>647</v>
      </c>
      <c r="N2321" t="s">
        <v>648</v>
      </c>
      <c r="O2321" t="s">
        <v>82</v>
      </c>
      <c r="P2321" t="str">
        <f>"217071911                     "</f>
        <v xml:space="preserve">217071911                     </v>
      </c>
      <c r="Q2321">
        <v>0</v>
      </c>
      <c r="R2321">
        <v>0</v>
      </c>
      <c r="S2321">
        <v>0</v>
      </c>
      <c r="T2321">
        <v>0</v>
      </c>
      <c r="U2321">
        <v>0</v>
      </c>
      <c r="V2321">
        <v>0</v>
      </c>
      <c r="W2321">
        <v>0</v>
      </c>
      <c r="X2321">
        <v>0</v>
      </c>
      <c r="Y2321">
        <v>0</v>
      </c>
      <c r="Z2321">
        <v>0</v>
      </c>
      <c r="AA2321">
        <v>0</v>
      </c>
      <c r="AB2321">
        <v>0</v>
      </c>
      <c r="AC2321">
        <v>0</v>
      </c>
      <c r="AD2321">
        <v>0</v>
      </c>
      <c r="AE2321">
        <v>0</v>
      </c>
      <c r="AF2321">
        <v>0</v>
      </c>
      <c r="AG2321">
        <v>0</v>
      </c>
      <c r="AH2321">
        <v>0</v>
      </c>
      <c r="AI2321">
        <v>0</v>
      </c>
      <c r="AJ2321">
        <v>0</v>
      </c>
      <c r="AK2321">
        <v>0</v>
      </c>
      <c r="AL2321">
        <v>0</v>
      </c>
      <c r="AM2321">
        <v>12.07</v>
      </c>
      <c r="AN2321">
        <v>0</v>
      </c>
      <c r="AO2321">
        <v>0</v>
      </c>
      <c r="AP2321">
        <v>0</v>
      </c>
      <c r="AQ2321">
        <v>0</v>
      </c>
      <c r="AR2321">
        <v>0</v>
      </c>
      <c r="AS2321">
        <v>0</v>
      </c>
      <c r="AT2321">
        <v>0</v>
      </c>
      <c r="AU2321">
        <v>0</v>
      </c>
      <c r="AV2321">
        <v>0</v>
      </c>
      <c r="AW2321">
        <v>0</v>
      </c>
      <c r="AX2321">
        <v>0</v>
      </c>
      <c r="AY2321">
        <v>0</v>
      </c>
      <c r="AZ2321">
        <v>0</v>
      </c>
      <c r="BA2321">
        <v>0</v>
      </c>
      <c r="BB2321">
        <v>0</v>
      </c>
      <c r="BC2321">
        <v>0</v>
      </c>
      <c r="BD2321">
        <v>0</v>
      </c>
      <c r="BE2321">
        <v>0</v>
      </c>
      <c r="BF2321">
        <v>0</v>
      </c>
      <c r="BG2321">
        <v>0</v>
      </c>
      <c r="BH2321">
        <v>1</v>
      </c>
      <c r="BI2321">
        <v>1</v>
      </c>
      <c r="BJ2321">
        <v>0.2</v>
      </c>
      <c r="BK2321">
        <v>1</v>
      </c>
      <c r="BL2321" s="4">
        <v>70.95</v>
      </c>
      <c r="BM2321" s="4">
        <v>10.64</v>
      </c>
      <c r="BN2321" s="4">
        <v>81.59</v>
      </c>
      <c r="BO2321" s="4">
        <v>81.59</v>
      </c>
      <c r="BR2321" t="s">
        <v>84</v>
      </c>
      <c r="BS2321" s="3">
        <v>43812</v>
      </c>
      <c r="BT2321" s="5">
        <v>0.44722222222222219</v>
      </c>
      <c r="BU2321" t="s">
        <v>617</v>
      </c>
      <c r="BV2321" t="s">
        <v>89</v>
      </c>
      <c r="BW2321" t="s">
        <v>1627</v>
      </c>
      <c r="BX2321" t="s">
        <v>619</v>
      </c>
      <c r="BY2321">
        <v>1200</v>
      </c>
      <c r="CA2321" t="s">
        <v>620</v>
      </c>
      <c r="CC2321" t="s">
        <v>647</v>
      </c>
      <c r="CD2321">
        <v>299</v>
      </c>
      <c r="CE2321" t="s">
        <v>88</v>
      </c>
      <c r="CF2321" s="3">
        <v>43818</v>
      </c>
      <c r="CI2321">
        <v>1</v>
      </c>
      <c r="CJ2321">
        <v>2</v>
      </c>
      <c r="CK2321">
        <v>24</v>
      </c>
      <c r="CL2321" t="s">
        <v>89</v>
      </c>
    </row>
    <row r="2322" spans="1:90">
      <c r="A2322" t="s">
        <v>72</v>
      </c>
      <c r="B2322" t="s">
        <v>73</v>
      </c>
      <c r="C2322" t="s">
        <v>74</v>
      </c>
      <c r="E2322" t="str">
        <f>"FES1162727738"</f>
        <v>FES1162727738</v>
      </c>
      <c r="F2322" s="3">
        <v>43810</v>
      </c>
      <c r="G2322">
        <v>202006</v>
      </c>
      <c r="H2322" t="s">
        <v>75</v>
      </c>
      <c r="I2322" t="s">
        <v>76</v>
      </c>
      <c r="J2322" t="s">
        <v>77</v>
      </c>
      <c r="K2322" t="s">
        <v>78</v>
      </c>
      <c r="L2322" t="s">
        <v>75</v>
      </c>
      <c r="M2322" t="s">
        <v>76</v>
      </c>
      <c r="N2322" t="s">
        <v>312</v>
      </c>
      <c r="O2322" t="s">
        <v>82</v>
      </c>
      <c r="P2322" t="str">
        <f>"2170721217                    "</f>
        <v xml:space="preserve">2170721217                    </v>
      </c>
      <c r="Q2322">
        <v>0</v>
      </c>
      <c r="R2322">
        <v>0</v>
      </c>
      <c r="S2322">
        <v>0</v>
      </c>
      <c r="T2322">
        <v>0</v>
      </c>
      <c r="U2322">
        <v>0</v>
      </c>
      <c r="V2322">
        <v>0</v>
      </c>
      <c r="W2322">
        <v>0</v>
      </c>
      <c r="X2322">
        <v>0</v>
      </c>
      <c r="Y2322">
        <v>0</v>
      </c>
      <c r="Z2322">
        <v>0</v>
      </c>
      <c r="AA2322">
        <v>0</v>
      </c>
      <c r="AB2322">
        <v>0</v>
      </c>
      <c r="AC2322">
        <v>0</v>
      </c>
      <c r="AD2322">
        <v>0</v>
      </c>
      <c r="AE2322">
        <v>0</v>
      </c>
      <c r="AF2322">
        <v>0</v>
      </c>
      <c r="AG2322">
        <v>0</v>
      </c>
      <c r="AH2322">
        <v>0</v>
      </c>
      <c r="AI2322">
        <v>0</v>
      </c>
      <c r="AJ2322">
        <v>0</v>
      </c>
      <c r="AK2322">
        <v>0</v>
      </c>
      <c r="AL2322">
        <v>0</v>
      </c>
      <c r="AM2322">
        <v>6.71</v>
      </c>
      <c r="AN2322">
        <v>0</v>
      </c>
      <c r="AO2322">
        <v>0</v>
      </c>
      <c r="AP2322">
        <v>0</v>
      </c>
      <c r="AQ2322">
        <v>0</v>
      </c>
      <c r="AR2322">
        <v>0</v>
      </c>
      <c r="AS2322">
        <v>0</v>
      </c>
      <c r="AT2322">
        <v>0</v>
      </c>
      <c r="AU2322">
        <v>0</v>
      </c>
      <c r="AV2322">
        <v>0</v>
      </c>
      <c r="AW2322">
        <v>0</v>
      </c>
      <c r="AX2322">
        <v>0</v>
      </c>
      <c r="AY2322">
        <v>0</v>
      </c>
      <c r="AZ2322">
        <v>0</v>
      </c>
      <c r="BA2322">
        <v>0</v>
      </c>
      <c r="BB2322">
        <v>0</v>
      </c>
      <c r="BC2322">
        <v>0</v>
      </c>
      <c r="BD2322">
        <v>0</v>
      </c>
      <c r="BE2322">
        <v>0</v>
      </c>
      <c r="BF2322">
        <v>0</v>
      </c>
      <c r="BG2322">
        <v>0</v>
      </c>
      <c r="BH2322">
        <v>1</v>
      </c>
      <c r="BI2322">
        <v>1</v>
      </c>
      <c r="BJ2322">
        <v>0.2</v>
      </c>
      <c r="BK2322">
        <v>1</v>
      </c>
      <c r="BL2322" s="4">
        <v>39.42</v>
      </c>
      <c r="BM2322" s="4">
        <v>5.91</v>
      </c>
      <c r="BN2322" s="4">
        <v>45.33</v>
      </c>
      <c r="BO2322" s="4">
        <v>45.33</v>
      </c>
      <c r="BQ2322" t="s">
        <v>147</v>
      </c>
      <c r="BR2322" t="s">
        <v>84</v>
      </c>
      <c r="BS2322" s="3">
        <v>43811</v>
      </c>
      <c r="BT2322" s="5">
        <v>0.37152777777777773</v>
      </c>
      <c r="BU2322" t="s">
        <v>625</v>
      </c>
      <c r="BV2322" t="s">
        <v>86</v>
      </c>
      <c r="BY2322">
        <v>1200</v>
      </c>
      <c r="CC2322" t="s">
        <v>76</v>
      </c>
      <c r="CD2322">
        <v>1609</v>
      </c>
      <c r="CE2322" t="s">
        <v>88</v>
      </c>
      <c r="CF2322" s="3">
        <v>43812</v>
      </c>
      <c r="CI2322">
        <v>1</v>
      </c>
      <c r="CJ2322">
        <v>1</v>
      </c>
      <c r="CK2322">
        <v>22</v>
      </c>
      <c r="CL2322" t="s">
        <v>89</v>
      </c>
    </row>
    <row r="2323" spans="1:90">
      <c r="A2323" t="s">
        <v>72</v>
      </c>
      <c r="B2323" t="s">
        <v>73</v>
      </c>
      <c r="C2323" t="s">
        <v>74</v>
      </c>
      <c r="E2323" t="str">
        <f>"FES1162727753"</f>
        <v>FES1162727753</v>
      </c>
      <c r="F2323" s="3">
        <v>43810</v>
      </c>
      <c r="G2323">
        <v>202006</v>
      </c>
      <c r="H2323" t="s">
        <v>75</v>
      </c>
      <c r="I2323" t="s">
        <v>76</v>
      </c>
      <c r="J2323" t="s">
        <v>77</v>
      </c>
      <c r="K2323" t="s">
        <v>78</v>
      </c>
      <c r="L2323" t="s">
        <v>151</v>
      </c>
      <c r="M2323" t="s">
        <v>102</v>
      </c>
      <c r="N2323" t="s">
        <v>683</v>
      </c>
      <c r="O2323" t="s">
        <v>82</v>
      </c>
      <c r="P2323" t="str">
        <f>"2170721237                    "</f>
        <v xml:space="preserve">2170721237                    </v>
      </c>
      <c r="Q2323">
        <v>0</v>
      </c>
      <c r="R2323">
        <v>0</v>
      </c>
      <c r="S2323">
        <v>0</v>
      </c>
      <c r="T2323">
        <v>0</v>
      </c>
      <c r="U2323">
        <v>0</v>
      </c>
      <c r="V2323">
        <v>0</v>
      </c>
      <c r="W2323">
        <v>0</v>
      </c>
      <c r="X2323">
        <v>0</v>
      </c>
      <c r="Y2323">
        <v>0</v>
      </c>
      <c r="Z2323">
        <v>0</v>
      </c>
      <c r="AA2323">
        <v>0</v>
      </c>
      <c r="AB2323">
        <v>0</v>
      </c>
      <c r="AC2323">
        <v>0</v>
      </c>
      <c r="AD2323">
        <v>0</v>
      </c>
      <c r="AE2323">
        <v>0</v>
      </c>
      <c r="AF2323">
        <v>0</v>
      </c>
      <c r="AG2323">
        <v>0</v>
      </c>
      <c r="AH2323">
        <v>0</v>
      </c>
      <c r="AI2323">
        <v>0</v>
      </c>
      <c r="AJ2323">
        <v>0</v>
      </c>
      <c r="AK2323">
        <v>0</v>
      </c>
      <c r="AL2323">
        <v>0</v>
      </c>
      <c r="AM2323">
        <v>8.58</v>
      </c>
      <c r="AN2323">
        <v>0</v>
      </c>
      <c r="AO2323">
        <v>0</v>
      </c>
      <c r="AP2323">
        <v>0</v>
      </c>
      <c r="AQ2323">
        <v>0</v>
      </c>
      <c r="AR2323">
        <v>0</v>
      </c>
      <c r="AS2323">
        <v>0</v>
      </c>
      <c r="AT2323">
        <v>0</v>
      </c>
      <c r="AU2323">
        <v>0</v>
      </c>
      <c r="AV2323">
        <v>0</v>
      </c>
      <c r="AW2323">
        <v>0</v>
      </c>
      <c r="AX2323">
        <v>0</v>
      </c>
      <c r="AY2323">
        <v>0</v>
      </c>
      <c r="AZ2323">
        <v>0</v>
      </c>
      <c r="BA2323">
        <v>0</v>
      </c>
      <c r="BB2323">
        <v>0</v>
      </c>
      <c r="BC2323">
        <v>0</v>
      </c>
      <c r="BD2323">
        <v>0</v>
      </c>
      <c r="BE2323">
        <v>0</v>
      </c>
      <c r="BF2323">
        <v>0</v>
      </c>
      <c r="BG2323">
        <v>0</v>
      </c>
      <c r="BH2323">
        <v>1</v>
      </c>
      <c r="BI2323">
        <v>1</v>
      </c>
      <c r="BJ2323">
        <v>0.2</v>
      </c>
      <c r="BK2323">
        <v>1</v>
      </c>
      <c r="BL2323" s="4">
        <v>50.45</v>
      </c>
      <c r="BM2323" s="4">
        <v>7.57</v>
      </c>
      <c r="BN2323" s="4">
        <v>58.02</v>
      </c>
      <c r="BO2323" s="4">
        <v>58.02</v>
      </c>
      <c r="BQ2323" t="s">
        <v>684</v>
      </c>
      <c r="BR2323" t="s">
        <v>84</v>
      </c>
      <c r="BS2323" s="3">
        <v>43811</v>
      </c>
      <c r="BT2323" s="5">
        <v>0.375</v>
      </c>
      <c r="BU2323" t="s">
        <v>2441</v>
      </c>
      <c r="BV2323" t="s">
        <v>86</v>
      </c>
      <c r="BY2323">
        <v>1200</v>
      </c>
      <c r="CA2323" t="s">
        <v>1357</v>
      </c>
      <c r="CC2323" t="s">
        <v>102</v>
      </c>
      <c r="CD2323">
        <v>200</v>
      </c>
      <c r="CE2323" t="s">
        <v>88</v>
      </c>
      <c r="CF2323" s="3">
        <v>43812</v>
      </c>
      <c r="CI2323">
        <v>1</v>
      </c>
      <c r="CJ2323">
        <v>1</v>
      </c>
      <c r="CK2323">
        <v>21</v>
      </c>
      <c r="CL2323" t="s">
        <v>89</v>
      </c>
    </row>
    <row r="2324" spans="1:90">
      <c r="A2324" t="s">
        <v>72</v>
      </c>
      <c r="B2324" t="s">
        <v>73</v>
      </c>
      <c r="C2324" t="s">
        <v>74</v>
      </c>
      <c r="E2324" t="str">
        <f>"FES1162727883"</f>
        <v>FES1162727883</v>
      </c>
      <c r="F2324" s="3">
        <v>43810</v>
      </c>
      <c r="G2324">
        <v>202006</v>
      </c>
      <c r="H2324" t="s">
        <v>75</v>
      </c>
      <c r="I2324" t="s">
        <v>76</v>
      </c>
      <c r="J2324" t="s">
        <v>77</v>
      </c>
      <c r="K2324" t="s">
        <v>78</v>
      </c>
      <c r="L2324" t="s">
        <v>90</v>
      </c>
      <c r="M2324" t="s">
        <v>91</v>
      </c>
      <c r="N2324" t="s">
        <v>875</v>
      </c>
      <c r="O2324" t="s">
        <v>82</v>
      </c>
      <c r="P2324" t="str">
        <f>"2170712360                    "</f>
        <v xml:space="preserve">2170712360                    </v>
      </c>
      <c r="Q2324">
        <v>0</v>
      </c>
      <c r="R2324">
        <v>0</v>
      </c>
      <c r="S2324">
        <v>0</v>
      </c>
      <c r="T2324">
        <v>0</v>
      </c>
      <c r="U2324">
        <v>0</v>
      </c>
      <c r="V2324">
        <v>0</v>
      </c>
      <c r="W2324">
        <v>0</v>
      </c>
      <c r="X2324">
        <v>0</v>
      </c>
      <c r="Y2324">
        <v>0</v>
      </c>
      <c r="Z2324">
        <v>0</v>
      </c>
      <c r="AA2324">
        <v>0</v>
      </c>
      <c r="AB2324">
        <v>0</v>
      </c>
      <c r="AC2324">
        <v>0</v>
      </c>
      <c r="AD2324">
        <v>0</v>
      </c>
      <c r="AE2324">
        <v>0</v>
      </c>
      <c r="AF2324">
        <v>0</v>
      </c>
      <c r="AG2324">
        <v>0</v>
      </c>
      <c r="AH2324">
        <v>0</v>
      </c>
      <c r="AI2324">
        <v>0</v>
      </c>
      <c r="AJ2324">
        <v>0</v>
      </c>
      <c r="AK2324">
        <v>0</v>
      </c>
      <c r="AL2324">
        <v>0</v>
      </c>
      <c r="AM2324">
        <v>8.58</v>
      </c>
      <c r="AN2324">
        <v>0</v>
      </c>
      <c r="AO2324">
        <v>0</v>
      </c>
      <c r="AP2324">
        <v>0</v>
      </c>
      <c r="AQ2324">
        <v>0</v>
      </c>
      <c r="AR2324">
        <v>0</v>
      </c>
      <c r="AS2324">
        <v>0</v>
      </c>
      <c r="AT2324">
        <v>0</v>
      </c>
      <c r="AU2324">
        <v>0</v>
      </c>
      <c r="AV2324">
        <v>0</v>
      </c>
      <c r="AW2324">
        <v>0</v>
      </c>
      <c r="AX2324">
        <v>0</v>
      </c>
      <c r="AY2324">
        <v>0</v>
      </c>
      <c r="AZ2324">
        <v>0</v>
      </c>
      <c r="BA2324">
        <v>0</v>
      </c>
      <c r="BB2324">
        <v>0</v>
      </c>
      <c r="BC2324">
        <v>0</v>
      </c>
      <c r="BD2324">
        <v>0</v>
      </c>
      <c r="BE2324">
        <v>0</v>
      </c>
      <c r="BF2324">
        <v>0</v>
      </c>
      <c r="BG2324">
        <v>0</v>
      </c>
      <c r="BH2324">
        <v>1</v>
      </c>
      <c r="BI2324">
        <v>1</v>
      </c>
      <c r="BJ2324">
        <v>0.2</v>
      </c>
      <c r="BK2324">
        <v>1</v>
      </c>
      <c r="BL2324" s="4">
        <v>50.45</v>
      </c>
      <c r="BM2324" s="4">
        <v>7.57</v>
      </c>
      <c r="BN2324" s="4">
        <v>58.02</v>
      </c>
      <c r="BO2324" s="4">
        <v>58.02</v>
      </c>
      <c r="BQ2324" t="s">
        <v>147</v>
      </c>
      <c r="BR2324" t="s">
        <v>84</v>
      </c>
      <c r="BS2324" s="3">
        <v>43811</v>
      </c>
      <c r="BT2324" s="5">
        <v>0.39930555555555558</v>
      </c>
      <c r="BU2324" t="s">
        <v>876</v>
      </c>
      <c r="BV2324" t="s">
        <v>86</v>
      </c>
      <c r="BY2324">
        <v>1200</v>
      </c>
      <c r="CA2324" t="s">
        <v>809</v>
      </c>
      <c r="CC2324" t="s">
        <v>91</v>
      </c>
      <c r="CD2324">
        <v>7925</v>
      </c>
      <c r="CE2324" t="s">
        <v>88</v>
      </c>
      <c r="CF2324" s="3">
        <v>43812</v>
      </c>
      <c r="CI2324">
        <v>1</v>
      </c>
      <c r="CJ2324">
        <v>1</v>
      </c>
      <c r="CK2324">
        <v>21</v>
      </c>
      <c r="CL2324" t="s">
        <v>89</v>
      </c>
    </row>
    <row r="2325" spans="1:90">
      <c r="A2325" t="s">
        <v>72</v>
      </c>
      <c r="B2325" t="s">
        <v>73</v>
      </c>
      <c r="C2325" t="s">
        <v>74</v>
      </c>
      <c r="E2325" t="str">
        <f>"FES1162727888"</f>
        <v>FES1162727888</v>
      </c>
      <c r="F2325" s="3">
        <v>43810</v>
      </c>
      <c r="G2325">
        <v>202006</v>
      </c>
      <c r="H2325" t="s">
        <v>75</v>
      </c>
      <c r="I2325" t="s">
        <v>76</v>
      </c>
      <c r="J2325" t="s">
        <v>77</v>
      </c>
      <c r="K2325" t="s">
        <v>78</v>
      </c>
      <c r="L2325" t="s">
        <v>90</v>
      </c>
      <c r="M2325" t="s">
        <v>91</v>
      </c>
      <c r="N2325" t="s">
        <v>1068</v>
      </c>
      <c r="O2325" t="s">
        <v>82</v>
      </c>
      <c r="P2325" t="str">
        <f>"2170712367                    "</f>
        <v xml:space="preserve">2170712367                    </v>
      </c>
      <c r="Q2325">
        <v>0</v>
      </c>
      <c r="R2325">
        <v>0</v>
      </c>
      <c r="S2325">
        <v>0</v>
      </c>
      <c r="T2325">
        <v>0</v>
      </c>
      <c r="U2325">
        <v>0</v>
      </c>
      <c r="V2325">
        <v>0</v>
      </c>
      <c r="W2325">
        <v>0</v>
      </c>
      <c r="X2325">
        <v>0</v>
      </c>
      <c r="Y2325">
        <v>0</v>
      </c>
      <c r="Z2325">
        <v>0</v>
      </c>
      <c r="AA2325">
        <v>0</v>
      </c>
      <c r="AB2325">
        <v>0</v>
      </c>
      <c r="AC2325">
        <v>0</v>
      </c>
      <c r="AD2325">
        <v>0</v>
      </c>
      <c r="AE2325">
        <v>0</v>
      </c>
      <c r="AF2325">
        <v>0</v>
      </c>
      <c r="AG2325">
        <v>0</v>
      </c>
      <c r="AH2325">
        <v>0</v>
      </c>
      <c r="AI2325">
        <v>0</v>
      </c>
      <c r="AJ2325">
        <v>0</v>
      </c>
      <c r="AK2325">
        <v>0</v>
      </c>
      <c r="AL2325">
        <v>0</v>
      </c>
      <c r="AM2325">
        <v>8.58</v>
      </c>
      <c r="AN2325">
        <v>0</v>
      </c>
      <c r="AO2325">
        <v>0</v>
      </c>
      <c r="AP2325">
        <v>0</v>
      </c>
      <c r="AQ2325">
        <v>0</v>
      </c>
      <c r="AR2325">
        <v>0</v>
      </c>
      <c r="AS2325">
        <v>0</v>
      </c>
      <c r="AT2325">
        <v>0</v>
      </c>
      <c r="AU2325">
        <v>0</v>
      </c>
      <c r="AV2325">
        <v>0</v>
      </c>
      <c r="AW2325">
        <v>0</v>
      </c>
      <c r="AX2325">
        <v>0</v>
      </c>
      <c r="AY2325">
        <v>0</v>
      </c>
      <c r="AZ2325">
        <v>0</v>
      </c>
      <c r="BA2325">
        <v>0</v>
      </c>
      <c r="BB2325">
        <v>0</v>
      </c>
      <c r="BC2325">
        <v>0</v>
      </c>
      <c r="BD2325">
        <v>0</v>
      </c>
      <c r="BE2325">
        <v>0</v>
      </c>
      <c r="BF2325">
        <v>0</v>
      </c>
      <c r="BG2325">
        <v>0</v>
      </c>
      <c r="BH2325">
        <v>1</v>
      </c>
      <c r="BI2325">
        <v>1</v>
      </c>
      <c r="BJ2325">
        <v>0.2</v>
      </c>
      <c r="BK2325">
        <v>1</v>
      </c>
      <c r="BL2325" s="4">
        <v>50.45</v>
      </c>
      <c r="BM2325" s="4">
        <v>7.57</v>
      </c>
      <c r="BN2325" s="4">
        <v>58.02</v>
      </c>
      <c r="BO2325" s="4">
        <v>58.02</v>
      </c>
      <c r="BQ2325" t="s">
        <v>466</v>
      </c>
      <c r="BR2325" t="s">
        <v>84</v>
      </c>
      <c r="BS2325" s="3">
        <v>43811</v>
      </c>
      <c r="BT2325" s="5">
        <v>0.3444444444444445</v>
      </c>
      <c r="BU2325" t="s">
        <v>1069</v>
      </c>
      <c r="BV2325" t="s">
        <v>86</v>
      </c>
      <c r="BY2325">
        <v>1200</v>
      </c>
      <c r="CA2325" t="s">
        <v>532</v>
      </c>
      <c r="CC2325" t="s">
        <v>91</v>
      </c>
      <c r="CD2325">
        <v>7405</v>
      </c>
      <c r="CE2325" t="s">
        <v>88</v>
      </c>
      <c r="CF2325" s="3">
        <v>43812</v>
      </c>
      <c r="CI2325">
        <v>1</v>
      </c>
      <c r="CJ2325">
        <v>1</v>
      </c>
      <c r="CK2325">
        <v>21</v>
      </c>
      <c r="CL2325" t="s">
        <v>89</v>
      </c>
    </row>
    <row r="2326" spans="1:90">
      <c r="A2326" t="s">
        <v>72</v>
      </c>
      <c r="B2326" t="s">
        <v>73</v>
      </c>
      <c r="C2326" t="s">
        <v>74</v>
      </c>
      <c r="E2326" t="str">
        <f>"FES1162727889"</f>
        <v>FES1162727889</v>
      </c>
      <c r="F2326" s="3">
        <v>43810</v>
      </c>
      <c r="G2326">
        <v>202006</v>
      </c>
      <c r="H2326" t="s">
        <v>75</v>
      </c>
      <c r="I2326" t="s">
        <v>76</v>
      </c>
      <c r="J2326" t="s">
        <v>77</v>
      </c>
      <c r="K2326" t="s">
        <v>78</v>
      </c>
      <c r="L2326" t="s">
        <v>90</v>
      </c>
      <c r="M2326" t="s">
        <v>91</v>
      </c>
      <c r="N2326" t="s">
        <v>1068</v>
      </c>
      <c r="O2326" t="s">
        <v>82</v>
      </c>
      <c r="P2326" t="str">
        <f>"2170712368                    "</f>
        <v xml:space="preserve">2170712368                    </v>
      </c>
      <c r="Q2326">
        <v>0</v>
      </c>
      <c r="R2326">
        <v>0</v>
      </c>
      <c r="S2326">
        <v>0</v>
      </c>
      <c r="T2326">
        <v>0</v>
      </c>
      <c r="U2326">
        <v>0</v>
      </c>
      <c r="V2326">
        <v>0</v>
      </c>
      <c r="W2326">
        <v>0</v>
      </c>
      <c r="X2326">
        <v>0</v>
      </c>
      <c r="Y2326">
        <v>0</v>
      </c>
      <c r="Z2326">
        <v>0</v>
      </c>
      <c r="AA2326">
        <v>0</v>
      </c>
      <c r="AB2326">
        <v>0</v>
      </c>
      <c r="AC2326">
        <v>0</v>
      </c>
      <c r="AD2326">
        <v>0</v>
      </c>
      <c r="AE2326">
        <v>0</v>
      </c>
      <c r="AF2326">
        <v>0</v>
      </c>
      <c r="AG2326">
        <v>0</v>
      </c>
      <c r="AH2326">
        <v>0</v>
      </c>
      <c r="AI2326">
        <v>0</v>
      </c>
      <c r="AJ2326">
        <v>0</v>
      </c>
      <c r="AK2326">
        <v>0</v>
      </c>
      <c r="AL2326">
        <v>0</v>
      </c>
      <c r="AM2326">
        <v>8.58</v>
      </c>
      <c r="AN2326">
        <v>0</v>
      </c>
      <c r="AO2326">
        <v>0</v>
      </c>
      <c r="AP2326">
        <v>0</v>
      </c>
      <c r="AQ2326">
        <v>0</v>
      </c>
      <c r="AR2326">
        <v>0</v>
      </c>
      <c r="AS2326">
        <v>0</v>
      </c>
      <c r="AT2326">
        <v>0</v>
      </c>
      <c r="AU2326">
        <v>0</v>
      </c>
      <c r="AV2326">
        <v>0</v>
      </c>
      <c r="AW2326">
        <v>0</v>
      </c>
      <c r="AX2326">
        <v>0</v>
      </c>
      <c r="AY2326">
        <v>0</v>
      </c>
      <c r="AZ2326">
        <v>0</v>
      </c>
      <c r="BA2326">
        <v>0</v>
      </c>
      <c r="BB2326">
        <v>0</v>
      </c>
      <c r="BC2326">
        <v>0</v>
      </c>
      <c r="BD2326">
        <v>0</v>
      </c>
      <c r="BE2326">
        <v>0</v>
      </c>
      <c r="BF2326">
        <v>0</v>
      </c>
      <c r="BG2326">
        <v>0</v>
      </c>
      <c r="BH2326">
        <v>1</v>
      </c>
      <c r="BI2326">
        <v>1</v>
      </c>
      <c r="BJ2326">
        <v>0.2</v>
      </c>
      <c r="BK2326">
        <v>1</v>
      </c>
      <c r="BL2326" s="4">
        <v>50.45</v>
      </c>
      <c r="BM2326" s="4">
        <v>7.57</v>
      </c>
      <c r="BN2326" s="4">
        <v>58.02</v>
      </c>
      <c r="BO2326" s="4">
        <v>58.02</v>
      </c>
      <c r="BQ2326" t="s">
        <v>466</v>
      </c>
      <c r="BR2326" t="s">
        <v>84</v>
      </c>
      <c r="BS2326" s="3">
        <v>43811</v>
      </c>
      <c r="BT2326" s="5">
        <v>0.3444444444444445</v>
      </c>
      <c r="BU2326" t="s">
        <v>1069</v>
      </c>
      <c r="BV2326" t="s">
        <v>86</v>
      </c>
      <c r="BY2326">
        <v>1200</v>
      </c>
      <c r="CA2326" t="s">
        <v>532</v>
      </c>
      <c r="CC2326" t="s">
        <v>91</v>
      </c>
      <c r="CD2326">
        <v>7405</v>
      </c>
      <c r="CE2326" t="s">
        <v>88</v>
      </c>
      <c r="CF2326" s="3">
        <v>43812</v>
      </c>
      <c r="CI2326">
        <v>1</v>
      </c>
      <c r="CJ2326">
        <v>1</v>
      </c>
      <c r="CK2326">
        <v>21</v>
      </c>
      <c r="CL2326" t="s">
        <v>89</v>
      </c>
    </row>
    <row r="2327" spans="1:90">
      <c r="A2327" t="s">
        <v>72</v>
      </c>
      <c r="B2327" t="s">
        <v>73</v>
      </c>
      <c r="C2327" t="s">
        <v>74</v>
      </c>
      <c r="E2327" t="str">
        <f>"FES1162727871"</f>
        <v>FES1162727871</v>
      </c>
      <c r="F2327" s="3">
        <v>43810</v>
      </c>
      <c r="G2327">
        <v>202006</v>
      </c>
      <c r="H2327" t="s">
        <v>75</v>
      </c>
      <c r="I2327" t="s">
        <v>76</v>
      </c>
      <c r="J2327" t="s">
        <v>77</v>
      </c>
      <c r="K2327" t="s">
        <v>78</v>
      </c>
      <c r="L2327" t="s">
        <v>308</v>
      </c>
      <c r="M2327" t="s">
        <v>308</v>
      </c>
      <c r="N2327" t="s">
        <v>309</v>
      </c>
      <c r="O2327" t="s">
        <v>82</v>
      </c>
      <c r="P2327" t="str">
        <f>"2170721344                    "</f>
        <v xml:space="preserve">2170721344                    </v>
      </c>
      <c r="Q2327">
        <v>0</v>
      </c>
      <c r="R2327">
        <v>0</v>
      </c>
      <c r="S2327">
        <v>0</v>
      </c>
      <c r="T2327">
        <v>0</v>
      </c>
      <c r="U2327">
        <v>0</v>
      </c>
      <c r="V2327">
        <v>0</v>
      </c>
      <c r="W2327">
        <v>0</v>
      </c>
      <c r="X2327">
        <v>0</v>
      </c>
      <c r="Y2327">
        <v>0</v>
      </c>
      <c r="Z2327">
        <v>0</v>
      </c>
      <c r="AA2327">
        <v>0</v>
      </c>
      <c r="AB2327">
        <v>0</v>
      </c>
      <c r="AC2327">
        <v>0</v>
      </c>
      <c r="AD2327">
        <v>0</v>
      </c>
      <c r="AE2327">
        <v>0</v>
      </c>
      <c r="AF2327">
        <v>0</v>
      </c>
      <c r="AG2327">
        <v>0</v>
      </c>
      <c r="AH2327">
        <v>0</v>
      </c>
      <c r="AI2327">
        <v>0</v>
      </c>
      <c r="AJ2327">
        <v>0</v>
      </c>
      <c r="AK2327">
        <v>0</v>
      </c>
      <c r="AL2327">
        <v>0</v>
      </c>
      <c r="AM2327">
        <v>16.63</v>
      </c>
      <c r="AN2327">
        <v>0</v>
      </c>
      <c r="AO2327">
        <v>0</v>
      </c>
      <c r="AP2327">
        <v>0</v>
      </c>
      <c r="AQ2327">
        <v>0</v>
      </c>
      <c r="AR2327">
        <v>0</v>
      </c>
      <c r="AS2327">
        <v>0</v>
      </c>
      <c r="AT2327">
        <v>0</v>
      </c>
      <c r="AU2327">
        <v>0</v>
      </c>
      <c r="AV2327">
        <v>0</v>
      </c>
      <c r="AW2327">
        <v>0</v>
      </c>
      <c r="AX2327">
        <v>0</v>
      </c>
      <c r="AY2327">
        <v>0</v>
      </c>
      <c r="AZ2327">
        <v>0</v>
      </c>
      <c r="BA2327">
        <v>0</v>
      </c>
      <c r="BB2327">
        <v>0</v>
      </c>
      <c r="BC2327">
        <v>0</v>
      </c>
      <c r="BD2327">
        <v>0</v>
      </c>
      <c r="BE2327">
        <v>0</v>
      </c>
      <c r="BF2327">
        <v>0</v>
      </c>
      <c r="BG2327">
        <v>0</v>
      </c>
      <c r="BH2327">
        <v>1</v>
      </c>
      <c r="BI2327">
        <v>1</v>
      </c>
      <c r="BJ2327">
        <v>0.2</v>
      </c>
      <c r="BK2327">
        <v>1</v>
      </c>
      <c r="BL2327" s="4">
        <v>97.75</v>
      </c>
      <c r="BM2327" s="4">
        <v>14.66</v>
      </c>
      <c r="BN2327" s="4">
        <v>112.41</v>
      </c>
      <c r="BO2327" s="4">
        <v>112.41</v>
      </c>
      <c r="BQ2327" t="s">
        <v>93</v>
      </c>
      <c r="BR2327" t="s">
        <v>84</v>
      </c>
      <c r="BS2327" s="3">
        <v>43811</v>
      </c>
      <c r="BT2327" s="5">
        <v>0.49374999999999997</v>
      </c>
      <c r="BU2327" t="s">
        <v>2510</v>
      </c>
      <c r="BV2327" t="s">
        <v>86</v>
      </c>
      <c r="BY2327">
        <v>1200</v>
      </c>
      <c r="CA2327" t="s">
        <v>1277</v>
      </c>
      <c r="CC2327" t="s">
        <v>308</v>
      </c>
      <c r="CD2327">
        <v>7646</v>
      </c>
      <c r="CE2327" t="s">
        <v>88</v>
      </c>
      <c r="CF2327" s="3">
        <v>43812</v>
      </c>
      <c r="CI2327">
        <v>1</v>
      </c>
      <c r="CJ2327">
        <v>1</v>
      </c>
      <c r="CK2327">
        <v>23</v>
      </c>
      <c r="CL2327" t="s">
        <v>89</v>
      </c>
    </row>
    <row r="2328" spans="1:90">
      <c r="A2328" t="s">
        <v>72</v>
      </c>
      <c r="B2328" t="s">
        <v>73</v>
      </c>
      <c r="C2328" t="s">
        <v>74</v>
      </c>
      <c r="E2328" t="str">
        <f>"FES1162727897"</f>
        <v>FES1162727897</v>
      </c>
      <c r="F2328" s="3">
        <v>43810</v>
      </c>
      <c r="G2328">
        <v>202006</v>
      </c>
      <c r="H2328" t="s">
        <v>75</v>
      </c>
      <c r="I2328" t="s">
        <v>76</v>
      </c>
      <c r="J2328" t="s">
        <v>77</v>
      </c>
      <c r="K2328" t="s">
        <v>78</v>
      </c>
      <c r="L2328" t="s">
        <v>186</v>
      </c>
      <c r="M2328" t="s">
        <v>187</v>
      </c>
      <c r="N2328" t="s">
        <v>266</v>
      </c>
      <c r="O2328" t="s">
        <v>82</v>
      </c>
      <c r="P2328" t="str">
        <f>"217071361                     "</f>
        <v xml:space="preserve">217071361                     </v>
      </c>
      <c r="Q2328">
        <v>0</v>
      </c>
      <c r="R2328">
        <v>0</v>
      </c>
      <c r="S2328">
        <v>0</v>
      </c>
      <c r="T2328">
        <v>0</v>
      </c>
      <c r="U2328">
        <v>0</v>
      </c>
      <c r="V2328">
        <v>0</v>
      </c>
      <c r="W2328">
        <v>0</v>
      </c>
      <c r="X2328">
        <v>0</v>
      </c>
      <c r="Y2328">
        <v>0</v>
      </c>
      <c r="Z2328">
        <v>0</v>
      </c>
      <c r="AA2328">
        <v>0</v>
      </c>
      <c r="AB2328">
        <v>0</v>
      </c>
      <c r="AC2328">
        <v>0</v>
      </c>
      <c r="AD2328">
        <v>0</v>
      </c>
      <c r="AE2328">
        <v>0</v>
      </c>
      <c r="AF2328">
        <v>0</v>
      </c>
      <c r="AG2328">
        <v>0</v>
      </c>
      <c r="AH2328">
        <v>0</v>
      </c>
      <c r="AI2328">
        <v>0</v>
      </c>
      <c r="AJ2328">
        <v>0</v>
      </c>
      <c r="AK2328">
        <v>0</v>
      </c>
      <c r="AL2328">
        <v>0</v>
      </c>
      <c r="AM2328">
        <v>16.63</v>
      </c>
      <c r="AN2328">
        <v>0</v>
      </c>
      <c r="AO2328">
        <v>0</v>
      </c>
      <c r="AP2328">
        <v>0</v>
      </c>
      <c r="AQ2328">
        <v>0</v>
      </c>
      <c r="AR2328">
        <v>0</v>
      </c>
      <c r="AS2328">
        <v>0</v>
      </c>
      <c r="AT2328">
        <v>0</v>
      </c>
      <c r="AU2328">
        <v>0</v>
      </c>
      <c r="AV2328">
        <v>0</v>
      </c>
      <c r="AW2328">
        <v>0</v>
      </c>
      <c r="AX2328">
        <v>0</v>
      </c>
      <c r="AY2328">
        <v>0</v>
      </c>
      <c r="AZ2328">
        <v>0</v>
      </c>
      <c r="BA2328">
        <v>0</v>
      </c>
      <c r="BB2328">
        <v>0</v>
      </c>
      <c r="BC2328">
        <v>0</v>
      </c>
      <c r="BD2328">
        <v>0</v>
      </c>
      <c r="BE2328">
        <v>0</v>
      </c>
      <c r="BF2328">
        <v>0</v>
      </c>
      <c r="BG2328">
        <v>0</v>
      </c>
      <c r="BH2328">
        <v>1</v>
      </c>
      <c r="BI2328">
        <v>1</v>
      </c>
      <c r="BJ2328">
        <v>0.2</v>
      </c>
      <c r="BK2328">
        <v>1</v>
      </c>
      <c r="BL2328" s="4">
        <v>97.75</v>
      </c>
      <c r="BM2328" s="4">
        <v>14.66</v>
      </c>
      <c r="BN2328" s="4">
        <v>112.41</v>
      </c>
      <c r="BO2328" s="4">
        <v>112.41</v>
      </c>
      <c r="BQ2328" t="s">
        <v>135</v>
      </c>
      <c r="BR2328" t="s">
        <v>84</v>
      </c>
      <c r="BS2328" s="3">
        <v>43812</v>
      </c>
      <c r="BT2328" s="5">
        <v>0.38194444444444442</v>
      </c>
      <c r="BU2328" t="s">
        <v>2512</v>
      </c>
      <c r="BV2328" t="s">
        <v>86</v>
      </c>
      <c r="BY2328">
        <v>1200</v>
      </c>
      <c r="CA2328" t="s">
        <v>190</v>
      </c>
      <c r="CC2328" t="s">
        <v>187</v>
      </c>
      <c r="CD2328">
        <v>6850</v>
      </c>
      <c r="CE2328" t="s">
        <v>88</v>
      </c>
      <c r="CF2328" s="3">
        <v>43816</v>
      </c>
      <c r="CI2328">
        <v>3</v>
      </c>
      <c r="CJ2328">
        <v>2</v>
      </c>
      <c r="CK2328">
        <v>23</v>
      </c>
      <c r="CL2328" t="s">
        <v>89</v>
      </c>
    </row>
    <row r="2329" spans="1:90">
      <c r="A2329" t="s">
        <v>72</v>
      </c>
      <c r="B2329" t="s">
        <v>73</v>
      </c>
      <c r="C2329" t="s">
        <v>74</v>
      </c>
      <c r="E2329" t="str">
        <f>"FES1162727771"</f>
        <v>FES1162727771</v>
      </c>
      <c r="F2329" s="3">
        <v>43810</v>
      </c>
      <c r="G2329">
        <v>202006</v>
      </c>
      <c r="H2329" t="s">
        <v>75</v>
      </c>
      <c r="I2329" t="s">
        <v>76</v>
      </c>
      <c r="J2329" t="s">
        <v>77</v>
      </c>
      <c r="K2329" t="s">
        <v>78</v>
      </c>
      <c r="L2329" t="s">
        <v>75</v>
      </c>
      <c r="M2329" t="s">
        <v>76</v>
      </c>
      <c r="N2329" t="s">
        <v>756</v>
      </c>
      <c r="O2329" t="s">
        <v>82</v>
      </c>
      <c r="P2329" t="str">
        <f>"2170721211                    "</f>
        <v xml:space="preserve">2170721211                    </v>
      </c>
      <c r="Q2329">
        <v>0</v>
      </c>
      <c r="R2329">
        <v>0</v>
      </c>
      <c r="S2329">
        <v>0</v>
      </c>
      <c r="T2329">
        <v>0</v>
      </c>
      <c r="U2329">
        <v>0</v>
      </c>
      <c r="V2329">
        <v>0</v>
      </c>
      <c r="W2329">
        <v>0</v>
      </c>
      <c r="X2329">
        <v>0</v>
      </c>
      <c r="Y2329">
        <v>0</v>
      </c>
      <c r="Z2329">
        <v>0</v>
      </c>
      <c r="AA2329">
        <v>0</v>
      </c>
      <c r="AB2329">
        <v>0</v>
      </c>
      <c r="AC2329">
        <v>0</v>
      </c>
      <c r="AD2329">
        <v>0</v>
      </c>
      <c r="AE2329">
        <v>0</v>
      </c>
      <c r="AF2329">
        <v>0</v>
      </c>
      <c r="AG2329">
        <v>0</v>
      </c>
      <c r="AH2329">
        <v>0</v>
      </c>
      <c r="AI2329">
        <v>0</v>
      </c>
      <c r="AJ2329">
        <v>0</v>
      </c>
      <c r="AK2329">
        <v>0</v>
      </c>
      <c r="AL2329">
        <v>0</v>
      </c>
      <c r="AM2329">
        <v>10.72</v>
      </c>
      <c r="AN2329">
        <v>0</v>
      </c>
      <c r="AO2329">
        <v>0</v>
      </c>
      <c r="AP2329">
        <v>0</v>
      </c>
      <c r="AQ2329">
        <v>0</v>
      </c>
      <c r="AR2329">
        <v>0</v>
      </c>
      <c r="AS2329">
        <v>0</v>
      </c>
      <c r="AT2329">
        <v>0</v>
      </c>
      <c r="AU2329">
        <v>0</v>
      </c>
      <c r="AV2329">
        <v>0</v>
      </c>
      <c r="AW2329">
        <v>0</v>
      </c>
      <c r="AX2329">
        <v>0</v>
      </c>
      <c r="AY2329">
        <v>0</v>
      </c>
      <c r="AZ2329">
        <v>0</v>
      </c>
      <c r="BA2329">
        <v>0</v>
      </c>
      <c r="BB2329">
        <v>0</v>
      </c>
      <c r="BC2329">
        <v>0</v>
      </c>
      <c r="BD2329">
        <v>0</v>
      </c>
      <c r="BE2329">
        <v>0</v>
      </c>
      <c r="BF2329">
        <v>0</v>
      </c>
      <c r="BG2329">
        <v>0</v>
      </c>
      <c r="BH2329">
        <v>1</v>
      </c>
      <c r="BI2329">
        <v>4.2</v>
      </c>
      <c r="BJ2329">
        <v>1.3</v>
      </c>
      <c r="BK2329">
        <v>4.5</v>
      </c>
      <c r="BL2329" s="4">
        <v>63.03</v>
      </c>
      <c r="BM2329" s="4">
        <v>9.4499999999999993</v>
      </c>
      <c r="BN2329" s="4">
        <v>72.48</v>
      </c>
      <c r="BO2329" s="4">
        <v>72.48</v>
      </c>
      <c r="BQ2329" t="s">
        <v>93</v>
      </c>
      <c r="BR2329" t="s">
        <v>84</v>
      </c>
      <c r="BS2329" s="3">
        <v>43811</v>
      </c>
      <c r="BT2329" s="5">
        <v>0.375</v>
      </c>
      <c r="BU2329" t="s">
        <v>1402</v>
      </c>
      <c r="BV2329" t="s">
        <v>86</v>
      </c>
      <c r="BY2329">
        <v>6476.74</v>
      </c>
      <c r="CA2329" t="s">
        <v>344</v>
      </c>
      <c r="CC2329" t="s">
        <v>76</v>
      </c>
      <c r="CD2329">
        <v>1666</v>
      </c>
      <c r="CE2329" t="s">
        <v>96</v>
      </c>
      <c r="CF2329" s="3">
        <v>43812</v>
      </c>
      <c r="CI2329">
        <v>1</v>
      </c>
      <c r="CJ2329">
        <v>1</v>
      </c>
      <c r="CK2329">
        <v>22</v>
      </c>
      <c r="CL2329" t="s">
        <v>89</v>
      </c>
    </row>
    <row r="2330" spans="1:90">
      <c r="A2330" t="s">
        <v>72</v>
      </c>
      <c r="B2330" t="s">
        <v>73</v>
      </c>
      <c r="C2330" t="s">
        <v>74</v>
      </c>
      <c r="E2330" t="str">
        <f>"FES1162727762"</f>
        <v>FES1162727762</v>
      </c>
      <c r="F2330" s="3">
        <v>43810</v>
      </c>
      <c r="G2330">
        <v>202006</v>
      </c>
      <c r="H2330" t="s">
        <v>75</v>
      </c>
      <c r="I2330" t="s">
        <v>76</v>
      </c>
      <c r="J2330" t="s">
        <v>77</v>
      </c>
      <c r="K2330" t="s">
        <v>78</v>
      </c>
      <c r="L2330" t="s">
        <v>75</v>
      </c>
      <c r="M2330" t="s">
        <v>76</v>
      </c>
      <c r="N2330" t="s">
        <v>312</v>
      </c>
      <c r="O2330" t="s">
        <v>82</v>
      </c>
      <c r="P2330" t="str">
        <f>"217071245                     "</f>
        <v xml:space="preserve">217071245                     </v>
      </c>
      <c r="Q2330">
        <v>0</v>
      </c>
      <c r="R2330">
        <v>0</v>
      </c>
      <c r="S2330">
        <v>0</v>
      </c>
      <c r="T2330">
        <v>0</v>
      </c>
      <c r="U2330">
        <v>0</v>
      </c>
      <c r="V2330">
        <v>0</v>
      </c>
      <c r="W2330">
        <v>0</v>
      </c>
      <c r="X2330">
        <v>0</v>
      </c>
      <c r="Y2330">
        <v>0</v>
      </c>
      <c r="Z2330">
        <v>0</v>
      </c>
      <c r="AA2330">
        <v>0</v>
      </c>
      <c r="AB2330">
        <v>0</v>
      </c>
      <c r="AC2330">
        <v>0</v>
      </c>
      <c r="AD2330">
        <v>0</v>
      </c>
      <c r="AE2330">
        <v>0</v>
      </c>
      <c r="AF2330">
        <v>0</v>
      </c>
      <c r="AG2330">
        <v>0</v>
      </c>
      <c r="AH2330">
        <v>0</v>
      </c>
      <c r="AI2330">
        <v>0</v>
      </c>
      <c r="AJ2330">
        <v>0</v>
      </c>
      <c r="AK2330">
        <v>0</v>
      </c>
      <c r="AL2330">
        <v>0</v>
      </c>
      <c r="AM2330">
        <v>6.71</v>
      </c>
      <c r="AN2330">
        <v>0</v>
      </c>
      <c r="AO2330">
        <v>0</v>
      </c>
      <c r="AP2330">
        <v>0</v>
      </c>
      <c r="AQ2330">
        <v>0</v>
      </c>
      <c r="AR2330">
        <v>0</v>
      </c>
      <c r="AS2330">
        <v>0</v>
      </c>
      <c r="AT2330">
        <v>0</v>
      </c>
      <c r="AU2330">
        <v>0</v>
      </c>
      <c r="AV2330">
        <v>0</v>
      </c>
      <c r="AW2330">
        <v>0</v>
      </c>
      <c r="AX2330">
        <v>0</v>
      </c>
      <c r="AY2330">
        <v>0</v>
      </c>
      <c r="AZ2330">
        <v>0</v>
      </c>
      <c r="BA2330">
        <v>0</v>
      </c>
      <c r="BB2330">
        <v>0</v>
      </c>
      <c r="BC2330">
        <v>0</v>
      </c>
      <c r="BD2330">
        <v>0</v>
      </c>
      <c r="BE2330">
        <v>0</v>
      </c>
      <c r="BF2330">
        <v>0</v>
      </c>
      <c r="BG2330">
        <v>0</v>
      </c>
      <c r="BH2330">
        <v>1</v>
      </c>
      <c r="BI2330">
        <v>1</v>
      </c>
      <c r="BJ2330">
        <v>1</v>
      </c>
      <c r="BK2330">
        <v>1</v>
      </c>
      <c r="BL2330" s="4">
        <v>39.42</v>
      </c>
      <c r="BM2330" s="4">
        <v>5.91</v>
      </c>
      <c r="BN2330" s="4">
        <v>45.33</v>
      </c>
      <c r="BO2330" s="4">
        <v>45.33</v>
      </c>
      <c r="BQ2330" t="s">
        <v>147</v>
      </c>
      <c r="BR2330" t="s">
        <v>84</v>
      </c>
      <c r="BS2330" s="3">
        <v>43811</v>
      </c>
      <c r="BT2330" s="5">
        <v>0.37152777777777773</v>
      </c>
      <c r="BU2330" t="s">
        <v>625</v>
      </c>
      <c r="BV2330" t="s">
        <v>86</v>
      </c>
      <c r="BY2330">
        <v>5130</v>
      </c>
      <c r="CC2330" t="s">
        <v>76</v>
      </c>
      <c r="CD2330">
        <v>1609</v>
      </c>
      <c r="CE2330" t="s">
        <v>116</v>
      </c>
      <c r="CF2330" s="3">
        <v>43812</v>
      </c>
      <c r="CI2330">
        <v>1</v>
      </c>
      <c r="CJ2330">
        <v>1</v>
      </c>
      <c r="CK2330">
        <v>22</v>
      </c>
      <c r="CL2330" t="s">
        <v>89</v>
      </c>
    </row>
    <row r="2331" spans="1:90">
      <c r="A2331" t="s">
        <v>72</v>
      </c>
      <c r="B2331" t="s">
        <v>73</v>
      </c>
      <c r="C2331" t="s">
        <v>74</v>
      </c>
      <c r="E2331" t="str">
        <f>"FES1162727830"</f>
        <v>FES1162727830</v>
      </c>
      <c r="F2331" s="3">
        <v>43810</v>
      </c>
      <c r="G2331">
        <v>202006</v>
      </c>
      <c r="H2331" t="s">
        <v>75</v>
      </c>
      <c r="I2331" t="s">
        <v>76</v>
      </c>
      <c r="J2331" t="s">
        <v>77</v>
      </c>
      <c r="K2331" t="s">
        <v>78</v>
      </c>
      <c r="L2331" t="s">
        <v>75</v>
      </c>
      <c r="M2331" t="s">
        <v>76</v>
      </c>
      <c r="N2331" t="s">
        <v>312</v>
      </c>
      <c r="O2331" t="s">
        <v>82</v>
      </c>
      <c r="P2331" t="str">
        <f>"217071277                     "</f>
        <v xml:space="preserve">217071277                     </v>
      </c>
      <c r="Q2331">
        <v>0</v>
      </c>
      <c r="R2331">
        <v>0</v>
      </c>
      <c r="S2331">
        <v>0</v>
      </c>
      <c r="T2331">
        <v>0</v>
      </c>
      <c r="U2331">
        <v>0</v>
      </c>
      <c r="V2331">
        <v>0</v>
      </c>
      <c r="W2331">
        <v>0</v>
      </c>
      <c r="X2331">
        <v>0</v>
      </c>
      <c r="Y2331">
        <v>0</v>
      </c>
      <c r="Z2331">
        <v>0</v>
      </c>
      <c r="AA2331">
        <v>0</v>
      </c>
      <c r="AB2331">
        <v>0</v>
      </c>
      <c r="AC2331">
        <v>0</v>
      </c>
      <c r="AD2331">
        <v>0</v>
      </c>
      <c r="AE2331">
        <v>0</v>
      </c>
      <c r="AF2331">
        <v>0</v>
      </c>
      <c r="AG2331">
        <v>0</v>
      </c>
      <c r="AH2331">
        <v>0</v>
      </c>
      <c r="AI2331">
        <v>0</v>
      </c>
      <c r="AJ2331">
        <v>0</v>
      </c>
      <c r="AK2331">
        <v>0</v>
      </c>
      <c r="AL2331">
        <v>0</v>
      </c>
      <c r="AM2331">
        <v>10.72</v>
      </c>
      <c r="AN2331">
        <v>0</v>
      </c>
      <c r="AO2331">
        <v>0</v>
      </c>
      <c r="AP2331">
        <v>0</v>
      </c>
      <c r="AQ2331">
        <v>0</v>
      </c>
      <c r="AR2331">
        <v>0</v>
      </c>
      <c r="AS2331">
        <v>0</v>
      </c>
      <c r="AT2331">
        <v>0</v>
      </c>
      <c r="AU2331">
        <v>0</v>
      </c>
      <c r="AV2331">
        <v>0</v>
      </c>
      <c r="AW2331">
        <v>0</v>
      </c>
      <c r="AX2331">
        <v>0</v>
      </c>
      <c r="AY2331">
        <v>0</v>
      </c>
      <c r="AZ2331">
        <v>0</v>
      </c>
      <c r="BA2331">
        <v>0</v>
      </c>
      <c r="BB2331">
        <v>0</v>
      </c>
      <c r="BC2331">
        <v>0</v>
      </c>
      <c r="BD2331">
        <v>0</v>
      </c>
      <c r="BE2331">
        <v>0</v>
      </c>
      <c r="BF2331">
        <v>0</v>
      </c>
      <c r="BG2331">
        <v>0</v>
      </c>
      <c r="BH2331">
        <v>1</v>
      </c>
      <c r="BI2331">
        <v>4.0999999999999996</v>
      </c>
      <c r="BJ2331">
        <v>2.2000000000000002</v>
      </c>
      <c r="BK2331">
        <v>4.5</v>
      </c>
      <c r="BL2331" s="4">
        <v>63.03</v>
      </c>
      <c r="BM2331" s="4">
        <v>9.4499999999999993</v>
      </c>
      <c r="BN2331" s="4">
        <v>72.48</v>
      </c>
      <c r="BO2331" s="4">
        <v>72.48</v>
      </c>
      <c r="BQ2331" t="s">
        <v>147</v>
      </c>
      <c r="BR2331" t="s">
        <v>84</v>
      </c>
      <c r="BS2331" s="3">
        <v>43811</v>
      </c>
      <c r="BT2331" s="5">
        <v>0.37152777777777773</v>
      </c>
      <c r="BU2331" t="s">
        <v>625</v>
      </c>
      <c r="BV2331" t="s">
        <v>86</v>
      </c>
      <c r="BY2331">
        <v>11150.57</v>
      </c>
      <c r="CC2331" t="s">
        <v>76</v>
      </c>
      <c r="CD2331">
        <v>1609</v>
      </c>
      <c r="CE2331" t="s">
        <v>116</v>
      </c>
      <c r="CF2331" s="3">
        <v>43812</v>
      </c>
      <c r="CI2331">
        <v>1</v>
      </c>
      <c r="CJ2331">
        <v>1</v>
      </c>
      <c r="CK2331">
        <v>22</v>
      </c>
      <c r="CL2331" t="s">
        <v>89</v>
      </c>
    </row>
    <row r="2332" spans="1:90">
      <c r="A2332" t="s">
        <v>72</v>
      </c>
      <c r="B2332" t="s">
        <v>73</v>
      </c>
      <c r="C2332" t="s">
        <v>74</v>
      </c>
      <c r="E2332" t="str">
        <f>"009935712075"</f>
        <v>009935712075</v>
      </c>
      <c r="F2332" s="3">
        <v>43810</v>
      </c>
      <c r="G2332">
        <v>202006</v>
      </c>
      <c r="H2332" t="s">
        <v>75</v>
      </c>
      <c r="I2332" t="s">
        <v>76</v>
      </c>
      <c r="J2332" t="s">
        <v>77</v>
      </c>
      <c r="K2332" t="s">
        <v>78</v>
      </c>
      <c r="L2332" t="s">
        <v>164</v>
      </c>
      <c r="M2332" t="s">
        <v>165</v>
      </c>
      <c r="N2332" t="s">
        <v>263</v>
      </c>
      <c r="O2332" t="s">
        <v>82</v>
      </c>
      <c r="P2332" t="str">
        <f>"1162727589                    "</f>
        <v xml:space="preserve">1162727589                    </v>
      </c>
      <c r="Q2332">
        <v>0</v>
      </c>
      <c r="R2332">
        <v>0</v>
      </c>
      <c r="S2332">
        <v>0</v>
      </c>
      <c r="T2332">
        <v>0</v>
      </c>
      <c r="U2332">
        <v>0</v>
      </c>
      <c r="V2332">
        <v>0</v>
      </c>
      <c r="W2332">
        <v>0</v>
      </c>
      <c r="X2332">
        <v>0</v>
      </c>
      <c r="Y2332">
        <v>0</v>
      </c>
      <c r="Z2332">
        <v>0</v>
      </c>
      <c r="AA2332">
        <v>0</v>
      </c>
      <c r="AB2332">
        <v>0</v>
      </c>
      <c r="AC2332">
        <v>0</v>
      </c>
      <c r="AD2332">
        <v>0</v>
      </c>
      <c r="AE2332">
        <v>0</v>
      </c>
      <c r="AF2332">
        <v>0</v>
      </c>
      <c r="AG2332">
        <v>0</v>
      </c>
      <c r="AH2332">
        <v>0</v>
      </c>
      <c r="AI2332">
        <v>0</v>
      </c>
      <c r="AJ2332">
        <v>0</v>
      </c>
      <c r="AK2332">
        <v>0</v>
      </c>
      <c r="AL2332">
        <v>0</v>
      </c>
      <c r="AM2332">
        <v>15.02</v>
      </c>
      <c r="AN2332">
        <v>0</v>
      </c>
      <c r="AO2332">
        <v>0</v>
      </c>
      <c r="AP2332">
        <v>0</v>
      </c>
      <c r="AQ2332">
        <v>0</v>
      </c>
      <c r="AR2332">
        <v>0</v>
      </c>
      <c r="AS2332">
        <v>0</v>
      </c>
      <c r="AT2332">
        <v>0</v>
      </c>
      <c r="AU2332">
        <v>0</v>
      </c>
      <c r="AV2332">
        <v>0</v>
      </c>
      <c r="AW2332">
        <v>0</v>
      </c>
      <c r="AX2332">
        <v>0</v>
      </c>
      <c r="AY2332">
        <v>0</v>
      </c>
      <c r="AZ2332">
        <v>0</v>
      </c>
      <c r="BA2332">
        <v>0</v>
      </c>
      <c r="BB2332">
        <v>0</v>
      </c>
      <c r="BC2332">
        <v>0</v>
      </c>
      <c r="BD2332">
        <v>0</v>
      </c>
      <c r="BE2332">
        <v>0</v>
      </c>
      <c r="BF2332">
        <v>0</v>
      </c>
      <c r="BG2332">
        <v>0</v>
      </c>
      <c r="BH2332">
        <v>1</v>
      </c>
      <c r="BI2332">
        <v>0.8</v>
      </c>
      <c r="BJ2332">
        <v>3.5</v>
      </c>
      <c r="BK2332">
        <v>3.5</v>
      </c>
      <c r="BL2332" s="4">
        <v>88.27</v>
      </c>
      <c r="BM2332" s="4">
        <v>13.24</v>
      </c>
      <c r="BN2332" s="4">
        <v>101.51</v>
      </c>
      <c r="BO2332" s="4">
        <v>101.51</v>
      </c>
      <c r="BP2332" t="s">
        <v>1242</v>
      </c>
      <c r="BQ2332" t="s">
        <v>147</v>
      </c>
      <c r="BR2332" t="s">
        <v>84</v>
      </c>
      <c r="BS2332" s="3">
        <v>43811</v>
      </c>
      <c r="BT2332" s="5">
        <v>0.38194444444444442</v>
      </c>
      <c r="BU2332" t="s">
        <v>2514</v>
      </c>
      <c r="BV2332" t="s">
        <v>86</v>
      </c>
      <c r="BY2332">
        <v>17667.07</v>
      </c>
      <c r="CC2332" t="s">
        <v>165</v>
      </c>
      <c r="CD2332">
        <v>5201</v>
      </c>
      <c r="CE2332" t="s">
        <v>96</v>
      </c>
      <c r="CF2332" s="3">
        <v>43812</v>
      </c>
      <c r="CI2332">
        <v>1</v>
      </c>
      <c r="CJ2332">
        <v>1</v>
      </c>
      <c r="CK2332">
        <v>21</v>
      </c>
      <c r="CL2332" t="s">
        <v>89</v>
      </c>
    </row>
    <row r="2333" spans="1:90">
      <c r="A2333" t="s">
        <v>72</v>
      </c>
      <c r="B2333" t="s">
        <v>73</v>
      </c>
      <c r="C2333" t="s">
        <v>74</v>
      </c>
      <c r="E2333" t="str">
        <f>"FES1162727777"</f>
        <v>FES1162727777</v>
      </c>
      <c r="F2333" s="3">
        <v>43810</v>
      </c>
      <c r="G2333">
        <v>202006</v>
      </c>
      <c r="H2333" t="s">
        <v>75</v>
      </c>
      <c r="I2333" t="s">
        <v>76</v>
      </c>
      <c r="J2333" t="s">
        <v>77</v>
      </c>
      <c r="K2333" t="s">
        <v>78</v>
      </c>
      <c r="L2333" t="s">
        <v>1051</v>
      </c>
      <c r="M2333" t="s">
        <v>1052</v>
      </c>
      <c r="N2333" t="s">
        <v>2205</v>
      </c>
      <c r="O2333" t="s">
        <v>82</v>
      </c>
      <c r="P2333" t="str">
        <f>"21707121253                   "</f>
        <v xml:space="preserve">21707121253                   </v>
      </c>
      <c r="Q2333">
        <v>0</v>
      </c>
      <c r="R2333">
        <v>0</v>
      </c>
      <c r="S2333">
        <v>0</v>
      </c>
      <c r="T2333">
        <v>0</v>
      </c>
      <c r="U2333">
        <v>0</v>
      </c>
      <c r="V2333">
        <v>0</v>
      </c>
      <c r="W2333">
        <v>0</v>
      </c>
      <c r="X2333">
        <v>0</v>
      </c>
      <c r="Y2333">
        <v>0</v>
      </c>
      <c r="Z2333">
        <v>0</v>
      </c>
      <c r="AA2333">
        <v>0</v>
      </c>
      <c r="AB2333">
        <v>0</v>
      </c>
      <c r="AC2333">
        <v>0</v>
      </c>
      <c r="AD2333">
        <v>0</v>
      </c>
      <c r="AE2333">
        <v>0</v>
      </c>
      <c r="AF2333">
        <v>0</v>
      </c>
      <c r="AG2333">
        <v>0</v>
      </c>
      <c r="AH2333">
        <v>0</v>
      </c>
      <c r="AI2333">
        <v>0</v>
      </c>
      <c r="AJ2333">
        <v>0</v>
      </c>
      <c r="AK2333">
        <v>0</v>
      </c>
      <c r="AL2333">
        <v>0</v>
      </c>
      <c r="AM2333">
        <v>12.07</v>
      </c>
      <c r="AN2333">
        <v>0</v>
      </c>
      <c r="AO2333">
        <v>0</v>
      </c>
      <c r="AP2333">
        <v>0</v>
      </c>
      <c r="AQ2333">
        <v>0</v>
      </c>
      <c r="AR2333">
        <v>0</v>
      </c>
      <c r="AS2333">
        <v>0</v>
      </c>
      <c r="AT2333">
        <v>0</v>
      </c>
      <c r="AU2333">
        <v>0</v>
      </c>
      <c r="AV2333">
        <v>0</v>
      </c>
      <c r="AW2333">
        <v>0</v>
      </c>
      <c r="AX2333">
        <v>0</v>
      </c>
      <c r="AY2333">
        <v>0</v>
      </c>
      <c r="AZ2333">
        <v>0</v>
      </c>
      <c r="BA2333">
        <v>0</v>
      </c>
      <c r="BB2333">
        <v>0</v>
      </c>
      <c r="BC2333">
        <v>0</v>
      </c>
      <c r="BD2333">
        <v>0</v>
      </c>
      <c r="BE2333">
        <v>0</v>
      </c>
      <c r="BF2333">
        <v>0</v>
      </c>
      <c r="BG2333">
        <v>0</v>
      </c>
      <c r="BH2333">
        <v>1</v>
      </c>
      <c r="BI2333">
        <v>1.6</v>
      </c>
      <c r="BJ2333">
        <v>0.7</v>
      </c>
      <c r="BK2333">
        <v>2</v>
      </c>
      <c r="BL2333" s="4">
        <v>70.95</v>
      </c>
      <c r="BM2333" s="4">
        <v>10.64</v>
      </c>
      <c r="BN2333" s="4">
        <v>81.59</v>
      </c>
      <c r="BO2333" s="4">
        <v>81.59</v>
      </c>
      <c r="BR2333" t="s">
        <v>84</v>
      </c>
      <c r="BS2333" s="3">
        <v>43811</v>
      </c>
      <c r="BT2333" s="5">
        <v>0.39583333333333331</v>
      </c>
      <c r="BU2333" t="s">
        <v>2206</v>
      </c>
      <c r="BV2333" t="s">
        <v>86</v>
      </c>
      <c r="BY2333">
        <v>3488.9</v>
      </c>
      <c r="CA2333" t="s">
        <v>1397</v>
      </c>
      <c r="CC2333" t="s">
        <v>1052</v>
      </c>
      <c r="CD2333">
        <v>1739</v>
      </c>
      <c r="CE2333" t="s">
        <v>116</v>
      </c>
      <c r="CF2333" s="3">
        <v>43812</v>
      </c>
      <c r="CI2333">
        <v>1</v>
      </c>
      <c r="CJ2333">
        <v>1</v>
      </c>
      <c r="CK2333">
        <v>24</v>
      </c>
      <c r="CL2333" t="s">
        <v>89</v>
      </c>
    </row>
    <row r="2334" spans="1:90">
      <c r="A2334" t="s">
        <v>72</v>
      </c>
      <c r="B2334" t="s">
        <v>73</v>
      </c>
      <c r="C2334" t="s">
        <v>74</v>
      </c>
      <c r="E2334" t="str">
        <f>"FES1162727743"</f>
        <v>FES1162727743</v>
      </c>
      <c r="F2334" s="3">
        <v>43810</v>
      </c>
      <c r="G2334">
        <v>202006</v>
      </c>
      <c r="H2334" t="s">
        <v>75</v>
      </c>
      <c r="I2334" t="s">
        <v>76</v>
      </c>
      <c r="J2334" t="s">
        <v>77</v>
      </c>
      <c r="K2334" t="s">
        <v>78</v>
      </c>
      <c r="L2334" t="s">
        <v>138</v>
      </c>
      <c r="M2334" t="s">
        <v>139</v>
      </c>
      <c r="N2334" t="s">
        <v>2096</v>
      </c>
      <c r="O2334" t="s">
        <v>82</v>
      </c>
      <c r="P2334" t="str">
        <f>"2170721223                    "</f>
        <v xml:space="preserve">2170721223                    </v>
      </c>
      <c r="Q2334">
        <v>0</v>
      </c>
      <c r="R2334">
        <v>0</v>
      </c>
      <c r="S2334">
        <v>0</v>
      </c>
      <c r="T2334">
        <v>0</v>
      </c>
      <c r="U2334">
        <v>0</v>
      </c>
      <c r="V2334">
        <v>0</v>
      </c>
      <c r="W2334">
        <v>0</v>
      </c>
      <c r="X2334">
        <v>0</v>
      </c>
      <c r="Y2334">
        <v>0</v>
      </c>
      <c r="Z2334">
        <v>0</v>
      </c>
      <c r="AA2334">
        <v>0</v>
      </c>
      <c r="AB2334">
        <v>0</v>
      </c>
      <c r="AC2334">
        <v>0</v>
      </c>
      <c r="AD2334">
        <v>0</v>
      </c>
      <c r="AE2334">
        <v>0</v>
      </c>
      <c r="AF2334">
        <v>0</v>
      </c>
      <c r="AG2334">
        <v>0</v>
      </c>
      <c r="AH2334">
        <v>0</v>
      </c>
      <c r="AI2334">
        <v>0</v>
      </c>
      <c r="AJ2334">
        <v>0</v>
      </c>
      <c r="AK2334">
        <v>0</v>
      </c>
      <c r="AL2334">
        <v>0</v>
      </c>
      <c r="AM2334">
        <v>6.71</v>
      </c>
      <c r="AN2334">
        <v>0</v>
      </c>
      <c r="AO2334">
        <v>0</v>
      </c>
      <c r="AP2334">
        <v>0</v>
      </c>
      <c r="AQ2334">
        <v>0</v>
      </c>
      <c r="AR2334">
        <v>0</v>
      </c>
      <c r="AS2334">
        <v>0</v>
      </c>
      <c r="AT2334">
        <v>0</v>
      </c>
      <c r="AU2334">
        <v>0</v>
      </c>
      <c r="AV2334">
        <v>0</v>
      </c>
      <c r="AW2334">
        <v>0</v>
      </c>
      <c r="AX2334">
        <v>0</v>
      </c>
      <c r="AY2334">
        <v>0</v>
      </c>
      <c r="AZ2334">
        <v>0</v>
      </c>
      <c r="BA2334">
        <v>0</v>
      </c>
      <c r="BB2334">
        <v>0</v>
      </c>
      <c r="BC2334">
        <v>0</v>
      </c>
      <c r="BD2334">
        <v>0</v>
      </c>
      <c r="BE2334">
        <v>0</v>
      </c>
      <c r="BF2334">
        <v>0</v>
      </c>
      <c r="BG2334">
        <v>0</v>
      </c>
      <c r="BH2334">
        <v>1</v>
      </c>
      <c r="BI2334">
        <v>1.5</v>
      </c>
      <c r="BJ2334">
        <v>1</v>
      </c>
      <c r="BK2334">
        <v>1.5</v>
      </c>
      <c r="BL2334" s="4">
        <v>39.42</v>
      </c>
      <c r="BM2334" s="4">
        <v>5.91</v>
      </c>
      <c r="BN2334" s="4">
        <v>45.33</v>
      </c>
      <c r="BO2334" s="4">
        <v>45.33</v>
      </c>
      <c r="BQ2334" t="s">
        <v>2097</v>
      </c>
      <c r="BR2334" t="s">
        <v>84</v>
      </c>
      <c r="BS2334" s="3">
        <v>43811</v>
      </c>
      <c r="BT2334" s="5">
        <v>0.35000000000000003</v>
      </c>
      <c r="BU2334" t="s">
        <v>2515</v>
      </c>
      <c r="BV2334" t="s">
        <v>86</v>
      </c>
      <c r="BY2334">
        <v>4760.87</v>
      </c>
      <c r="CC2334" t="s">
        <v>139</v>
      </c>
      <c r="CD2334">
        <v>1422</v>
      </c>
      <c r="CE2334" t="s">
        <v>116</v>
      </c>
      <c r="CF2334" s="3">
        <v>43812</v>
      </c>
      <c r="CI2334">
        <v>1</v>
      </c>
      <c r="CJ2334">
        <v>1</v>
      </c>
      <c r="CK2334">
        <v>22</v>
      </c>
      <c r="CL2334" t="s">
        <v>89</v>
      </c>
    </row>
    <row r="2335" spans="1:90">
      <c r="A2335" t="s">
        <v>72</v>
      </c>
      <c r="B2335" t="s">
        <v>73</v>
      </c>
      <c r="C2335" t="s">
        <v>74</v>
      </c>
      <c r="E2335" t="str">
        <f>"FES1162727793"</f>
        <v>FES1162727793</v>
      </c>
      <c r="F2335" s="3">
        <v>43810</v>
      </c>
      <c r="G2335">
        <v>202006</v>
      </c>
      <c r="H2335" t="s">
        <v>75</v>
      </c>
      <c r="I2335" t="s">
        <v>76</v>
      </c>
      <c r="J2335" t="s">
        <v>77</v>
      </c>
      <c r="K2335" t="s">
        <v>78</v>
      </c>
      <c r="L2335" t="s">
        <v>860</v>
      </c>
      <c r="M2335" t="s">
        <v>861</v>
      </c>
      <c r="N2335" t="s">
        <v>2516</v>
      </c>
      <c r="O2335" t="s">
        <v>82</v>
      </c>
      <c r="P2335" t="str">
        <f>"2170718605                    "</f>
        <v xml:space="preserve">2170718605                    </v>
      </c>
      <c r="Q2335">
        <v>0</v>
      </c>
      <c r="R2335">
        <v>0</v>
      </c>
      <c r="S2335">
        <v>0</v>
      </c>
      <c r="T2335">
        <v>0</v>
      </c>
      <c r="U2335">
        <v>0</v>
      </c>
      <c r="V2335">
        <v>0</v>
      </c>
      <c r="W2335">
        <v>0</v>
      </c>
      <c r="X2335">
        <v>0</v>
      </c>
      <c r="Y2335">
        <v>0</v>
      </c>
      <c r="Z2335">
        <v>0</v>
      </c>
      <c r="AA2335">
        <v>0</v>
      </c>
      <c r="AB2335">
        <v>0</v>
      </c>
      <c r="AC2335">
        <v>0</v>
      </c>
      <c r="AD2335">
        <v>0</v>
      </c>
      <c r="AE2335">
        <v>0</v>
      </c>
      <c r="AF2335">
        <v>0</v>
      </c>
      <c r="AG2335">
        <v>0</v>
      </c>
      <c r="AH2335">
        <v>0</v>
      </c>
      <c r="AI2335">
        <v>0</v>
      </c>
      <c r="AJ2335">
        <v>0</v>
      </c>
      <c r="AK2335">
        <v>0</v>
      </c>
      <c r="AL2335">
        <v>0</v>
      </c>
      <c r="AM2335">
        <v>9.1199999999999992</v>
      </c>
      <c r="AN2335">
        <v>0</v>
      </c>
      <c r="AO2335">
        <v>0</v>
      </c>
      <c r="AP2335">
        <v>0</v>
      </c>
      <c r="AQ2335">
        <v>0</v>
      </c>
      <c r="AR2335">
        <v>0</v>
      </c>
      <c r="AS2335">
        <v>0</v>
      </c>
      <c r="AT2335">
        <v>0</v>
      </c>
      <c r="AU2335">
        <v>0</v>
      </c>
      <c r="AV2335">
        <v>0</v>
      </c>
      <c r="AW2335">
        <v>0</v>
      </c>
      <c r="AX2335">
        <v>0</v>
      </c>
      <c r="AY2335">
        <v>0</v>
      </c>
      <c r="AZ2335">
        <v>0</v>
      </c>
      <c r="BA2335">
        <v>0</v>
      </c>
      <c r="BB2335">
        <v>0</v>
      </c>
      <c r="BC2335">
        <v>0</v>
      </c>
      <c r="BD2335">
        <v>0</v>
      </c>
      <c r="BE2335">
        <v>0</v>
      </c>
      <c r="BF2335">
        <v>0</v>
      </c>
      <c r="BG2335">
        <v>0</v>
      </c>
      <c r="BH2335">
        <v>1</v>
      </c>
      <c r="BI2335">
        <v>2.6</v>
      </c>
      <c r="BJ2335">
        <v>3.1</v>
      </c>
      <c r="BK2335">
        <v>3.5</v>
      </c>
      <c r="BL2335" s="4">
        <v>53.59</v>
      </c>
      <c r="BM2335" s="4">
        <v>8.0399999999999991</v>
      </c>
      <c r="BN2335" s="4">
        <v>61.63</v>
      </c>
      <c r="BO2335" s="4">
        <v>61.63</v>
      </c>
      <c r="BQ2335" t="s">
        <v>135</v>
      </c>
      <c r="BR2335" t="s">
        <v>84</v>
      </c>
      <c r="BS2335" s="3">
        <v>43811</v>
      </c>
      <c r="BT2335" s="5">
        <v>0.40625</v>
      </c>
      <c r="BU2335" t="s">
        <v>2517</v>
      </c>
      <c r="BV2335" t="s">
        <v>86</v>
      </c>
      <c r="BY2335">
        <v>15531.36</v>
      </c>
      <c r="CA2335" t="s">
        <v>1397</v>
      </c>
      <c r="CC2335" t="s">
        <v>861</v>
      </c>
      <c r="CD2335">
        <v>2162</v>
      </c>
      <c r="CE2335" t="s">
        <v>96</v>
      </c>
      <c r="CF2335" s="3">
        <v>43812</v>
      </c>
      <c r="CI2335">
        <v>1</v>
      </c>
      <c r="CJ2335">
        <v>1</v>
      </c>
      <c r="CK2335">
        <v>22</v>
      </c>
      <c r="CL2335" t="s">
        <v>89</v>
      </c>
    </row>
    <row r="2336" spans="1:90">
      <c r="A2336" t="s">
        <v>72</v>
      </c>
      <c r="B2336" t="s">
        <v>73</v>
      </c>
      <c r="C2336" t="s">
        <v>74</v>
      </c>
      <c r="E2336" t="str">
        <f>"FES1162727784"</f>
        <v>FES1162727784</v>
      </c>
      <c r="F2336" s="3">
        <v>43810</v>
      </c>
      <c r="G2336">
        <v>202006</v>
      </c>
      <c r="H2336" t="s">
        <v>75</v>
      </c>
      <c r="I2336" t="s">
        <v>76</v>
      </c>
      <c r="J2336" t="s">
        <v>77</v>
      </c>
      <c r="K2336" t="s">
        <v>78</v>
      </c>
      <c r="L2336" t="s">
        <v>138</v>
      </c>
      <c r="M2336" t="s">
        <v>139</v>
      </c>
      <c r="N2336" t="s">
        <v>2518</v>
      </c>
      <c r="O2336" t="s">
        <v>82</v>
      </c>
      <c r="P2336" t="str">
        <f>"2170709154                    "</f>
        <v xml:space="preserve">2170709154                    </v>
      </c>
      <c r="Q2336">
        <v>0</v>
      </c>
      <c r="R2336">
        <v>0</v>
      </c>
      <c r="S2336">
        <v>0</v>
      </c>
      <c r="T2336">
        <v>0</v>
      </c>
      <c r="U2336">
        <v>0</v>
      </c>
      <c r="V2336">
        <v>0</v>
      </c>
      <c r="W2336">
        <v>0</v>
      </c>
      <c r="X2336">
        <v>0</v>
      </c>
      <c r="Y2336">
        <v>0</v>
      </c>
      <c r="Z2336">
        <v>0</v>
      </c>
      <c r="AA2336">
        <v>0</v>
      </c>
      <c r="AB2336">
        <v>0</v>
      </c>
      <c r="AC2336">
        <v>0</v>
      </c>
      <c r="AD2336">
        <v>0</v>
      </c>
      <c r="AE2336">
        <v>0</v>
      </c>
      <c r="AF2336">
        <v>0</v>
      </c>
      <c r="AG2336">
        <v>0</v>
      </c>
      <c r="AH2336">
        <v>0</v>
      </c>
      <c r="AI2336">
        <v>0</v>
      </c>
      <c r="AJ2336">
        <v>0</v>
      </c>
      <c r="AK2336">
        <v>0</v>
      </c>
      <c r="AL2336">
        <v>0</v>
      </c>
      <c r="AM2336">
        <v>6.71</v>
      </c>
      <c r="AN2336">
        <v>0</v>
      </c>
      <c r="AO2336">
        <v>0</v>
      </c>
      <c r="AP2336">
        <v>0</v>
      </c>
      <c r="AQ2336">
        <v>0</v>
      </c>
      <c r="AR2336">
        <v>0</v>
      </c>
      <c r="AS2336">
        <v>0</v>
      </c>
      <c r="AT2336">
        <v>0</v>
      </c>
      <c r="AU2336">
        <v>0</v>
      </c>
      <c r="AV2336">
        <v>0</v>
      </c>
      <c r="AW2336">
        <v>0</v>
      </c>
      <c r="AX2336">
        <v>0</v>
      </c>
      <c r="AY2336">
        <v>0</v>
      </c>
      <c r="AZ2336">
        <v>0</v>
      </c>
      <c r="BA2336">
        <v>0</v>
      </c>
      <c r="BB2336">
        <v>0</v>
      </c>
      <c r="BC2336">
        <v>0</v>
      </c>
      <c r="BD2336">
        <v>0</v>
      </c>
      <c r="BE2336">
        <v>0</v>
      </c>
      <c r="BF2336">
        <v>0</v>
      </c>
      <c r="BG2336">
        <v>0</v>
      </c>
      <c r="BH2336">
        <v>1</v>
      </c>
      <c r="BI2336">
        <v>1</v>
      </c>
      <c r="BJ2336">
        <v>0.2</v>
      </c>
      <c r="BK2336">
        <v>1</v>
      </c>
      <c r="BL2336" s="4">
        <v>39.42</v>
      </c>
      <c r="BM2336" s="4">
        <v>5.91</v>
      </c>
      <c r="BN2336" s="4">
        <v>45.33</v>
      </c>
      <c r="BO2336" s="4">
        <v>45.33</v>
      </c>
      <c r="BQ2336" t="s">
        <v>2519</v>
      </c>
      <c r="BR2336" t="s">
        <v>84</v>
      </c>
      <c r="BS2336" s="3">
        <v>43811</v>
      </c>
      <c r="BT2336" s="5">
        <v>0.3611111111111111</v>
      </c>
      <c r="BU2336" t="s">
        <v>2520</v>
      </c>
      <c r="BV2336" t="s">
        <v>86</v>
      </c>
      <c r="BY2336">
        <v>1200</v>
      </c>
      <c r="CA2336" t="s">
        <v>250</v>
      </c>
      <c r="CC2336" t="s">
        <v>139</v>
      </c>
      <c r="CD2336">
        <v>1406</v>
      </c>
      <c r="CE2336" t="s">
        <v>88</v>
      </c>
      <c r="CF2336" s="3">
        <v>43816</v>
      </c>
      <c r="CI2336">
        <v>1</v>
      </c>
      <c r="CJ2336">
        <v>1</v>
      </c>
      <c r="CK2336">
        <v>22</v>
      </c>
      <c r="CL2336" t="s">
        <v>89</v>
      </c>
    </row>
    <row r="2337" spans="1:90">
      <c r="A2337" t="s">
        <v>72</v>
      </c>
      <c r="B2337" t="s">
        <v>73</v>
      </c>
      <c r="C2337" t="s">
        <v>74</v>
      </c>
      <c r="E2337" t="str">
        <f>"FES1162727652"</f>
        <v>FES1162727652</v>
      </c>
      <c r="F2337" s="3">
        <v>43810</v>
      </c>
      <c r="G2337">
        <v>202006</v>
      </c>
      <c r="H2337" t="s">
        <v>75</v>
      </c>
      <c r="I2337" t="s">
        <v>76</v>
      </c>
      <c r="J2337" t="s">
        <v>77</v>
      </c>
      <c r="K2337" t="s">
        <v>78</v>
      </c>
      <c r="L2337" t="s">
        <v>79</v>
      </c>
      <c r="M2337" t="s">
        <v>80</v>
      </c>
      <c r="N2337" t="s">
        <v>347</v>
      </c>
      <c r="O2337" t="s">
        <v>82</v>
      </c>
      <c r="P2337" t="str">
        <f>"217021141                     "</f>
        <v xml:space="preserve">217021141                     </v>
      </c>
      <c r="Q2337">
        <v>0</v>
      </c>
      <c r="R2337">
        <v>0</v>
      </c>
      <c r="S2337">
        <v>0</v>
      </c>
      <c r="T2337">
        <v>0</v>
      </c>
      <c r="U2337">
        <v>0</v>
      </c>
      <c r="V2337">
        <v>0</v>
      </c>
      <c r="W2337">
        <v>0</v>
      </c>
      <c r="X2337">
        <v>0</v>
      </c>
      <c r="Y2337">
        <v>0</v>
      </c>
      <c r="Z2337">
        <v>0</v>
      </c>
      <c r="AA2337">
        <v>0</v>
      </c>
      <c r="AB2337">
        <v>0</v>
      </c>
      <c r="AC2337">
        <v>0</v>
      </c>
      <c r="AD2337">
        <v>0</v>
      </c>
      <c r="AE2337">
        <v>0</v>
      </c>
      <c r="AF2337">
        <v>0</v>
      </c>
      <c r="AG2337">
        <v>0</v>
      </c>
      <c r="AH2337">
        <v>0</v>
      </c>
      <c r="AI2337">
        <v>0</v>
      </c>
      <c r="AJ2337">
        <v>0</v>
      </c>
      <c r="AK2337">
        <v>0</v>
      </c>
      <c r="AL2337">
        <v>0</v>
      </c>
      <c r="AM2337">
        <v>15.02</v>
      </c>
      <c r="AN2337">
        <v>0</v>
      </c>
      <c r="AO2337">
        <v>0</v>
      </c>
      <c r="AP2337">
        <v>0</v>
      </c>
      <c r="AQ2337">
        <v>0</v>
      </c>
      <c r="AR2337">
        <v>0</v>
      </c>
      <c r="AS2337">
        <v>0</v>
      </c>
      <c r="AT2337">
        <v>0</v>
      </c>
      <c r="AU2337">
        <v>0</v>
      </c>
      <c r="AV2337">
        <v>0</v>
      </c>
      <c r="AW2337">
        <v>0</v>
      </c>
      <c r="AX2337">
        <v>0</v>
      </c>
      <c r="AY2337">
        <v>0</v>
      </c>
      <c r="AZ2337">
        <v>0</v>
      </c>
      <c r="BA2337">
        <v>0</v>
      </c>
      <c r="BB2337">
        <v>0</v>
      </c>
      <c r="BC2337">
        <v>0</v>
      </c>
      <c r="BD2337">
        <v>0</v>
      </c>
      <c r="BE2337">
        <v>0</v>
      </c>
      <c r="BF2337">
        <v>0</v>
      </c>
      <c r="BG2337">
        <v>0</v>
      </c>
      <c r="BH2337">
        <v>1</v>
      </c>
      <c r="BI2337">
        <v>1</v>
      </c>
      <c r="BJ2337">
        <v>3.1</v>
      </c>
      <c r="BK2337">
        <v>3.5</v>
      </c>
      <c r="BL2337" s="4">
        <v>88.27</v>
      </c>
      <c r="BM2337" s="4">
        <v>13.24</v>
      </c>
      <c r="BN2337" s="4">
        <v>101.51</v>
      </c>
      <c r="BO2337" s="4">
        <v>101.51</v>
      </c>
      <c r="BQ2337" t="s">
        <v>93</v>
      </c>
      <c r="BR2337" t="s">
        <v>84</v>
      </c>
      <c r="BS2337" s="3">
        <v>43811</v>
      </c>
      <c r="BT2337" s="5">
        <v>0.4368055555555555</v>
      </c>
      <c r="BU2337" t="s">
        <v>2521</v>
      </c>
      <c r="BV2337" t="s">
        <v>86</v>
      </c>
      <c r="BY2337">
        <v>15552.04</v>
      </c>
      <c r="CA2337" t="s">
        <v>185</v>
      </c>
      <c r="CC2337" t="s">
        <v>80</v>
      </c>
      <c r="CD2337">
        <v>6000</v>
      </c>
      <c r="CE2337" t="s">
        <v>88</v>
      </c>
      <c r="CF2337" s="3">
        <v>43812</v>
      </c>
      <c r="CI2337">
        <v>1</v>
      </c>
      <c r="CJ2337">
        <v>1</v>
      </c>
      <c r="CK2337">
        <v>21</v>
      </c>
      <c r="CL2337" t="s">
        <v>89</v>
      </c>
    </row>
    <row r="2338" spans="1:90">
      <c r="A2338" t="s">
        <v>72</v>
      </c>
      <c r="B2338" t="s">
        <v>73</v>
      </c>
      <c r="C2338" t="s">
        <v>74</v>
      </c>
      <c r="E2338" t="str">
        <f>"FES1162727898"</f>
        <v>FES1162727898</v>
      </c>
      <c r="F2338" s="3">
        <v>43810</v>
      </c>
      <c r="G2338">
        <v>202006</v>
      </c>
      <c r="H2338" t="s">
        <v>75</v>
      </c>
      <c r="I2338" t="s">
        <v>76</v>
      </c>
      <c r="J2338" t="s">
        <v>77</v>
      </c>
      <c r="K2338" t="s">
        <v>78</v>
      </c>
      <c r="L2338" t="s">
        <v>90</v>
      </c>
      <c r="M2338" t="s">
        <v>91</v>
      </c>
      <c r="N2338" t="s">
        <v>219</v>
      </c>
      <c r="O2338" t="s">
        <v>82</v>
      </c>
      <c r="P2338" t="str">
        <f>"2170721379                    "</f>
        <v xml:space="preserve">2170721379                    </v>
      </c>
      <c r="Q2338">
        <v>0</v>
      </c>
      <c r="R2338">
        <v>0</v>
      </c>
      <c r="S2338">
        <v>0</v>
      </c>
      <c r="T2338">
        <v>0</v>
      </c>
      <c r="U2338">
        <v>0</v>
      </c>
      <c r="V2338">
        <v>0</v>
      </c>
      <c r="W2338">
        <v>0</v>
      </c>
      <c r="X2338">
        <v>0</v>
      </c>
      <c r="Y2338">
        <v>0</v>
      </c>
      <c r="Z2338">
        <v>0</v>
      </c>
      <c r="AA2338">
        <v>0</v>
      </c>
      <c r="AB2338">
        <v>0</v>
      </c>
      <c r="AC2338">
        <v>0</v>
      </c>
      <c r="AD2338">
        <v>0</v>
      </c>
      <c r="AE2338">
        <v>0</v>
      </c>
      <c r="AF2338">
        <v>0</v>
      </c>
      <c r="AG2338">
        <v>0</v>
      </c>
      <c r="AH2338">
        <v>0</v>
      </c>
      <c r="AI2338">
        <v>0</v>
      </c>
      <c r="AJ2338">
        <v>0</v>
      </c>
      <c r="AK2338">
        <v>0</v>
      </c>
      <c r="AL2338">
        <v>0</v>
      </c>
      <c r="AM2338">
        <v>8.58</v>
      </c>
      <c r="AN2338">
        <v>0</v>
      </c>
      <c r="AO2338">
        <v>0</v>
      </c>
      <c r="AP2338">
        <v>0</v>
      </c>
      <c r="AQ2338">
        <v>0</v>
      </c>
      <c r="AR2338">
        <v>0</v>
      </c>
      <c r="AS2338">
        <v>0</v>
      </c>
      <c r="AT2338">
        <v>0</v>
      </c>
      <c r="AU2338">
        <v>0</v>
      </c>
      <c r="AV2338">
        <v>0</v>
      </c>
      <c r="AW2338">
        <v>0</v>
      </c>
      <c r="AX2338">
        <v>0</v>
      </c>
      <c r="AY2338">
        <v>0</v>
      </c>
      <c r="AZ2338">
        <v>0</v>
      </c>
      <c r="BA2338">
        <v>0</v>
      </c>
      <c r="BB2338">
        <v>0</v>
      </c>
      <c r="BC2338">
        <v>0</v>
      </c>
      <c r="BD2338">
        <v>0</v>
      </c>
      <c r="BE2338">
        <v>0</v>
      </c>
      <c r="BF2338">
        <v>0</v>
      </c>
      <c r="BG2338">
        <v>0</v>
      </c>
      <c r="BH2338">
        <v>1</v>
      </c>
      <c r="BI2338">
        <v>1.8</v>
      </c>
      <c r="BJ2338">
        <v>1.4</v>
      </c>
      <c r="BK2338">
        <v>2</v>
      </c>
      <c r="BL2338" s="4">
        <v>50.45</v>
      </c>
      <c r="BM2338" s="4">
        <v>7.57</v>
      </c>
      <c r="BN2338" s="4">
        <v>58.02</v>
      </c>
      <c r="BO2338" s="4">
        <v>58.02</v>
      </c>
      <c r="BQ2338" t="s">
        <v>147</v>
      </c>
      <c r="BR2338" t="s">
        <v>84</v>
      </c>
      <c r="BS2338" s="3">
        <v>43811</v>
      </c>
      <c r="BT2338" s="5">
        <v>0.3611111111111111</v>
      </c>
      <c r="BU2338" t="s">
        <v>220</v>
      </c>
      <c r="BV2338" t="s">
        <v>86</v>
      </c>
      <c r="BY2338">
        <v>7038.95</v>
      </c>
      <c r="CA2338" t="s">
        <v>112</v>
      </c>
      <c r="CC2338" t="s">
        <v>91</v>
      </c>
      <c r="CD2338">
        <v>7441</v>
      </c>
      <c r="CE2338" t="s">
        <v>96</v>
      </c>
      <c r="CF2338" s="3">
        <v>43812</v>
      </c>
      <c r="CI2338">
        <v>1</v>
      </c>
      <c r="CJ2338">
        <v>1</v>
      </c>
      <c r="CK2338">
        <v>21</v>
      </c>
      <c r="CL2338" t="s">
        <v>89</v>
      </c>
    </row>
    <row r="2339" spans="1:90">
      <c r="A2339" t="s">
        <v>72</v>
      </c>
      <c r="B2339" t="s">
        <v>73</v>
      </c>
      <c r="C2339" t="s">
        <v>74</v>
      </c>
      <c r="E2339" t="str">
        <f>"FES1162727718"</f>
        <v>FES1162727718</v>
      </c>
      <c r="F2339" s="3">
        <v>43810</v>
      </c>
      <c r="G2339">
        <v>202006</v>
      </c>
      <c r="H2339" t="s">
        <v>75</v>
      </c>
      <c r="I2339" t="s">
        <v>76</v>
      </c>
      <c r="J2339" t="s">
        <v>77</v>
      </c>
      <c r="K2339" t="s">
        <v>78</v>
      </c>
      <c r="L2339" t="s">
        <v>213</v>
      </c>
      <c r="M2339" t="s">
        <v>214</v>
      </c>
      <c r="N2339" t="s">
        <v>303</v>
      </c>
      <c r="O2339" t="s">
        <v>82</v>
      </c>
      <c r="P2339" t="str">
        <f>"2170717485                    "</f>
        <v xml:space="preserve">2170717485                    </v>
      </c>
      <c r="Q2339">
        <v>0</v>
      </c>
      <c r="R2339">
        <v>0</v>
      </c>
      <c r="S2339">
        <v>0</v>
      </c>
      <c r="T2339">
        <v>0</v>
      </c>
      <c r="U2339">
        <v>0</v>
      </c>
      <c r="V2339">
        <v>0</v>
      </c>
      <c r="W2339">
        <v>0</v>
      </c>
      <c r="X2339">
        <v>0</v>
      </c>
      <c r="Y2339">
        <v>0</v>
      </c>
      <c r="Z2339">
        <v>0</v>
      </c>
      <c r="AA2339">
        <v>0</v>
      </c>
      <c r="AB2339">
        <v>0</v>
      </c>
      <c r="AC2339">
        <v>0</v>
      </c>
      <c r="AD2339">
        <v>0</v>
      </c>
      <c r="AE2339">
        <v>0</v>
      </c>
      <c r="AF2339">
        <v>0</v>
      </c>
      <c r="AG2339">
        <v>0</v>
      </c>
      <c r="AH2339">
        <v>0</v>
      </c>
      <c r="AI2339">
        <v>0</v>
      </c>
      <c r="AJ2339">
        <v>0</v>
      </c>
      <c r="AK2339">
        <v>0</v>
      </c>
      <c r="AL2339">
        <v>0</v>
      </c>
      <c r="AM2339">
        <v>17.16</v>
      </c>
      <c r="AN2339">
        <v>0</v>
      </c>
      <c r="AO2339">
        <v>0</v>
      </c>
      <c r="AP2339">
        <v>0</v>
      </c>
      <c r="AQ2339">
        <v>0</v>
      </c>
      <c r="AR2339">
        <v>0</v>
      </c>
      <c r="AS2339">
        <v>0</v>
      </c>
      <c r="AT2339">
        <v>0</v>
      </c>
      <c r="AU2339">
        <v>0</v>
      </c>
      <c r="AV2339">
        <v>0</v>
      </c>
      <c r="AW2339">
        <v>0</v>
      </c>
      <c r="AX2339">
        <v>0</v>
      </c>
      <c r="AY2339">
        <v>0</v>
      </c>
      <c r="AZ2339">
        <v>0</v>
      </c>
      <c r="BA2339">
        <v>0</v>
      </c>
      <c r="BB2339">
        <v>0</v>
      </c>
      <c r="BC2339">
        <v>0</v>
      </c>
      <c r="BD2339">
        <v>0</v>
      </c>
      <c r="BE2339">
        <v>0</v>
      </c>
      <c r="BF2339">
        <v>0</v>
      </c>
      <c r="BG2339">
        <v>0</v>
      </c>
      <c r="BH2339">
        <v>1</v>
      </c>
      <c r="BI2339">
        <v>3.9</v>
      </c>
      <c r="BJ2339">
        <v>1.4</v>
      </c>
      <c r="BK2339">
        <v>4</v>
      </c>
      <c r="BL2339" s="4">
        <v>100.87</v>
      </c>
      <c r="BM2339" s="4">
        <v>15.13</v>
      </c>
      <c r="BN2339" s="4">
        <v>116</v>
      </c>
      <c r="BO2339" s="4">
        <v>116</v>
      </c>
      <c r="BQ2339" t="s">
        <v>147</v>
      </c>
      <c r="BR2339" t="s">
        <v>84</v>
      </c>
      <c r="BS2339" s="3">
        <v>43811</v>
      </c>
      <c r="BT2339" s="5">
        <v>0.3263888888888889</v>
      </c>
      <c r="BU2339" t="s">
        <v>2503</v>
      </c>
      <c r="BV2339" t="s">
        <v>86</v>
      </c>
      <c r="BY2339">
        <v>7210.07</v>
      </c>
      <c r="CA2339" t="s">
        <v>99</v>
      </c>
      <c r="CC2339" t="s">
        <v>214</v>
      </c>
      <c r="CD2339">
        <v>6230</v>
      </c>
      <c r="CE2339" t="s">
        <v>96</v>
      </c>
      <c r="CF2339" s="3">
        <v>43812</v>
      </c>
      <c r="CI2339">
        <v>1</v>
      </c>
      <c r="CJ2339">
        <v>1</v>
      </c>
      <c r="CK2339">
        <v>21</v>
      </c>
      <c r="CL2339" t="s">
        <v>89</v>
      </c>
    </row>
    <row r="2340" spans="1:90">
      <c r="A2340" t="s">
        <v>72</v>
      </c>
      <c r="B2340" t="s">
        <v>73</v>
      </c>
      <c r="C2340" t="s">
        <v>74</v>
      </c>
      <c r="E2340" t="str">
        <f>"FES1162727779"</f>
        <v>FES1162727779</v>
      </c>
      <c r="F2340" s="3">
        <v>43810</v>
      </c>
      <c r="G2340">
        <v>202006</v>
      </c>
      <c r="H2340" t="s">
        <v>75</v>
      </c>
      <c r="I2340" t="s">
        <v>76</v>
      </c>
      <c r="J2340" t="s">
        <v>77</v>
      </c>
      <c r="K2340" t="s">
        <v>78</v>
      </c>
      <c r="L2340" t="s">
        <v>79</v>
      </c>
      <c r="M2340" t="s">
        <v>80</v>
      </c>
      <c r="N2340" t="s">
        <v>388</v>
      </c>
      <c r="O2340" t="s">
        <v>82</v>
      </c>
      <c r="P2340" t="str">
        <f>"2170721266                    "</f>
        <v xml:space="preserve">2170721266                    </v>
      </c>
      <c r="Q2340">
        <v>0</v>
      </c>
      <c r="R2340">
        <v>0</v>
      </c>
      <c r="S2340">
        <v>0</v>
      </c>
      <c r="T2340">
        <v>0</v>
      </c>
      <c r="U2340">
        <v>0</v>
      </c>
      <c r="V2340">
        <v>0</v>
      </c>
      <c r="W2340">
        <v>0</v>
      </c>
      <c r="X2340">
        <v>0</v>
      </c>
      <c r="Y2340">
        <v>0</v>
      </c>
      <c r="Z2340">
        <v>0</v>
      </c>
      <c r="AA2340">
        <v>0</v>
      </c>
      <c r="AB2340">
        <v>0</v>
      </c>
      <c r="AC2340">
        <v>0</v>
      </c>
      <c r="AD2340">
        <v>0</v>
      </c>
      <c r="AE2340">
        <v>0</v>
      </c>
      <c r="AF2340">
        <v>0</v>
      </c>
      <c r="AG2340">
        <v>0</v>
      </c>
      <c r="AH2340">
        <v>0</v>
      </c>
      <c r="AI2340">
        <v>0</v>
      </c>
      <c r="AJ2340">
        <v>0</v>
      </c>
      <c r="AK2340">
        <v>0</v>
      </c>
      <c r="AL2340">
        <v>0</v>
      </c>
      <c r="AM2340">
        <v>23.59</v>
      </c>
      <c r="AN2340">
        <v>0</v>
      </c>
      <c r="AO2340">
        <v>0</v>
      </c>
      <c r="AP2340">
        <v>0</v>
      </c>
      <c r="AQ2340">
        <v>0</v>
      </c>
      <c r="AR2340">
        <v>0</v>
      </c>
      <c r="AS2340">
        <v>0</v>
      </c>
      <c r="AT2340">
        <v>0</v>
      </c>
      <c r="AU2340">
        <v>0</v>
      </c>
      <c r="AV2340">
        <v>0</v>
      </c>
      <c r="AW2340">
        <v>0</v>
      </c>
      <c r="AX2340">
        <v>0</v>
      </c>
      <c r="AY2340">
        <v>0</v>
      </c>
      <c r="AZ2340">
        <v>0</v>
      </c>
      <c r="BA2340">
        <v>0</v>
      </c>
      <c r="BB2340">
        <v>0</v>
      </c>
      <c r="BC2340">
        <v>0</v>
      </c>
      <c r="BD2340">
        <v>0</v>
      </c>
      <c r="BE2340">
        <v>0</v>
      </c>
      <c r="BF2340">
        <v>0</v>
      </c>
      <c r="BG2340">
        <v>0</v>
      </c>
      <c r="BH2340">
        <v>1</v>
      </c>
      <c r="BI2340">
        <v>2.5</v>
      </c>
      <c r="BJ2340">
        <v>5.5</v>
      </c>
      <c r="BK2340">
        <v>5.5</v>
      </c>
      <c r="BL2340" s="4">
        <v>138.68</v>
      </c>
      <c r="BM2340" s="4">
        <v>20.8</v>
      </c>
      <c r="BN2340" s="4">
        <v>159.47999999999999</v>
      </c>
      <c r="BO2340" s="4">
        <v>159.47999999999999</v>
      </c>
      <c r="BQ2340" t="s">
        <v>147</v>
      </c>
      <c r="BR2340" t="s">
        <v>84</v>
      </c>
      <c r="BS2340" s="3">
        <v>43811</v>
      </c>
      <c r="BT2340" s="5">
        <v>0.37083333333333335</v>
      </c>
      <c r="BU2340" t="s">
        <v>368</v>
      </c>
      <c r="BV2340" t="s">
        <v>86</v>
      </c>
      <c r="BY2340">
        <v>27708.86</v>
      </c>
      <c r="CA2340" t="s">
        <v>131</v>
      </c>
      <c r="CC2340" t="s">
        <v>80</v>
      </c>
      <c r="CD2340">
        <v>6001</v>
      </c>
      <c r="CE2340" t="s">
        <v>116</v>
      </c>
      <c r="CF2340" s="3">
        <v>43812</v>
      </c>
      <c r="CI2340">
        <v>1</v>
      </c>
      <c r="CJ2340">
        <v>1</v>
      </c>
      <c r="CK2340">
        <v>21</v>
      </c>
      <c r="CL2340" t="s">
        <v>89</v>
      </c>
    </row>
    <row r="2341" spans="1:90">
      <c r="A2341" t="s">
        <v>72</v>
      </c>
      <c r="B2341" t="s">
        <v>73</v>
      </c>
      <c r="C2341" t="s">
        <v>74</v>
      </c>
      <c r="E2341" t="str">
        <f>"FES1162727902"</f>
        <v>FES1162727902</v>
      </c>
      <c r="F2341" s="3">
        <v>43810</v>
      </c>
      <c r="G2341">
        <v>202006</v>
      </c>
      <c r="H2341" t="s">
        <v>75</v>
      </c>
      <c r="I2341" t="s">
        <v>76</v>
      </c>
      <c r="J2341" t="s">
        <v>77</v>
      </c>
      <c r="K2341" t="s">
        <v>78</v>
      </c>
      <c r="L2341" t="s">
        <v>169</v>
      </c>
      <c r="M2341" t="s">
        <v>170</v>
      </c>
      <c r="N2341" t="s">
        <v>1811</v>
      </c>
      <c r="O2341" t="s">
        <v>82</v>
      </c>
      <c r="P2341" t="str">
        <f>"2170718502                    "</f>
        <v xml:space="preserve">2170718502                    </v>
      </c>
      <c r="Q2341">
        <v>0</v>
      </c>
      <c r="R2341">
        <v>0</v>
      </c>
      <c r="S2341">
        <v>0</v>
      </c>
      <c r="T2341">
        <v>0</v>
      </c>
      <c r="U2341">
        <v>0</v>
      </c>
      <c r="V2341">
        <v>0</v>
      </c>
      <c r="W2341">
        <v>0</v>
      </c>
      <c r="X2341">
        <v>0</v>
      </c>
      <c r="Y2341">
        <v>0</v>
      </c>
      <c r="Z2341">
        <v>0</v>
      </c>
      <c r="AA2341">
        <v>0</v>
      </c>
      <c r="AB2341">
        <v>0</v>
      </c>
      <c r="AC2341">
        <v>0</v>
      </c>
      <c r="AD2341">
        <v>0</v>
      </c>
      <c r="AE2341">
        <v>0</v>
      </c>
      <c r="AF2341">
        <v>0</v>
      </c>
      <c r="AG2341">
        <v>0</v>
      </c>
      <c r="AH2341">
        <v>0</v>
      </c>
      <c r="AI2341">
        <v>0</v>
      </c>
      <c r="AJ2341">
        <v>0</v>
      </c>
      <c r="AK2341">
        <v>0</v>
      </c>
      <c r="AL2341">
        <v>0</v>
      </c>
      <c r="AM2341">
        <v>6.71</v>
      </c>
      <c r="AN2341">
        <v>0</v>
      </c>
      <c r="AO2341">
        <v>0</v>
      </c>
      <c r="AP2341">
        <v>0</v>
      </c>
      <c r="AQ2341">
        <v>0</v>
      </c>
      <c r="AR2341">
        <v>0</v>
      </c>
      <c r="AS2341">
        <v>0</v>
      </c>
      <c r="AT2341">
        <v>0</v>
      </c>
      <c r="AU2341">
        <v>0</v>
      </c>
      <c r="AV2341">
        <v>0</v>
      </c>
      <c r="AW2341">
        <v>0</v>
      </c>
      <c r="AX2341">
        <v>0</v>
      </c>
      <c r="AY2341">
        <v>0</v>
      </c>
      <c r="AZ2341">
        <v>0</v>
      </c>
      <c r="BA2341">
        <v>0</v>
      </c>
      <c r="BB2341">
        <v>0</v>
      </c>
      <c r="BC2341">
        <v>0</v>
      </c>
      <c r="BD2341">
        <v>0</v>
      </c>
      <c r="BE2341">
        <v>0</v>
      </c>
      <c r="BF2341">
        <v>0</v>
      </c>
      <c r="BG2341">
        <v>0</v>
      </c>
      <c r="BH2341">
        <v>1</v>
      </c>
      <c r="BI2341">
        <v>1</v>
      </c>
      <c r="BJ2341">
        <v>0.2</v>
      </c>
      <c r="BK2341">
        <v>1</v>
      </c>
      <c r="BL2341" s="4">
        <v>39.42</v>
      </c>
      <c r="BM2341" s="4">
        <v>5.91</v>
      </c>
      <c r="BN2341" s="4">
        <v>45.33</v>
      </c>
      <c r="BO2341" s="4">
        <v>45.33</v>
      </c>
      <c r="BQ2341" t="s">
        <v>147</v>
      </c>
      <c r="BR2341" t="s">
        <v>84</v>
      </c>
      <c r="BS2341" s="3">
        <v>43811</v>
      </c>
      <c r="BT2341" s="5">
        <v>0.4375</v>
      </c>
      <c r="BU2341" t="s">
        <v>2522</v>
      </c>
      <c r="BV2341" t="s">
        <v>86</v>
      </c>
      <c r="BY2341">
        <v>1200</v>
      </c>
      <c r="CC2341" t="s">
        <v>170</v>
      </c>
      <c r="CD2341">
        <v>1459</v>
      </c>
      <c r="CE2341" t="s">
        <v>88</v>
      </c>
      <c r="CF2341" s="3">
        <v>43812</v>
      </c>
      <c r="CI2341">
        <v>1</v>
      </c>
      <c r="CJ2341">
        <v>1</v>
      </c>
      <c r="CK2341">
        <v>22</v>
      </c>
      <c r="CL2341" t="s">
        <v>89</v>
      </c>
    </row>
    <row r="2342" spans="1:90">
      <c r="A2342" t="s">
        <v>72</v>
      </c>
      <c r="B2342" t="s">
        <v>73</v>
      </c>
      <c r="C2342" t="s">
        <v>74</v>
      </c>
      <c r="E2342" t="str">
        <f>"FES1162727872"</f>
        <v>FES1162727872</v>
      </c>
      <c r="F2342" s="3">
        <v>43810</v>
      </c>
      <c r="G2342">
        <v>202006</v>
      </c>
      <c r="H2342" t="s">
        <v>75</v>
      </c>
      <c r="I2342" t="s">
        <v>76</v>
      </c>
      <c r="J2342" t="s">
        <v>77</v>
      </c>
      <c r="K2342" t="s">
        <v>78</v>
      </c>
      <c r="L2342" t="s">
        <v>132</v>
      </c>
      <c r="M2342" t="s">
        <v>133</v>
      </c>
      <c r="N2342" t="s">
        <v>1257</v>
      </c>
      <c r="O2342" t="s">
        <v>82</v>
      </c>
      <c r="P2342" t="str">
        <f>"2170713142                    "</f>
        <v xml:space="preserve">2170713142                    </v>
      </c>
      <c r="Q2342">
        <v>0</v>
      </c>
      <c r="R2342">
        <v>0</v>
      </c>
      <c r="S2342">
        <v>0</v>
      </c>
      <c r="T2342">
        <v>0</v>
      </c>
      <c r="U2342">
        <v>0</v>
      </c>
      <c r="V2342">
        <v>0</v>
      </c>
      <c r="W2342">
        <v>0</v>
      </c>
      <c r="X2342">
        <v>0</v>
      </c>
      <c r="Y2342">
        <v>0</v>
      </c>
      <c r="Z2342">
        <v>0</v>
      </c>
      <c r="AA2342">
        <v>0</v>
      </c>
      <c r="AB2342">
        <v>0</v>
      </c>
      <c r="AC2342">
        <v>0</v>
      </c>
      <c r="AD2342">
        <v>0</v>
      </c>
      <c r="AE2342">
        <v>0</v>
      </c>
      <c r="AF2342">
        <v>0</v>
      </c>
      <c r="AG2342">
        <v>0</v>
      </c>
      <c r="AH2342">
        <v>0</v>
      </c>
      <c r="AI2342">
        <v>0</v>
      </c>
      <c r="AJ2342">
        <v>0</v>
      </c>
      <c r="AK2342">
        <v>0</v>
      </c>
      <c r="AL2342">
        <v>0</v>
      </c>
      <c r="AM2342">
        <v>8.58</v>
      </c>
      <c r="AN2342">
        <v>0</v>
      </c>
      <c r="AO2342">
        <v>0</v>
      </c>
      <c r="AP2342">
        <v>0</v>
      </c>
      <c r="AQ2342">
        <v>0</v>
      </c>
      <c r="AR2342">
        <v>0</v>
      </c>
      <c r="AS2342">
        <v>0</v>
      </c>
      <c r="AT2342">
        <v>0</v>
      </c>
      <c r="AU2342">
        <v>0</v>
      </c>
      <c r="AV2342">
        <v>0</v>
      </c>
      <c r="AW2342">
        <v>0</v>
      </c>
      <c r="AX2342">
        <v>0</v>
      </c>
      <c r="AY2342">
        <v>0</v>
      </c>
      <c r="AZ2342">
        <v>0</v>
      </c>
      <c r="BA2342">
        <v>0</v>
      </c>
      <c r="BB2342">
        <v>0</v>
      </c>
      <c r="BC2342">
        <v>0</v>
      </c>
      <c r="BD2342">
        <v>0</v>
      </c>
      <c r="BE2342">
        <v>0</v>
      </c>
      <c r="BF2342">
        <v>0</v>
      </c>
      <c r="BG2342">
        <v>0</v>
      </c>
      <c r="BH2342">
        <v>1</v>
      </c>
      <c r="BI2342">
        <v>1</v>
      </c>
      <c r="BJ2342">
        <v>0.2</v>
      </c>
      <c r="BK2342">
        <v>1</v>
      </c>
      <c r="BL2342" s="4">
        <v>50.45</v>
      </c>
      <c r="BM2342" s="4">
        <v>7.57</v>
      </c>
      <c r="BN2342" s="4">
        <v>58.02</v>
      </c>
      <c r="BO2342" s="4">
        <v>58.02</v>
      </c>
      <c r="BQ2342" t="s">
        <v>147</v>
      </c>
      <c r="BR2342" t="s">
        <v>84</v>
      </c>
      <c r="BS2342" s="3">
        <v>43811</v>
      </c>
      <c r="BT2342" s="5">
        <v>0.38194444444444442</v>
      </c>
      <c r="BU2342" t="s">
        <v>870</v>
      </c>
      <c r="BV2342" t="s">
        <v>86</v>
      </c>
      <c r="BY2342">
        <v>1200</v>
      </c>
      <c r="CA2342" t="s">
        <v>137</v>
      </c>
      <c r="CC2342" t="s">
        <v>133</v>
      </c>
      <c r="CD2342">
        <v>157</v>
      </c>
      <c r="CE2342" t="s">
        <v>88</v>
      </c>
      <c r="CF2342" s="3">
        <v>43812</v>
      </c>
      <c r="CI2342">
        <v>1</v>
      </c>
      <c r="CJ2342">
        <v>1</v>
      </c>
      <c r="CK2342">
        <v>21</v>
      </c>
      <c r="CL2342" t="s">
        <v>89</v>
      </c>
    </row>
    <row r="2343" spans="1:90">
      <c r="A2343" t="s">
        <v>72</v>
      </c>
      <c r="B2343" t="s">
        <v>73</v>
      </c>
      <c r="C2343" t="s">
        <v>74</v>
      </c>
      <c r="E2343" t="str">
        <f>"FES1162727922"</f>
        <v>FES1162727922</v>
      </c>
      <c r="F2343" s="3">
        <v>43810</v>
      </c>
      <c r="G2343">
        <v>202006</v>
      </c>
      <c r="H2343" t="s">
        <v>75</v>
      </c>
      <c r="I2343" t="s">
        <v>76</v>
      </c>
      <c r="J2343" t="s">
        <v>77</v>
      </c>
      <c r="K2343" t="s">
        <v>78</v>
      </c>
      <c r="L2343" t="s">
        <v>75</v>
      </c>
      <c r="M2343" t="s">
        <v>76</v>
      </c>
      <c r="N2343" t="s">
        <v>1563</v>
      </c>
      <c r="O2343" t="s">
        <v>82</v>
      </c>
      <c r="P2343" t="str">
        <f>"2170721075                    "</f>
        <v xml:space="preserve">2170721075                    </v>
      </c>
      <c r="Q2343">
        <v>0</v>
      </c>
      <c r="R2343">
        <v>0</v>
      </c>
      <c r="S2343">
        <v>0</v>
      </c>
      <c r="T2343">
        <v>0</v>
      </c>
      <c r="U2343">
        <v>0</v>
      </c>
      <c r="V2343">
        <v>0</v>
      </c>
      <c r="W2343">
        <v>0</v>
      </c>
      <c r="X2343">
        <v>0</v>
      </c>
      <c r="Y2343">
        <v>0</v>
      </c>
      <c r="Z2343">
        <v>0</v>
      </c>
      <c r="AA2343">
        <v>0</v>
      </c>
      <c r="AB2343">
        <v>0</v>
      </c>
      <c r="AC2343">
        <v>0</v>
      </c>
      <c r="AD2343">
        <v>0</v>
      </c>
      <c r="AE2343">
        <v>0</v>
      </c>
      <c r="AF2343">
        <v>0</v>
      </c>
      <c r="AG2343">
        <v>0</v>
      </c>
      <c r="AH2343">
        <v>0</v>
      </c>
      <c r="AI2343">
        <v>0</v>
      </c>
      <c r="AJ2343">
        <v>0</v>
      </c>
      <c r="AK2343">
        <v>0</v>
      </c>
      <c r="AL2343">
        <v>0</v>
      </c>
      <c r="AM2343">
        <v>6.71</v>
      </c>
      <c r="AN2343">
        <v>0</v>
      </c>
      <c r="AO2343">
        <v>0</v>
      </c>
      <c r="AP2343">
        <v>0</v>
      </c>
      <c r="AQ2343">
        <v>0</v>
      </c>
      <c r="AR2343">
        <v>0</v>
      </c>
      <c r="AS2343">
        <v>0</v>
      </c>
      <c r="AT2343">
        <v>0</v>
      </c>
      <c r="AU2343">
        <v>0</v>
      </c>
      <c r="AV2343">
        <v>0</v>
      </c>
      <c r="AW2343">
        <v>0</v>
      </c>
      <c r="AX2343">
        <v>0</v>
      </c>
      <c r="AY2343">
        <v>0</v>
      </c>
      <c r="AZ2343">
        <v>0</v>
      </c>
      <c r="BA2343">
        <v>0</v>
      </c>
      <c r="BB2343">
        <v>0</v>
      </c>
      <c r="BC2343">
        <v>0</v>
      </c>
      <c r="BD2343">
        <v>0</v>
      </c>
      <c r="BE2343">
        <v>0</v>
      </c>
      <c r="BF2343">
        <v>0</v>
      </c>
      <c r="BG2343">
        <v>0</v>
      </c>
      <c r="BH2343">
        <v>1</v>
      </c>
      <c r="BI2343">
        <v>1</v>
      </c>
      <c r="BJ2343">
        <v>0.2</v>
      </c>
      <c r="BK2343">
        <v>1</v>
      </c>
      <c r="BL2343" s="4">
        <v>39.42</v>
      </c>
      <c r="BM2343" s="4">
        <v>5.91</v>
      </c>
      <c r="BN2343" s="4">
        <v>45.33</v>
      </c>
      <c r="BO2343" s="4">
        <v>45.33</v>
      </c>
      <c r="BR2343" t="s">
        <v>84</v>
      </c>
      <c r="BS2343" s="3">
        <v>43811</v>
      </c>
      <c r="BT2343" s="5">
        <v>0.40416666666666662</v>
      </c>
      <c r="BU2343" t="s">
        <v>828</v>
      </c>
      <c r="BV2343" t="s">
        <v>86</v>
      </c>
      <c r="BY2343">
        <v>1200</v>
      </c>
      <c r="CA2343" t="s">
        <v>588</v>
      </c>
      <c r="CC2343" t="s">
        <v>76</v>
      </c>
      <c r="CD2343">
        <v>1619</v>
      </c>
      <c r="CE2343" t="s">
        <v>88</v>
      </c>
      <c r="CF2343" s="3">
        <v>43812</v>
      </c>
      <c r="CI2343">
        <v>1</v>
      </c>
      <c r="CJ2343">
        <v>1</v>
      </c>
      <c r="CK2343">
        <v>22</v>
      </c>
      <c r="CL2343" t="s">
        <v>89</v>
      </c>
    </row>
    <row r="2344" spans="1:90">
      <c r="A2344" t="s">
        <v>72</v>
      </c>
      <c r="B2344" t="s">
        <v>73</v>
      </c>
      <c r="C2344" t="s">
        <v>74</v>
      </c>
      <c r="E2344" t="str">
        <f>"FES1162727791"</f>
        <v>FES1162727791</v>
      </c>
      <c r="F2344" s="3">
        <v>43810</v>
      </c>
      <c r="G2344">
        <v>202006</v>
      </c>
      <c r="H2344" t="s">
        <v>75</v>
      </c>
      <c r="I2344" t="s">
        <v>76</v>
      </c>
      <c r="J2344" t="s">
        <v>77</v>
      </c>
      <c r="K2344" t="s">
        <v>78</v>
      </c>
      <c r="L2344" t="s">
        <v>2100</v>
      </c>
      <c r="M2344" t="s">
        <v>2101</v>
      </c>
      <c r="N2344" t="s">
        <v>2102</v>
      </c>
      <c r="O2344" t="s">
        <v>82</v>
      </c>
      <c r="P2344" t="str">
        <f>"2170718410                    "</f>
        <v xml:space="preserve">2170718410                    </v>
      </c>
      <c r="Q2344">
        <v>0</v>
      </c>
      <c r="R2344">
        <v>0</v>
      </c>
      <c r="S2344">
        <v>0</v>
      </c>
      <c r="T2344">
        <v>0</v>
      </c>
      <c r="U2344">
        <v>0</v>
      </c>
      <c r="V2344">
        <v>0</v>
      </c>
      <c r="W2344">
        <v>0</v>
      </c>
      <c r="X2344">
        <v>0</v>
      </c>
      <c r="Y2344">
        <v>0</v>
      </c>
      <c r="Z2344">
        <v>0</v>
      </c>
      <c r="AA2344">
        <v>0</v>
      </c>
      <c r="AB2344">
        <v>0</v>
      </c>
      <c r="AC2344">
        <v>0</v>
      </c>
      <c r="AD2344">
        <v>0</v>
      </c>
      <c r="AE2344">
        <v>0</v>
      </c>
      <c r="AF2344">
        <v>0</v>
      </c>
      <c r="AG2344">
        <v>0</v>
      </c>
      <c r="AH2344">
        <v>0</v>
      </c>
      <c r="AI2344">
        <v>0</v>
      </c>
      <c r="AJ2344">
        <v>0</v>
      </c>
      <c r="AK2344">
        <v>0</v>
      </c>
      <c r="AL2344">
        <v>0</v>
      </c>
      <c r="AM2344">
        <v>12.07</v>
      </c>
      <c r="AN2344">
        <v>0</v>
      </c>
      <c r="AO2344">
        <v>0</v>
      </c>
      <c r="AP2344">
        <v>0</v>
      </c>
      <c r="AQ2344">
        <v>0</v>
      </c>
      <c r="AR2344">
        <v>0</v>
      </c>
      <c r="AS2344">
        <v>0</v>
      </c>
      <c r="AT2344">
        <v>0</v>
      </c>
      <c r="AU2344">
        <v>0</v>
      </c>
      <c r="AV2344">
        <v>0</v>
      </c>
      <c r="AW2344">
        <v>0</v>
      </c>
      <c r="AX2344">
        <v>0</v>
      </c>
      <c r="AY2344">
        <v>0</v>
      </c>
      <c r="AZ2344">
        <v>0</v>
      </c>
      <c r="BA2344">
        <v>0</v>
      </c>
      <c r="BB2344">
        <v>0</v>
      </c>
      <c r="BC2344">
        <v>0</v>
      </c>
      <c r="BD2344">
        <v>0</v>
      </c>
      <c r="BE2344">
        <v>0</v>
      </c>
      <c r="BF2344">
        <v>0</v>
      </c>
      <c r="BG2344">
        <v>0</v>
      </c>
      <c r="BH2344">
        <v>1</v>
      </c>
      <c r="BI2344">
        <v>1</v>
      </c>
      <c r="BJ2344">
        <v>0.2</v>
      </c>
      <c r="BK2344">
        <v>1</v>
      </c>
      <c r="BL2344" s="4">
        <v>70.95</v>
      </c>
      <c r="BM2344" s="4">
        <v>10.64</v>
      </c>
      <c r="BN2344" s="4">
        <v>81.59</v>
      </c>
      <c r="BO2344" s="4">
        <v>81.59</v>
      </c>
      <c r="BQ2344" t="s">
        <v>2103</v>
      </c>
      <c r="BR2344" t="s">
        <v>84</v>
      </c>
      <c r="BS2344" s="3">
        <v>43811</v>
      </c>
      <c r="BT2344" s="5">
        <v>0.4375</v>
      </c>
      <c r="BU2344" t="s">
        <v>2523</v>
      </c>
      <c r="BV2344" t="s">
        <v>86</v>
      </c>
      <c r="BY2344">
        <v>1200</v>
      </c>
      <c r="CC2344" t="s">
        <v>2101</v>
      </c>
      <c r="CD2344">
        <v>1441</v>
      </c>
      <c r="CE2344" t="s">
        <v>88</v>
      </c>
      <c r="CF2344" s="3">
        <v>43812</v>
      </c>
      <c r="CI2344">
        <v>1</v>
      </c>
      <c r="CJ2344">
        <v>1</v>
      </c>
      <c r="CK2344">
        <v>24</v>
      </c>
      <c r="CL2344" t="s">
        <v>89</v>
      </c>
    </row>
    <row r="2345" spans="1:90">
      <c r="A2345" t="s">
        <v>72</v>
      </c>
      <c r="B2345" t="s">
        <v>73</v>
      </c>
      <c r="C2345" t="s">
        <v>74</v>
      </c>
      <c r="E2345" t="str">
        <f>"FES1162727946"</f>
        <v>FES1162727946</v>
      </c>
      <c r="F2345" s="3">
        <v>43810</v>
      </c>
      <c r="G2345">
        <v>202006</v>
      </c>
      <c r="H2345" t="s">
        <v>75</v>
      </c>
      <c r="I2345" t="s">
        <v>76</v>
      </c>
      <c r="J2345" t="s">
        <v>77</v>
      </c>
      <c r="K2345" t="s">
        <v>78</v>
      </c>
      <c r="L2345" t="s">
        <v>138</v>
      </c>
      <c r="M2345" t="s">
        <v>139</v>
      </c>
      <c r="N2345" t="s">
        <v>146</v>
      </c>
      <c r="O2345" t="s">
        <v>82</v>
      </c>
      <c r="P2345" t="str">
        <f>"2170712434                    "</f>
        <v xml:space="preserve">2170712434                    </v>
      </c>
      <c r="Q2345">
        <v>0</v>
      </c>
      <c r="R2345">
        <v>0</v>
      </c>
      <c r="S2345">
        <v>0</v>
      </c>
      <c r="T2345">
        <v>0</v>
      </c>
      <c r="U2345">
        <v>0</v>
      </c>
      <c r="V2345">
        <v>0</v>
      </c>
      <c r="W2345">
        <v>0</v>
      </c>
      <c r="X2345">
        <v>0</v>
      </c>
      <c r="Y2345">
        <v>0</v>
      </c>
      <c r="Z2345">
        <v>0</v>
      </c>
      <c r="AA2345">
        <v>0</v>
      </c>
      <c r="AB2345">
        <v>0</v>
      </c>
      <c r="AC2345">
        <v>0</v>
      </c>
      <c r="AD2345">
        <v>0</v>
      </c>
      <c r="AE2345">
        <v>0</v>
      </c>
      <c r="AF2345">
        <v>0</v>
      </c>
      <c r="AG2345">
        <v>0</v>
      </c>
      <c r="AH2345">
        <v>0</v>
      </c>
      <c r="AI2345">
        <v>0</v>
      </c>
      <c r="AJ2345">
        <v>0</v>
      </c>
      <c r="AK2345">
        <v>0</v>
      </c>
      <c r="AL2345">
        <v>0</v>
      </c>
      <c r="AM2345">
        <v>6.71</v>
      </c>
      <c r="AN2345">
        <v>0</v>
      </c>
      <c r="AO2345">
        <v>0</v>
      </c>
      <c r="AP2345">
        <v>0</v>
      </c>
      <c r="AQ2345">
        <v>0</v>
      </c>
      <c r="AR2345">
        <v>0</v>
      </c>
      <c r="AS2345">
        <v>0</v>
      </c>
      <c r="AT2345">
        <v>0</v>
      </c>
      <c r="AU2345">
        <v>0</v>
      </c>
      <c r="AV2345">
        <v>0</v>
      </c>
      <c r="AW2345">
        <v>0</v>
      </c>
      <c r="AX2345">
        <v>0</v>
      </c>
      <c r="AY2345">
        <v>0</v>
      </c>
      <c r="AZ2345">
        <v>0</v>
      </c>
      <c r="BA2345">
        <v>0</v>
      </c>
      <c r="BB2345">
        <v>0</v>
      </c>
      <c r="BC2345">
        <v>0</v>
      </c>
      <c r="BD2345">
        <v>0</v>
      </c>
      <c r="BE2345">
        <v>0</v>
      </c>
      <c r="BF2345">
        <v>0</v>
      </c>
      <c r="BG2345">
        <v>0</v>
      </c>
      <c r="BH2345">
        <v>1</v>
      </c>
      <c r="BI2345">
        <v>1</v>
      </c>
      <c r="BJ2345">
        <v>0.2</v>
      </c>
      <c r="BK2345">
        <v>1</v>
      </c>
      <c r="BL2345" s="4">
        <v>39.42</v>
      </c>
      <c r="BM2345" s="4">
        <v>5.91</v>
      </c>
      <c r="BN2345" s="4">
        <v>45.33</v>
      </c>
      <c r="BO2345" s="4">
        <v>45.33</v>
      </c>
      <c r="BQ2345" t="s">
        <v>147</v>
      </c>
      <c r="BR2345" t="s">
        <v>84</v>
      </c>
      <c r="BS2345" s="3">
        <v>43811</v>
      </c>
      <c r="BT2345" s="5">
        <v>0.37847222222222227</v>
      </c>
      <c r="BU2345" t="s">
        <v>2469</v>
      </c>
      <c r="BV2345" t="s">
        <v>86</v>
      </c>
      <c r="BY2345">
        <v>1200</v>
      </c>
      <c r="CC2345" t="s">
        <v>139</v>
      </c>
      <c r="CD2345">
        <v>1428</v>
      </c>
      <c r="CE2345" t="s">
        <v>88</v>
      </c>
      <c r="CF2345" s="3">
        <v>43812</v>
      </c>
      <c r="CI2345">
        <v>1</v>
      </c>
      <c r="CJ2345">
        <v>1</v>
      </c>
      <c r="CK2345">
        <v>22</v>
      </c>
      <c r="CL2345" t="s">
        <v>89</v>
      </c>
    </row>
    <row r="2346" spans="1:90">
      <c r="A2346" t="s">
        <v>72</v>
      </c>
      <c r="B2346" t="s">
        <v>73</v>
      </c>
      <c r="C2346" t="s">
        <v>74</v>
      </c>
      <c r="E2346" t="str">
        <f>"FES1162727938"</f>
        <v>FES1162727938</v>
      </c>
      <c r="F2346" s="3">
        <v>43810</v>
      </c>
      <c r="G2346">
        <v>202006</v>
      </c>
      <c r="H2346" t="s">
        <v>75</v>
      </c>
      <c r="I2346" t="s">
        <v>76</v>
      </c>
      <c r="J2346" t="s">
        <v>77</v>
      </c>
      <c r="K2346" t="s">
        <v>78</v>
      </c>
      <c r="L2346" t="s">
        <v>332</v>
      </c>
      <c r="M2346" t="s">
        <v>333</v>
      </c>
      <c r="N2346" t="s">
        <v>1808</v>
      </c>
      <c r="O2346" t="s">
        <v>82</v>
      </c>
      <c r="P2346" t="str">
        <f>"2170712420                    "</f>
        <v xml:space="preserve">2170712420                    </v>
      </c>
      <c r="Q2346">
        <v>0</v>
      </c>
      <c r="R2346">
        <v>0</v>
      </c>
      <c r="S2346">
        <v>0</v>
      </c>
      <c r="T2346">
        <v>0</v>
      </c>
      <c r="U2346">
        <v>0</v>
      </c>
      <c r="V2346">
        <v>0</v>
      </c>
      <c r="W2346">
        <v>0</v>
      </c>
      <c r="X2346">
        <v>0</v>
      </c>
      <c r="Y2346">
        <v>0</v>
      </c>
      <c r="Z2346">
        <v>0</v>
      </c>
      <c r="AA2346">
        <v>0</v>
      </c>
      <c r="AB2346">
        <v>0</v>
      </c>
      <c r="AC2346">
        <v>0</v>
      </c>
      <c r="AD2346">
        <v>0</v>
      </c>
      <c r="AE2346">
        <v>0</v>
      </c>
      <c r="AF2346">
        <v>0</v>
      </c>
      <c r="AG2346">
        <v>0</v>
      </c>
      <c r="AH2346">
        <v>0</v>
      </c>
      <c r="AI2346">
        <v>0</v>
      </c>
      <c r="AJ2346">
        <v>0</v>
      </c>
      <c r="AK2346">
        <v>0</v>
      </c>
      <c r="AL2346">
        <v>0</v>
      </c>
      <c r="AM2346">
        <v>9.92</v>
      </c>
      <c r="AN2346">
        <v>0</v>
      </c>
      <c r="AO2346">
        <v>0</v>
      </c>
      <c r="AP2346">
        <v>0</v>
      </c>
      <c r="AQ2346">
        <v>0</v>
      </c>
      <c r="AR2346">
        <v>0</v>
      </c>
      <c r="AS2346">
        <v>0</v>
      </c>
      <c r="AT2346">
        <v>0</v>
      </c>
      <c r="AU2346">
        <v>0</v>
      </c>
      <c r="AV2346">
        <v>0</v>
      </c>
      <c r="AW2346">
        <v>0</v>
      </c>
      <c r="AX2346">
        <v>0</v>
      </c>
      <c r="AY2346">
        <v>0</v>
      </c>
      <c r="AZ2346">
        <v>0</v>
      </c>
      <c r="BA2346">
        <v>0</v>
      </c>
      <c r="BB2346">
        <v>0</v>
      </c>
      <c r="BC2346">
        <v>0</v>
      </c>
      <c r="BD2346">
        <v>0</v>
      </c>
      <c r="BE2346">
        <v>0</v>
      </c>
      <c r="BF2346">
        <v>0</v>
      </c>
      <c r="BG2346">
        <v>0</v>
      </c>
      <c r="BH2346">
        <v>1</v>
      </c>
      <c r="BI2346">
        <v>3.9</v>
      </c>
      <c r="BJ2346">
        <v>1.8</v>
      </c>
      <c r="BK2346">
        <v>4</v>
      </c>
      <c r="BL2346" s="4">
        <v>58.31</v>
      </c>
      <c r="BM2346" s="4">
        <v>8.75</v>
      </c>
      <c r="BN2346" s="4">
        <v>67.06</v>
      </c>
      <c r="BO2346" s="4">
        <v>67.06</v>
      </c>
      <c r="BR2346" t="s">
        <v>84</v>
      </c>
      <c r="BS2346" s="3">
        <v>43811</v>
      </c>
      <c r="BT2346" s="5">
        <v>0.34236111111111112</v>
      </c>
      <c r="BU2346" t="s">
        <v>2524</v>
      </c>
      <c r="BV2346" t="s">
        <v>86</v>
      </c>
      <c r="BY2346">
        <v>8788.1</v>
      </c>
      <c r="CA2346" t="s">
        <v>2525</v>
      </c>
      <c r="CC2346" t="s">
        <v>333</v>
      </c>
      <c r="CD2346">
        <v>2001</v>
      </c>
      <c r="CE2346" t="s">
        <v>116</v>
      </c>
      <c r="CF2346" s="3">
        <v>43816</v>
      </c>
      <c r="CI2346">
        <v>1</v>
      </c>
      <c r="CJ2346">
        <v>1</v>
      </c>
      <c r="CK2346">
        <v>22</v>
      </c>
      <c r="CL2346" t="s">
        <v>89</v>
      </c>
    </row>
    <row r="2347" spans="1:90">
      <c r="A2347" t="s">
        <v>72</v>
      </c>
      <c r="B2347" t="s">
        <v>73</v>
      </c>
      <c r="C2347" t="s">
        <v>74</v>
      </c>
      <c r="E2347" t="str">
        <f>"FES1162727943"</f>
        <v>FES1162727943</v>
      </c>
      <c r="F2347" s="3">
        <v>43810</v>
      </c>
      <c r="G2347">
        <v>202006</v>
      </c>
      <c r="H2347" t="s">
        <v>75</v>
      </c>
      <c r="I2347" t="s">
        <v>76</v>
      </c>
      <c r="J2347" t="s">
        <v>77</v>
      </c>
      <c r="K2347" t="s">
        <v>78</v>
      </c>
      <c r="L2347" t="s">
        <v>90</v>
      </c>
      <c r="M2347" t="s">
        <v>91</v>
      </c>
      <c r="N2347" t="s">
        <v>219</v>
      </c>
      <c r="O2347" t="s">
        <v>82</v>
      </c>
      <c r="P2347" t="str">
        <f>"2170714235                    "</f>
        <v xml:space="preserve">2170714235                    </v>
      </c>
      <c r="Q2347">
        <v>0</v>
      </c>
      <c r="R2347">
        <v>0</v>
      </c>
      <c r="S2347">
        <v>0</v>
      </c>
      <c r="T2347">
        <v>0</v>
      </c>
      <c r="U2347">
        <v>0</v>
      </c>
      <c r="V2347">
        <v>0</v>
      </c>
      <c r="W2347">
        <v>0</v>
      </c>
      <c r="X2347">
        <v>0</v>
      </c>
      <c r="Y2347">
        <v>0</v>
      </c>
      <c r="Z2347">
        <v>0</v>
      </c>
      <c r="AA2347">
        <v>0</v>
      </c>
      <c r="AB2347">
        <v>0</v>
      </c>
      <c r="AC2347">
        <v>0</v>
      </c>
      <c r="AD2347">
        <v>0</v>
      </c>
      <c r="AE2347">
        <v>0</v>
      </c>
      <c r="AF2347">
        <v>0</v>
      </c>
      <c r="AG2347">
        <v>0</v>
      </c>
      <c r="AH2347">
        <v>0</v>
      </c>
      <c r="AI2347">
        <v>0</v>
      </c>
      <c r="AJ2347">
        <v>0</v>
      </c>
      <c r="AK2347">
        <v>0</v>
      </c>
      <c r="AL2347">
        <v>0</v>
      </c>
      <c r="AM2347">
        <v>8.58</v>
      </c>
      <c r="AN2347">
        <v>0</v>
      </c>
      <c r="AO2347">
        <v>0</v>
      </c>
      <c r="AP2347">
        <v>0</v>
      </c>
      <c r="AQ2347">
        <v>0</v>
      </c>
      <c r="AR2347">
        <v>0</v>
      </c>
      <c r="AS2347">
        <v>0</v>
      </c>
      <c r="AT2347">
        <v>0</v>
      </c>
      <c r="AU2347">
        <v>0</v>
      </c>
      <c r="AV2347">
        <v>0</v>
      </c>
      <c r="AW2347">
        <v>0</v>
      </c>
      <c r="AX2347">
        <v>0</v>
      </c>
      <c r="AY2347">
        <v>0</v>
      </c>
      <c r="AZ2347">
        <v>0</v>
      </c>
      <c r="BA2347">
        <v>0</v>
      </c>
      <c r="BB2347">
        <v>0</v>
      </c>
      <c r="BC2347">
        <v>0</v>
      </c>
      <c r="BD2347">
        <v>0</v>
      </c>
      <c r="BE2347">
        <v>0</v>
      </c>
      <c r="BF2347">
        <v>0</v>
      </c>
      <c r="BG2347">
        <v>0</v>
      </c>
      <c r="BH2347">
        <v>1</v>
      </c>
      <c r="BI2347">
        <v>1</v>
      </c>
      <c r="BJ2347">
        <v>0.2</v>
      </c>
      <c r="BK2347">
        <v>1</v>
      </c>
      <c r="BL2347" s="4">
        <v>50.45</v>
      </c>
      <c r="BM2347" s="4">
        <v>7.57</v>
      </c>
      <c r="BN2347" s="4">
        <v>58.02</v>
      </c>
      <c r="BO2347" s="4">
        <v>58.02</v>
      </c>
      <c r="BQ2347" t="s">
        <v>147</v>
      </c>
      <c r="BR2347" t="s">
        <v>84</v>
      </c>
      <c r="BS2347" s="3">
        <v>43811</v>
      </c>
      <c r="BT2347" s="5">
        <v>0.36041666666666666</v>
      </c>
      <c r="BU2347" t="s">
        <v>220</v>
      </c>
      <c r="BV2347" t="s">
        <v>86</v>
      </c>
      <c r="BY2347">
        <v>1200</v>
      </c>
      <c r="CA2347" t="s">
        <v>112</v>
      </c>
      <c r="CC2347" t="s">
        <v>91</v>
      </c>
      <c r="CD2347">
        <v>7441</v>
      </c>
      <c r="CE2347" t="s">
        <v>88</v>
      </c>
      <c r="CF2347" s="3">
        <v>43812</v>
      </c>
      <c r="CI2347">
        <v>1</v>
      </c>
      <c r="CJ2347">
        <v>1</v>
      </c>
      <c r="CK2347">
        <v>21</v>
      </c>
      <c r="CL2347" t="s">
        <v>89</v>
      </c>
    </row>
    <row r="2348" spans="1:90">
      <c r="A2348" t="s">
        <v>72</v>
      </c>
      <c r="B2348" t="s">
        <v>73</v>
      </c>
      <c r="C2348" t="s">
        <v>74</v>
      </c>
      <c r="E2348" t="str">
        <f>"FES1162727849"</f>
        <v>FES1162727849</v>
      </c>
      <c r="F2348" s="3">
        <v>43810</v>
      </c>
      <c r="G2348">
        <v>202006</v>
      </c>
      <c r="H2348" t="s">
        <v>75</v>
      </c>
      <c r="I2348" t="s">
        <v>76</v>
      </c>
      <c r="J2348" t="s">
        <v>77</v>
      </c>
      <c r="K2348" t="s">
        <v>78</v>
      </c>
      <c r="L2348" t="s">
        <v>151</v>
      </c>
      <c r="M2348" t="s">
        <v>102</v>
      </c>
      <c r="N2348" t="s">
        <v>1221</v>
      </c>
      <c r="O2348" t="s">
        <v>82</v>
      </c>
      <c r="P2348" t="str">
        <f>"2170712308                    "</f>
        <v xml:space="preserve">2170712308                    </v>
      </c>
      <c r="Q2348">
        <v>0</v>
      </c>
      <c r="R2348">
        <v>0</v>
      </c>
      <c r="S2348">
        <v>0</v>
      </c>
      <c r="T2348">
        <v>0</v>
      </c>
      <c r="U2348">
        <v>0</v>
      </c>
      <c r="V2348">
        <v>0</v>
      </c>
      <c r="W2348">
        <v>0</v>
      </c>
      <c r="X2348">
        <v>0</v>
      </c>
      <c r="Y2348">
        <v>0</v>
      </c>
      <c r="Z2348">
        <v>0</v>
      </c>
      <c r="AA2348">
        <v>0</v>
      </c>
      <c r="AB2348">
        <v>0</v>
      </c>
      <c r="AC2348">
        <v>0</v>
      </c>
      <c r="AD2348">
        <v>0</v>
      </c>
      <c r="AE2348">
        <v>0</v>
      </c>
      <c r="AF2348">
        <v>0</v>
      </c>
      <c r="AG2348">
        <v>0</v>
      </c>
      <c r="AH2348">
        <v>0</v>
      </c>
      <c r="AI2348">
        <v>0</v>
      </c>
      <c r="AJ2348">
        <v>0</v>
      </c>
      <c r="AK2348">
        <v>0</v>
      </c>
      <c r="AL2348">
        <v>0</v>
      </c>
      <c r="AM2348">
        <v>10.73</v>
      </c>
      <c r="AN2348">
        <v>0</v>
      </c>
      <c r="AO2348">
        <v>0</v>
      </c>
      <c r="AP2348">
        <v>0</v>
      </c>
      <c r="AQ2348">
        <v>0</v>
      </c>
      <c r="AR2348">
        <v>0</v>
      </c>
      <c r="AS2348">
        <v>0</v>
      </c>
      <c r="AT2348">
        <v>0</v>
      </c>
      <c r="AU2348">
        <v>0</v>
      </c>
      <c r="AV2348">
        <v>0</v>
      </c>
      <c r="AW2348">
        <v>0</v>
      </c>
      <c r="AX2348">
        <v>0</v>
      </c>
      <c r="AY2348">
        <v>0</v>
      </c>
      <c r="AZ2348">
        <v>0</v>
      </c>
      <c r="BA2348">
        <v>0</v>
      </c>
      <c r="BB2348">
        <v>0</v>
      </c>
      <c r="BC2348">
        <v>0</v>
      </c>
      <c r="BD2348">
        <v>0</v>
      </c>
      <c r="BE2348">
        <v>0</v>
      </c>
      <c r="BF2348">
        <v>0</v>
      </c>
      <c r="BG2348">
        <v>0</v>
      </c>
      <c r="BH2348">
        <v>1</v>
      </c>
      <c r="BI2348">
        <v>2.5</v>
      </c>
      <c r="BJ2348">
        <v>1.2</v>
      </c>
      <c r="BK2348">
        <v>2.5</v>
      </c>
      <c r="BL2348" s="4">
        <v>63.06</v>
      </c>
      <c r="BM2348" s="4">
        <v>9.4600000000000009</v>
      </c>
      <c r="BN2348" s="4">
        <v>72.52</v>
      </c>
      <c r="BO2348" s="4">
        <v>72.52</v>
      </c>
      <c r="BQ2348" t="s">
        <v>135</v>
      </c>
      <c r="BR2348" t="s">
        <v>84</v>
      </c>
      <c r="BS2348" s="3">
        <v>43811</v>
      </c>
      <c r="BT2348" s="5">
        <v>0.39583333333333331</v>
      </c>
      <c r="BU2348" t="s">
        <v>687</v>
      </c>
      <c r="BV2348" t="s">
        <v>86</v>
      </c>
      <c r="BY2348">
        <v>5945.82</v>
      </c>
      <c r="CA2348" t="s">
        <v>1223</v>
      </c>
      <c r="CC2348" t="s">
        <v>102</v>
      </c>
      <c r="CD2348">
        <v>186</v>
      </c>
      <c r="CE2348" t="s">
        <v>116</v>
      </c>
      <c r="CF2348" s="3">
        <v>43812</v>
      </c>
      <c r="CI2348">
        <v>1</v>
      </c>
      <c r="CJ2348">
        <v>1</v>
      </c>
      <c r="CK2348">
        <v>21</v>
      </c>
      <c r="CL2348" t="s">
        <v>89</v>
      </c>
    </row>
    <row r="2349" spans="1:90">
      <c r="A2349" t="s">
        <v>72</v>
      </c>
      <c r="B2349" t="s">
        <v>73</v>
      </c>
      <c r="C2349" t="s">
        <v>74</v>
      </c>
      <c r="E2349" t="str">
        <f>"FES1162727906"</f>
        <v>FES1162727906</v>
      </c>
      <c r="F2349" s="3">
        <v>43810</v>
      </c>
      <c r="G2349">
        <v>202006</v>
      </c>
      <c r="H2349" t="s">
        <v>75</v>
      </c>
      <c r="I2349" t="s">
        <v>76</v>
      </c>
      <c r="J2349" t="s">
        <v>77</v>
      </c>
      <c r="K2349" t="s">
        <v>78</v>
      </c>
      <c r="L2349" t="s">
        <v>79</v>
      </c>
      <c r="M2349" t="s">
        <v>80</v>
      </c>
      <c r="N2349" t="s">
        <v>129</v>
      </c>
      <c r="O2349" t="s">
        <v>82</v>
      </c>
      <c r="P2349" t="str">
        <f>"2170721385                    "</f>
        <v xml:space="preserve">2170721385                    </v>
      </c>
      <c r="Q2349">
        <v>0</v>
      </c>
      <c r="R2349">
        <v>0</v>
      </c>
      <c r="S2349">
        <v>0</v>
      </c>
      <c r="T2349">
        <v>0</v>
      </c>
      <c r="U2349">
        <v>0</v>
      </c>
      <c r="V2349">
        <v>0</v>
      </c>
      <c r="W2349">
        <v>0</v>
      </c>
      <c r="X2349">
        <v>0</v>
      </c>
      <c r="Y2349">
        <v>0</v>
      </c>
      <c r="Z2349">
        <v>0</v>
      </c>
      <c r="AA2349">
        <v>0</v>
      </c>
      <c r="AB2349">
        <v>0</v>
      </c>
      <c r="AC2349">
        <v>0</v>
      </c>
      <c r="AD2349">
        <v>0</v>
      </c>
      <c r="AE2349">
        <v>0</v>
      </c>
      <c r="AF2349">
        <v>0</v>
      </c>
      <c r="AG2349">
        <v>0</v>
      </c>
      <c r="AH2349">
        <v>0</v>
      </c>
      <c r="AI2349">
        <v>0</v>
      </c>
      <c r="AJ2349">
        <v>0</v>
      </c>
      <c r="AK2349">
        <v>0</v>
      </c>
      <c r="AL2349">
        <v>0</v>
      </c>
      <c r="AM2349">
        <v>10.73</v>
      </c>
      <c r="AN2349">
        <v>0</v>
      </c>
      <c r="AO2349">
        <v>0</v>
      </c>
      <c r="AP2349">
        <v>0</v>
      </c>
      <c r="AQ2349">
        <v>0</v>
      </c>
      <c r="AR2349">
        <v>0</v>
      </c>
      <c r="AS2349">
        <v>0</v>
      </c>
      <c r="AT2349">
        <v>0</v>
      </c>
      <c r="AU2349">
        <v>0</v>
      </c>
      <c r="AV2349">
        <v>0</v>
      </c>
      <c r="AW2349">
        <v>0</v>
      </c>
      <c r="AX2349">
        <v>0</v>
      </c>
      <c r="AY2349">
        <v>0</v>
      </c>
      <c r="AZ2349">
        <v>0</v>
      </c>
      <c r="BA2349">
        <v>0</v>
      </c>
      <c r="BB2349">
        <v>0</v>
      </c>
      <c r="BC2349">
        <v>0</v>
      </c>
      <c r="BD2349">
        <v>0</v>
      </c>
      <c r="BE2349">
        <v>0</v>
      </c>
      <c r="BF2349">
        <v>0</v>
      </c>
      <c r="BG2349">
        <v>0</v>
      </c>
      <c r="BH2349">
        <v>1</v>
      </c>
      <c r="BI2349">
        <v>2.5</v>
      </c>
      <c r="BJ2349">
        <v>1.6</v>
      </c>
      <c r="BK2349">
        <v>2.5</v>
      </c>
      <c r="BL2349" s="4">
        <v>63.06</v>
      </c>
      <c r="BM2349" s="4">
        <v>9.4600000000000009</v>
      </c>
      <c r="BN2349" s="4">
        <v>72.52</v>
      </c>
      <c r="BO2349" s="4">
        <v>72.52</v>
      </c>
      <c r="BQ2349" t="s">
        <v>147</v>
      </c>
      <c r="BR2349" t="s">
        <v>84</v>
      </c>
      <c r="BS2349" s="3">
        <v>43811</v>
      </c>
      <c r="BT2349" s="5">
        <v>0.37638888888888888</v>
      </c>
      <c r="BU2349" t="s">
        <v>1296</v>
      </c>
      <c r="BV2349" t="s">
        <v>86</v>
      </c>
      <c r="BY2349">
        <v>7851.33</v>
      </c>
      <c r="CA2349" t="s">
        <v>131</v>
      </c>
      <c r="CC2349" t="s">
        <v>80</v>
      </c>
      <c r="CD2349">
        <v>6001</v>
      </c>
      <c r="CE2349" t="s">
        <v>116</v>
      </c>
      <c r="CF2349" s="3">
        <v>43812</v>
      </c>
      <c r="CI2349">
        <v>1</v>
      </c>
      <c r="CJ2349">
        <v>1</v>
      </c>
      <c r="CK2349">
        <v>21</v>
      </c>
      <c r="CL2349" t="s">
        <v>89</v>
      </c>
    </row>
    <row r="2350" spans="1:90">
      <c r="A2350" t="s">
        <v>72</v>
      </c>
      <c r="B2350" t="s">
        <v>73</v>
      </c>
      <c r="C2350" t="s">
        <v>74</v>
      </c>
      <c r="E2350" t="str">
        <f>"FES1162727801"</f>
        <v>FES1162727801</v>
      </c>
      <c r="F2350" s="3">
        <v>43810</v>
      </c>
      <c r="G2350">
        <v>202006</v>
      </c>
      <c r="H2350" t="s">
        <v>75</v>
      </c>
      <c r="I2350" t="s">
        <v>76</v>
      </c>
      <c r="J2350" t="s">
        <v>77</v>
      </c>
      <c r="K2350" t="s">
        <v>78</v>
      </c>
      <c r="L2350" t="s">
        <v>849</v>
      </c>
      <c r="M2350" t="s">
        <v>850</v>
      </c>
      <c r="N2350" t="s">
        <v>2526</v>
      </c>
      <c r="O2350" t="s">
        <v>82</v>
      </c>
      <c r="P2350" t="str">
        <f>"2170718917                    "</f>
        <v xml:space="preserve">2170718917                    </v>
      </c>
      <c r="Q2350">
        <v>0</v>
      </c>
      <c r="R2350">
        <v>0</v>
      </c>
      <c r="S2350">
        <v>0</v>
      </c>
      <c r="T2350">
        <v>0</v>
      </c>
      <c r="U2350">
        <v>0</v>
      </c>
      <c r="V2350">
        <v>0</v>
      </c>
      <c r="W2350">
        <v>0</v>
      </c>
      <c r="X2350">
        <v>0</v>
      </c>
      <c r="Y2350">
        <v>0</v>
      </c>
      <c r="Z2350">
        <v>0</v>
      </c>
      <c r="AA2350">
        <v>0</v>
      </c>
      <c r="AB2350">
        <v>0</v>
      </c>
      <c r="AC2350">
        <v>0</v>
      </c>
      <c r="AD2350">
        <v>0</v>
      </c>
      <c r="AE2350">
        <v>0</v>
      </c>
      <c r="AF2350">
        <v>0</v>
      </c>
      <c r="AG2350">
        <v>0</v>
      </c>
      <c r="AH2350">
        <v>0</v>
      </c>
      <c r="AI2350">
        <v>0</v>
      </c>
      <c r="AJ2350">
        <v>0</v>
      </c>
      <c r="AK2350">
        <v>0</v>
      </c>
      <c r="AL2350">
        <v>0</v>
      </c>
      <c r="AM2350">
        <v>12.87</v>
      </c>
      <c r="AN2350">
        <v>0</v>
      </c>
      <c r="AO2350">
        <v>0</v>
      </c>
      <c r="AP2350">
        <v>0</v>
      </c>
      <c r="AQ2350">
        <v>0</v>
      </c>
      <c r="AR2350">
        <v>0</v>
      </c>
      <c r="AS2350">
        <v>0</v>
      </c>
      <c r="AT2350">
        <v>0</v>
      </c>
      <c r="AU2350">
        <v>0</v>
      </c>
      <c r="AV2350">
        <v>0</v>
      </c>
      <c r="AW2350">
        <v>0</v>
      </c>
      <c r="AX2350">
        <v>0</v>
      </c>
      <c r="AY2350">
        <v>0</v>
      </c>
      <c r="AZ2350">
        <v>0</v>
      </c>
      <c r="BA2350">
        <v>0</v>
      </c>
      <c r="BB2350">
        <v>0</v>
      </c>
      <c r="BC2350">
        <v>0</v>
      </c>
      <c r="BD2350">
        <v>0</v>
      </c>
      <c r="BE2350">
        <v>0</v>
      </c>
      <c r="BF2350">
        <v>0</v>
      </c>
      <c r="BG2350">
        <v>0</v>
      </c>
      <c r="BH2350">
        <v>1</v>
      </c>
      <c r="BI2350">
        <v>2.7</v>
      </c>
      <c r="BJ2350">
        <v>2.1</v>
      </c>
      <c r="BK2350">
        <v>3</v>
      </c>
      <c r="BL2350" s="4">
        <v>75.66</v>
      </c>
      <c r="BM2350" s="4">
        <v>11.35</v>
      </c>
      <c r="BN2350" s="4">
        <v>87.01</v>
      </c>
      <c r="BO2350" s="4">
        <v>87.01</v>
      </c>
      <c r="BQ2350" t="s">
        <v>172</v>
      </c>
      <c r="BR2350" t="s">
        <v>84</v>
      </c>
      <c r="BS2350" s="3">
        <v>43812</v>
      </c>
      <c r="BT2350" s="5">
        <v>0.70833333333333337</v>
      </c>
      <c r="BU2350" t="s">
        <v>2527</v>
      </c>
      <c r="BV2350" t="s">
        <v>89</v>
      </c>
      <c r="BW2350" t="s">
        <v>506</v>
      </c>
      <c r="BX2350" t="s">
        <v>524</v>
      </c>
      <c r="BY2350">
        <v>10370.549999999999</v>
      </c>
      <c r="CA2350" t="s">
        <v>1026</v>
      </c>
      <c r="CC2350" t="s">
        <v>850</v>
      </c>
      <c r="CD2350">
        <v>3280</v>
      </c>
      <c r="CE2350" t="s">
        <v>116</v>
      </c>
      <c r="CF2350" s="3">
        <v>43817</v>
      </c>
      <c r="CI2350">
        <v>1</v>
      </c>
      <c r="CJ2350">
        <v>2</v>
      </c>
      <c r="CK2350">
        <v>21</v>
      </c>
      <c r="CL2350" t="s">
        <v>89</v>
      </c>
    </row>
    <row r="2351" spans="1:90">
      <c r="A2351" t="s">
        <v>72</v>
      </c>
      <c r="B2351" t="s">
        <v>73</v>
      </c>
      <c r="C2351" t="s">
        <v>74</v>
      </c>
      <c r="E2351" t="str">
        <f>"FES1162727939"</f>
        <v>FES1162727939</v>
      </c>
      <c r="F2351" s="3">
        <v>43810</v>
      </c>
      <c r="G2351">
        <v>202006</v>
      </c>
      <c r="H2351" t="s">
        <v>75</v>
      </c>
      <c r="I2351" t="s">
        <v>76</v>
      </c>
      <c r="J2351" t="s">
        <v>77</v>
      </c>
      <c r="K2351" t="s">
        <v>78</v>
      </c>
      <c r="L2351" t="s">
        <v>79</v>
      </c>
      <c r="M2351" t="s">
        <v>80</v>
      </c>
      <c r="N2351" t="s">
        <v>388</v>
      </c>
      <c r="O2351" t="s">
        <v>82</v>
      </c>
      <c r="P2351" t="str">
        <f>"2170721421                    "</f>
        <v xml:space="preserve">2170721421                    </v>
      </c>
      <c r="Q2351">
        <v>0</v>
      </c>
      <c r="R2351">
        <v>0</v>
      </c>
      <c r="S2351">
        <v>0</v>
      </c>
      <c r="T2351">
        <v>0</v>
      </c>
      <c r="U2351">
        <v>0</v>
      </c>
      <c r="V2351">
        <v>0</v>
      </c>
      <c r="W2351">
        <v>0</v>
      </c>
      <c r="X2351">
        <v>0</v>
      </c>
      <c r="Y2351">
        <v>0</v>
      </c>
      <c r="Z2351">
        <v>0</v>
      </c>
      <c r="AA2351">
        <v>0</v>
      </c>
      <c r="AB2351">
        <v>0</v>
      </c>
      <c r="AC2351">
        <v>0</v>
      </c>
      <c r="AD2351">
        <v>0</v>
      </c>
      <c r="AE2351">
        <v>0</v>
      </c>
      <c r="AF2351">
        <v>0</v>
      </c>
      <c r="AG2351">
        <v>0</v>
      </c>
      <c r="AH2351">
        <v>0</v>
      </c>
      <c r="AI2351">
        <v>0</v>
      </c>
      <c r="AJ2351">
        <v>0</v>
      </c>
      <c r="AK2351">
        <v>0</v>
      </c>
      <c r="AL2351">
        <v>0</v>
      </c>
      <c r="AM2351">
        <v>8.58</v>
      </c>
      <c r="AN2351">
        <v>0</v>
      </c>
      <c r="AO2351">
        <v>0</v>
      </c>
      <c r="AP2351">
        <v>0</v>
      </c>
      <c r="AQ2351">
        <v>0</v>
      </c>
      <c r="AR2351">
        <v>0</v>
      </c>
      <c r="AS2351">
        <v>0</v>
      </c>
      <c r="AT2351">
        <v>0</v>
      </c>
      <c r="AU2351">
        <v>0</v>
      </c>
      <c r="AV2351">
        <v>0</v>
      </c>
      <c r="AW2351">
        <v>0</v>
      </c>
      <c r="AX2351">
        <v>0</v>
      </c>
      <c r="AY2351">
        <v>0</v>
      </c>
      <c r="AZ2351">
        <v>0</v>
      </c>
      <c r="BA2351">
        <v>0</v>
      </c>
      <c r="BB2351">
        <v>0</v>
      </c>
      <c r="BC2351">
        <v>0</v>
      </c>
      <c r="BD2351">
        <v>0</v>
      </c>
      <c r="BE2351">
        <v>0</v>
      </c>
      <c r="BF2351">
        <v>0</v>
      </c>
      <c r="BG2351">
        <v>0</v>
      </c>
      <c r="BH2351">
        <v>1</v>
      </c>
      <c r="BI2351">
        <v>1</v>
      </c>
      <c r="BJ2351">
        <v>0.2</v>
      </c>
      <c r="BK2351">
        <v>1</v>
      </c>
      <c r="BL2351" s="4">
        <v>50.45</v>
      </c>
      <c r="BM2351" s="4">
        <v>7.57</v>
      </c>
      <c r="BN2351" s="4">
        <v>58.02</v>
      </c>
      <c r="BO2351" s="4">
        <v>58.02</v>
      </c>
      <c r="BQ2351" t="s">
        <v>147</v>
      </c>
      <c r="BR2351" t="s">
        <v>84</v>
      </c>
      <c r="BS2351" s="3">
        <v>43811</v>
      </c>
      <c r="BT2351" s="5">
        <v>0.37083333333333335</v>
      </c>
      <c r="BU2351" t="s">
        <v>368</v>
      </c>
      <c r="BV2351" t="s">
        <v>86</v>
      </c>
      <c r="BY2351">
        <v>1200</v>
      </c>
      <c r="CA2351" t="s">
        <v>131</v>
      </c>
      <c r="CC2351" t="s">
        <v>80</v>
      </c>
      <c r="CD2351">
        <v>6001</v>
      </c>
      <c r="CE2351" t="s">
        <v>88</v>
      </c>
      <c r="CF2351" s="3">
        <v>43812</v>
      </c>
      <c r="CI2351">
        <v>1</v>
      </c>
      <c r="CJ2351">
        <v>1</v>
      </c>
      <c r="CK2351">
        <v>21</v>
      </c>
      <c r="CL2351" t="s">
        <v>89</v>
      </c>
    </row>
    <row r="2352" spans="1:90">
      <c r="A2352" t="s">
        <v>72</v>
      </c>
      <c r="B2352" t="s">
        <v>73</v>
      </c>
      <c r="C2352" t="s">
        <v>74</v>
      </c>
      <c r="E2352" t="str">
        <f>"FES1162727928"</f>
        <v>FES1162727928</v>
      </c>
      <c r="F2352" s="3">
        <v>43810</v>
      </c>
      <c r="G2352">
        <v>202006</v>
      </c>
      <c r="H2352" t="s">
        <v>75</v>
      </c>
      <c r="I2352" t="s">
        <v>76</v>
      </c>
      <c r="J2352" t="s">
        <v>77</v>
      </c>
      <c r="K2352" t="s">
        <v>78</v>
      </c>
      <c r="L2352" t="s">
        <v>90</v>
      </c>
      <c r="M2352" t="s">
        <v>91</v>
      </c>
      <c r="N2352" t="s">
        <v>389</v>
      </c>
      <c r="O2352" t="s">
        <v>82</v>
      </c>
      <c r="P2352" t="str">
        <f>"2170721408                    "</f>
        <v xml:space="preserve">2170721408                    </v>
      </c>
      <c r="Q2352">
        <v>0</v>
      </c>
      <c r="R2352">
        <v>0</v>
      </c>
      <c r="S2352">
        <v>0</v>
      </c>
      <c r="T2352">
        <v>0</v>
      </c>
      <c r="U2352">
        <v>0</v>
      </c>
      <c r="V2352">
        <v>0</v>
      </c>
      <c r="W2352">
        <v>0</v>
      </c>
      <c r="X2352">
        <v>0</v>
      </c>
      <c r="Y2352">
        <v>0</v>
      </c>
      <c r="Z2352">
        <v>0</v>
      </c>
      <c r="AA2352">
        <v>0</v>
      </c>
      <c r="AB2352">
        <v>0</v>
      </c>
      <c r="AC2352">
        <v>0</v>
      </c>
      <c r="AD2352">
        <v>0</v>
      </c>
      <c r="AE2352">
        <v>0</v>
      </c>
      <c r="AF2352">
        <v>0</v>
      </c>
      <c r="AG2352">
        <v>0</v>
      </c>
      <c r="AH2352">
        <v>0</v>
      </c>
      <c r="AI2352">
        <v>0</v>
      </c>
      <c r="AJ2352">
        <v>0</v>
      </c>
      <c r="AK2352">
        <v>0</v>
      </c>
      <c r="AL2352">
        <v>0</v>
      </c>
      <c r="AM2352">
        <v>36.46</v>
      </c>
      <c r="AN2352">
        <v>0</v>
      </c>
      <c r="AO2352">
        <v>0</v>
      </c>
      <c r="AP2352">
        <v>0</v>
      </c>
      <c r="AQ2352">
        <v>0</v>
      </c>
      <c r="AR2352">
        <v>0</v>
      </c>
      <c r="AS2352">
        <v>0</v>
      </c>
      <c r="AT2352">
        <v>0</v>
      </c>
      <c r="AU2352">
        <v>0</v>
      </c>
      <c r="AV2352">
        <v>0</v>
      </c>
      <c r="AW2352">
        <v>0</v>
      </c>
      <c r="AX2352">
        <v>0</v>
      </c>
      <c r="AY2352">
        <v>0</v>
      </c>
      <c r="AZ2352">
        <v>0</v>
      </c>
      <c r="BA2352">
        <v>0</v>
      </c>
      <c r="BB2352">
        <v>0</v>
      </c>
      <c r="BC2352">
        <v>0</v>
      </c>
      <c r="BD2352">
        <v>0</v>
      </c>
      <c r="BE2352">
        <v>0</v>
      </c>
      <c r="BF2352">
        <v>0</v>
      </c>
      <c r="BG2352">
        <v>0</v>
      </c>
      <c r="BH2352">
        <v>1</v>
      </c>
      <c r="BI2352">
        <v>3.9</v>
      </c>
      <c r="BJ2352">
        <v>8.3000000000000007</v>
      </c>
      <c r="BK2352">
        <v>8.5</v>
      </c>
      <c r="BL2352" s="4">
        <v>214.31</v>
      </c>
      <c r="BM2352" s="4">
        <v>32.15</v>
      </c>
      <c r="BN2352" s="4">
        <v>246.46</v>
      </c>
      <c r="BO2352" s="4">
        <v>246.46</v>
      </c>
      <c r="BQ2352" t="s">
        <v>390</v>
      </c>
      <c r="BR2352" t="s">
        <v>84</v>
      </c>
      <c r="BS2352" s="3">
        <v>43811</v>
      </c>
      <c r="BT2352" s="5">
        <v>0.31666666666666665</v>
      </c>
      <c r="BU2352" t="s">
        <v>391</v>
      </c>
      <c r="BV2352" t="s">
        <v>86</v>
      </c>
      <c r="BY2352">
        <v>41561.699999999997</v>
      </c>
      <c r="CA2352" t="s">
        <v>112</v>
      </c>
      <c r="CC2352" t="s">
        <v>91</v>
      </c>
      <c r="CD2352">
        <v>7405</v>
      </c>
      <c r="CE2352" t="s">
        <v>96</v>
      </c>
      <c r="CF2352" s="3">
        <v>43812</v>
      </c>
      <c r="CI2352">
        <v>1</v>
      </c>
      <c r="CJ2352">
        <v>1</v>
      </c>
      <c r="CK2352">
        <v>21</v>
      </c>
      <c r="CL2352" t="s">
        <v>89</v>
      </c>
    </row>
    <row r="2353" spans="1:90">
      <c r="A2353" t="s">
        <v>72</v>
      </c>
      <c r="B2353" t="s">
        <v>73</v>
      </c>
      <c r="C2353" t="s">
        <v>74</v>
      </c>
      <c r="E2353" t="str">
        <f>"FES1162727931"</f>
        <v>FES1162727931</v>
      </c>
      <c r="F2353" s="3">
        <v>43810</v>
      </c>
      <c r="G2353">
        <v>202006</v>
      </c>
      <c r="H2353" t="s">
        <v>75</v>
      </c>
      <c r="I2353" t="s">
        <v>76</v>
      </c>
      <c r="J2353" t="s">
        <v>77</v>
      </c>
      <c r="K2353" t="s">
        <v>78</v>
      </c>
      <c r="L2353" t="s">
        <v>274</v>
      </c>
      <c r="M2353" t="s">
        <v>275</v>
      </c>
      <c r="N2353" t="s">
        <v>276</v>
      </c>
      <c r="O2353" t="s">
        <v>82</v>
      </c>
      <c r="P2353" t="str">
        <f>"2170721412                    "</f>
        <v xml:space="preserve">2170721412                    </v>
      </c>
      <c r="Q2353">
        <v>0</v>
      </c>
      <c r="R2353">
        <v>0</v>
      </c>
      <c r="S2353">
        <v>0</v>
      </c>
      <c r="T2353">
        <v>0</v>
      </c>
      <c r="U2353">
        <v>0</v>
      </c>
      <c r="V2353">
        <v>0</v>
      </c>
      <c r="W2353">
        <v>0</v>
      </c>
      <c r="X2353">
        <v>0</v>
      </c>
      <c r="Y2353">
        <v>0</v>
      </c>
      <c r="Z2353">
        <v>0</v>
      </c>
      <c r="AA2353">
        <v>0</v>
      </c>
      <c r="AB2353">
        <v>0</v>
      </c>
      <c r="AC2353">
        <v>0</v>
      </c>
      <c r="AD2353">
        <v>0</v>
      </c>
      <c r="AE2353">
        <v>0</v>
      </c>
      <c r="AF2353">
        <v>0</v>
      </c>
      <c r="AG2353">
        <v>0</v>
      </c>
      <c r="AH2353">
        <v>0</v>
      </c>
      <c r="AI2353">
        <v>0</v>
      </c>
      <c r="AJ2353">
        <v>0</v>
      </c>
      <c r="AK2353">
        <v>0</v>
      </c>
      <c r="AL2353">
        <v>0</v>
      </c>
      <c r="AM2353">
        <v>16.63</v>
      </c>
      <c r="AN2353">
        <v>0</v>
      </c>
      <c r="AO2353">
        <v>0</v>
      </c>
      <c r="AP2353">
        <v>0</v>
      </c>
      <c r="AQ2353">
        <v>0</v>
      </c>
      <c r="AR2353">
        <v>0</v>
      </c>
      <c r="AS2353">
        <v>0</v>
      </c>
      <c r="AT2353">
        <v>0</v>
      </c>
      <c r="AU2353">
        <v>0</v>
      </c>
      <c r="AV2353">
        <v>0</v>
      </c>
      <c r="AW2353">
        <v>0</v>
      </c>
      <c r="AX2353">
        <v>0</v>
      </c>
      <c r="AY2353">
        <v>0</v>
      </c>
      <c r="AZ2353">
        <v>0</v>
      </c>
      <c r="BA2353">
        <v>0</v>
      </c>
      <c r="BB2353">
        <v>0</v>
      </c>
      <c r="BC2353">
        <v>0</v>
      </c>
      <c r="BD2353">
        <v>0</v>
      </c>
      <c r="BE2353">
        <v>0</v>
      </c>
      <c r="BF2353">
        <v>0</v>
      </c>
      <c r="BG2353">
        <v>0</v>
      </c>
      <c r="BH2353">
        <v>1</v>
      </c>
      <c r="BI2353">
        <v>1</v>
      </c>
      <c r="BJ2353">
        <v>0.2</v>
      </c>
      <c r="BK2353">
        <v>1</v>
      </c>
      <c r="BL2353" s="4">
        <v>97.75</v>
      </c>
      <c r="BM2353" s="4">
        <v>14.66</v>
      </c>
      <c r="BN2353" s="4">
        <v>112.41</v>
      </c>
      <c r="BO2353" s="4">
        <v>112.41</v>
      </c>
      <c r="BQ2353" t="s">
        <v>277</v>
      </c>
      <c r="BR2353" t="s">
        <v>84</v>
      </c>
      <c r="BS2353" s="3">
        <v>43812</v>
      </c>
      <c r="BT2353" s="5">
        <v>0.42777777777777781</v>
      </c>
      <c r="BU2353" t="s">
        <v>2065</v>
      </c>
      <c r="BV2353" t="s">
        <v>89</v>
      </c>
      <c r="BW2353" t="s">
        <v>506</v>
      </c>
      <c r="BX2353" t="s">
        <v>1163</v>
      </c>
      <c r="BY2353">
        <v>1200</v>
      </c>
      <c r="CA2353" t="s">
        <v>279</v>
      </c>
      <c r="CC2353" t="s">
        <v>275</v>
      </c>
      <c r="CD2353">
        <v>4449</v>
      </c>
      <c r="CE2353" t="s">
        <v>88</v>
      </c>
      <c r="CF2353" s="3">
        <v>43816</v>
      </c>
      <c r="CI2353">
        <v>1</v>
      </c>
      <c r="CJ2353">
        <v>2</v>
      </c>
      <c r="CK2353">
        <v>23</v>
      </c>
      <c r="CL2353" t="s">
        <v>89</v>
      </c>
    </row>
    <row r="2354" spans="1:90">
      <c r="A2354" t="s">
        <v>72</v>
      </c>
      <c r="B2354" t="s">
        <v>73</v>
      </c>
      <c r="C2354" t="s">
        <v>74</v>
      </c>
      <c r="E2354" t="str">
        <f>"FES1162727926"</f>
        <v>FES1162727926</v>
      </c>
      <c r="F2354" s="3">
        <v>43810</v>
      </c>
      <c r="G2354">
        <v>202006</v>
      </c>
      <c r="H2354" t="s">
        <v>75</v>
      </c>
      <c r="I2354" t="s">
        <v>76</v>
      </c>
      <c r="J2354" t="s">
        <v>77</v>
      </c>
      <c r="K2354" t="s">
        <v>78</v>
      </c>
      <c r="L2354" t="s">
        <v>90</v>
      </c>
      <c r="M2354" t="s">
        <v>91</v>
      </c>
      <c r="N2354" t="s">
        <v>900</v>
      </c>
      <c r="O2354" t="s">
        <v>82</v>
      </c>
      <c r="P2354" t="str">
        <f>"2170721410                    "</f>
        <v xml:space="preserve">2170721410                    </v>
      </c>
      <c r="Q2354">
        <v>0</v>
      </c>
      <c r="R2354">
        <v>0</v>
      </c>
      <c r="S2354">
        <v>0</v>
      </c>
      <c r="T2354">
        <v>0</v>
      </c>
      <c r="U2354">
        <v>0</v>
      </c>
      <c r="V2354">
        <v>0</v>
      </c>
      <c r="W2354">
        <v>0</v>
      </c>
      <c r="X2354">
        <v>0</v>
      </c>
      <c r="Y2354">
        <v>0</v>
      </c>
      <c r="Z2354">
        <v>0</v>
      </c>
      <c r="AA2354">
        <v>0</v>
      </c>
      <c r="AB2354">
        <v>0</v>
      </c>
      <c r="AC2354">
        <v>0</v>
      </c>
      <c r="AD2354">
        <v>0</v>
      </c>
      <c r="AE2354">
        <v>0</v>
      </c>
      <c r="AF2354">
        <v>0</v>
      </c>
      <c r="AG2354">
        <v>0</v>
      </c>
      <c r="AH2354">
        <v>0</v>
      </c>
      <c r="AI2354">
        <v>0</v>
      </c>
      <c r="AJ2354">
        <v>0</v>
      </c>
      <c r="AK2354">
        <v>0</v>
      </c>
      <c r="AL2354">
        <v>0</v>
      </c>
      <c r="AM2354">
        <v>8.58</v>
      </c>
      <c r="AN2354">
        <v>0</v>
      </c>
      <c r="AO2354">
        <v>0</v>
      </c>
      <c r="AP2354">
        <v>0</v>
      </c>
      <c r="AQ2354">
        <v>0</v>
      </c>
      <c r="AR2354">
        <v>0</v>
      </c>
      <c r="AS2354">
        <v>0</v>
      </c>
      <c r="AT2354">
        <v>0</v>
      </c>
      <c r="AU2354">
        <v>0</v>
      </c>
      <c r="AV2354">
        <v>0</v>
      </c>
      <c r="AW2354">
        <v>0</v>
      </c>
      <c r="AX2354">
        <v>0</v>
      </c>
      <c r="AY2354">
        <v>0</v>
      </c>
      <c r="AZ2354">
        <v>0</v>
      </c>
      <c r="BA2354">
        <v>0</v>
      </c>
      <c r="BB2354">
        <v>0</v>
      </c>
      <c r="BC2354">
        <v>0</v>
      </c>
      <c r="BD2354">
        <v>0</v>
      </c>
      <c r="BE2354">
        <v>0</v>
      </c>
      <c r="BF2354">
        <v>0</v>
      </c>
      <c r="BG2354">
        <v>0</v>
      </c>
      <c r="BH2354">
        <v>1</v>
      </c>
      <c r="BI2354">
        <v>1</v>
      </c>
      <c r="BJ2354">
        <v>0.2</v>
      </c>
      <c r="BK2354">
        <v>1</v>
      </c>
      <c r="BL2354" s="4">
        <v>50.45</v>
      </c>
      <c r="BM2354" s="4">
        <v>7.57</v>
      </c>
      <c r="BN2354" s="4">
        <v>58.02</v>
      </c>
      <c r="BO2354" s="4">
        <v>58.02</v>
      </c>
      <c r="BQ2354" t="s">
        <v>93</v>
      </c>
      <c r="BR2354" t="s">
        <v>84</v>
      </c>
      <c r="BS2354" s="3">
        <v>43811</v>
      </c>
      <c r="BT2354" s="5">
        <v>0.58333333333333337</v>
      </c>
      <c r="BU2354" t="s">
        <v>2528</v>
      </c>
      <c r="BV2354" t="s">
        <v>89</v>
      </c>
      <c r="BW2354" t="s">
        <v>1254</v>
      </c>
      <c r="BX2354" t="s">
        <v>284</v>
      </c>
      <c r="BY2354">
        <v>1200</v>
      </c>
      <c r="CA2354" t="s">
        <v>440</v>
      </c>
      <c r="CC2354" t="s">
        <v>91</v>
      </c>
      <c r="CD2354">
        <v>7500</v>
      </c>
      <c r="CE2354" t="s">
        <v>88</v>
      </c>
      <c r="CF2354" s="3">
        <v>43812</v>
      </c>
      <c r="CI2354">
        <v>1</v>
      </c>
      <c r="CJ2354">
        <v>1</v>
      </c>
      <c r="CK2354">
        <v>21</v>
      </c>
      <c r="CL2354" t="s">
        <v>89</v>
      </c>
    </row>
    <row r="2355" spans="1:90">
      <c r="A2355" t="s">
        <v>72</v>
      </c>
      <c r="B2355" t="s">
        <v>73</v>
      </c>
      <c r="C2355" t="s">
        <v>74</v>
      </c>
      <c r="E2355" t="str">
        <f>"FES1162727934"</f>
        <v>FES1162727934</v>
      </c>
      <c r="F2355" s="3">
        <v>43810</v>
      </c>
      <c r="G2355">
        <v>202006</v>
      </c>
      <c r="H2355" t="s">
        <v>75</v>
      </c>
      <c r="I2355" t="s">
        <v>76</v>
      </c>
      <c r="J2355" t="s">
        <v>77</v>
      </c>
      <c r="K2355" t="s">
        <v>78</v>
      </c>
      <c r="L2355" t="s">
        <v>396</v>
      </c>
      <c r="M2355" t="s">
        <v>397</v>
      </c>
      <c r="N2355" t="s">
        <v>913</v>
      </c>
      <c r="O2355" t="s">
        <v>82</v>
      </c>
      <c r="P2355" t="str">
        <f>"2170721416                    "</f>
        <v xml:space="preserve">2170721416                    </v>
      </c>
      <c r="Q2355">
        <v>0</v>
      </c>
      <c r="R2355">
        <v>0</v>
      </c>
      <c r="S2355">
        <v>0</v>
      </c>
      <c r="T2355">
        <v>0</v>
      </c>
      <c r="U2355">
        <v>0</v>
      </c>
      <c r="V2355">
        <v>0</v>
      </c>
      <c r="W2355">
        <v>0</v>
      </c>
      <c r="X2355">
        <v>0</v>
      </c>
      <c r="Y2355">
        <v>0</v>
      </c>
      <c r="Z2355">
        <v>0</v>
      </c>
      <c r="AA2355">
        <v>0</v>
      </c>
      <c r="AB2355">
        <v>0</v>
      </c>
      <c r="AC2355">
        <v>0</v>
      </c>
      <c r="AD2355">
        <v>0</v>
      </c>
      <c r="AE2355">
        <v>0</v>
      </c>
      <c r="AF2355">
        <v>0</v>
      </c>
      <c r="AG2355">
        <v>0</v>
      </c>
      <c r="AH2355">
        <v>0</v>
      </c>
      <c r="AI2355">
        <v>0</v>
      </c>
      <c r="AJ2355">
        <v>0</v>
      </c>
      <c r="AK2355">
        <v>0</v>
      </c>
      <c r="AL2355">
        <v>0</v>
      </c>
      <c r="AM2355">
        <v>20.39</v>
      </c>
      <c r="AN2355">
        <v>0</v>
      </c>
      <c r="AO2355">
        <v>0</v>
      </c>
      <c r="AP2355">
        <v>0</v>
      </c>
      <c r="AQ2355">
        <v>0</v>
      </c>
      <c r="AR2355">
        <v>0</v>
      </c>
      <c r="AS2355">
        <v>0</v>
      </c>
      <c r="AT2355">
        <v>0</v>
      </c>
      <c r="AU2355">
        <v>0</v>
      </c>
      <c r="AV2355">
        <v>0</v>
      </c>
      <c r="AW2355">
        <v>0</v>
      </c>
      <c r="AX2355">
        <v>0</v>
      </c>
      <c r="AY2355">
        <v>0</v>
      </c>
      <c r="AZ2355">
        <v>0</v>
      </c>
      <c r="BA2355">
        <v>0</v>
      </c>
      <c r="BB2355">
        <v>0</v>
      </c>
      <c r="BC2355">
        <v>0</v>
      </c>
      <c r="BD2355">
        <v>0</v>
      </c>
      <c r="BE2355">
        <v>0</v>
      </c>
      <c r="BF2355">
        <v>0</v>
      </c>
      <c r="BG2355">
        <v>0</v>
      </c>
      <c r="BH2355">
        <v>1</v>
      </c>
      <c r="BI2355">
        <v>2</v>
      </c>
      <c r="BJ2355">
        <v>2.1</v>
      </c>
      <c r="BK2355">
        <v>2.5</v>
      </c>
      <c r="BL2355" s="4">
        <v>119.83</v>
      </c>
      <c r="BM2355" s="4">
        <v>17.97</v>
      </c>
      <c r="BN2355" s="4">
        <v>137.80000000000001</v>
      </c>
      <c r="BO2355" s="4">
        <v>137.80000000000001</v>
      </c>
      <c r="BQ2355" t="s">
        <v>147</v>
      </c>
      <c r="BR2355" t="s">
        <v>84</v>
      </c>
      <c r="BS2355" s="3">
        <v>43811</v>
      </c>
      <c r="BT2355" s="5">
        <v>0.47638888888888892</v>
      </c>
      <c r="BU2355" t="s">
        <v>1500</v>
      </c>
      <c r="BV2355" t="s">
        <v>86</v>
      </c>
      <c r="BY2355">
        <v>10686.78</v>
      </c>
      <c r="CA2355" t="s">
        <v>400</v>
      </c>
      <c r="CC2355" t="s">
        <v>397</v>
      </c>
      <c r="CD2355">
        <v>7130</v>
      </c>
      <c r="CE2355" t="s">
        <v>88</v>
      </c>
      <c r="CF2355" s="3">
        <v>43812</v>
      </c>
      <c r="CI2355">
        <v>1</v>
      </c>
      <c r="CJ2355">
        <v>1</v>
      </c>
      <c r="CK2355">
        <v>23</v>
      </c>
      <c r="CL2355" t="s">
        <v>89</v>
      </c>
    </row>
    <row r="2356" spans="1:90">
      <c r="A2356" t="s">
        <v>72</v>
      </c>
      <c r="B2356" t="s">
        <v>73</v>
      </c>
      <c r="C2356" t="s">
        <v>74</v>
      </c>
      <c r="E2356" t="str">
        <f>"FES1162727932"</f>
        <v>FES1162727932</v>
      </c>
      <c r="F2356" s="3">
        <v>43810</v>
      </c>
      <c r="G2356">
        <v>202006</v>
      </c>
      <c r="H2356" t="s">
        <v>75</v>
      </c>
      <c r="I2356" t="s">
        <v>76</v>
      </c>
      <c r="J2356" t="s">
        <v>77</v>
      </c>
      <c r="K2356" t="s">
        <v>78</v>
      </c>
      <c r="L2356" t="s">
        <v>90</v>
      </c>
      <c r="M2356" t="s">
        <v>91</v>
      </c>
      <c r="N2356" t="s">
        <v>875</v>
      </c>
      <c r="O2356" t="s">
        <v>82</v>
      </c>
      <c r="P2356" t="str">
        <f>"2170721413                    "</f>
        <v xml:space="preserve">2170721413                    </v>
      </c>
      <c r="Q2356">
        <v>0</v>
      </c>
      <c r="R2356">
        <v>0</v>
      </c>
      <c r="S2356">
        <v>0</v>
      </c>
      <c r="T2356">
        <v>0</v>
      </c>
      <c r="U2356">
        <v>0</v>
      </c>
      <c r="V2356">
        <v>0</v>
      </c>
      <c r="W2356">
        <v>0</v>
      </c>
      <c r="X2356">
        <v>0</v>
      </c>
      <c r="Y2356">
        <v>0</v>
      </c>
      <c r="Z2356">
        <v>0</v>
      </c>
      <c r="AA2356">
        <v>0</v>
      </c>
      <c r="AB2356">
        <v>0</v>
      </c>
      <c r="AC2356">
        <v>0</v>
      </c>
      <c r="AD2356">
        <v>0</v>
      </c>
      <c r="AE2356">
        <v>0</v>
      </c>
      <c r="AF2356">
        <v>0</v>
      </c>
      <c r="AG2356">
        <v>0</v>
      </c>
      <c r="AH2356">
        <v>0</v>
      </c>
      <c r="AI2356">
        <v>0</v>
      </c>
      <c r="AJ2356">
        <v>0</v>
      </c>
      <c r="AK2356">
        <v>0</v>
      </c>
      <c r="AL2356">
        <v>0</v>
      </c>
      <c r="AM2356">
        <v>8.58</v>
      </c>
      <c r="AN2356">
        <v>0</v>
      </c>
      <c r="AO2356">
        <v>0</v>
      </c>
      <c r="AP2356">
        <v>0</v>
      </c>
      <c r="AQ2356">
        <v>0</v>
      </c>
      <c r="AR2356">
        <v>0</v>
      </c>
      <c r="AS2356">
        <v>0</v>
      </c>
      <c r="AT2356">
        <v>0</v>
      </c>
      <c r="AU2356">
        <v>0</v>
      </c>
      <c r="AV2356">
        <v>0</v>
      </c>
      <c r="AW2356">
        <v>0</v>
      </c>
      <c r="AX2356">
        <v>0</v>
      </c>
      <c r="AY2356">
        <v>0</v>
      </c>
      <c r="AZ2356">
        <v>0</v>
      </c>
      <c r="BA2356">
        <v>0</v>
      </c>
      <c r="BB2356">
        <v>0</v>
      </c>
      <c r="BC2356">
        <v>0</v>
      </c>
      <c r="BD2356">
        <v>0</v>
      </c>
      <c r="BE2356">
        <v>0</v>
      </c>
      <c r="BF2356">
        <v>0</v>
      </c>
      <c r="BG2356">
        <v>0</v>
      </c>
      <c r="BH2356">
        <v>1</v>
      </c>
      <c r="BI2356">
        <v>1</v>
      </c>
      <c r="BJ2356">
        <v>0.2</v>
      </c>
      <c r="BK2356">
        <v>1</v>
      </c>
      <c r="BL2356" s="4">
        <v>50.45</v>
      </c>
      <c r="BM2356" s="4">
        <v>7.57</v>
      </c>
      <c r="BN2356" s="4">
        <v>58.02</v>
      </c>
      <c r="BO2356" s="4">
        <v>58.02</v>
      </c>
      <c r="BQ2356" t="s">
        <v>147</v>
      </c>
      <c r="BR2356" t="s">
        <v>84</v>
      </c>
      <c r="BS2356" s="3">
        <v>43811</v>
      </c>
      <c r="BT2356" s="5">
        <v>0.39930555555555558</v>
      </c>
      <c r="BU2356" t="s">
        <v>876</v>
      </c>
      <c r="BV2356" t="s">
        <v>86</v>
      </c>
      <c r="BY2356">
        <v>1200</v>
      </c>
      <c r="CA2356" t="s">
        <v>809</v>
      </c>
      <c r="CC2356" t="s">
        <v>91</v>
      </c>
      <c r="CD2356">
        <v>7925</v>
      </c>
      <c r="CE2356" t="s">
        <v>88</v>
      </c>
      <c r="CF2356" s="3">
        <v>43812</v>
      </c>
      <c r="CI2356">
        <v>1</v>
      </c>
      <c r="CJ2356">
        <v>1</v>
      </c>
      <c r="CK2356">
        <v>21</v>
      </c>
      <c r="CL2356" t="s">
        <v>89</v>
      </c>
    </row>
    <row r="2357" spans="1:90">
      <c r="A2357" t="s">
        <v>72</v>
      </c>
      <c r="B2357" t="s">
        <v>73</v>
      </c>
      <c r="C2357" t="s">
        <v>74</v>
      </c>
      <c r="E2357" t="str">
        <f>"FES1162727935"</f>
        <v>FES1162727935</v>
      </c>
      <c r="F2357" s="3">
        <v>43810</v>
      </c>
      <c r="G2357">
        <v>202006</v>
      </c>
      <c r="H2357" t="s">
        <v>75</v>
      </c>
      <c r="I2357" t="s">
        <v>76</v>
      </c>
      <c r="J2357" t="s">
        <v>77</v>
      </c>
      <c r="K2357" t="s">
        <v>78</v>
      </c>
      <c r="L2357" t="s">
        <v>308</v>
      </c>
      <c r="M2357" t="s">
        <v>308</v>
      </c>
      <c r="N2357" t="s">
        <v>540</v>
      </c>
      <c r="O2357" t="s">
        <v>82</v>
      </c>
      <c r="P2357" t="str">
        <f>"2170721418                    "</f>
        <v xml:space="preserve">2170721418                    </v>
      </c>
      <c r="Q2357">
        <v>0</v>
      </c>
      <c r="R2357">
        <v>0</v>
      </c>
      <c r="S2357">
        <v>0</v>
      </c>
      <c r="T2357">
        <v>0</v>
      </c>
      <c r="U2357">
        <v>0</v>
      </c>
      <c r="V2357">
        <v>0</v>
      </c>
      <c r="W2357">
        <v>0</v>
      </c>
      <c r="X2357">
        <v>0</v>
      </c>
      <c r="Y2357">
        <v>0</v>
      </c>
      <c r="Z2357">
        <v>0</v>
      </c>
      <c r="AA2357">
        <v>0</v>
      </c>
      <c r="AB2357">
        <v>0</v>
      </c>
      <c r="AC2357">
        <v>0</v>
      </c>
      <c r="AD2357">
        <v>0</v>
      </c>
      <c r="AE2357">
        <v>0</v>
      </c>
      <c r="AF2357">
        <v>0</v>
      </c>
      <c r="AG2357">
        <v>0</v>
      </c>
      <c r="AH2357">
        <v>0</v>
      </c>
      <c r="AI2357">
        <v>0</v>
      </c>
      <c r="AJ2357">
        <v>0</v>
      </c>
      <c r="AK2357">
        <v>0</v>
      </c>
      <c r="AL2357">
        <v>0</v>
      </c>
      <c r="AM2357">
        <v>16.63</v>
      </c>
      <c r="AN2357">
        <v>0</v>
      </c>
      <c r="AO2357">
        <v>0</v>
      </c>
      <c r="AP2357">
        <v>0</v>
      </c>
      <c r="AQ2357">
        <v>0</v>
      </c>
      <c r="AR2357">
        <v>0</v>
      </c>
      <c r="AS2357">
        <v>0</v>
      </c>
      <c r="AT2357">
        <v>0</v>
      </c>
      <c r="AU2357">
        <v>0</v>
      </c>
      <c r="AV2357">
        <v>0</v>
      </c>
      <c r="AW2357">
        <v>0</v>
      </c>
      <c r="AX2357">
        <v>0</v>
      </c>
      <c r="AY2357">
        <v>0</v>
      </c>
      <c r="AZ2357">
        <v>0</v>
      </c>
      <c r="BA2357">
        <v>0</v>
      </c>
      <c r="BB2357">
        <v>0</v>
      </c>
      <c r="BC2357">
        <v>0</v>
      </c>
      <c r="BD2357">
        <v>0</v>
      </c>
      <c r="BE2357">
        <v>0</v>
      </c>
      <c r="BF2357">
        <v>0</v>
      </c>
      <c r="BG2357">
        <v>0</v>
      </c>
      <c r="BH2357">
        <v>1</v>
      </c>
      <c r="BI2357">
        <v>1</v>
      </c>
      <c r="BJ2357">
        <v>0.2</v>
      </c>
      <c r="BK2357">
        <v>1</v>
      </c>
      <c r="BL2357" s="4">
        <v>97.75</v>
      </c>
      <c r="BM2357" s="4">
        <v>14.66</v>
      </c>
      <c r="BN2357" s="4">
        <v>112.41</v>
      </c>
      <c r="BO2357" s="4">
        <v>112.41</v>
      </c>
      <c r="BQ2357" t="s">
        <v>147</v>
      </c>
      <c r="BR2357" t="s">
        <v>84</v>
      </c>
      <c r="BS2357" s="3">
        <v>43811</v>
      </c>
      <c r="BT2357" s="5">
        <v>0.48541666666666666</v>
      </c>
      <c r="BU2357" t="s">
        <v>1576</v>
      </c>
      <c r="BV2357" t="s">
        <v>86</v>
      </c>
      <c r="BY2357">
        <v>1200</v>
      </c>
      <c r="CA2357" t="s">
        <v>311</v>
      </c>
      <c r="CC2357" t="s">
        <v>308</v>
      </c>
      <c r="CD2357">
        <v>7646</v>
      </c>
      <c r="CE2357" t="s">
        <v>88</v>
      </c>
      <c r="CF2357" s="3">
        <v>43812</v>
      </c>
      <c r="CI2357">
        <v>1</v>
      </c>
      <c r="CJ2357">
        <v>1</v>
      </c>
      <c r="CK2357">
        <v>23</v>
      </c>
      <c r="CL2357" t="s">
        <v>89</v>
      </c>
    </row>
    <row r="2358" spans="1:90">
      <c r="A2358" t="s">
        <v>72</v>
      </c>
      <c r="B2358" t="s">
        <v>73</v>
      </c>
      <c r="C2358" t="s">
        <v>74</v>
      </c>
      <c r="E2358" t="str">
        <f>"FES1162727917"</f>
        <v>FES1162727917</v>
      </c>
      <c r="F2358" s="3">
        <v>43810</v>
      </c>
      <c r="G2358">
        <v>202006</v>
      </c>
      <c r="H2358" t="s">
        <v>75</v>
      </c>
      <c r="I2358" t="s">
        <v>76</v>
      </c>
      <c r="J2358" t="s">
        <v>77</v>
      </c>
      <c r="K2358" t="s">
        <v>78</v>
      </c>
      <c r="L2358" t="s">
        <v>1183</v>
      </c>
      <c r="M2358" t="s">
        <v>1184</v>
      </c>
      <c r="N2358" t="s">
        <v>1185</v>
      </c>
      <c r="O2358" t="s">
        <v>82</v>
      </c>
      <c r="P2358" t="str">
        <f>"2170721397                    "</f>
        <v xml:space="preserve">2170721397                    </v>
      </c>
      <c r="Q2358">
        <v>0</v>
      </c>
      <c r="R2358">
        <v>0</v>
      </c>
      <c r="S2358">
        <v>0</v>
      </c>
      <c r="T2358">
        <v>0</v>
      </c>
      <c r="U2358">
        <v>0</v>
      </c>
      <c r="V2358">
        <v>0</v>
      </c>
      <c r="W2358">
        <v>0</v>
      </c>
      <c r="X2358">
        <v>0</v>
      </c>
      <c r="Y2358">
        <v>0</v>
      </c>
      <c r="Z2358">
        <v>0</v>
      </c>
      <c r="AA2358">
        <v>0</v>
      </c>
      <c r="AB2358">
        <v>0</v>
      </c>
      <c r="AC2358">
        <v>0</v>
      </c>
      <c r="AD2358">
        <v>0</v>
      </c>
      <c r="AE2358">
        <v>0</v>
      </c>
      <c r="AF2358">
        <v>0</v>
      </c>
      <c r="AG2358">
        <v>0</v>
      </c>
      <c r="AH2358">
        <v>0</v>
      </c>
      <c r="AI2358">
        <v>0</v>
      </c>
      <c r="AJ2358">
        <v>0</v>
      </c>
      <c r="AK2358">
        <v>0</v>
      </c>
      <c r="AL2358">
        <v>0</v>
      </c>
      <c r="AM2358">
        <v>16.63</v>
      </c>
      <c r="AN2358">
        <v>0</v>
      </c>
      <c r="AO2358">
        <v>0</v>
      </c>
      <c r="AP2358">
        <v>0</v>
      </c>
      <c r="AQ2358">
        <v>0</v>
      </c>
      <c r="AR2358">
        <v>0</v>
      </c>
      <c r="AS2358">
        <v>0</v>
      </c>
      <c r="AT2358">
        <v>0</v>
      </c>
      <c r="AU2358">
        <v>0</v>
      </c>
      <c r="AV2358">
        <v>0</v>
      </c>
      <c r="AW2358">
        <v>0</v>
      </c>
      <c r="AX2358">
        <v>0</v>
      </c>
      <c r="AY2358">
        <v>0</v>
      </c>
      <c r="AZ2358">
        <v>0</v>
      </c>
      <c r="BA2358">
        <v>0</v>
      </c>
      <c r="BB2358">
        <v>0</v>
      </c>
      <c r="BC2358">
        <v>0</v>
      </c>
      <c r="BD2358">
        <v>0</v>
      </c>
      <c r="BE2358">
        <v>0</v>
      </c>
      <c r="BF2358">
        <v>0</v>
      </c>
      <c r="BG2358">
        <v>0</v>
      </c>
      <c r="BH2358">
        <v>1</v>
      </c>
      <c r="BI2358">
        <v>2</v>
      </c>
      <c r="BJ2358">
        <v>1.1000000000000001</v>
      </c>
      <c r="BK2358">
        <v>2</v>
      </c>
      <c r="BL2358" s="4">
        <v>97.75</v>
      </c>
      <c r="BM2358" s="4">
        <v>14.66</v>
      </c>
      <c r="BN2358" s="4">
        <v>112.41</v>
      </c>
      <c r="BO2358" s="4">
        <v>112.41</v>
      </c>
      <c r="BQ2358" t="s">
        <v>93</v>
      </c>
      <c r="BR2358" t="s">
        <v>84</v>
      </c>
      <c r="BS2358" s="3">
        <v>43811</v>
      </c>
      <c r="BT2358" s="5">
        <v>0.58333333333333337</v>
      </c>
      <c r="BU2358" t="s">
        <v>2529</v>
      </c>
      <c r="BV2358" t="s">
        <v>86</v>
      </c>
      <c r="BY2358">
        <v>5320</v>
      </c>
      <c r="CA2358" t="s">
        <v>2530</v>
      </c>
      <c r="CC2358" t="s">
        <v>1184</v>
      </c>
      <c r="CD2358">
        <v>3370</v>
      </c>
      <c r="CE2358" t="s">
        <v>96</v>
      </c>
      <c r="CF2358" s="3">
        <v>43816</v>
      </c>
      <c r="CI2358">
        <v>3</v>
      </c>
      <c r="CJ2358">
        <v>1</v>
      </c>
      <c r="CK2358">
        <v>23</v>
      </c>
      <c r="CL2358" t="s">
        <v>89</v>
      </c>
    </row>
    <row r="2359" spans="1:90">
      <c r="A2359" t="s">
        <v>72</v>
      </c>
      <c r="B2359" t="s">
        <v>73</v>
      </c>
      <c r="C2359" t="s">
        <v>74</v>
      </c>
      <c r="E2359" t="str">
        <f>"FES1162727840"</f>
        <v>FES1162727840</v>
      </c>
      <c r="F2359" s="3">
        <v>43810</v>
      </c>
      <c r="G2359">
        <v>202006</v>
      </c>
      <c r="H2359" t="s">
        <v>75</v>
      </c>
      <c r="I2359" t="s">
        <v>76</v>
      </c>
      <c r="J2359" t="s">
        <v>77</v>
      </c>
      <c r="K2359" t="s">
        <v>78</v>
      </c>
      <c r="L2359" t="s">
        <v>221</v>
      </c>
      <c r="M2359" t="s">
        <v>222</v>
      </c>
      <c r="N2359" t="s">
        <v>236</v>
      </c>
      <c r="O2359" t="s">
        <v>82</v>
      </c>
      <c r="P2359" t="str">
        <f>"2170721290                    "</f>
        <v xml:space="preserve">2170721290                    </v>
      </c>
      <c r="Q2359">
        <v>0</v>
      </c>
      <c r="R2359">
        <v>0</v>
      </c>
      <c r="S2359">
        <v>0</v>
      </c>
      <c r="T2359">
        <v>0</v>
      </c>
      <c r="U2359">
        <v>0</v>
      </c>
      <c r="V2359">
        <v>0</v>
      </c>
      <c r="W2359">
        <v>0</v>
      </c>
      <c r="X2359">
        <v>0</v>
      </c>
      <c r="Y2359">
        <v>0</v>
      </c>
      <c r="Z2359">
        <v>0</v>
      </c>
      <c r="AA2359">
        <v>0</v>
      </c>
      <c r="AB2359">
        <v>0</v>
      </c>
      <c r="AC2359">
        <v>0</v>
      </c>
      <c r="AD2359">
        <v>0</v>
      </c>
      <c r="AE2359">
        <v>0</v>
      </c>
      <c r="AF2359">
        <v>0</v>
      </c>
      <c r="AG2359">
        <v>0</v>
      </c>
      <c r="AH2359">
        <v>0</v>
      </c>
      <c r="AI2359">
        <v>0</v>
      </c>
      <c r="AJ2359">
        <v>0</v>
      </c>
      <c r="AK2359">
        <v>0</v>
      </c>
      <c r="AL2359">
        <v>0</v>
      </c>
      <c r="AM2359">
        <v>17.16</v>
      </c>
      <c r="AN2359">
        <v>0</v>
      </c>
      <c r="AO2359">
        <v>0</v>
      </c>
      <c r="AP2359">
        <v>0</v>
      </c>
      <c r="AQ2359">
        <v>0</v>
      </c>
      <c r="AR2359">
        <v>0</v>
      </c>
      <c r="AS2359">
        <v>0</v>
      </c>
      <c r="AT2359">
        <v>0</v>
      </c>
      <c r="AU2359">
        <v>0</v>
      </c>
      <c r="AV2359">
        <v>0</v>
      </c>
      <c r="AW2359">
        <v>0</v>
      </c>
      <c r="AX2359">
        <v>0</v>
      </c>
      <c r="AY2359">
        <v>0</v>
      </c>
      <c r="AZ2359">
        <v>0</v>
      </c>
      <c r="BA2359">
        <v>0</v>
      </c>
      <c r="BB2359">
        <v>0</v>
      </c>
      <c r="BC2359">
        <v>0</v>
      </c>
      <c r="BD2359">
        <v>0</v>
      </c>
      <c r="BE2359">
        <v>0</v>
      </c>
      <c r="BF2359">
        <v>0</v>
      </c>
      <c r="BG2359">
        <v>0</v>
      </c>
      <c r="BH2359">
        <v>1</v>
      </c>
      <c r="BI2359">
        <v>4</v>
      </c>
      <c r="BJ2359">
        <v>1.5</v>
      </c>
      <c r="BK2359">
        <v>4</v>
      </c>
      <c r="BL2359" s="4">
        <v>100.87</v>
      </c>
      <c r="BM2359" s="4">
        <v>15.13</v>
      </c>
      <c r="BN2359" s="4">
        <v>116</v>
      </c>
      <c r="BO2359" s="4">
        <v>116</v>
      </c>
      <c r="BQ2359" t="s">
        <v>93</v>
      </c>
      <c r="BR2359" t="s">
        <v>84</v>
      </c>
      <c r="BS2359" s="3">
        <v>43811</v>
      </c>
      <c r="BT2359" s="5">
        <v>0.52222222222222225</v>
      </c>
      <c r="BU2359" t="s">
        <v>2531</v>
      </c>
      <c r="BV2359" t="s">
        <v>86</v>
      </c>
      <c r="BY2359">
        <v>7540</v>
      </c>
      <c r="CA2359" t="s">
        <v>2532</v>
      </c>
      <c r="CC2359" t="s">
        <v>222</v>
      </c>
      <c r="CD2359">
        <v>3212</v>
      </c>
      <c r="CE2359" t="s">
        <v>96</v>
      </c>
      <c r="CF2359" s="3">
        <v>43812</v>
      </c>
      <c r="CI2359">
        <v>1</v>
      </c>
      <c r="CJ2359">
        <v>1</v>
      </c>
      <c r="CK2359">
        <v>21</v>
      </c>
      <c r="CL2359" t="s">
        <v>89</v>
      </c>
    </row>
    <row r="2360" spans="1:90">
      <c r="A2360" t="s">
        <v>72</v>
      </c>
      <c r="B2360" t="s">
        <v>73</v>
      </c>
      <c r="C2360" t="s">
        <v>74</v>
      </c>
      <c r="E2360" t="str">
        <f>"FES1162727909"</f>
        <v>FES1162727909</v>
      </c>
      <c r="F2360" s="3">
        <v>43810</v>
      </c>
      <c r="G2360">
        <v>202006</v>
      </c>
      <c r="H2360" t="s">
        <v>75</v>
      </c>
      <c r="I2360" t="s">
        <v>76</v>
      </c>
      <c r="J2360" t="s">
        <v>77</v>
      </c>
      <c r="K2360" t="s">
        <v>78</v>
      </c>
      <c r="L2360" t="s">
        <v>198</v>
      </c>
      <c r="M2360" t="s">
        <v>199</v>
      </c>
      <c r="N2360" t="s">
        <v>2533</v>
      </c>
      <c r="O2360" t="s">
        <v>82</v>
      </c>
      <c r="P2360" t="str">
        <f>"217071388                     "</f>
        <v xml:space="preserve">217071388                     </v>
      </c>
      <c r="Q2360">
        <v>0</v>
      </c>
      <c r="R2360">
        <v>0</v>
      </c>
      <c r="S2360">
        <v>0</v>
      </c>
      <c r="T2360">
        <v>0</v>
      </c>
      <c r="U2360">
        <v>0</v>
      </c>
      <c r="V2360">
        <v>0</v>
      </c>
      <c r="W2360">
        <v>0</v>
      </c>
      <c r="X2360">
        <v>0</v>
      </c>
      <c r="Y2360">
        <v>0</v>
      </c>
      <c r="Z2360">
        <v>0</v>
      </c>
      <c r="AA2360">
        <v>0</v>
      </c>
      <c r="AB2360">
        <v>0</v>
      </c>
      <c r="AC2360">
        <v>0</v>
      </c>
      <c r="AD2360">
        <v>0</v>
      </c>
      <c r="AE2360">
        <v>0</v>
      </c>
      <c r="AF2360">
        <v>0</v>
      </c>
      <c r="AG2360">
        <v>0</v>
      </c>
      <c r="AH2360">
        <v>0</v>
      </c>
      <c r="AI2360">
        <v>0</v>
      </c>
      <c r="AJ2360">
        <v>0</v>
      </c>
      <c r="AK2360">
        <v>0</v>
      </c>
      <c r="AL2360">
        <v>0</v>
      </c>
      <c r="AM2360">
        <v>15.02</v>
      </c>
      <c r="AN2360">
        <v>0</v>
      </c>
      <c r="AO2360">
        <v>0</v>
      </c>
      <c r="AP2360">
        <v>0</v>
      </c>
      <c r="AQ2360">
        <v>0</v>
      </c>
      <c r="AR2360">
        <v>0</v>
      </c>
      <c r="AS2360">
        <v>0</v>
      </c>
      <c r="AT2360">
        <v>0</v>
      </c>
      <c r="AU2360">
        <v>0</v>
      </c>
      <c r="AV2360">
        <v>0</v>
      </c>
      <c r="AW2360">
        <v>0</v>
      </c>
      <c r="AX2360">
        <v>0</v>
      </c>
      <c r="AY2360">
        <v>0</v>
      </c>
      <c r="AZ2360">
        <v>0</v>
      </c>
      <c r="BA2360">
        <v>0</v>
      </c>
      <c r="BB2360">
        <v>0</v>
      </c>
      <c r="BC2360">
        <v>0</v>
      </c>
      <c r="BD2360">
        <v>0</v>
      </c>
      <c r="BE2360">
        <v>0</v>
      </c>
      <c r="BF2360">
        <v>0</v>
      </c>
      <c r="BG2360">
        <v>0</v>
      </c>
      <c r="BH2360">
        <v>1</v>
      </c>
      <c r="BI2360">
        <v>2.2999999999999998</v>
      </c>
      <c r="BJ2360">
        <v>3.5</v>
      </c>
      <c r="BK2360">
        <v>3.5</v>
      </c>
      <c r="BL2360" s="4">
        <v>88.27</v>
      </c>
      <c r="BM2360" s="4">
        <v>13.24</v>
      </c>
      <c r="BN2360" s="4">
        <v>101.51</v>
      </c>
      <c r="BO2360" s="4">
        <v>101.51</v>
      </c>
      <c r="BQ2360" t="s">
        <v>2534</v>
      </c>
      <c r="BR2360" t="s">
        <v>84</v>
      </c>
      <c r="BS2360" s="3">
        <v>43811</v>
      </c>
      <c r="BT2360" s="5">
        <v>0.37291666666666662</v>
      </c>
      <c r="BU2360" t="s">
        <v>2535</v>
      </c>
      <c r="BV2360" t="s">
        <v>86</v>
      </c>
      <c r="BY2360">
        <v>17319.099999999999</v>
      </c>
      <c r="CA2360" t="s">
        <v>2536</v>
      </c>
      <c r="CC2360" t="s">
        <v>199</v>
      </c>
      <c r="CD2360">
        <v>4001</v>
      </c>
      <c r="CE2360" t="s">
        <v>116</v>
      </c>
      <c r="CF2360" s="3">
        <v>43812</v>
      </c>
      <c r="CI2360">
        <v>1</v>
      </c>
      <c r="CJ2360">
        <v>1</v>
      </c>
      <c r="CK2360">
        <v>21</v>
      </c>
      <c r="CL2360" t="s">
        <v>89</v>
      </c>
    </row>
    <row r="2361" spans="1:90">
      <c r="A2361" t="s">
        <v>72</v>
      </c>
      <c r="B2361" t="s">
        <v>73</v>
      </c>
      <c r="C2361" t="s">
        <v>74</v>
      </c>
      <c r="E2361" t="str">
        <f>"FES1162727930"</f>
        <v>FES1162727930</v>
      </c>
      <c r="F2361" s="3">
        <v>43810</v>
      </c>
      <c r="G2361">
        <v>202006</v>
      </c>
      <c r="H2361" t="s">
        <v>75</v>
      </c>
      <c r="I2361" t="s">
        <v>76</v>
      </c>
      <c r="J2361" t="s">
        <v>77</v>
      </c>
      <c r="K2361" t="s">
        <v>78</v>
      </c>
      <c r="L2361" t="s">
        <v>138</v>
      </c>
      <c r="M2361" t="s">
        <v>139</v>
      </c>
      <c r="N2361" t="s">
        <v>2537</v>
      </c>
      <c r="O2361" t="s">
        <v>82</v>
      </c>
      <c r="P2361" t="str">
        <f>"2170712436                    "</f>
        <v xml:space="preserve">2170712436                    </v>
      </c>
      <c r="Q2361">
        <v>0</v>
      </c>
      <c r="R2361">
        <v>0</v>
      </c>
      <c r="S2361">
        <v>0</v>
      </c>
      <c r="T2361">
        <v>0</v>
      </c>
      <c r="U2361">
        <v>0</v>
      </c>
      <c r="V2361">
        <v>0</v>
      </c>
      <c r="W2361">
        <v>0</v>
      </c>
      <c r="X2361">
        <v>0</v>
      </c>
      <c r="Y2361">
        <v>0</v>
      </c>
      <c r="Z2361">
        <v>0</v>
      </c>
      <c r="AA2361">
        <v>0</v>
      </c>
      <c r="AB2361">
        <v>0</v>
      </c>
      <c r="AC2361">
        <v>0</v>
      </c>
      <c r="AD2361">
        <v>0</v>
      </c>
      <c r="AE2361">
        <v>0</v>
      </c>
      <c r="AF2361">
        <v>0</v>
      </c>
      <c r="AG2361">
        <v>0</v>
      </c>
      <c r="AH2361">
        <v>0</v>
      </c>
      <c r="AI2361">
        <v>0</v>
      </c>
      <c r="AJ2361">
        <v>0</v>
      </c>
      <c r="AK2361">
        <v>0</v>
      </c>
      <c r="AL2361">
        <v>0</v>
      </c>
      <c r="AM2361">
        <v>6.71</v>
      </c>
      <c r="AN2361">
        <v>0</v>
      </c>
      <c r="AO2361">
        <v>0</v>
      </c>
      <c r="AP2361">
        <v>0</v>
      </c>
      <c r="AQ2361">
        <v>0</v>
      </c>
      <c r="AR2361">
        <v>0</v>
      </c>
      <c r="AS2361">
        <v>0</v>
      </c>
      <c r="AT2361">
        <v>0</v>
      </c>
      <c r="AU2361">
        <v>0</v>
      </c>
      <c r="AV2361">
        <v>0</v>
      </c>
      <c r="AW2361">
        <v>0</v>
      </c>
      <c r="AX2361">
        <v>0</v>
      </c>
      <c r="AY2361">
        <v>0</v>
      </c>
      <c r="AZ2361">
        <v>0</v>
      </c>
      <c r="BA2361">
        <v>0</v>
      </c>
      <c r="BB2361">
        <v>0</v>
      </c>
      <c r="BC2361">
        <v>0</v>
      </c>
      <c r="BD2361">
        <v>0</v>
      </c>
      <c r="BE2361">
        <v>0</v>
      </c>
      <c r="BF2361">
        <v>0</v>
      </c>
      <c r="BG2361">
        <v>0</v>
      </c>
      <c r="BH2361">
        <v>1</v>
      </c>
      <c r="BI2361">
        <v>1</v>
      </c>
      <c r="BJ2361">
        <v>0.2</v>
      </c>
      <c r="BK2361">
        <v>1</v>
      </c>
      <c r="BL2361" s="4">
        <v>39.42</v>
      </c>
      <c r="BM2361" s="4">
        <v>5.91</v>
      </c>
      <c r="BN2361" s="4">
        <v>45.33</v>
      </c>
      <c r="BO2361" s="4">
        <v>45.33</v>
      </c>
      <c r="BR2361" t="s">
        <v>84</v>
      </c>
      <c r="BS2361" s="3">
        <v>43811</v>
      </c>
      <c r="BT2361" s="5">
        <v>0.3888888888888889</v>
      </c>
      <c r="BU2361" t="s">
        <v>2538</v>
      </c>
      <c r="BV2361" t="s">
        <v>86</v>
      </c>
      <c r="BY2361">
        <v>1200</v>
      </c>
      <c r="CC2361" t="s">
        <v>139</v>
      </c>
      <c r="CD2361">
        <v>1422</v>
      </c>
      <c r="CE2361" t="s">
        <v>88</v>
      </c>
      <c r="CI2361">
        <v>1</v>
      </c>
      <c r="CJ2361">
        <v>1</v>
      </c>
      <c r="CK2361">
        <v>22</v>
      </c>
      <c r="CL2361" t="s">
        <v>89</v>
      </c>
    </row>
    <row r="2362" spans="1:90">
      <c r="A2362" t="s">
        <v>72</v>
      </c>
      <c r="B2362" t="s">
        <v>73</v>
      </c>
      <c r="C2362" t="s">
        <v>74</v>
      </c>
      <c r="E2362" t="str">
        <f>"FES1162727751"</f>
        <v>FES1162727751</v>
      </c>
      <c r="F2362" s="3">
        <v>43810</v>
      </c>
      <c r="G2362">
        <v>202006</v>
      </c>
      <c r="H2362" t="s">
        <v>75</v>
      </c>
      <c r="I2362" t="s">
        <v>76</v>
      </c>
      <c r="J2362" t="s">
        <v>77</v>
      </c>
      <c r="K2362" t="s">
        <v>78</v>
      </c>
      <c r="L2362" t="s">
        <v>79</v>
      </c>
      <c r="M2362" t="s">
        <v>80</v>
      </c>
      <c r="N2362" t="s">
        <v>300</v>
      </c>
      <c r="O2362" t="s">
        <v>82</v>
      </c>
      <c r="P2362" t="str">
        <f>"2170711190                    "</f>
        <v xml:space="preserve">2170711190                    </v>
      </c>
      <c r="Q2362">
        <v>0</v>
      </c>
      <c r="R2362">
        <v>0</v>
      </c>
      <c r="S2362">
        <v>0</v>
      </c>
      <c r="T2362">
        <v>0</v>
      </c>
      <c r="U2362">
        <v>0</v>
      </c>
      <c r="V2362">
        <v>0</v>
      </c>
      <c r="W2362">
        <v>0</v>
      </c>
      <c r="X2362">
        <v>0</v>
      </c>
      <c r="Y2362">
        <v>0</v>
      </c>
      <c r="Z2362">
        <v>0</v>
      </c>
      <c r="AA2362">
        <v>0</v>
      </c>
      <c r="AB2362">
        <v>0</v>
      </c>
      <c r="AC2362">
        <v>0</v>
      </c>
      <c r="AD2362">
        <v>0</v>
      </c>
      <c r="AE2362">
        <v>0</v>
      </c>
      <c r="AF2362">
        <v>0</v>
      </c>
      <c r="AG2362">
        <v>0</v>
      </c>
      <c r="AH2362">
        <v>0</v>
      </c>
      <c r="AI2362">
        <v>0</v>
      </c>
      <c r="AJ2362">
        <v>0</v>
      </c>
      <c r="AK2362">
        <v>0</v>
      </c>
      <c r="AL2362">
        <v>0</v>
      </c>
      <c r="AM2362">
        <v>45.04</v>
      </c>
      <c r="AN2362">
        <v>0</v>
      </c>
      <c r="AO2362">
        <v>0</v>
      </c>
      <c r="AP2362">
        <v>0</v>
      </c>
      <c r="AQ2362">
        <v>0</v>
      </c>
      <c r="AR2362">
        <v>0</v>
      </c>
      <c r="AS2362">
        <v>0</v>
      </c>
      <c r="AT2362">
        <v>0</v>
      </c>
      <c r="AU2362">
        <v>0</v>
      </c>
      <c r="AV2362">
        <v>0</v>
      </c>
      <c r="AW2362">
        <v>0</v>
      </c>
      <c r="AX2362">
        <v>0</v>
      </c>
      <c r="AY2362">
        <v>0</v>
      </c>
      <c r="AZ2362">
        <v>0</v>
      </c>
      <c r="BA2362">
        <v>0</v>
      </c>
      <c r="BB2362">
        <v>0</v>
      </c>
      <c r="BC2362">
        <v>0</v>
      </c>
      <c r="BD2362">
        <v>0</v>
      </c>
      <c r="BE2362">
        <v>0</v>
      </c>
      <c r="BF2362">
        <v>0</v>
      </c>
      <c r="BG2362">
        <v>0</v>
      </c>
      <c r="BH2362">
        <v>1</v>
      </c>
      <c r="BI2362">
        <v>10.4</v>
      </c>
      <c r="BJ2362">
        <v>8.1</v>
      </c>
      <c r="BK2362">
        <v>10.5</v>
      </c>
      <c r="BL2362" s="4">
        <v>264.73</v>
      </c>
      <c r="BM2362" s="4">
        <v>39.71</v>
      </c>
      <c r="BN2362" s="4">
        <v>304.44</v>
      </c>
      <c r="BO2362" s="4">
        <v>304.44</v>
      </c>
      <c r="BQ2362" t="s">
        <v>147</v>
      </c>
      <c r="BR2362" t="s">
        <v>84</v>
      </c>
      <c r="BS2362" s="3">
        <v>43811</v>
      </c>
      <c r="BT2362" s="5">
        <v>0.3888888888888889</v>
      </c>
      <c r="BU2362" t="s">
        <v>403</v>
      </c>
      <c r="BV2362" t="s">
        <v>86</v>
      </c>
      <c r="BY2362">
        <v>40669.97</v>
      </c>
      <c r="CA2362" t="s">
        <v>99</v>
      </c>
      <c r="CC2362" t="s">
        <v>80</v>
      </c>
      <c r="CD2362">
        <v>6001</v>
      </c>
      <c r="CE2362" t="s">
        <v>96</v>
      </c>
      <c r="CF2362" s="3">
        <v>43812</v>
      </c>
      <c r="CI2362">
        <v>1</v>
      </c>
      <c r="CJ2362">
        <v>1</v>
      </c>
      <c r="CK2362">
        <v>21</v>
      </c>
      <c r="CL2362" t="s">
        <v>89</v>
      </c>
    </row>
    <row r="2363" spans="1:90">
      <c r="A2363" t="s">
        <v>72</v>
      </c>
      <c r="B2363" t="s">
        <v>73</v>
      </c>
      <c r="C2363" t="s">
        <v>74</v>
      </c>
      <c r="E2363" t="str">
        <f>"FES1162727892"</f>
        <v>FES1162727892</v>
      </c>
      <c r="F2363" s="3">
        <v>43810</v>
      </c>
      <c r="G2363">
        <v>202006</v>
      </c>
      <c r="H2363" t="s">
        <v>75</v>
      </c>
      <c r="I2363" t="s">
        <v>76</v>
      </c>
      <c r="J2363" t="s">
        <v>77</v>
      </c>
      <c r="K2363" t="s">
        <v>78</v>
      </c>
      <c r="L2363" t="s">
        <v>632</v>
      </c>
      <c r="M2363" t="s">
        <v>633</v>
      </c>
      <c r="N2363" t="s">
        <v>2539</v>
      </c>
      <c r="O2363" t="s">
        <v>82</v>
      </c>
      <c r="P2363" t="str">
        <f>"217071375                     "</f>
        <v xml:space="preserve">217071375                     </v>
      </c>
      <c r="Q2363">
        <v>0</v>
      </c>
      <c r="R2363">
        <v>0</v>
      </c>
      <c r="S2363">
        <v>0</v>
      </c>
      <c r="T2363">
        <v>0</v>
      </c>
      <c r="U2363">
        <v>0</v>
      </c>
      <c r="V2363">
        <v>0</v>
      </c>
      <c r="W2363">
        <v>0</v>
      </c>
      <c r="X2363">
        <v>0</v>
      </c>
      <c r="Y2363">
        <v>0</v>
      </c>
      <c r="Z2363">
        <v>0</v>
      </c>
      <c r="AA2363">
        <v>0</v>
      </c>
      <c r="AB2363">
        <v>0</v>
      </c>
      <c r="AC2363">
        <v>0</v>
      </c>
      <c r="AD2363">
        <v>0</v>
      </c>
      <c r="AE2363">
        <v>0</v>
      </c>
      <c r="AF2363">
        <v>0</v>
      </c>
      <c r="AG2363">
        <v>0</v>
      </c>
      <c r="AH2363">
        <v>0</v>
      </c>
      <c r="AI2363">
        <v>0</v>
      </c>
      <c r="AJ2363">
        <v>0</v>
      </c>
      <c r="AK2363">
        <v>0</v>
      </c>
      <c r="AL2363">
        <v>0</v>
      </c>
      <c r="AM2363">
        <v>6.71</v>
      </c>
      <c r="AN2363">
        <v>0</v>
      </c>
      <c r="AO2363">
        <v>0</v>
      </c>
      <c r="AP2363">
        <v>0</v>
      </c>
      <c r="AQ2363">
        <v>0</v>
      </c>
      <c r="AR2363">
        <v>0</v>
      </c>
      <c r="AS2363">
        <v>0</v>
      </c>
      <c r="AT2363">
        <v>0</v>
      </c>
      <c r="AU2363">
        <v>0</v>
      </c>
      <c r="AV2363">
        <v>0</v>
      </c>
      <c r="AW2363">
        <v>0</v>
      </c>
      <c r="AX2363">
        <v>0</v>
      </c>
      <c r="AY2363">
        <v>0</v>
      </c>
      <c r="AZ2363">
        <v>0</v>
      </c>
      <c r="BA2363">
        <v>0</v>
      </c>
      <c r="BB2363">
        <v>0</v>
      </c>
      <c r="BC2363">
        <v>0</v>
      </c>
      <c r="BD2363">
        <v>0</v>
      </c>
      <c r="BE2363">
        <v>0</v>
      </c>
      <c r="BF2363">
        <v>0</v>
      </c>
      <c r="BG2363">
        <v>0</v>
      </c>
      <c r="BH2363">
        <v>1</v>
      </c>
      <c r="BI2363">
        <v>1</v>
      </c>
      <c r="BJ2363">
        <v>0.2</v>
      </c>
      <c r="BK2363">
        <v>1</v>
      </c>
      <c r="BL2363" s="4">
        <v>39.42</v>
      </c>
      <c r="BM2363" s="4">
        <v>5.91</v>
      </c>
      <c r="BN2363" s="4">
        <v>45.33</v>
      </c>
      <c r="BO2363" s="4">
        <v>45.33</v>
      </c>
      <c r="BQ2363" t="s">
        <v>147</v>
      </c>
      <c r="BR2363" t="s">
        <v>84</v>
      </c>
      <c r="BS2363" s="3">
        <v>43811</v>
      </c>
      <c r="BT2363" s="5">
        <v>0.35972222222222222</v>
      </c>
      <c r="BU2363" t="s">
        <v>2540</v>
      </c>
      <c r="BV2363" t="s">
        <v>86</v>
      </c>
      <c r="BY2363">
        <v>1200</v>
      </c>
      <c r="CC2363" t="s">
        <v>633</v>
      </c>
      <c r="CD2363">
        <v>1451</v>
      </c>
      <c r="CE2363" t="s">
        <v>88</v>
      </c>
      <c r="CF2363" s="3">
        <v>43812</v>
      </c>
      <c r="CI2363">
        <v>1</v>
      </c>
      <c r="CJ2363">
        <v>1</v>
      </c>
      <c r="CK2363">
        <v>22</v>
      </c>
      <c r="CL2363" t="s">
        <v>89</v>
      </c>
    </row>
    <row r="2364" spans="1:90">
      <c r="A2364" t="s">
        <v>72</v>
      </c>
      <c r="B2364" t="s">
        <v>73</v>
      </c>
      <c r="C2364" t="s">
        <v>74</v>
      </c>
      <c r="E2364" t="str">
        <f>"FES1162727882"</f>
        <v>FES1162727882</v>
      </c>
      <c r="F2364" s="3">
        <v>43810</v>
      </c>
      <c r="G2364">
        <v>202006</v>
      </c>
      <c r="H2364" t="s">
        <v>75</v>
      </c>
      <c r="I2364" t="s">
        <v>76</v>
      </c>
      <c r="J2364" t="s">
        <v>77</v>
      </c>
      <c r="K2364" t="s">
        <v>78</v>
      </c>
      <c r="L2364" t="s">
        <v>332</v>
      </c>
      <c r="M2364" t="s">
        <v>333</v>
      </c>
      <c r="N2364" t="s">
        <v>701</v>
      </c>
      <c r="O2364" t="s">
        <v>82</v>
      </c>
      <c r="P2364" t="str">
        <f>"217071359                     "</f>
        <v xml:space="preserve">217071359                     </v>
      </c>
      <c r="Q2364">
        <v>0</v>
      </c>
      <c r="R2364">
        <v>0</v>
      </c>
      <c r="S2364">
        <v>0</v>
      </c>
      <c r="T2364">
        <v>0</v>
      </c>
      <c r="U2364">
        <v>0</v>
      </c>
      <c r="V2364">
        <v>0</v>
      </c>
      <c r="W2364">
        <v>0</v>
      </c>
      <c r="X2364">
        <v>0</v>
      </c>
      <c r="Y2364">
        <v>0</v>
      </c>
      <c r="Z2364">
        <v>0</v>
      </c>
      <c r="AA2364">
        <v>0</v>
      </c>
      <c r="AB2364">
        <v>0</v>
      </c>
      <c r="AC2364">
        <v>0</v>
      </c>
      <c r="AD2364">
        <v>0</v>
      </c>
      <c r="AE2364">
        <v>0</v>
      </c>
      <c r="AF2364">
        <v>0</v>
      </c>
      <c r="AG2364">
        <v>0</v>
      </c>
      <c r="AH2364">
        <v>0</v>
      </c>
      <c r="AI2364">
        <v>0</v>
      </c>
      <c r="AJ2364">
        <v>0</v>
      </c>
      <c r="AK2364">
        <v>0</v>
      </c>
      <c r="AL2364">
        <v>0</v>
      </c>
      <c r="AM2364">
        <v>6.71</v>
      </c>
      <c r="AN2364">
        <v>0</v>
      </c>
      <c r="AO2364">
        <v>0</v>
      </c>
      <c r="AP2364">
        <v>0</v>
      </c>
      <c r="AQ2364">
        <v>0</v>
      </c>
      <c r="AR2364">
        <v>0</v>
      </c>
      <c r="AS2364">
        <v>0</v>
      </c>
      <c r="AT2364">
        <v>0</v>
      </c>
      <c r="AU2364">
        <v>0</v>
      </c>
      <c r="AV2364">
        <v>0</v>
      </c>
      <c r="AW2364">
        <v>0</v>
      </c>
      <c r="AX2364">
        <v>0</v>
      </c>
      <c r="AY2364">
        <v>0</v>
      </c>
      <c r="AZ2364">
        <v>0</v>
      </c>
      <c r="BA2364">
        <v>0</v>
      </c>
      <c r="BB2364">
        <v>0</v>
      </c>
      <c r="BC2364">
        <v>0</v>
      </c>
      <c r="BD2364">
        <v>0</v>
      </c>
      <c r="BE2364">
        <v>0</v>
      </c>
      <c r="BF2364">
        <v>0</v>
      </c>
      <c r="BG2364">
        <v>0</v>
      </c>
      <c r="BH2364">
        <v>1</v>
      </c>
      <c r="BI2364">
        <v>1</v>
      </c>
      <c r="BJ2364">
        <v>0.2</v>
      </c>
      <c r="BK2364">
        <v>1</v>
      </c>
      <c r="BL2364" s="4">
        <v>39.42</v>
      </c>
      <c r="BM2364" s="4">
        <v>5.91</v>
      </c>
      <c r="BN2364" s="4">
        <v>45.33</v>
      </c>
      <c r="BO2364" s="4">
        <v>45.33</v>
      </c>
      <c r="BQ2364" t="s">
        <v>93</v>
      </c>
      <c r="BR2364" t="s">
        <v>84</v>
      </c>
      <c r="BS2364" s="3">
        <v>43811</v>
      </c>
      <c r="BT2364" s="5">
        <v>0.36736111111111108</v>
      </c>
      <c r="BU2364" t="s">
        <v>2084</v>
      </c>
      <c r="BV2364" t="s">
        <v>86</v>
      </c>
      <c r="BY2364">
        <v>1200</v>
      </c>
      <c r="CC2364" t="s">
        <v>333</v>
      </c>
      <c r="CD2364">
        <v>2094</v>
      </c>
      <c r="CE2364" t="s">
        <v>88</v>
      </c>
      <c r="CF2364" s="3">
        <v>43812</v>
      </c>
      <c r="CI2364">
        <v>1</v>
      </c>
      <c r="CJ2364">
        <v>1</v>
      </c>
      <c r="CK2364">
        <v>22</v>
      </c>
      <c r="CL2364" t="s">
        <v>89</v>
      </c>
    </row>
    <row r="2365" spans="1:90">
      <c r="A2365" t="s">
        <v>72</v>
      </c>
      <c r="B2365" t="s">
        <v>73</v>
      </c>
      <c r="C2365" t="s">
        <v>74</v>
      </c>
      <c r="E2365" t="str">
        <f>"FES1162727919"</f>
        <v>FES1162727919</v>
      </c>
      <c r="F2365" s="3">
        <v>43810</v>
      </c>
      <c r="G2365">
        <v>202006</v>
      </c>
      <c r="H2365" t="s">
        <v>75</v>
      </c>
      <c r="I2365" t="s">
        <v>76</v>
      </c>
      <c r="J2365" t="s">
        <v>77</v>
      </c>
      <c r="K2365" t="s">
        <v>78</v>
      </c>
      <c r="L2365" t="s">
        <v>79</v>
      </c>
      <c r="M2365" t="s">
        <v>80</v>
      </c>
      <c r="N2365" t="s">
        <v>81</v>
      </c>
      <c r="O2365" t="s">
        <v>82</v>
      </c>
      <c r="P2365" t="str">
        <f>"217071406                     "</f>
        <v xml:space="preserve">217071406                     </v>
      </c>
      <c r="Q2365">
        <v>0</v>
      </c>
      <c r="R2365">
        <v>0</v>
      </c>
      <c r="S2365">
        <v>0</v>
      </c>
      <c r="T2365">
        <v>0</v>
      </c>
      <c r="U2365">
        <v>0</v>
      </c>
      <c r="V2365">
        <v>0</v>
      </c>
      <c r="W2365">
        <v>0</v>
      </c>
      <c r="X2365">
        <v>0</v>
      </c>
      <c r="Y2365">
        <v>0</v>
      </c>
      <c r="Z2365">
        <v>0</v>
      </c>
      <c r="AA2365">
        <v>0</v>
      </c>
      <c r="AB2365">
        <v>0</v>
      </c>
      <c r="AC2365">
        <v>0</v>
      </c>
      <c r="AD2365">
        <v>0</v>
      </c>
      <c r="AE2365">
        <v>0</v>
      </c>
      <c r="AF2365">
        <v>0</v>
      </c>
      <c r="AG2365">
        <v>0</v>
      </c>
      <c r="AH2365">
        <v>0</v>
      </c>
      <c r="AI2365">
        <v>0</v>
      </c>
      <c r="AJ2365">
        <v>0</v>
      </c>
      <c r="AK2365">
        <v>0</v>
      </c>
      <c r="AL2365">
        <v>0</v>
      </c>
      <c r="AM2365">
        <v>30.03</v>
      </c>
      <c r="AN2365">
        <v>0</v>
      </c>
      <c r="AO2365">
        <v>0</v>
      </c>
      <c r="AP2365">
        <v>0</v>
      </c>
      <c r="AQ2365">
        <v>0</v>
      </c>
      <c r="AR2365">
        <v>0</v>
      </c>
      <c r="AS2365">
        <v>0</v>
      </c>
      <c r="AT2365">
        <v>0</v>
      </c>
      <c r="AU2365">
        <v>0</v>
      </c>
      <c r="AV2365">
        <v>0</v>
      </c>
      <c r="AW2365">
        <v>0</v>
      </c>
      <c r="AX2365">
        <v>0</v>
      </c>
      <c r="AY2365">
        <v>0</v>
      </c>
      <c r="AZ2365">
        <v>0</v>
      </c>
      <c r="BA2365">
        <v>0</v>
      </c>
      <c r="BB2365">
        <v>0</v>
      </c>
      <c r="BC2365">
        <v>0</v>
      </c>
      <c r="BD2365">
        <v>0</v>
      </c>
      <c r="BE2365">
        <v>0</v>
      </c>
      <c r="BF2365">
        <v>0</v>
      </c>
      <c r="BG2365">
        <v>0</v>
      </c>
      <c r="BH2365">
        <v>1</v>
      </c>
      <c r="BI2365">
        <v>2.9</v>
      </c>
      <c r="BJ2365">
        <v>6.8</v>
      </c>
      <c r="BK2365">
        <v>7</v>
      </c>
      <c r="BL2365" s="4">
        <v>176.5</v>
      </c>
      <c r="BM2365" s="4">
        <v>26.48</v>
      </c>
      <c r="BN2365" s="4">
        <v>202.98</v>
      </c>
      <c r="BO2365" s="4">
        <v>202.98</v>
      </c>
      <c r="BQ2365" t="s">
        <v>83</v>
      </c>
      <c r="BR2365" t="s">
        <v>84</v>
      </c>
      <c r="BS2365" s="3">
        <v>43811</v>
      </c>
      <c r="BT2365" s="5">
        <v>0.37638888888888888</v>
      </c>
      <c r="BU2365" t="s">
        <v>679</v>
      </c>
      <c r="BV2365" t="s">
        <v>86</v>
      </c>
      <c r="BY2365">
        <v>33907.68</v>
      </c>
      <c r="CA2365" t="s">
        <v>419</v>
      </c>
      <c r="CC2365" t="s">
        <v>80</v>
      </c>
      <c r="CD2365">
        <v>6045</v>
      </c>
      <c r="CE2365" t="s">
        <v>116</v>
      </c>
      <c r="CF2365" s="3">
        <v>43812</v>
      </c>
      <c r="CI2365">
        <v>1</v>
      </c>
      <c r="CJ2365">
        <v>1</v>
      </c>
      <c r="CK2365">
        <v>21</v>
      </c>
      <c r="CL2365" t="s">
        <v>89</v>
      </c>
    </row>
    <row r="2366" spans="1:90">
      <c r="A2366" t="s">
        <v>72</v>
      </c>
      <c r="B2366" t="s">
        <v>73</v>
      </c>
      <c r="C2366" t="s">
        <v>74</v>
      </c>
      <c r="E2366" t="str">
        <f>"FES1162727789"</f>
        <v>FES1162727789</v>
      </c>
      <c r="F2366" s="3">
        <v>43810</v>
      </c>
      <c r="G2366">
        <v>202006</v>
      </c>
      <c r="H2366" t="s">
        <v>75</v>
      </c>
      <c r="I2366" t="s">
        <v>76</v>
      </c>
      <c r="J2366" t="s">
        <v>77</v>
      </c>
      <c r="K2366" t="s">
        <v>78</v>
      </c>
      <c r="L2366" t="s">
        <v>79</v>
      </c>
      <c r="M2366" t="s">
        <v>80</v>
      </c>
      <c r="N2366" t="s">
        <v>129</v>
      </c>
      <c r="O2366" t="s">
        <v>82</v>
      </c>
      <c r="P2366" t="str">
        <f>"21707817827                   "</f>
        <v xml:space="preserve">21707817827                   </v>
      </c>
      <c r="Q2366">
        <v>0</v>
      </c>
      <c r="R2366">
        <v>0</v>
      </c>
      <c r="S2366">
        <v>0</v>
      </c>
      <c r="T2366">
        <v>0</v>
      </c>
      <c r="U2366">
        <v>0</v>
      </c>
      <c r="V2366">
        <v>0</v>
      </c>
      <c r="W2366">
        <v>0</v>
      </c>
      <c r="X2366">
        <v>0</v>
      </c>
      <c r="Y2366">
        <v>0</v>
      </c>
      <c r="Z2366">
        <v>0</v>
      </c>
      <c r="AA2366">
        <v>0</v>
      </c>
      <c r="AB2366">
        <v>0</v>
      </c>
      <c r="AC2366">
        <v>0</v>
      </c>
      <c r="AD2366">
        <v>0</v>
      </c>
      <c r="AE2366">
        <v>0</v>
      </c>
      <c r="AF2366">
        <v>0</v>
      </c>
      <c r="AG2366">
        <v>0</v>
      </c>
      <c r="AH2366">
        <v>0</v>
      </c>
      <c r="AI2366">
        <v>0</v>
      </c>
      <c r="AJ2366">
        <v>0</v>
      </c>
      <c r="AK2366">
        <v>0</v>
      </c>
      <c r="AL2366">
        <v>0</v>
      </c>
      <c r="AM2366">
        <v>12.87</v>
      </c>
      <c r="AN2366">
        <v>0</v>
      </c>
      <c r="AO2366">
        <v>0</v>
      </c>
      <c r="AP2366">
        <v>0</v>
      </c>
      <c r="AQ2366">
        <v>0</v>
      </c>
      <c r="AR2366">
        <v>0</v>
      </c>
      <c r="AS2366">
        <v>0</v>
      </c>
      <c r="AT2366">
        <v>0</v>
      </c>
      <c r="AU2366">
        <v>0</v>
      </c>
      <c r="AV2366">
        <v>0</v>
      </c>
      <c r="AW2366">
        <v>0</v>
      </c>
      <c r="AX2366">
        <v>0</v>
      </c>
      <c r="AY2366">
        <v>0</v>
      </c>
      <c r="AZ2366">
        <v>0</v>
      </c>
      <c r="BA2366">
        <v>0</v>
      </c>
      <c r="BB2366">
        <v>0</v>
      </c>
      <c r="BC2366">
        <v>0</v>
      </c>
      <c r="BD2366">
        <v>0</v>
      </c>
      <c r="BE2366">
        <v>0</v>
      </c>
      <c r="BF2366">
        <v>0</v>
      </c>
      <c r="BG2366">
        <v>0</v>
      </c>
      <c r="BH2366">
        <v>1</v>
      </c>
      <c r="BI2366">
        <v>1.5</v>
      </c>
      <c r="BJ2366">
        <v>3</v>
      </c>
      <c r="BK2366">
        <v>3</v>
      </c>
      <c r="BL2366" s="4">
        <v>75.66</v>
      </c>
      <c r="BM2366" s="4">
        <v>11.35</v>
      </c>
      <c r="BN2366" s="4">
        <v>87.01</v>
      </c>
      <c r="BO2366" s="4">
        <v>87.01</v>
      </c>
      <c r="BQ2366" t="s">
        <v>147</v>
      </c>
      <c r="BR2366" t="s">
        <v>84</v>
      </c>
      <c r="BS2366" s="3">
        <v>43811</v>
      </c>
      <c r="BT2366" s="5">
        <v>0.37638888888888888</v>
      </c>
      <c r="BU2366" t="s">
        <v>1296</v>
      </c>
      <c r="BV2366" t="s">
        <v>86</v>
      </c>
      <c r="BY2366">
        <v>15049.48</v>
      </c>
      <c r="CA2366" t="s">
        <v>131</v>
      </c>
      <c r="CC2366" t="s">
        <v>80</v>
      </c>
      <c r="CD2366">
        <v>6001</v>
      </c>
      <c r="CE2366" t="s">
        <v>116</v>
      </c>
      <c r="CF2366" s="3">
        <v>43812</v>
      </c>
      <c r="CI2366">
        <v>1</v>
      </c>
      <c r="CJ2366">
        <v>1</v>
      </c>
      <c r="CK2366">
        <v>21</v>
      </c>
      <c r="CL2366" t="s">
        <v>89</v>
      </c>
    </row>
    <row r="2367" spans="1:90">
      <c r="A2367" t="s">
        <v>72</v>
      </c>
      <c r="B2367" t="s">
        <v>73</v>
      </c>
      <c r="C2367" t="s">
        <v>74</v>
      </c>
      <c r="E2367" t="str">
        <f>"FES1162727788"</f>
        <v>FES1162727788</v>
      </c>
      <c r="F2367" s="3">
        <v>43810</v>
      </c>
      <c r="G2367">
        <v>202006</v>
      </c>
      <c r="H2367" t="s">
        <v>75</v>
      </c>
      <c r="I2367" t="s">
        <v>76</v>
      </c>
      <c r="J2367" t="s">
        <v>77</v>
      </c>
      <c r="K2367" t="s">
        <v>78</v>
      </c>
      <c r="L2367" t="s">
        <v>213</v>
      </c>
      <c r="M2367" t="s">
        <v>214</v>
      </c>
      <c r="N2367" t="s">
        <v>303</v>
      </c>
      <c r="O2367" t="s">
        <v>82</v>
      </c>
      <c r="P2367" t="str">
        <f>"2170717675                    "</f>
        <v xml:space="preserve">2170717675                    </v>
      </c>
      <c r="Q2367">
        <v>0</v>
      </c>
      <c r="R2367">
        <v>0</v>
      </c>
      <c r="S2367">
        <v>0</v>
      </c>
      <c r="T2367">
        <v>0</v>
      </c>
      <c r="U2367">
        <v>0</v>
      </c>
      <c r="V2367">
        <v>0</v>
      </c>
      <c r="W2367">
        <v>0</v>
      </c>
      <c r="X2367">
        <v>0</v>
      </c>
      <c r="Y2367">
        <v>0</v>
      </c>
      <c r="Z2367">
        <v>0</v>
      </c>
      <c r="AA2367">
        <v>0</v>
      </c>
      <c r="AB2367">
        <v>0</v>
      </c>
      <c r="AC2367">
        <v>0</v>
      </c>
      <c r="AD2367">
        <v>0</v>
      </c>
      <c r="AE2367">
        <v>0</v>
      </c>
      <c r="AF2367">
        <v>0</v>
      </c>
      <c r="AG2367">
        <v>0</v>
      </c>
      <c r="AH2367">
        <v>0</v>
      </c>
      <c r="AI2367">
        <v>0</v>
      </c>
      <c r="AJ2367">
        <v>0</v>
      </c>
      <c r="AK2367">
        <v>0</v>
      </c>
      <c r="AL2367">
        <v>0</v>
      </c>
      <c r="AM2367">
        <v>27.88</v>
      </c>
      <c r="AN2367">
        <v>0</v>
      </c>
      <c r="AO2367">
        <v>0</v>
      </c>
      <c r="AP2367">
        <v>0</v>
      </c>
      <c r="AQ2367">
        <v>0</v>
      </c>
      <c r="AR2367">
        <v>0</v>
      </c>
      <c r="AS2367">
        <v>0</v>
      </c>
      <c r="AT2367">
        <v>0</v>
      </c>
      <c r="AU2367">
        <v>0</v>
      </c>
      <c r="AV2367">
        <v>0</v>
      </c>
      <c r="AW2367">
        <v>0</v>
      </c>
      <c r="AX2367">
        <v>0</v>
      </c>
      <c r="AY2367">
        <v>0</v>
      </c>
      <c r="AZ2367">
        <v>0</v>
      </c>
      <c r="BA2367">
        <v>0</v>
      </c>
      <c r="BB2367">
        <v>0</v>
      </c>
      <c r="BC2367">
        <v>0</v>
      </c>
      <c r="BD2367">
        <v>0</v>
      </c>
      <c r="BE2367">
        <v>0</v>
      </c>
      <c r="BF2367">
        <v>0</v>
      </c>
      <c r="BG2367">
        <v>0</v>
      </c>
      <c r="BH2367">
        <v>1</v>
      </c>
      <c r="BI2367">
        <v>6.1</v>
      </c>
      <c r="BJ2367">
        <v>4</v>
      </c>
      <c r="BK2367">
        <v>6.5</v>
      </c>
      <c r="BL2367" s="4">
        <v>163.89</v>
      </c>
      <c r="BM2367" s="4">
        <v>24.58</v>
      </c>
      <c r="BN2367" s="4">
        <v>188.47</v>
      </c>
      <c r="BO2367" s="4">
        <v>188.47</v>
      </c>
      <c r="BQ2367" t="s">
        <v>147</v>
      </c>
      <c r="BR2367" t="s">
        <v>84</v>
      </c>
      <c r="BS2367" s="3">
        <v>43811</v>
      </c>
      <c r="BT2367" s="5">
        <v>0.3263888888888889</v>
      </c>
      <c r="BU2367" t="s">
        <v>2503</v>
      </c>
      <c r="BV2367" t="s">
        <v>86</v>
      </c>
      <c r="BY2367">
        <v>20018.7</v>
      </c>
      <c r="CA2367" t="s">
        <v>99</v>
      </c>
      <c r="CC2367" t="s">
        <v>214</v>
      </c>
      <c r="CD2367">
        <v>6230</v>
      </c>
      <c r="CE2367" t="s">
        <v>96</v>
      </c>
      <c r="CF2367" s="3">
        <v>43812</v>
      </c>
      <c r="CI2367">
        <v>1</v>
      </c>
      <c r="CJ2367">
        <v>1</v>
      </c>
      <c r="CK2367">
        <v>21</v>
      </c>
      <c r="CL2367" t="s">
        <v>89</v>
      </c>
    </row>
    <row r="2368" spans="1:90">
      <c r="A2368" t="s">
        <v>72</v>
      </c>
      <c r="B2368" t="s">
        <v>73</v>
      </c>
      <c r="C2368" t="s">
        <v>74</v>
      </c>
      <c r="E2368" t="str">
        <f>"FES1162727891"</f>
        <v>FES1162727891</v>
      </c>
      <c r="F2368" s="3">
        <v>43810</v>
      </c>
      <c r="G2368">
        <v>202006</v>
      </c>
      <c r="H2368" t="s">
        <v>75</v>
      </c>
      <c r="I2368" t="s">
        <v>76</v>
      </c>
      <c r="J2368" t="s">
        <v>77</v>
      </c>
      <c r="K2368" t="s">
        <v>78</v>
      </c>
      <c r="L2368" t="s">
        <v>213</v>
      </c>
      <c r="M2368" t="s">
        <v>214</v>
      </c>
      <c r="N2368" t="s">
        <v>598</v>
      </c>
      <c r="O2368" t="s">
        <v>82</v>
      </c>
      <c r="P2368" t="str">
        <f>"2170717373                    "</f>
        <v xml:space="preserve">2170717373                    </v>
      </c>
      <c r="Q2368">
        <v>0</v>
      </c>
      <c r="R2368">
        <v>0</v>
      </c>
      <c r="S2368">
        <v>0</v>
      </c>
      <c r="T2368">
        <v>0</v>
      </c>
      <c r="U2368">
        <v>0</v>
      </c>
      <c r="V2368">
        <v>0</v>
      </c>
      <c r="W2368">
        <v>0</v>
      </c>
      <c r="X2368">
        <v>0</v>
      </c>
      <c r="Y2368">
        <v>0</v>
      </c>
      <c r="Z2368">
        <v>0</v>
      </c>
      <c r="AA2368">
        <v>0</v>
      </c>
      <c r="AB2368">
        <v>0</v>
      </c>
      <c r="AC2368">
        <v>0</v>
      </c>
      <c r="AD2368">
        <v>0</v>
      </c>
      <c r="AE2368">
        <v>0</v>
      </c>
      <c r="AF2368">
        <v>0</v>
      </c>
      <c r="AG2368">
        <v>0</v>
      </c>
      <c r="AH2368">
        <v>0</v>
      </c>
      <c r="AI2368">
        <v>0</v>
      </c>
      <c r="AJ2368">
        <v>0</v>
      </c>
      <c r="AK2368">
        <v>0</v>
      </c>
      <c r="AL2368">
        <v>0</v>
      </c>
      <c r="AM2368">
        <v>21.45</v>
      </c>
      <c r="AN2368">
        <v>0</v>
      </c>
      <c r="AO2368">
        <v>0</v>
      </c>
      <c r="AP2368">
        <v>0</v>
      </c>
      <c r="AQ2368">
        <v>0</v>
      </c>
      <c r="AR2368">
        <v>0</v>
      </c>
      <c r="AS2368">
        <v>0</v>
      </c>
      <c r="AT2368">
        <v>0</v>
      </c>
      <c r="AU2368">
        <v>0</v>
      </c>
      <c r="AV2368">
        <v>0</v>
      </c>
      <c r="AW2368">
        <v>0</v>
      </c>
      <c r="AX2368">
        <v>0</v>
      </c>
      <c r="AY2368">
        <v>0</v>
      </c>
      <c r="AZ2368">
        <v>0</v>
      </c>
      <c r="BA2368">
        <v>0</v>
      </c>
      <c r="BB2368">
        <v>0</v>
      </c>
      <c r="BC2368">
        <v>0</v>
      </c>
      <c r="BD2368">
        <v>0</v>
      </c>
      <c r="BE2368">
        <v>0</v>
      </c>
      <c r="BF2368">
        <v>0</v>
      </c>
      <c r="BG2368">
        <v>0</v>
      </c>
      <c r="BH2368">
        <v>2</v>
      </c>
      <c r="BI2368">
        <v>4.7</v>
      </c>
      <c r="BJ2368">
        <v>2.1</v>
      </c>
      <c r="BK2368">
        <v>5</v>
      </c>
      <c r="BL2368" s="4">
        <v>126.08</v>
      </c>
      <c r="BM2368" s="4">
        <v>18.91</v>
      </c>
      <c r="BN2368" s="4">
        <v>144.99</v>
      </c>
      <c r="BO2368" s="4">
        <v>144.99</v>
      </c>
      <c r="BQ2368" t="s">
        <v>147</v>
      </c>
      <c r="BR2368" t="s">
        <v>84</v>
      </c>
      <c r="BS2368" s="3">
        <v>43811</v>
      </c>
      <c r="BT2368" s="5">
        <v>0.33680555555555558</v>
      </c>
      <c r="BU2368" t="s">
        <v>599</v>
      </c>
      <c r="BV2368" t="s">
        <v>86</v>
      </c>
      <c r="BY2368">
        <v>10256.09</v>
      </c>
      <c r="CA2368" t="s">
        <v>99</v>
      </c>
      <c r="CC2368" t="s">
        <v>214</v>
      </c>
      <c r="CD2368">
        <v>6229</v>
      </c>
      <c r="CE2368" t="s">
        <v>1073</v>
      </c>
      <c r="CF2368" s="3">
        <v>43812</v>
      </c>
      <c r="CI2368">
        <v>1</v>
      </c>
      <c r="CJ2368">
        <v>1</v>
      </c>
      <c r="CK2368">
        <v>21</v>
      </c>
      <c r="CL2368" t="s">
        <v>89</v>
      </c>
    </row>
    <row r="2369" spans="1:90">
      <c r="A2369" t="s">
        <v>72</v>
      </c>
      <c r="B2369" t="s">
        <v>73</v>
      </c>
      <c r="C2369" t="s">
        <v>74</v>
      </c>
      <c r="E2369" t="str">
        <f>"FES1162727785"</f>
        <v>FES1162727785</v>
      </c>
      <c r="F2369" s="3">
        <v>43810</v>
      </c>
      <c r="G2369">
        <v>202006</v>
      </c>
      <c r="H2369" t="s">
        <v>75</v>
      </c>
      <c r="I2369" t="s">
        <v>76</v>
      </c>
      <c r="J2369" t="s">
        <v>77</v>
      </c>
      <c r="K2369" t="s">
        <v>78</v>
      </c>
      <c r="L2369" t="s">
        <v>79</v>
      </c>
      <c r="M2369" t="s">
        <v>80</v>
      </c>
      <c r="N2369" t="s">
        <v>97</v>
      </c>
      <c r="O2369" t="s">
        <v>82</v>
      </c>
      <c r="P2369" t="str">
        <f>"2170714525                    "</f>
        <v xml:space="preserve">2170714525                    </v>
      </c>
      <c r="Q2369">
        <v>0</v>
      </c>
      <c r="R2369">
        <v>0</v>
      </c>
      <c r="S2369">
        <v>0</v>
      </c>
      <c r="T2369">
        <v>0</v>
      </c>
      <c r="U2369">
        <v>0</v>
      </c>
      <c r="V2369">
        <v>0</v>
      </c>
      <c r="W2369">
        <v>0</v>
      </c>
      <c r="X2369">
        <v>0</v>
      </c>
      <c r="Y2369">
        <v>0</v>
      </c>
      <c r="Z2369">
        <v>0</v>
      </c>
      <c r="AA2369">
        <v>0</v>
      </c>
      <c r="AB2369">
        <v>0</v>
      </c>
      <c r="AC2369">
        <v>0</v>
      </c>
      <c r="AD2369">
        <v>0</v>
      </c>
      <c r="AE2369">
        <v>0</v>
      </c>
      <c r="AF2369">
        <v>0</v>
      </c>
      <c r="AG2369">
        <v>0</v>
      </c>
      <c r="AH2369">
        <v>0</v>
      </c>
      <c r="AI2369">
        <v>0</v>
      </c>
      <c r="AJ2369">
        <v>0</v>
      </c>
      <c r="AK2369">
        <v>0</v>
      </c>
      <c r="AL2369">
        <v>0</v>
      </c>
      <c r="AM2369">
        <v>25.74</v>
      </c>
      <c r="AN2369">
        <v>0</v>
      </c>
      <c r="AO2369">
        <v>0</v>
      </c>
      <c r="AP2369">
        <v>0</v>
      </c>
      <c r="AQ2369">
        <v>0</v>
      </c>
      <c r="AR2369">
        <v>0</v>
      </c>
      <c r="AS2369">
        <v>0</v>
      </c>
      <c r="AT2369">
        <v>0</v>
      </c>
      <c r="AU2369">
        <v>0</v>
      </c>
      <c r="AV2369">
        <v>0</v>
      </c>
      <c r="AW2369">
        <v>0</v>
      </c>
      <c r="AX2369">
        <v>0</v>
      </c>
      <c r="AY2369">
        <v>0</v>
      </c>
      <c r="AZ2369">
        <v>0</v>
      </c>
      <c r="BA2369">
        <v>0</v>
      </c>
      <c r="BB2369">
        <v>0</v>
      </c>
      <c r="BC2369">
        <v>0</v>
      </c>
      <c r="BD2369">
        <v>0</v>
      </c>
      <c r="BE2369">
        <v>0</v>
      </c>
      <c r="BF2369">
        <v>0</v>
      </c>
      <c r="BG2369">
        <v>0</v>
      </c>
      <c r="BH2369">
        <v>2</v>
      </c>
      <c r="BI2369">
        <v>5.8</v>
      </c>
      <c r="BJ2369">
        <v>4</v>
      </c>
      <c r="BK2369">
        <v>6</v>
      </c>
      <c r="BL2369" s="4">
        <v>151.29</v>
      </c>
      <c r="BM2369" s="4">
        <v>22.69</v>
      </c>
      <c r="BN2369" s="4">
        <v>173.98</v>
      </c>
      <c r="BO2369" s="4">
        <v>173.98</v>
      </c>
      <c r="BQ2369" t="s">
        <v>93</v>
      </c>
      <c r="BR2369" t="s">
        <v>84</v>
      </c>
      <c r="BS2369" s="3">
        <v>43811</v>
      </c>
      <c r="BT2369" s="5">
        <v>0.33333333333333331</v>
      </c>
      <c r="BU2369" t="s">
        <v>2541</v>
      </c>
      <c r="BV2369" t="s">
        <v>86</v>
      </c>
      <c r="BY2369">
        <v>20050.68</v>
      </c>
      <c r="CA2369" t="s">
        <v>344</v>
      </c>
      <c r="CC2369" t="s">
        <v>80</v>
      </c>
      <c r="CD2369">
        <v>6001</v>
      </c>
      <c r="CE2369" t="s">
        <v>1548</v>
      </c>
      <c r="CF2369" s="3">
        <v>43812</v>
      </c>
      <c r="CI2369">
        <v>1</v>
      </c>
      <c r="CJ2369">
        <v>1</v>
      </c>
      <c r="CK2369">
        <v>21</v>
      </c>
      <c r="CL2369" t="s">
        <v>89</v>
      </c>
    </row>
    <row r="2370" spans="1:90">
      <c r="A2370" t="s">
        <v>72</v>
      </c>
      <c r="B2370" t="s">
        <v>73</v>
      </c>
      <c r="C2370" t="s">
        <v>74</v>
      </c>
      <c r="E2370" t="str">
        <f>"FES1162727880"</f>
        <v>FES1162727880</v>
      </c>
      <c r="F2370" s="3">
        <v>43810</v>
      </c>
      <c r="G2370">
        <v>202006</v>
      </c>
      <c r="H2370" t="s">
        <v>75</v>
      </c>
      <c r="I2370" t="s">
        <v>76</v>
      </c>
      <c r="J2370" t="s">
        <v>77</v>
      </c>
      <c r="K2370" t="s">
        <v>78</v>
      </c>
      <c r="L2370" t="s">
        <v>75</v>
      </c>
      <c r="M2370" t="s">
        <v>76</v>
      </c>
      <c r="N2370" t="s">
        <v>2542</v>
      </c>
      <c r="O2370" t="s">
        <v>82</v>
      </c>
      <c r="P2370" t="str">
        <f>"217071357                     "</f>
        <v xml:space="preserve">217071357                     </v>
      </c>
      <c r="Q2370">
        <v>0</v>
      </c>
      <c r="R2370">
        <v>0</v>
      </c>
      <c r="S2370">
        <v>0</v>
      </c>
      <c r="T2370">
        <v>0</v>
      </c>
      <c r="U2370">
        <v>0</v>
      </c>
      <c r="V2370">
        <v>0</v>
      </c>
      <c r="W2370">
        <v>0</v>
      </c>
      <c r="X2370">
        <v>0</v>
      </c>
      <c r="Y2370">
        <v>0</v>
      </c>
      <c r="Z2370">
        <v>0</v>
      </c>
      <c r="AA2370">
        <v>0</v>
      </c>
      <c r="AB2370">
        <v>0</v>
      </c>
      <c r="AC2370">
        <v>0</v>
      </c>
      <c r="AD2370">
        <v>0</v>
      </c>
      <c r="AE2370">
        <v>0</v>
      </c>
      <c r="AF2370">
        <v>0</v>
      </c>
      <c r="AG2370">
        <v>0</v>
      </c>
      <c r="AH2370">
        <v>0</v>
      </c>
      <c r="AI2370">
        <v>0</v>
      </c>
      <c r="AJ2370">
        <v>0</v>
      </c>
      <c r="AK2370">
        <v>0</v>
      </c>
      <c r="AL2370">
        <v>0</v>
      </c>
      <c r="AM2370">
        <v>18.760000000000002</v>
      </c>
      <c r="AN2370">
        <v>0</v>
      </c>
      <c r="AO2370">
        <v>0</v>
      </c>
      <c r="AP2370">
        <v>0</v>
      </c>
      <c r="AQ2370">
        <v>0</v>
      </c>
      <c r="AR2370">
        <v>0</v>
      </c>
      <c r="AS2370">
        <v>0</v>
      </c>
      <c r="AT2370">
        <v>0</v>
      </c>
      <c r="AU2370">
        <v>0</v>
      </c>
      <c r="AV2370">
        <v>0</v>
      </c>
      <c r="AW2370">
        <v>0</v>
      </c>
      <c r="AX2370">
        <v>0</v>
      </c>
      <c r="AY2370">
        <v>0</v>
      </c>
      <c r="AZ2370">
        <v>0</v>
      </c>
      <c r="BA2370">
        <v>0</v>
      </c>
      <c r="BB2370">
        <v>0</v>
      </c>
      <c r="BC2370">
        <v>0</v>
      </c>
      <c r="BD2370">
        <v>0</v>
      </c>
      <c r="BE2370">
        <v>0</v>
      </c>
      <c r="BF2370">
        <v>0</v>
      </c>
      <c r="BG2370">
        <v>0</v>
      </c>
      <c r="BH2370">
        <v>1</v>
      </c>
      <c r="BI2370">
        <v>9.3000000000000007</v>
      </c>
      <c r="BJ2370">
        <v>4.9000000000000004</v>
      </c>
      <c r="BK2370">
        <v>9.5</v>
      </c>
      <c r="BL2370" s="4">
        <v>110.27</v>
      </c>
      <c r="BM2370" s="4">
        <v>16.54</v>
      </c>
      <c r="BN2370" s="4">
        <v>126.81</v>
      </c>
      <c r="BO2370" s="4">
        <v>126.81</v>
      </c>
      <c r="BR2370" t="s">
        <v>84</v>
      </c>
      <c r="BS2370" s="3">
        <v>43812</v>
      </c>
      <c r="BT2370" s="5">
        <v>0.6020833333333333</v>
      </c>
      <c r="BU2370" t="s">
        <v>2543</v>
      </c>
      <c r="BV2370" t="s">
        <v>89</v>
      </c>
      <c r="BW2370" t="s">
        <v>149</v>
      </c>
      <c r="BX2370" t="s">
        <v>1631</v>
      </c>
      <c r="BY2370">
        <v>24651.08</v>
      </c>
      <c r="CA2370" t="s">
        <v>314</v>
      </c>
      <c r="CC2370" t="s">
        <v>76</v>
      </c>
      <c r="CD2370">
        <v>1614</v>
      </c>
      <c r="CE2370" t="s">
        <v>116</v>
      </c>
      <c r="CI2370">
        <v>1</v>
      </c>
      <c r="CJ2370">
        <v>2</v>
      </c>
      <c r="CK2370">
        <v>22</v>
      </c>
      <c r="CL2370" t="s">
        <v>89</v>
      </c>
    </row>
    <row r="2371" spans="1:90">
      <c r="A2371" t="s">
        <v>72</v>
      </c>
      <c r="B2371" t="s">
        <v>73</v>
      </c>
      <c r="C2371" t="s">
        <v>74</v>
      </c>
      <c r="E2371" t="str">
        <f>"FES1162727901"</f>
        <v>FES1162727901</v>
      </c>
      <c r="F2371" s="3">
        <v>43810</v>
      </c>
      <c r="G2371">
        <v>202006</v>
      </c>
      <c r="H2371" t="s">
        <v>75</v>
      </c>
      <c r="I2371" t="s">
        <v>76</v>
      </c>
      <c r="J2371" t="s">
        <v>77</v>
      </c>
      <c r="K2371" t="s">
        <v>78</v>
      </c>
      <c r="L2371" t="s">
        <v>332</v>
      </c>
      <c r="M2371" t="s">
        <v>333</v>
      </c>
      <c r="N2371" t="s">
        <v>2544</v>
      </c>
      <c r="O2371" t="s">
        <v>82</v>
      </c>
      <c r="P2371" t="str">
        <f>"2170712014                    "</f>
        <v xml:space="preserve">2170712014                    </v>
      </c>
      <c r="Q2371">
        <v>0</v>
      </c>
      <c r="R2371">
        <v>0</v>
      </c>
      <c r="S2371">
        <v>0</v>
      </c>
      <c r="T2371">
        <v>0</v>
      </c>
      <c r="U2371">
        <v>0</v>
      </c>
      <c r="V2371">
        <v>0</v>
      </c>
      <c r="W2371">
        <v>0</v>
      </c>
      <c r="X2371">
        <v>0</v>
      </c>
      <c r="Y2371">
        <v>0</v>
      </c>
      <c r="Z2371">
        <v>0</v>
      </c>
      <c r="AA2371">
        <v>0</v>
      </c>
      <c r="AB2371">
        <v>0</v>
      </c>
      <c r="AC2371">
        <v>0</v>
      </c>
      <c r="AD2371">
        <v>0</v>
      </c>
      <c r="AE2371">
        <v>0</v>
      </c>
      <c r="AF2371">
        <v>0</v>
      </c>
      <c r="AG2371">
        <v>0</v>
      </c>
      <c r="AH2371">
        <v>0</v>
      </c>
      <c r="AI2371">
        <v>0</v>
      </c>
      <c r="AJ2371">
        <v>0</v>
      </c>
      <c r="AK2371">
        <v>0</v>
      </c>
      <c r="AL2371">
        <v>0</v>
      </c>
      <c r="AM2371">
        <v>17.96</v>
      </c>
      <c r="AN2371">
        <v>0</v>
      </c>
      <c r="AO2371">
        <v>0</v>
      </c>
      <c r="AP2371">
        <v>0</v>
      </c>
      <c r="AQ2371">
        <v>0</v>
      </c>
      <c r="AR2371">
        <v>0</v>
      </c>
      <c r="AS2371">
        <v>0</v>
      </c>
      <c r="AT2371">
        <v>0</v>
      </c>
      <c r="AU2371">
        <v>0</v>
      </c>
      <c r="AV2371">
        <v>0</v>
      </c>
      <c r="AW2371">
        <v>0</v>
      </c>
      <c r="AX2371">
        <v>0</v>
      </c>
      <c r="AY2371">
        <v>0</v>
      </c>
      <c r="AZ2371">
        <v>0</v>
      </c>
      <c r="BA2371">
        <v>0</v>
      </c>
      <c r="BB2371">
        <v>0</v>
      </c>
      <c r="BC2371">
        <v>0</v>
      </c>
      <c r="BD2371">
        <v>0</v>
      </c>
      <c r="BE2371">
        <v>0</v>
      </c>
      <c r="BF2371">
        <v>0</v>
      </c>
      <c r="BG2371">
        <v>0</v>
      </c>
      <c r="BH2371">
        <v>1</v>
      </c>
      <c r="BI2371">
        <v>4.4000000000000004</v>
      </c>
      <c r="BJ2371">
        <v>8.6</v>
      </c>
      <c r="BK2371">
        <v>9</v>
      </c>
      <c r="BL2371" s="4">
        <v>105.55</v>
      </c>
      <c r="BM2371" s="4">
        <v>15.83</v>
      </c>
      <c r="BN2371" s="4">
        <v>121.38</v>
      </c>
      <c r="BO2371" s="4">
        <v>121.38</v>
      </c>
      <c r="BR2371" t="s">
        <v>84</v>
      </c>
      <c r="BS2371" s="3">
        <v>43811</v>
      </c>
      <c r="BT2371" s="5">
        <v>0.375</v>
      </c>
      <c r="BU2371" t="s">
        <v>2331</v>
      </c>
      <c r="BV2371" t="s">
        <v>86</v>
      </c>
      <c r="BY2371">
        <v>43018.080000000002</v>
      </c>
      <c r="CC2371" t="s">
        <v>333</v>
      </c>
      <c r="CD2371">
        <v>2008</v>
      </c>
      <c r="CE2371" t="s">
        <v>116</v>
      </c>
      <c r="CF2371" s="3">
        <v>43812</v>
      </c>
      <c r="CI2371">
        <v>1</v>
      </c>
      <c r="CJ2371">
        <v>1</v>
      </c>
      <c r="CK2371">
        <v>22</v>
      </c>
      <c r="CL2371" t="s">
        <v>89</v>
      </c>
    </row>
    <row r="2372" spans="1:90">
      <c r="A2372" t="s">
        <v>72</v>
      </c>
      <c r="B2372" t="s">
        <v>73</v>
      </c>
      <c r="C2372" t="s">
        <v>74</v>
      </c>
      <c r="E2372" t="str">
        <f>"FES1162727896"</f>
        <v>FES1162727896</v>
      </c>
      <c r="F2372" s="3">
        <v>43810</v>
      </c>
      <c r="G2372">
        <v>202006</v>
      </c>
      <c r="H2372" t="s">
        <v>75</v>
      </c>
      <c r="I2372" t="s">
        <v>76</v>
      </c>
      <c r="J2372" t="s">
        <v>77</v>
      </c>
      <c r="K2372" t="s">
        <v>78</v>
      </c>
      <c r="L2372" t="s">
        <v>332</v>
      </c>
      <c r="M2372" t="s">
        <v>333</v>
      </c>
      <c r="N2372" t="s">
        <v>1756</v>
      </c>
      <c r="O2372" t="s">
        <v>82</v>
      </c>
      <c r="P2372" t="str">
        <f>"2170718941                    "</f>
        <v xml:space="preserve">2170718941                    </v>
      </c>
      <c r="Q2372">
        <v>0</v>
      </c>
      <c r="R2372">
        <v>0</v>
      </c>
      <c r="S2372">
        <v>0</v>
      </c>
      <c r="T2372">
        <v>0</v>
      </c>
      <c r="U2372">
        <v>0</v>
      </c>
      <c r="V2372">
        <v>0</v>
      </c>
      <c r="W2372">
        <v>0</v>
      </c>
      <c r="X2372">
        <v>0</v>
      </c>
      <c r="Y2372">
        <v>0</v>
      </c>
      <c r="Z2372">
        <v>0</v>
      </c>
      <c r="AA2372">
        <v>0</v>
      </c>
      <c r="AB2372">
        <v>0</v>
      </c>
      <c r="AC2372">
        <v>0</v>
      </c>
      <c r="AD2372">
        <v>0</v>
      </c>
      <c r="AE2372">
        <v>0</v>
      </c>
      <c r="AF2372">
        <v>0</v>
      </c>
      <c r="AG2372">
        <v>0</v>
      </c>
      <c r="AH2372">
        <v>0</v>
      </c>
      <c r="AI2372">
        <v>0</v>
      </c>
      <c r="AJ2372">
        <v>0</v>
      </c>
      <c r="AK2372">
        <v>0</v>
      </c>
      <c r="AL2372">
        <v>0</v>
      </c>
      <c r="AM2372">
        <v>8.31</v>
      </c>
      <c r="AN2372">
        <v>0</v>
      </c>
      <c r="AO2372">
        <v>0</v>
      </c>
      <c r="AP2372">
        <v>0</v>
      </c>
      <c r="AQ2372">
        <v>0</v>
      </c>
      <c r="AR2372">
        <v>0</v>
      </c>
      <c r="AS2372">
        <v>0</v>
      </c>
      <c r="AT2372">
        <v>0</v>
      </c>
      <c r="AU2372">
        <v>0</v>
      </c>
      <c r="AV2372">
        <v>0</v>
      </c>
      <c r="AW2372">
        <v>0</v>
      </c>
      <c r="AX2372">
        <v>0</v>
      </c>
      <c r="AY2372">
        <v>0</v>
      </c>
      <c r="AZ2372">
        <v>0</v>
      </c>
      <c r="BA2372">
        <v>0</v>
      </c>
      <c r="BB2372">
        <v>0</v>
      </c>
      <c r="BC2372">
        <v>0</v>
      </c>
      <c r="BD2372">
        <v>0</v>
      </c>
      <c r="BE2372">
        <v>0</v>
      </c>
      <c r="BF2372">
        <v>0</v>
      </c>
      <c r="BG2372">
        <v>0</v>
      </c>
      <c r="BH2372">
        <v>1</v>
      </c>
      <c r="BI2372">
        <v>2.8</v>
      </c>
      <c r="BJ2372">
        <v>0.9</v>
      </c>
      <c r="BK2372">
        <v>3</v>
      </c>
      <c r="BL2372" s="4">
        <v>48.86</v>
      </c>
      <c r="BM2372" s="4">
        <v>7.33</v>
      </c>
      <c r="BN2372" s="4">
        <v>56.19</v>
      </c>
      <c r="BO2372" s="4">
        <v>56.19</v>
      </c>
      <c r="BQ2372" t="s">
        <v>135</v>
      </c>
      <c r="BR2372" t="s">
        <v>84</v>
      </c>
      <c r="BS2372" s="3">
        <v>43811</v>
      </c>
      <c r="BT2372" s="5">
        <v>0.32291666666666669</v>
      </c>
      <c r="BU2372" t="s">
        <v>2545</v>
      </c>
      <c r="BV2372" t="s">
        <v>86</v>
      </c>
      <c r="BY2372">
        <v>4517.4799999999996</v>
      </c>
      <c r="CA2372" t="s">
        <v>344</v>
      </c>
      <c r="CC2372" t="s">
        <v>333</v>
      </c>
      <c r="CD2372">
        <v>2013</v>
      </c>
      <c r="CE2372" t="s">
        <v>96</v>
      </c>
      <c r="CF2372" s="3">
        <v>43812</v>
      </c>
      <c r="CI2372">
        <v>1</v>
      </c>
      <c r="CJ2372">
        <v>1</v>
      </c>
      <c r="CK2372">
        <v>22</v>
      </c>
      <c r="CL2372" t="s">
        <v>89</v>
      </c>
    </row>
    <row r="2373" spans="1:90">
      <c r="A2373" t="s">
        <v>72</v>
      </c>
      <c r="B2373" t="s">
        <v>73</v>
      </c>
      <c r="C2373" t="s">
        <v>74</v>
      </c>
      <c r="E2373" t="str">
        <f>"FES1162727893"</f>
        <v>FES1162727893</v>
      </c>
      <c r="F2373" s="3">
        <v>43810</v>
      </c>
      <c r="G2373">
        <v>202006</v>
      </c>
      <c r="H2373" t="s">
        <v>75</v>
      </c>
      <c r="I2373" t="s">
        <v>76</v>
      </c>
      <c r="J2373" t="s">
        <v>77</v>
      </c>
      <c r="K2373" t="s">
        <v>78</v>
      </c>
      <c r="L2373" t="s">
        <v>332</v>
      </c>
      <c r="M2373" t="s">
        <v>333</v>
      </c>
      <c r="N2373" t="s">
        <v>1808</v>
      </c>
      <c r="O2373" t="s">
        <v>82</v>
      </c>
      <c r="P2373" t="str">
        <f>"217071376                     "</f>
        <v xml:space="preserve">217071376                     </v>
      </c>
      <c r="Q2373">
        <v>0</v>
      </c>
      <c r="R2373">
        <v>0</v>
      </c>
      <c r="S2373">
        <v>0</v>
      </c>
      <c r="T2373">
        <v>0</v>
      </c>
      <c r="U2373">
        <v>0</v>
      </c>
      <c r="V2373">
        <v>0</v>
      </c>
      <c r="W2373">
        <v>0</v>
      </c>
      <c r="X2373">
        <v>0</v>
      </c>
      <c r="Y2373">
        <v>0</v>
      </c>
      <c r="Z2373">
        <v>0</v>
      </c>
      <c r="AA2373">
        <v>0</v>
      </c>
      <c r="AB2373">
        <v>0</v>
      </c>
      <c r="AC2373">
        <v>0</v>
      </c>
      <c r="AD2373">
        <v>0</v>
      </c>
      <c r="AE2373">
        <v>0</v>
      </c>
      <c r="AF2373">
        <v>0</v>
      </c>
      <c r="AG2373">
        <v>0</v>
      </c>
      <c r="AH2373">
        <v>0</v>
      </c>
      <c r="AI2373">
        <v>0</v>
      </c>
      <c r="AJ2373">
        <v>0</v>
      </c>
      <c r="AK2373">
        <v>0</v>
      </c>
      <c r="AL2373">
        <v>0</v>
      </c>
      <c r="AM2373">
        <v>6.71</v>
      </c>
      <c r="AN2373">
        <v>0</v>
      </c>
      <c r="AO2373">
        <v>0</v>
      </c>
      <c r="AP2373">
        <v>0</v>
      </c>
      <c r="AQ2373">
        <v>0</v>
      </c>
      <c r="AR2373">
        <v>0</v>
      </c>
      <c r="AS2373">
        <v>0</v>
      </c>
      <c r="AT2373">
        <v>0</v>
      </c>
      <c r="AU2373">
        <v>0</v>
      </c>
      <c r="AV2373">
        <v>0</v>
      </c>
      <c r="AW2373">
        <v>0</v>
      </c>
      <c r="AX2373">
        <v>0</v>
      </c>
      <c r="AY2373">
        <v>0</v>
      </c>
      <c r="AZ2373">
        <v>0</v>
      </c>
      <c r="BA2373">
        <v>0</v>
      </c>
      <c r="BB2373">
        <v>0</v>
      </c>
      <c r="BC2373">
        <v>0</v>
      </c>
      <c r="BD2373">
        <v>0</v>
      </c>
      <c r="BE2373">
        <v>0</v>
      </c>
      <c r="BF2373">
        <v>0</v>
      </c>
      <c r="BG2373">
        <v>0</v>
      </c>
      <c r="BH2373">
        <v>1</v>
      </c>
      <c r="BI2373">
        <v>1.5</v>
      </c>
      <c r="BJ2373">
        <v>0.9</v>
      </c>
      <c r="BK2373">
        <v>1.5</v>
      </c>
      <c r="BL2373" s="4">
        <v>39.42</v>
      </c>
      <c r="BM2373" s="4">
        <v>5.91</v>
      </c>
      <c r="BN2373" s="4">
        <v>45.33</v>
      </c>
      <c r="BO2373" s="4">
        <v>45.33</v>
      </c>
      <c r="BR2373" t="s">
        <v>84</v>
      </c>
      <c r="BS2373" s="3">
        <v>43811</v>
      </c>
      <c r="BT2373" s="5">
        <v>0.34166666666666662</v>
      </c>
      <c r="BU2373" t="s">
        <v>2546</v>
      </c>
      <c r="BV2373" t="s">
        <v>86</v>
      </c>
      <c r="BY2373">
        <v>4514.09</v>
      </c>
      <c r="CA2373" t="s">
        <v>2525</v>
      </c>
      <c r="CC2373" t="s">
        <v>333</v>
      </c>
      <c r="CD2373">
        <v>2001</v>
      </c>
      <c r="CE2373" t="s">
        <v>96</v>
      </c>
      <c r="CF2373" s="3">
        <v>43816</v>
      </c>
      <c r="CI2373">
        <v>1</v>
      </c>
      <c r="CJ2373">
        <v>1</v>
      </c>
      <c r="CK2373">
        <v>22</v>
      </c>
      <c r="CL2373" t="s">
        <v>89</v>
      </c>
    </row>
    <row r="2374" spans="1:90">
      <c r="A2374" t="s">
        <v>72</v>
      </c>
      <c r="B2374" t="s">
        <v>73</v>
      </c>
      <c r="C2374" t="s">
        <v>74</v>
      </c>
      <c r="E2374" t="str">
        <f>"FES1162727929"</f>
        <v>FES1162727929</v>
      </c>
      <c r="F2374" s="3">
        <v>43810</v>
      </c>
      <c r="G2374">
        <v>202006</v>
      </c>
      <c r="H2374" t="s">
        <v>75</v>
      </c>
      <c r="I2374" t="s">
        <v>76</v>
      </c>
      <c r="J2374" t="s">
        <v>77</v>
      </c>
      <c r="K2374" t="s">
        <v>78</v>
      </c>
      <c r="L2374" t="s">
        <v>79</v>
      </c>
      <c r="M2374" t="s">
        <v>80</v>
      </c>
      <c r="N2374" t="s">
        <v>1486</v>
      </c>
      <c r="O2374" t="s">
        <v>82</v>
      </c>
      <c r="P2374" t="str">
        <f>"217071844                     "</f>
        <v xml:space="preserve">217071844                     </v>
      </c>
      <c r="Q2374">
        <v>0</v>
      </c>
      <c r="R2374">
        <v>0</v>
      </c>
      <c r="S2374">
        <v>0</v>
      </c>
      <c r="T2374">
        <v>0</v>
      </c>
      <c r="U2374">
        <v>0</v>
      </c>
      <c r="V2374">
        <v>0</v>
      </c>
      <c r="W2374">
        <v>0</v>
      </c>
      <c r="X2374">
        <v>0</v>
      </c>
      <c r="Y2374">
        <v>0</v>
      </c>
      <c r="Z2374">
        <v>0</v>
      </c>
      <c r="AA2374">
        <v>0</v>
      </c>
      <c r="AB2374">
        <v>0</v>
      </c>
      <c r="AC2374">
        <v>0</v>
      </c>
      <c r="AD2374">
        <v>0</v>
      </c>
      <c r="AE2374">
        <v>0</v>
      </c>
      <c r="AF2374">
        <v>0</v>
      </c>
      <c r="AG2374">
        <v>0</v>
      </c>
      <c r="AH2374">
        <v>0</v>
      </c>
      <c r="AI2374">
        <v>0</v>
      </c>
      <c r="AJ2374">
        <v>0</v>
      </c>
      <c r="AK2374">
        <v>0</v>
      </c>
      <c r="AL2374">
        <v>0</v>
      </c>
      <c r="AM2374">
        <v>8.58</v>
      </c>
      <c r="AN2374">
        <v>0</v>
      </c>
      <c r="AO2374">
        <v>0</v>
      </c>
      <c r="AP2374">
        <v>0</v>
      </c>
      <c r="AQ2374">
        <v>0</v>
      </c>
      <c r="AR2374">
        <v>0</v>
      </c>
      <c r="AS2374">
        <v>0</v>
      </c>
      <c r="AT2374">
        <v>0</v>
      </c>
      <c r="AU2374">
        <v>0</v>
      </c>
      <c r="AV2374">
        <v>0</v>
      </c>
      <c r="AW2374">
        <v>0</v>
      </c>
      <c r="AX2374">
        <v>0</v>
      </c>
      <c r="AY2374">
        <v>0</v>
      </c>
      <c r="AZ2374">
        <v>0</v>
      </c>
      <c r="BA2374">
        <v>0</v>
      </c>
      <c r="BB2374">
        <v>0</v>
      </c>
      <c r="BC2374">
        <v>0</v>
      </c>
      <c r="BD2374">
        <v>0</v>
      </c>
      <c r="BE2374">
        <v>0</v>
      </c>
      <c r="BF2374">
        <v>0</v>
      </c>
      <c r="BG2374">
        <v>0</v>
      </c>
      <c r="BH2374">
        <v>1</v>
      </c>
      <c r="BI2374">
        <v>1</v>
      </c>
      <c r="BJ2374">
        <v>0.2</v>
      </c>
      <c r="BK2374">
        <v>1</v>
      </c>
      <c r="BL2374" s="4">
        <v>50.45</v>
      </c>
      <c r="BM2374" s="4">
        <v>7.57</v>
      </c>
      <c r="BN2374" s="4">
        <v>58.02</v>
      </c>
      <c r="BO2374" s="4">
        <v>58.02</v>
      </c>
      <c r="BQ2374" t="s">
        <v>147</v>
      </c>
      <c r="BR2374" t="s">
        <v>84</v>
      </c>
      <c r="BS2374" s="3">
        <v>43811</v>
      </c>
      <c r="BT2374" s="5">
        <v>0.34583333333333338</v>
      </c>
      <c r="BU2374" t="s">
        <v>2547</v>
      </c>
      <c r="BV2374" t="s">
        <v>86</v>
      </c>
      <c r="BY2374">
        <v>1200</v>
      </c>
      <c r="CA2374" t="s">
        <v>131</v>
      </c>
      <c r="CC2374" t="s">
        <v>80</v>
      </c>
      <c r="CD2374">
        <v>6001</v>
      </c>
      <c r="CE2374" t="s">
        <v>88</v>
      </c>
      <c r="CF2374" s="3">
        <v>43812</v>
      </c>
      <c r="CI2374">
        <v>1</v>
      </c>
      <c r="CJ2374">
        <v>1</v>
      </c>
      <c r="CK2374">
        <v>21</v>
      </c>
      <c r="CL2374" t="s">
        <v>89</v>
      </c>
    </row>
    <row r="2375" spans="1:90">
      <c r="A2375" t="s">
        <v>72</v>
      </c>
      <c r="B2375" t="s">
        <v>73</v>
      </c>
      <c r="C2375" t="s">
        <v>74</v>
      </c>
      <c r="E2375" t="str">
        <f>"FES1162727895"</f>
        <v>FES1162727895</v>
      </c>
      <c r="F2375" s="3">
        <v>43810</v>
      </c>
      <c r="G2375">
        <v>202006</v>
      </c>
      <c r="H2375" t="s">
        <v>75</v>
      </c>
      <c r="I2375" t="s">
        <v>76</v>
      </c>
      <c r="J2375" t="s">
        <v>77</v>
      </c>
      <c r="K2375" t="s">
        <v>78</v>
      </c>
      <c r="L2375" t="s">
        <v>201</v>
      </c>
      <c r="M2375" t="s">
        <v>202</v>
      </c>
      <c r="N2375" t="s">
        <v>2350</v>
      </c>
      <c r="O2375" t="s">
        <v>82</v>
      </c>
      <c r="P2375" t="str">
        <f>"217071738                     "</f>
        <v xml:space="preserve">217071738                     </v>
      </c>
      <c r="Q2375">
        <v>0</v>
      </c>
      <c r="R2375">
        <v>0</v>
      </c>
      <c r="S2375">
        <v>0</v>
      </c>
      <c r="T2375">
        <v>0</v>
      </c>
      <c r="U2375">
        <v>0</v>
      </c>
      <c r="V2375">
        <v>0</v>
      </c>
      <c r="W2375">
        <v>0</v>
      </c>
      <c r="X2375">
        <v>0</v>
      </c>
      <c r="Y2375">
        <v>0</v>
      </c>
      <c r="Z2375">
        <v>0</v>
      </c>
      <c r="AA2375">
        <v>0</v>
      </c>
      <c r="AB2375">
        <v>0</v>
      </c>
      <c r="AC2375">
        <v>0</v>
      </c>
      <c r="AD2375">
        <v>0</v>
      </c>
      <c r="AE2375">
        <v>0</v>
      </c>
      <c r="AF2375">
        <v>0</v>
      </c>
      <c r="AG2375">
        <v>0</v>
      </c>
      <c r="AH2375">
        <v>0</v>
      </c>
      <c r="AI2375">
        <v>0</v>
      </c>
      <c r="AJ2375">
        <v>0</v>
      </c>
      <c r="AK2375">
        <v>0</v>
      </c>
      <c r="AL2375">
        <v>0</v>
      </c>
      <c r="AM2375">
        <v>8.58</v>
      </c>
      <c r="AN2375">
        <v>0</v>
      </c>
      <c r="AO2375">
        <v>0</v>
      </c>
      <c r="AP2375">
        <v>0</v>
      </c>
      <c r="AQ2375">
        <v>0</v>
      </c>
      <c r="AR2375">
        <v>0</v>
      </c>
      <c r="AS2375">
        <v>0</v>
      </c>
      <c r="AT2375">
        <v>0</v>
      </c>
      <c r="AU2375">
        <v>0</v>
      </c>
      <c r="AV2375">
        <v>0</v>
      </c>
      <c r="AW2375">
        <v>0</v>
      </c>
      <c r="AX2375">
        <v>0</v>
      </c>
      <c r="AY2375">
        <v>0</v>
      </c>
      <c r="AZ2375">
        <v>0</v>
      </c>
      <c r="BA2375">
        <v>0</v>
      </c>
      <c r="BB2375">
        <v>0</v>
      </c>
      <c r="BC2375">
        <v>0</v>
      </c>
      <c r="BD2375">
        <v>0</v>
      </c>
      <c r="BE2375">
        <v>0</v>
      </c>
      <c r="BF2375">
        <v>0</v>
      </c>
      <c r="BG2375">
        <v>0</v>
      </c>
      <c r="BH2375">
        <v>1</v>
      </c>
      <c r="BI2375">
        <v>1.6</v>
      </c>
      <c r="BJ2375">
        <v>0.9</v>
      </c>
      <c r="BK2375">
        <v>2</v>
      </c>
      <c r="BL2375" s="4">
        <v>50.45</v>
      </c>
      <c r="BM2375" s="4">
        <v>7.57</v>
      </c>
      <c r="BN2375" s="4">
        <v>58.02</v>
      </c>
      <c r="BO2375" s="4">
        <v>58.02</v>
      </c>
      <c r="BQ2375" t="s">
        <v>172</v>
      </c>
      <c r="BR2375" t="s">
        <v>84</v>
      </c>
      <c r="BS2375" s="3">
        <v>43811</v>
      </c>
      <c r="BT2375" s="5">
        <v>0.48680555555555555</v>
      </c>
      <c r="BU2375" t="s">
        <v>2548</v>
      </c>
      <c r="BV2375" t="s">
        <v>86</v>
      </c>
      <c r="BY2375">
        <v>4411.95</v>
      </c>
      <c r="CA2375" t="s">
        <v>2352</v>
      </c>
      <c r="CC2375" t="s">
        <v>202</v>
      </c>
      <c r="CD2375">
        <v>4037</v>
      </c>
      <c r="CE2375" t="s">
        <v>96</v>
      </c>
      <c r="CF2375" s="3">
        <v>43812</v>
      </c>
      <c r="CI2375">
        <v>1</v>
      </c>
      <c r="CJ2375">
        <v>1</v>
      </c>
      <c r="CK2375">
        <v>21</v>
      </c>
      <c r="CL2375" t="s">
        <v>89</v>
      </c>
    </row>
    <row r="2376" spans="1:90">
      <c r="A2376" t="s">
        <v>72</v>
      </c>
      <c r="B2376" t="s">
        <v>73</v>
      </c>
      <c r="C2376" t="s">
        <v>74</v>
      </c>
      <c r="E2376" t="str">
        <f>"FES1162727881"</f>
        <v>FES1162727881</v>
      </c>
      <c r="F2376" s="3">
        <v>43810</v>
      </c>
      <c r="G2376">
        <v>202006</v>
      </c>
      <c r="H2376" t="s">
        <v>75</v>
      </c>
      <c r="I2376" t="s">
        <v>76</v>
      </c>
      <c r="J2376" t="s">
        <v>77</v>
      </c>
      <c r="K2376" t="s">
        <v>78</v>
      </c>
      <c r="L2376" t="s">
        <v>221</v>
      </c>
      <c r="M2376" t="s">
        <v>222</v>
      </c>
      <c r="N2376" t="s">
        <v>236</v>
      </c>
      <c r="O2376" t="s">
        <v>82</v>
      </c>
      <c r="P2376" t="str">
        <f>"217071358                     "</f>
        <v xml:space="preserve">217071358                     </v>
      </c>
      <c r="Q2376">
        <v>0</v>
      </c>
      <c r="R2376">
        <v>0</v>
      </c>
      <c r="S2376">
        <v>0</v>
      </c>
      <c r="T2376">
        <v>0</v>
      </c>
      <c r="U2376">
        <v>0</v>
      </c>
      <c r="V2376">
        <v>0</v>
      </c>
      <c r="W2376">
        <v>0</v>
      </c>
      <c r="X2376">
        <v>0</v>
      </c>
      <c r="Y2376">
        <v>0</v>
      </c>
      <c r="Z2376">
        <v>0</v>
      </c>
      <c r="AA2376">
        <v>0</v>
      </c>
      <c r="AB2376">
        <v>0</v>
      </c>
      <c r="AC2376">
        <v>0</v>
      </c>
      <c r="AD2376">
        <v>0</v>
      </c>
      <c r="AE2376">
        <v>0</v>
      </c>
      <c r="AF2376">
        <v>0</v>
      </c>
      <c r="AG2376">
        <v>0</v>
      </c>
      <c r="AH2376">
        <v>0</v>
      </c>
      <c r="AI2376">
        <v>0</v>
      </c>
      <c r="AJ2376">
        <v>0</v>
      </c>
      <c r="AK2376">
        <v>0</v>
      </c>
      <c r="AL2376">
        <v>0</v>
      </c>
      <c r="AM2376">
        <v>8.58</v>
      </c>
      <c r="AN2376">
        <v>0</v>
      </c>
      <c r="AO2376">
        <v>0</v>
      </c>
      <c r="AP2376">
        <v>0</v>
      </c>
      <c r="AQ2376">
        <v>0</v>
      </c>
      <c r="AR2376">
        <v>0</v>
      </c>
      <c r="AS2376">
        <v>0</v>
      </c>
      <c r="AT2376">
        <v>0</v>
      </c>
      <c r="AU2376">
        <v>0</v>
      </c>
      <c r="AV2376">
        <v>0</v>
      </c>
      <c r="AW2376">
        <v>0</v>
      </c>
      <c r="AX2376">
        <v>0</v>
      </c>
      <c r="AY2376">
        <v>0</v>
      </c>
      <c r="AZ2376">
        <v>0</v>
      </c>
      <c r="BA2376">
        <v>0</v>
      </c>
      <c r="BB2376">
        <v>0</v>
      </c>
      <c r="BC2376">
        <v>0</v>
      </c>
      <c r="BD2376">
        <v>0</v>
      </c>
      <c r="BE2376">
        <v>0</v>
      </c>
      <c r="BF2376">
        <v>0</v>
      </c>
      <c r="BG2376">
        <v>0</v>
      </c>
      <c r="BH2376">
        <v>1</v>
      </c>
      <c r="BI2376">
        <v>1.8</v>
      </c>
      <c r="BJ2376">
        <v>0.9</v>
      </c>
      <c r="BK2376">
        <v>2</v>
      </c>
      <c r="BL2376" s="4">
        <v>50.45</v>
      </c>
      <c r="BM2376" s="4">
        <v>7.57</v>
      </c>
      <c r="BN2376" s="4">
        <v>58.02</v>
      </c>
      <c r="BO2376" s="4">
        <v>58.02</v>
      </c>
      <c r="BQ2376" t="s">
        <v>93</v>
      </c>
      <c r="BR2376" t="s">
        <v>84</v>
      </c>
      <c r="BS2376" s="3">
        <v>43811</v>
      </c>
      <c r="BT2376" s="5">
        <v>0.52500000000000002</v>
      </c>
      <c r="BU2376" t="s">
        <v>2549</v>
      </c>
      <c r="BV2376" t="s">
        <v>86</v>
      </c>
      <c r="BY2376">
        <v>4279.16</v>
      </c>
      <c r="CA2376" t="s">
        <v>2532</v>
      </c>
      <c r="CC2376" t="s">
        <v>222</v>
      </c>
      <c r="CD2376">
        <v>3212</v>
      </c>
      <c r="CE2376" t="s">
        <v>96</v>
      </c>
      <c r="CF2376" s="3">
        <v>43812</v>
      </c>
      <c r="CI2376">
        <v>1</v>
      </c>
      <c r="CJ2376">
        <v>1</v>
      </c>
      <c r="CK2376">
        <v>21</v>
      </c>
      <c r="CL2376" t="s">
        <v>89</v>
      </c>
    </row>
    <row r="2377" spans="1:90">
      <c r="A2377" t="s">
        <v>72</v>
      </c>
      <c r="B2377" t="s">
        <v>73</v>
      </c>
      <c r="C2377" t="s">
        <v>74</v>
      </c>
      <c r="E2377" t="str">
        <f>"FES1162727867"</f>
        <v>FES1162727867</v>
      </c>
      <c r="F2377" s="3">
        <v>43810</v>
      </c>
      <c r="G2377">
        <v>202006</v>
      </c>
      <c r="H2377" t="s">
        <v>75</v>
      </c>
      <c r="I2377" t="s">
        <v>76</v>
      </c>
      <c r="J2377" t="s">
        <v>77</v>
      </c>
      <c r="K2377" t="s">
        <v>78</v>
      </c>
      <c r="L2377" t="s">
        <v>198</v>
      </c>
      <c r="M2377" t="s">
        <v>199</v>
      </c>
      <c r="N2377" t="s">
        <v>566</v>
      </c>
      <c r="O2377" t="s">
        <v>82</v>
      </c>
      <c r="P2377" t="str">
        <f>"2170721333                    "</f>
        <v xml:space="preserve">2170721333                    </v>
      </c>
      <c r="Q2377">
        <v>0</v>
      </c>
      <c r="R2377">
        <v>0</v>
      </c>
      <c r="S2377">
        <v>0</v>
      </c>
      <c r="T2377">
        <v>0</v>
      </c>
      <c r="U2377">
        <v>0</v>
      </c>
      <c r="V2377">
        <v>0</v>
      </c>
      <c r="W2377">
        <v>0</v>
      </c>
      <c r="X2377">
        <v>0</v>
      </c>
      <c r="Y2377">
        <v>0</v>
      </c>
      <c r="Z2377">
        <v>0</v>
      </c>
      <c r="AA2377">
        <v>0</v>
      </c>
      <c r="AB2377">
        <v>0</v>
      </c>
      <c r="AC2377">
        <v>0</v>
      </c>
      <c r="AD2377">
        <v>0</v>
      </c>
      <c r="AE2377">
        <v>0</v>
      </c>
      <c r="AF2377">
        <v>0</v>
      </c>
      <c r="AG2377">
        <v>0</v>
      </c>
      <c r="AH2377">
        <v>0</v>
      </c>
      <c r="AI2377">
        <v>0</v>
      </c>
      <c r="AJ2377">
        <v>0</v>
      </c>
      <c r="AK2377">
        <v>0</v>
      </c>
      <c r="AL2377">
        <v>0</v>
      </c>
      <c r="AM2377">
        <v>8.58</v>
      </c>
      <c r="AN2377">
        <v>0</v>
      </c>
      <c r="AO2377">
        <v>0</v>
      </c>
      <c r="AP2377">
        <v>0</v>
      </c>
      <c r="AQ2377">
        <v>0</v>
      </c>
      <c r="AR2377">
        <v>0</v>
      </c>
      <c r="AS2377">
        <v>0</v>
      </c>
      <c r="AT2377">
        <v>0</v>
      </c>
      <c r="AU2377">
        <v>0</v>
      </c>
      <c r="AV2377">
        <v>0</v>
      </c>
      <c r="AW2377">
        <v>0</v>
      </c>
      <c r="AX2377">
        <v>0</v>
      </c>
      <c r="AY2377">
        <v>0</v>
      </c>
      <c r="AZ2377">
        <v>0</v>
      </c>
      <c r="BA2377">
        <v>0</v>
      </c>
      <c r="BB2377">
        <v>0</v>
      </c>
      <c r="BC2377">
        <v>0</v>
      </c>
      <c r="BD2377">
        <v>0</v>
      </c>
      <c r="BE2377">
        <v>0</v>
      </c>
      <c r="BF2377">
        <v>0</v>
      </c>
      <c r="BG2377">
        <v>0</v>
      </c>
      <c r="BH2377">
        <v>1</v>
      </c>
      <c r="BI2377">
        <v>1</v>
      </c>
      <c r="BJ2377">
        <v>0.2</v>
      </c>
      <c r="BK2377">
        <v>1</v>
      </c>
      <c r="BL2377" s="4">
        <v>50.45</v>
      </c>
      <c r="BM2377" s="4">
        <v>7.57</v>
      </c>
      <c r="BN2377" s="4">
        <v>58.02</v>
      </c>
      <c r="BO2377" s="4">
        <v>58.02</v>
      </c>
      <c r="BQ2377" t="s">
        <v>256</v>
      </c>
      <c r="BR2377" t="s">
        <v>84</v>
      </c>
      <c r="BS2377" s="3">
        <v>43811</v>
      </c>
      <c r="BT2377" s="5">
        <v>0.39305555555555555</v>
      </c>
      <c r="BU2377" t="s">
        <v>1267</v>
      </c>
      <c r="BV2377" t="s">
        <v>86</v>
      </c>
      <c r="BY2377">
        <v>1200</v>
      </c>
      <c r="CA2377" t="s">
        <v>212</v>
      </c>
      <c r="CC2377" t="s">
        <v>199</v>
      </c>
      <c r="CD2377">
        <v>4052</v>
      </c>
      <c r="CE2377" t="s">
        <v>88</v>
      </c>
      <c r="CF2377" s="3">
        <v>43812</v>
      </c>
      <c r="CI2377">
        <v>1</v>
      </c>
      <c r="CJ2377">
        <v>1</v>
      </c>
      <c r="CK2377">
        <v>21</v>
      </c>
      <c r="CL2377" t="s">
        <v>89</v>
      </c>
    </row>
    <row r="2378" spans="1:90">
      <c r="A2378" t="s">
        <v>72</v>
      </c>
      <c r="B2378" t="s">
        <v>73</v>
      </c>
      <c r="C2378" t="s">
        <v>74</v>
      </c>
      <c r="E2378" t="str">
        <f>"FES1162727732"</f>
        <v>FES1162727732</v>
      </c>
      <c r="F2378" s="3">
        <v>43810</v>
      </c>
      <c r="G2378">
        <v>202006</v>
      </c>
      <c r="H2378" t="s">
        <v>75</v>
      </c>
      <c r="I2378" t="s">
        <v>76</v>
      </c>
      <c r="J2378" t="s">
        <v>77</v>
      </c>
      <c r="K2378" t="s">
        <v>78</v>
      </c>
      <c r="L2378" t="s">
        <v>198</v>
      </c>
      <c r="M2378" t="s">
        <v>199</v>
      </c>
      <c r="N2378" t="s">
        <v>1031</v>
      </c>
      <c r="O2378" t="s">
        <v>82</v>
      </c>
      <c r="P2378" t="str">
        <f>"2170721185                    "</f>
        <v xml:space="preserve">2170721185                    </v>
      </c>
      <c r="Q2378">
        <v>0</v>
      </c>
      <c r="R2378">
        <v>0</v>
      </c>
      <c r="S2378">
        <v>0</v>
      </c>
      <c r="T2378">
        <v>0</v>
      </c>
      <c r="U2378">
        <v>0</v>
      </c>
      <c r="V2378">
        <v>0</v>
      </c>
      <c r="W2378">
        <v>0</v>
      </c>
      <c r="X2378">
        <v>0</v>
      </c>
      <c r="Y2378">
        <v>0</v>
      </c>
      <c r="Z2378">
        <v>0</v>
      </c>
      <c r="AA2378">
        <v>0</v>
      </c>
      <c r="AB2378">
        <v>0</v>
      </c>
      <c r="AC2378">
        <v>0</v>
      </c>
      <c r="AD2378">
        <v>0</v>
      </c>
      <c r="AE2378">
        <v>0</v>
      </c>
      <c r="AF2378">
        <v>0</v>
      </c>
      <c r="AG2378">
        <v>0</v>
      </c>
      <c r="AH2378">
        <v>0</v>
      </c>
      <c r="AI2378">
        <v>0</v>
      </c>
      <c r="AJ2378">
        <v>0</v>
      </c>
      <c r="AK2378">
        <v>0</v>
      </c>
      <c r="AL2378">
        <v>0</v>
      </c>
      <c r="AM2378">
        <v>8.58</v>
      </c>
      <c r="AN2378">
        <v>0</v>
      </c>
      <c r="AO2378">
        <v>0</v>
      </c>
      <c r="AP2378">
        <v>0</v>
      </c>
      <c r="AQ2378">
        <v>0</v>
      </c>
      <c r="AR2378">
        <v>0</v>
      </c>
      <c r="AS2378">
        <v>0</v>
      </c>
      <c r="AT2378">
        <v>0</v>
      </c>
      <c r="AU2378">
        <v>0</v>
      </c>
      <c r="AV2378">
        <v>0</v>
      </c>
      <c r="AW2378">
        <v>0</v>
      </c>
      <c r="AX2378">
        <v>0</v>
      </c>
      <c r="AY2378">
        <v>0</v>
      </c>
      <c r="AZ2378">
        <v>0</v>
      </c>
      <c r="BA2378">
        <v>0</v>
      </c>
      <c r="BB2378">
        <v>0</v>
      </c>
      <c r="BC2378">
        <v>0</v>
      </c>
      <c r="BD2378">
        <v>0</v>
      </c>
      <c r="BE2378">
        <v>0</v>
      </c>
      <c r="BF2378">
        <v>0</v>
      </c>
      <c r="BG2378">
        <v>0</v>
      </c>
      <c r="BH2378">
        <v>1</v>
      </c>
      <c r="BI2378">
        <v>0.2</v>
      </c>
      <c r="BJ2378">
        <v>1.5</v>
      </c>
      <c r="BK2378">
        <v>1.5</v>
      </c>
      <c r="BL2378" s="4">
        <v>50.45</v>
      </c>
      <c r="BM2378" s="4">
        <v>7.57</v>
      </c>
      <c r="BN2378" s="4">
        <v>58.02</v>
      </c>
      <c r="BO2378" s="4">
        <v>58.02</v>
      </c>
      <c r="BQ2378" t="s">
        <v>93</v>
      </c>
      <c r="BR2378" t="s">
        <v>84</v>
      </c>
      <c r="BS2378" s="3">
        <v>43811</v>
      </c>
      <c r="BT2378" s="5">
        <v>0.32916666666666666</v>
      </c>
      <c r="BU2378" t="s">
        <v>1982</v>
      </c>
      <c r="BV2378" t="s">
        <v>86</v>
      </c>
      <c r="BY2378">
        <v>7334.71</v>
      </c>
      <c r="CA2378" t="s">
        <v>288</v>
      </c>
      <c r="CC2378" t="s">
        <v>199</v>
      </c>
      <c r="CD2378">
        <v>4001</v>
      </c>
      <c r="CE2378" t="s">
        <v>88</v>
      </c>
      <c r="CF2378" s="3">
        <v>43812</v>
      </c>
      <c r="CI2378">
        <v>1</v>
      </c>
      <c r="CJ2378">
        <v>1</v>
      </c>
      <c r="CK2378">
        <v>21</v>
      </c>
      <c r="CL2378" t="s">
        <v>89</v>
      </c>
    </row>
    <row r="2379" spans="1:90">
      <c r="A2379" t="s">
        <v>72</v>
      </c>
      <c r="B2379" t="s">
        <v>73</v>
      </c>
      <c r="C2379" t="s">
        <v>74</v>
      </c>
      <c r="E2379" t="str">
        <f>"FES1162727860"</f>
        <v>FES1162727860</v>
      </c>
      <c r="F2379" s="3">
        <v>43810</v>
      </c>
      <c r="G2379">
        <v>202006</v>
      </c>
      <c r="H2379" t="s">
        <v>75</v>
      </c>
      <c r="I2379" t="s">
        <v>76</v>
      </c>
      <c r="J2379" t="s">
        <v>77</v>
      </c>
      <c r="K2379" t="s">
        <v>78</v>
      </c>
      <c r="L2379" t="s">
        <v>201</v>
      </c>
      <c r="M2379" t="s">
        <v>202</v>
      </c>
      <c r="N2379" t="s">
        <v>345</v>
      </c>
      <c r="O2379" t="s">
        <v>82</v>
      </c>
      <c r="P2379" t="str">
        <f>"2170721322                    "</f>
        <v xml:space="preserve">2170721322                    </v>
      </c>
      <c r="Q2379">
        <v>0</v>
      </c>
      <c r="R2379">
        <v>0</v>
      </c>
      <c r="S2379">
        <v>0</v>
      </c>
      <c r="T2379">
        <v>0</v>
      </c>
      <c r="U2379">
        <v>0</v>
      </c>
      <c r="V2379">
        <v>0</v>
      </c>
      <c r="W2379">
        <v>0</v>
      </c>
      <c r="X2379">
        <v>0</v>
      </c>
      <c r="Y2379">
        <v>0</v>
      </c>
      <c r="Z2379">
        <v>0</v>
      </c>
      <c r="AA2379">
        <v>0</v>
      </c>
      <c r="AB2379">
        <v>0</v>
      </c>
      <c r="AC2379">
        <v>0</v>
      </c>
      <c r="AD2379">
        <v>0</v>
      </c>
      <c r="AE2379">
        <v>0</v>
      </c>
      <c r="AF2379">
        <v>0</v>
      </c>
      <c r="AG2379">
        <v>0</v>
      </c>
      <c r="AH2379">
        <v>0</v>
      </c>
      <c r="AI2379">
        <v>0</v>
      </c>
      <c r="AJ2379">
        <v>0</v>
      </c>
      <c r="AK2379">
        <v>0</v>
      </c>
      <c r="AL2379">
        <v>0</v>
      </c>
      <c r="AM2379">
        <v>8.58</v>
      </c>
      <c r="AN2379">
        <v>0</v>
      </c>
      <c r="AO2379">
        <v>0</v>
      </c>
      <c r="AP2379">
        <v>0</v>
      </c>
      <c r="AQ2379">
        <v>0</v>
      </c>
      <c r="AR2379">
        <v>0</v>
      </c>
      <c r="AS2379">
        <v>0</v>
      </c>
      <c r="AT2379">
        <v>0</v>
      </c>
      <c r="AU2379">
        <v>0</v>
      </c>
      <c r="AV2379">
        <v>0</v>
      </c>
      <c r="AW2379">
        <v>0</v>
      </c>
      <c r="AX2379">
        <v>0</v>
      </c>
      <c r="AY2379">
        <v>0</v>
      </c>
      <c r="AZ2379">
        <v>0</v>
      </c>
      <c r="BA2379">
        <v>0</v>
      </c>
      <c r="BB2379">
        <v>0</v>
      </c>
      <c r="BC2379">
        <v>0</v>
      </c>
      <c r="BD2379">
        <v>0</v>
      </c>
      <c r="BE2379">
        <v>0</v>
      </c>
      <c r="BF2379">
        <v>0</v>
      </c>
      <c r="BG2379">
        <v>0</v>
      </c>
      <c r="BH2379">
        <v>1</v>
      </c>
      <c r="BI2379">
        <v>1</v>
      </c>
      <c r="BJ2379">
        <v>0.2</v>
      </c>
      <c r="BK2379">
        <v>1</v>
      </c>
      <c r="BL2379" s="4">
        <v>50.45</v>
      </c>
      <c r="BM2379" s="4">
        <v>7.57</v>
      </c>
      <c r="BN2379" s="4">
        <v>58.02</v>
      </c>
      <c r="BO2379" s="4">
        <v>58.02</v>
      </c>
      <c r="BQ2379" t="s">
        <v>135</v>
      </c>
      <c r="BR2379" t="s">
        <v>84</v>
      </c>
      <c r="BS2379" s="3">
        <v>43811</v>
      </c>
      <c r="BT2379" s="5">
        <v>0.3659722222222222</v>
      </c>
      <c r="BU2379" t="s">
        <v>2550</v>
      </c>
      <c r="BV2379" t="s">
        <v>86</v>
      </c>
      <c r="BY2379">
        <v>1200</v>
      </c>
      <c r="CA2379" t="s">
        <v>288</v>
      </c>
      <c r="CC2379" t="s">
        <v>202</v>
      </c>
      <c r="CD2379">
        <v>3610</v>
      </c>
      <c r="CE2379" t="s">
        <v>88</v>
      </c>
      <c r="CF2379" s="3">
        <v>43812</v>
      </c>
      <c r="CI2379">
        <v>1</v>
      </c>
      <c r="CJ2379">
        <v>1</v>
      </c>
      <c r="CK2379">
        <v>21</v>
      </c>
      <c r="CL2379" t="s">
        <v>89</v>
      </c>
    </row>
    <row r="2380" spans="1:90">
      <c r="A2380" t="s">
        <v>72</v>
      </c>
      <c r="B2380" t="s">
        <v>73</v>
      </c>
      <c r="C2380" t="s">
        <v>74</v>
      </c>
      <c r="E2380" t="str">
        <f>"FES1162727868"</f>
        <v>FES1162727868</v>
      </c>
      <c r="F2380" s="3">
        <v>43810</v>
      </c>
      <c r="G2380">
        <v>202006</v>
      </c>
      <c r="H2380" t="s">
        <v>75</v>
      </c>
      <c r="I2380" t="s">
        <v>76</v>
      </c>
      <c r="J2380" t="s">
        <v>77</v>
      </c>
      <c r="K2380" t="s">
        <v>78</v>
      </c>
      <c r="L2380" t="s">
        <v>198</v>
      </c>
      <c r="M2380" t="s">
        <v>199</v>
      </c>
      <c r="N2380" t="s">
        <v>1152</v>
      </c>
      <c r="O2380" t="s">
        <v>82</v>
      </c>
      <c r="P2380" t="str">
        <f>"2170721336                    "</f>
        <v xml:space="preserve">2170721336                    </v>
      </c>
      <c r="Q2380">
        <v>0</v>
      </c>
      <c r="R2380">
        <v>0</v>
      </c>
      <c r="S2380">
        <v>0</v>
      </c>
      <c r="T2380">
        <v>0</v>
      </c>
      <c r="U2380">
        <v>0</v>
      </c>
      <c r="V2380">
        <v>0</v>
      </c>
      <c r="W2380">
        <v>0</v>
      </c>
      <c r="X2380">
        <v>0</v>
      </c>
      <c r="Y2380">
        <v>0</v>
      </c>
      <c r="Z2380">
        <v>0</v>
      </c>
      <c r="AA2380">
        <v>0</v>
      </c>
      <c r="AB2380">
        <v>0</v>
      </c>
      <c r="AC2380">
        <v>0</v>
      </c>
      <c r="AD2380">
        <v>0</v>
      </c>
      <c r="AE2380">
        <v>0</v>
      </c>
      <c r="AF2380">
        <v>0</v>
      </c>
      <c r="AG2380">
        <v>0</v>
      </c>
      <c r="AH2380">
        <v>0</v>
      </c>
      <c r="AI2380">
        <v>0</v>
      </c>
      <c r="AJ2380">
        <v>0</v>
      </c>
      <c r="AK2380">
        <v>0</v>
      </c>
      <c r="AL2380">
        <v>0</v>
      </c>
      <c r="AM2380">
        <v>8.58</v>
      </c>
      <c r="AN2380">
        <v>0</v>
      </c>
      <c r="AO2380">
        <v>0</v>
      </c>
      <c r="AP2380">
        <v>0</v>
      </c>
      <c r="AQ2380">
        <v>0</v>
      </c>
      <c r="AR2380">
        <v>0</v>
      </c>
      <c r="AS2380">
        <v>0</v>
      </c>
      <c r="AT2380">
        <v>0</v>
      </c>
      <c r="AU2380">
        <v>0</v>
      </c>
      <c r="AV2380">
        <v>0</v>
      </c>
      <c r="AW2380">
        <v>0</v>
      </c>
      <c r="AX2380">
        <v>0</v>
      </c>
      <c r="AY2380">
        <v>0</v>
      </c>
      <c r="AZ2380">
        <v>0</v>
      </c>
      <c r="BA2380">
        <v>0</v>
      </c>
      <c r="BB2380">
        <v>0</v>
      </c>
      <c r="BC2380">
        <v>0</v>
      </c>
      <c r="BD2380">
        <v>0</v>
      </c>
      <c r="BE2380">
        <v>0</v>
      </c>
      <c r="BF2380">
        <v>0</v>
      </c>
      <c r="BG2380">
        <v>0</v>
      </c>
      <c r="BH2380">
        <v>1</v>
      </c>
      <c r="BI2380">
        <v>1</v>
      </c>
      <c r="BJ2380">
        <v>0.2</v>
      </c>
      <c r="BK2380">
        <v>1</v>
      </c>
      <c r="BL2380" s="4">
        <v>50.45</v>
      </c>
      <c r="BM2380" s="4">
        <v>7.57</v>
      </c>
      <c r="BN2380" s="4">
        <v>58.02</v>
      </c>
      <c r="BO2380" s="4">
        <v>58.02</v>
      </c>
      <c r="BQ2380" t="s">
        <v>277</v>
      </c>
      <c r="BR2380" t="s">
        <v>84</v>
      </c>
      <c r="BS2380" s="3">
        <v>43811</v>
      </c>
      <c r="BT2380" s="5">
        <v>0.32291666666666669</v>
      </c>
      <c r="BU2380" t="s">
        <v>2551</v>
      </c>
      <c r="BV2380" t="s">
        <v>86</v>
      </c>
      <c r="BY2380">
        <v>1200</v>
      </c>
      <c r="CA2380" t="s">
        <v>839</v>
      </c>
      <c r="CC2380" t="s">
        <v>199</v>
      </c>
      <c r="CD2380">
        <v>4070</v>
      </c>
      <c r="CE2380" t="s">
        <v>88</v>
      </c>
      <c r="CF2380" s="3">
        <v>43812</v>
      </c>
      <c r="CI2380">
        <v>1</v>
      </c>
      <c r="CJ2380">
        <v>1</v>
      </c>
      <c r="CK2380">
        <v>21</v>
      </c>
      <c r="CL2380" t="s">
        <v>89</v>
      </c>
    </row>
    <row r="2381" spans="1:90">
      <c r="A2381" t="s">
        <v>72</v>
      </c>
      <c r="B2381" t="s">
        <v>73</v>
      </c>
      <c r="C2381" t="s">
        <v>74</v>
      </c>
      <c r="E2381" t="str">
        <f>"FES1162727876"</f>
        <v>FES1162727876</v>
      </c>
      <c r="F2381" s="3">
        <v>43810</v>
      </c>
      <c r="G2381">
        <v>202006</v>
      </c>
      <c r="H2381" t="s">
        <v>75</v>
      </c>
      <c r="I2381" t="s">
        <v>76</v>
      </c>
      <c r="J2381" t="s">
        <v>77</v>
      </c>
      <c r="K2381" t="s">
        <v>78</v>
      </c>
      <c r="L2381" t="s">
        <v>201</v>
      </c>
      <c r="M2381" t="s">
        <v>202</v>
      </c>
      <c r="N2381" t="s">
        <v>203</v>
      </c>
      <c r="O2381" t="s">
        <v>82</v>
      </c>
      <c r="P2381" t="str">
        <f>"2170721351                    "</f>
        <v xml:space="preserve">2170721351                    </v>
      </c>
      <c r="Q2381">
        <v>0</v>
      </c>
      <c r="R2381">
        <v>0</v>
      </c>
      <c r="S2381">
        <v>0</v>
      </c>
      <c r="T2381">
        <v>0</v>
      </c>
      <c r="U2381">
        <v>0</v>
      </c>
      <c r="V2381">
        <v>0</v>
      </c>
      <c r="W2381">
        <v>0</v>
      </c>
      <c r="X2381">
        <v>0</v>
      </c>
      <c r="Y2381">
        <v>0</v>
      </c>
      <c r="Z2381">
        <v>0</v>
      </c>
      <c r="AA2381">
        <v>0</v>
      </c>
      <c r="AB2381">
        <v>0</v>
      </c>
      <c r="AC2381">
        <v>0</v>
      </c>
      <c r="AD2381">
        <v>0</v>
      </c>
      <c r="AE2381">
        <v>0</v>
      </c>
      <c r="AF2381">
        <v>0</v>
      </c>
      <c r="AG2381">
        <v>0</v>
      </c>
      <c r="AH2381">
        <v>0</v>
      </c>
      <c r="AI2381">
        <v>0</v>
      </c>
      <c r="AJ2381">
        <v>0</v>
      </c>
      <c r="AK2381">
        <v>0</v>
      </c>
      <c r="AL2381">
        <v>0</v>
      </c>
      <c r="AM2381">
        <v>8.58</v>
      </c>
      <c r="AN2381">
        <v>0</v>
      </c>
      <c r="AO2381">
        <v>0</v>
      </c>
      <c r="AP2381">
        <v>0</v>
      </c>
      <c r="AQ2381">
        <v>0</v>
      </c>
      <c r="AR2381">
        <v>0</v>
      </c>
      <c r="AS2381">
        <v>0</v>
      </c>
      <c r="AT2381">
        <v>0</v>
      </c>
      <c r="AU2381">
        <v>0</v>
      </c>
      <c r="AV2381">
        <v>0</v>
      </c>
      <c r="AW2381">
        <v>0</v>
      </c>
      <c r="AX2381">
        <v>0</v>
      </c>
      <c r="AY2381">
        <v>0</v>
      </c>
      <c r="AZ2381">
        <v>0</v>
      </c>
      <c r="BA2381">
        <v>0</v>
      </c>
      <c r="BB2381">
        <v>0</v>
      </c>
      <c r="BC2381">
        <v>0</v>
      </c>
      <c r="BD2381">
        <v>0</v>
      </c>
      <c r="BE2381">
        <v>0</v>
      </c>
      <c r="BF2381">
        <v>0</v>
      </c>
      <c r="BG2381">
        <v>0</v>
      </c>
      <c r="BH2381">
        <v>1</v>
      </c>
      <c r="BI2381">
        <v>1</v>
      </c>
      <c r="BJ2381">
        <v>0.2</v>
      </c>
      <c r="BK2381">
        <v>1</v>
      </c>
      <c r="BL2381" s="4">
        <v>50.45</v>
      </c>
      <c r="BM2381" s="4">
        <v>7.57</v>
      </c>
      <c r="BN2381" s="4">
        <v>58.02</v>
      </c>
      <c r="BO2381" s="4">
        <v>58.02</v>
      </c>
      <c r="BQ2381" t="s">
        <v>147</v>
      </c>
      <c r="BR2381" t="s">
        <v>84</v>
      </c>
      <c r="BS2381" s="3">
        <v>43811</v>
      </c>
      <c r="BT2381" s="5">
        <v>0.33611111111111108</v>
      </c>
      <c r="BU2381" t="s">
        <v>204</v>
      </c>
      <c r="BV2381" t="s">
        <v>86</v>
      </c>
      <c r="BY2381">
        <v>1200</v>
      </c>
      <c r="CA2381" t="s">
        <v>205</v>
      </c>
      <c r="CC2381" t="s">
        <v>202</v>
      </c>
      <c r="CD2381">
        <v>3610</v>
      </c>
      <c r="CE2381" t="s">
        <v>88</v>
      </c>
      <c r="CF2381" s="3">
        <v>43812</v>
      </c>
      <c r="CI2381">
        <v>1</v>
      </c>
      <c r="CJ2381">
        <v>1</v>
      </c>
      <c r="CK2381">
        <v>21</v>
      </c>
      <c r="CL2381" t="s">
        <v>89</v>
      </c>
    </row>
    <row r="2382" spans="1:90">
      <c r="A2382" t="s">
        <v>72</v>
      </c>
      <c r="B2382" t="s">
        <v>73</v>
      </c>
      <c r="C2382" t="s">
        <v>74</v>
      </c>
      <c r="E2382" t="str">
        <f>"FES1162727907"</f>
        <v>FES1162727907</v>
      </c>
      <c r="F2382" s="3">
        <v>43810</v>
      </c>
      <c r="G2382">
        <v>202006</v>
      </c>
      <c r="H2382" t="s">
        <v>75</v>
      </c>
      <c r="I2382" t="s">
        <v>76</v>
      </c>
      <c r="J2382" t="s">
        <v>77</v>
      </c>
      <c r="K2382" t="s">
        <v>78</v>
      </c>
      <c r="L2382" t="s">
        <v>198</v>
      </c>
      <c r="M2382" t="s">
        <v>199</v>
      </c>
      <c r="N2382" t="s">
        <v>557</v>
      </c>
      <c r="O2382" t="s">
        <v>82</v>
      </c>
      <c r="P2382" t="str">
        <f>"21707221386                   "</f>
        <v xml:space="preserve">21707221386                   </v>
      </c>
      <c r="Q2382">
        <v>0</v>
      </c>
      <c r="R2382">
        <v>0</v>
      </c>
      <c r="S2382">
        <v>0</v>
      </c>
      <c r="T2382">
        <v>0</v>
      </c>
      <c r="U2382">
        <v>0</v>
      </c>
      <c r="V2382">
        <v>0</v>
      </c>
      <c r="W2382">
        <v>0</v>
      </c>
      <c r="X2382">
        <v>0</v>
      </c>
      <c r="Y2382">
        <v>0</v>
      </c>
      <c r="Z2382">
        <v>0</v>
      </c>
      <c r="AA2382">
        <v>0</v>
      </c>
      <c r="AB2382">
        <v>0</v>
      </c>
      <c r="AC2382">
        <v>0</v>
      </c>
      <c r="AD2382">
        <v>0</v>
      </c>
      <c r="AE2382">
        <v>0</v>
      </c>
      <c r="AF2382">
        <v>0</v>
      </c>
      <c r="AG2382">
        <v>0</v>
      </c>
      <c r="AH2382">
        <v>0</v>
      </c>
      <c r="AI2382">
        <v>0</v>
      </c>
      <c r="AJ2382">
        <v>0</v>
      </c>
      <c r="AK2382">
        <v>0</v>
      </c>
      <c r="AL2382">
        <v>0</v>
      </c>
      <c r="AM2382">
        <v>10.73</v>
      </c>
      <c r="AN2382">
        <v>0</v>
      </c>
      <c r="AO2382">
        <v>0</v>
      </c>
      <c r="AP2382">
        <v>0</v>
      </c>
      <c r="AQ2382">
        <v>0</v>
      </c>
      <c r="AR2382">
        <v>0</v>
      </c>
      <c r="AS2382">
        <v>0</v>
      </c>
      <c r="AT2382">
        <v>0</v>
      </c>
      <c r="AU2382">
        <v>0</v>
      </c>
      <c r="AV2382">
        <v>0</v>
      </c>
      <c r="AW2382">
        <v>0</v>
      </c>
      <c r="AX2382">
        <v>0</v>
      </c>
      <c r="AY2382">
        <v>0</v>
      </c>
      <c r="AZ2382">
        <v>0</v>
      </c>
      <c r="BA2382">
        <v>0</v>
      </c>
      <c r="BB2382">
        <v>0</v>
      </c>
      <c r="BC2382">
        <v>0</v>
      </c>
      <c r="BD2382">
        <v>0</v>
      </c>
      <c r="BE2382">
        <v>0</v>
      </c>
      <c r="BF2382">
        <v>0</v>
      </c>
      <c r="BG2382">
        <v>0</v>
      </c>
      <c r="BH2382">
        <v>1</v>
      </c>
      <c r="BI2382">
        <v>2.4</v>
      </c>
      <c r="BJ2382">
        <v>0.9</v>
      </c>
      <c r="BK2382">
        <v>2.5</v>
      </c>
      <c r="BL2382" s="4">
        <v>63.06</v>
      </c>
      <c r="BM2382" s="4">
        <v>9.4600000000000009</v>
      </c>
      <c r="BN2382" s="4">
        <v>72.52</v>
      </c>
      <c r="BO2382" s="4">
        <v>72.52</v>
      </c>
      <c r="BQ2382" t="s">
        <v>93</v>
      </c>
      <c r="BR2382" t="s">
        <v>84</v>
      </c>
      <c r="BS2382" s="3">
        <v>43811</v>
      </c>
      <c r="BT2382" s="5">
        <v>0.3972222222222222</v>
      </c>
      <c r="BU2382" t="s">
        <v>130</v>
      </c>
      <c r="BV2382" t="s">
        <v>86</v>
      </c>
      <c r="BY2382">
        <v>4404.58</v>
      </c>
      <c r="CA2382" t="s">
        <v>212</v>
      </c>
      <c r="CC2382" t="s">
        <v>199</v>
      </c>
      <c r="CD2382">
        <v>4052</v>
      </c>
      <c r="CE2382" t="s">
        <v>96</v>
      </c>
      <c r="CF2382" s="3">
        <v>43812</v>
      </c>
      <c r="CI2382">
        <v>1</v>
      </c>
      <c r="CJ2382">
        <v>1</v>
      </c>
      <c r="CK2382">
        <v>21</v>
      </c>
      <c r="CL2382" t="s">
        <v>89</v>
      </c>
    </row>
    <row r="2383" spans="1:90">
      <c r="A2383" t="s">
        <v>72</v>
      </c>
      <c r="B2383" t="s">
        <v>73</v>
      </c>
      <c r="C2383" t="s">
        <v>74</v>
      </c>
      <c r="E2383" t="str">
        <f>"FES1162727794"</f>
        <v>FES1162727794</v>
      </c>
      <c r="F2383" s="3">
        <v>43810</v>
      </c>
      <c r="G2383">
        <v>202006</v>
      </c>
      <c r="H2383" t="s">
        <v>75</v>
      </c>
      <c r="I2383" t="s">
        <v>76</v>
      </c>
      <c r="J2383" t="s">
        <v>77</v>
      </c>
      <c r="K2383" t="s">
        <v>78</v>
      </c>
      <c r="L2383" t="s">
        <v>198</v>
      </c>
      <c r="M2383" t="s">
        <v>199</v>
      </c>
      <c r="N2383" t="s">
        <v>496</v>
      </c>
      <c r="O2383" t="s">
        <v>82</v>
      </c>
      <c r="P2383" t="str">
        <f>"2170718686                    "</f>
        <v xml:space="preserve">2170718686                    </v>
      </c>
      <c r="Q2383">
        <v>0</v>
      </c>
      <c r="R2383">
        <v>0</v>
      </c>
      <c r="S2383">
        <v>0</v>
      </c>
      <c r="T2383">
        <v>0</v>
      </c>
      <c r="U2383">
        <v>0</v>
      </c>
      <c r="V2383">
        <v>0</v>
      </c>
      <c r="W2383">
        <v>0</v>
      </c>
      <c r="X2383">
        <v>0</v>
      </c>
      <c r="Y2383">
        <v>0</v>
      </c>
      <c r="Z2383">
        <v>0</v>
      </c>
      <c r="AA2383">
        <v>0</v>
      </c>
      <c r="AB2383">
        <v>0</v>
      </c>
      <c r="AC2383">
        <v>0</v>
      </c>
      <c r="AD2383">
        <v>0</v>
      </c>
      <c r="AE2383">
        <v>0</v>
      </c>
      <c r="AF2383">
        <v>0</v>
      </c>
      <c r="AG2383">
        <v>0</v>
      </c>
      <c r="AH2383">
        <v>0</v>
      </c>
      <c r="AI2383">
        <v>0</v>
      </c>
      <c r="AJ2383">
        <v>0</v>
      </c>
      <c r="AK2383">
        <v>0</v>
      </c>
      <c r="AL2383">
        <v>0</v>
      </c>
      <c r="AM2383">
        <v>32.17</v>
      </c>
      <c r="AN2383">
        <v>0</v>
      </c>
      <c r="AO2383">
        <v>0</v>
      </c>
      <c r="AP2383">
        <v>0</v>
      </c>
      <c r="AQ2383">
        <v>0</v>
      </c>
      <c r="AR2383">
        <v>0</v>
      </c>
      <c r="AS2383">
        <v>0</v>
      </c>
      <c r="AT2383">
        <v>0</v>
      </c>
      <c r="AU2383">
        <v>0</v>
      </c>
      <c r="AV2383">
        <v>0</v>
      </c>
      <c r="AW2383">
        <v>0</v>
      </c>
      <c r="AX2383">
        <v>0</v>
      </c>
      <c r="AY2383">
        <v>0</v>
      </c>
      <c r="AZ2383">
        <v>0</v>
      </c>
      <c r="BA2383">
        <v>0</v>
      </c>
      <c r="BB2383">
        <v>0</v>
      </c>
      <c r="BC2383">
        <v>0</v>
      </c>
      <c r="BD2383">
        <v>0</v>
      </c>
      <c r="BE2383">
        <v>0</v>
      </c>
      <c r="BF2383">
        <v>0</v>
      </c>
      <c r="BG2383">
        <v>0</v>
      </c>
      <c r="BH2383">
        <v>1</v>
      </c>
      <c r="BI2383">
        <v>7.4</v>
      </c>
      <c r="BJ2383">
        <v>6.1</v>
      </c>
      <c r="BK2383">
        <v>7.5</v>
      </c>
      <c r="BL2383" s="4">
        <v>189.1</v>
      </c>
      <c r="BM2383" s="4">
        <v>28.37</v>
      </c>
      <c r="BN2383" s="4">
        <v>217.47</v>
      </c>
      <c r="BO2383" s="4">
        <v>217.47</v>
      </c>
      <c r="BQ2383" t="s">
        <v>93</v>
      </c>
      <c r="BR2383" t="s">
        <v>84</v>
      </c>
      <c r="BS2383" s="3">
        <v>43811</v>
      </c>
      <c r="BT2383" s="5">
        <v>0.37847222222222227</v>
      </c>
      <c r="BU2383" t="s">
        <v>2226</v>
      </c>
      <c r="BV2383" t="s">
        <v>86</v>
      </c>
      <c r="BY2383">
        <v>30395.200000000001</v>
      </c>
      <c r="CA2383" t="s">
        <v>212</v>
      </c>
      <c r="CC2383" t="s">
        <v>199</v>
      </c>
      <c r="CD2383">
        <v>4052</v>
      </c>
      <c r="CE2383" t="s">
        <v>116</v>
      </c>
      <c r="CF2383" s="3">
        <v>43812</v>
      </c>
      <c r="CI2383">
        <v>1</v>
      </c>
      <c r="CJ2383">
        <v>1</v>
      </c>
      <c r="CK2383">
        <v>21</v>
      </c>
      <c r="CL2383" t="s">
        <v>89</v>
      </c>
    </row>
    <row r="2384" spans="1:90">
      <c r="A2384" t="s">
        <v>72</v>
      </c>
      <c r="B2384" t="s">
        <v>73</v>
      </c>
      <c r="C2384" t="s">
        <v>74</v>
      </c>
      <c r="E2384" t="str">
        <f>"FES1162727869"</f>
        <v>FES1162727869</v>
      </c>
      <c r="F2384" s="3">
        <v>43810</v>
      </c>
      <c r="G2384">
        <v>202006</v>
      </c>
      <c r="H2384" t="s">
        <v>75</v>
      </c>
      <c r="I2384" t="s">
        <v>76</v>
      </c>
      <c r="J2384" t="s">
        <v>77</v>
      </c>
      <c r="K2384" t="s">
        <v>78</v>
      </c>
      <c r="L2384" t="s">
        <v>198</v>
      </c>
      <c r="M2384" t="s">
        <v>199</v>
      </c>
      <c r="N2384" t="s">
        <v>292</v>
      </c>
      <c r="O2384" t="s">
        <v>82</v>
      </c>
      <c r="P2384" t="str">
        <f>"2170721337                    "</f>
        <v xml:space="preserve">2170721337                    </v>
      </c>
      <c r="Q2384">
        <v>0</v>
      </c>
      <c r="R2384">
        <v>0</v>
      </c>
      <c r="S2384">
        <v>0</v>
      </c>
      <c r="T2384">
        <v>0</v>
      </c>
      <c r="U2384">
        <v>0</v>
      </c>
      <c r="V2384">
        <v>0</v>
      </c>
      <c r="W2384">
        <v>0</v>
      </c>
      <c r="X2384">
        <v>0</v>
      </c>
      <c r="Y2384">
        <v>0</v>
      </c>
      <c r="Z2384">
        <v>0</v>
      </c>
      <c r="AA2384">
        <v>0</v>
      </c>
      <c r="AB2384">
        <v>0</v>
      </c>
      <c r="AC2384">
        <v>0</v>
      </c>
      <c r="AD2384">
        <v>0</v>
      </c>
      <c r="AE2384">
        <v>0</v>
      </c>
      <c r="AF2384">
        <v>0</v>
      </c>
      <c r="AG2384">
        <v>0</v>
      </c>
      <c r="AH2384">
        <v>0</v>
      </c>
      <c r="AI2384">
        <v>0</v>
      </c>
      <c r="AJ2384">
        <v>0</v>
      </c>
      <c r="AK2384">
        <v>0</v>
      </c>
      <c r="AL2384">
        <v>0</v>
      </c>
      <c r="AM2384">
        <v>15.02</v>
      </c>
      <c r="AN2384">
        <v>0</v>
      </c>
      <c r="AO2384">
        <v>0</v>
      </c>
      <c r="AP2384">
        <v>0</v>
      </c>
      <c r="AQ2384">
        <v>0</v>
      </c>
      <c r="AR2384">
        <v>0</v>
      </c>
      <c r="AS2384">
        <v>0</v>
      </c>
      <c r="AT2384">
        <v>0</v>
      </c>
      <c r="AU2384">
        <v>0</v>
      </c>
      <c r="AV2384">
        <v>0</v>
      </c>
      <c r="AW2384">
        <v>0</v>
      </c>
      <c r="AX2384">
        <v>0</v>
      </c>
      <c r="AY2384">
        <v>0</v>
      </c>
      <c r="AZ2384">
        <v>0</v>
      </c>
      <c r="BA2384">
        <v>0</v>
      </c>
      <c r="BB2384">
        <v>0</v>
      </c>
      <c r="BC2384">
        <v>0</v>
      </c>
      <c r="BD2384">
        <v>0</v>
      </c>
      <c r="BE2384">
        <v>0</v>
      </c>
      <c r="BF2384">
        <v>0</v>
      </c>
      <c r="BG2384">
        <v>0</v>
      </c>
      <c r="BH2384">
        <v>1</v>
      </c>
      <c r="BI2384">
        <v>1.8</v>
      </c>
      <c r="BJ2384">
        <v>3.2</v>
      </c>
      <c r="BK2384">
        <v>3.5</v>
      </c>
      <c r="BL2384" s="4">
        <v>88.27</v>
      </c>
      <c r="BM2384" s="4">
        <v>13.24</v>
      </c>
      <c r="BN2384" s="4">
        <v>101.51</v>
      </c>
      <c r="BO2384" s="4">
        <v>101.51</v>
      </c>
      <c r="BQ2384" t="s">
        <v>93</v>
      </c>
      <c r="BR2384" t="s">
        <v>84</v>
      </c>
      <c r="BS2384" s="3">
        <v>43811</v>
      </c>
      <c r="BT2384" s="5">
        <v>0.38750000000000001</v>
      </c>
      <c r="BU2384" t="s">
        <v>940</v>
      </c>
      <c r="BV2384" t="s">
        <v>86</v>
      </c>
      <c r="BY2384">
        <v>15935.38</v>
      </c>
      <c r="CA2384" t="s">
        <v>941</v>
      </c>
      <c r="CC2384" t="s">
        <v>199</v>
      </c>
      <c r="CD2384">
        <v>4052</v>
      </c>
      <c r="CE2384" t="s">
        <v>116</v>
      </c>
      <c r="CF2384" s="3">
        <v>43812</v>
      </c>
      <c r="CI2384">
        <v>1</v>
      </c>
      <c r="CJ2384">
        <v>1</v>
      </c>
      <c r="CK2384">
        <v>21</v>
      </c>
      <c r="CL2384" t="s">
        <v>89</v>
      </c>
    </row>
    <row r="2385" spans="1:90">
      <c r="A2385" t="s">
        <v>72</v>
      </c>
      <c r="B2385" t="s">
        <v>73</v>
      </c>
      <c r="C2385" t="s">
        <v>74</v>
      </c>
      <c r="E2385" t="str">
        <f>"FES1162727894"</f>
        <v>FES1162727894</v>
      </c>
      <c r="F2385" s="3">
        <v>43810</v>
      </c>
      <c r="G2385">
        <v>202006</v>
      </c>
      <c r="H2385" t="s">
        <v>75</v>
      </c>
      <c r="I2385" t="s">
        <v>76</v>
      </c>
      <c r="J2385" t="s">
        <v>77</v>
      </c>
      <c r="K2385" t="s">
        <v>78</v>
      </c>
      <c r="L2385" t="s">
        <v>1183</v>
      </c>
      <c r="M2385" t="s">
        <v>1184</v>
      </c>
      <c r="N2385" t="s">
        <v>1185</v>
      </c>
      <c r="O2385" t="s">
        <v>82</v>
      </c>
      <c r="P2385" t="str">
        <f>"217071377                     "</f>
        <v xml:space="preserve">217071377                     </v>
      </c>
      <c r="Q2385">
        <v>0</v>
      </c>
      <c r="R2385">
        <v>0</v>
      </c>
      <c r="S2385">
        <v>0</v>
      </c>
      <c r="T2385">
        <v>0</v>
      </c>
      <c r="U2385">
        <v>0</v>
      </c>
      <c r="V2385">
        <v>0</v>
      </c>
      <c r="W2385">
        <v>0</v>
      </c>
      <c r="X2385">
        <v>0</v>
      </c>
      <c r="Y2385">
        <v>0</v>
      </c>
      <c r="Z2385">
        <v>0</v>
      </c>
      <c r="AA2385">
        <v>0</v>
      </c>
      <c r="AB2385">
        <v>0</v>
      </c>
      <c r="AC2385">
        <v>0</v>
      </c>
      <c r="AD2385">
        <v>0</v>
      </c>
      <c r="AE2385">
        <v>0</v>
      </c>
      <c r="AF2385">
        <v>0</v>
      </c>
      <c r="AG2385">
        <v>0</v>
      </c>
      <c r="AH2385">
        <v>0</v>
      </c>
      <c r="AI2385">
        <v>0</v>
      </c>
      <c r="AJ2385">
        <v>0</v>
      </c>
      <c r="AK2385">
        <v>0</v>
      </c>
      <c r="AL2385">
        <v>0</v>
      </c>
      <c r="AM2385">
        <v>65.45</v>
      </c>
      <c r="AN2385">
        <v>0</v>
      </c>
      <c r="AO2385">
        <v>0</v>
      </c>
      <c r="AP2385">
        <v>0</v>
      </c>
      <c r="AQ2385">
        <v>0</v>
      </c>
      <c r="AR2385">
        <v>0</v>
      </c>
      <c r="AS2385">
        <v>0</v>
      </c>
      <c r="AT2385">
        <v>0</v>
      </c>
      <c r="AU2385">
        <v>0</v>
      </c>
      <c r="AV2385">
        <v>0</v>
      </c>
      <c r="AW2385">
        <v>0</v>
      </c>
      <c r="AX2385">
        <v>0</v>
      </c>
      <c r="AY2385">
        <v>0</v>
      </c>
      <c r="AZ2385">
        <v>0</v>
      </c>
      <c r="BA2385">
        <v>0</v>
      </c>
      <c r="BB2385">
        <v>0</v>
      </c>
      <c r="BC2385">
        <v>0</v>
      </c>
      <c r="BD2385">
        <v>0</v>
      </c>
      <c r="BE2385">
        <v>0</v>
      </c>
      <c r="BF2385">
        <v>0</v>
      </c>
      <c r="BG2385">
        <v>0</v>
      </c>
      <c r="BH2385">
        <v>1</v>
      </c>
      <c r="BI2385">
        <v>8.3000000000000007</v>
      </c>
      <c r="BJ2385">
        <v>3</v>
      </c>
      <c r="BK2385">
        <v>8.5</v>
      </c>
      <c r="BL2385" s="4">
        <v>384.73</v>
      </c>
      <c r="BM2385" s="4">
        <v>57.71</v>
      </c>
      <c r="BN2385" s="4">
        <v>442.44</v>
      </c>
      <c r="BO2385" s="4">
        <v>442.44</v>
      </c>
      <c r="BQ2385" t="s">
        <v>93</v>
      </c>
      <c r="BR2385" t="s">
        <v>84</v>
      </c>
      <c r="BS2385" s="3">
        <v>43811</v>
      </c>
      <c r="BT2385" s="5">
        <v>0.58333333333333337</v>
      </c>
      <c r="BU2385" t="s">
        <v>2131</v>
      </c>
      <c r="BV2385" t="s">
        <v>86</v>
      </c>
      <c r="BY2385">
        <v>14766.19</v>
      </c>
      <c r="CA2385" t="s">
        <v>1187</v>
      </c>
      <c r="CC2385" t="s">
        <v>1184</v>
      </c>
      <c r="CD2385">
        <v>3370</v>
      </c>
      <c r="CE2385" t="s">
        <v>96</v>
      </c>
      <c r="CF2385" s="3">
        <v>43816</v>
      </c>
      <c r="CI2385">
        <v>3</v>
      </c>
      <c r="CJ2385">
        <v>1</v>
      </c>
      <c r="CK2385">
        <v>23</v>
      </c>
      <c r="CL2385" t="s">
        <v>89</v>
      </c>
    </row>
    <row r="2386" spans="1:90">
      <c r="A2386" t="s">
        <v>72</v>
      </c>
      <c r="B2386" t="s">
        <v>73</v>
      </c>
      <c r="C2386" t="s">
        <v>74</v>
      </c>
      <c r="E2386" t="str">
        <f>"FES1162727764"</f>
        <v>FES1162727764</v>
      </c>
      <c r="F2386" s="3">
        <v>43810</v>
      </c>
      <c r="G2386">
        <v>202006</v>
      </c>
      <c r="H2386" t="s">
        <v>75</v>
      </c>
      <c r="I2386" t="s">
        <v>76</v>
      </c>
      <c r="J2386" t="s">
        <v>77</v>
      </c>
      <c r="K2386" t="s">
        <v>78</v>
      </c>
      <c r="L2386" t="s">
        <v>491</v>
      </c>
      <c r="M2386" t="s">
        <v>492</v>
      </c>
      <c r="N2386" t="s">
        <v>880</v>
      </c>
      <c r="O2386" t="s">
        <v>82</v>
      </c>
      <c r="P2386" t="str">
        <f>"2170721248                    "</f>
        <v xml:space="preserve">2170721248                    </v>
      </c>
      <c r="Q2386">
        <v>0</v>
      </c>
      <c r="R2386">
        <v>0</v>
      </c>
      <c r="S2386">
        <v>0</v>
      </c>
      <c r="T2386">
        <v>0</v>
      </c>
      <c r="U2386">
        <v>0</v>
      </c>
      <c r="V2386">
        <v>0</v>
      </c>
      <c r="W2386">
        <v>0</v>
      </c>
      <c r="X2386">
        <v>0</v>
      </c>
      <c r="Y2386">
        <v>0</v>
      </c>
      <c r="Z2386">
        <v>0</v>
      </c>
      <c r="AA2386">
        <v>0</v>
      </c>
      <c r="AB2386">
        <v>0</v>
      </c>
      <c r="AC2386">
        <v>0</v>
      </c>
      <c r="AD2386">
        <v>0</v>
      </c>
      <c r="AE2386">
        <v>0</v>
      </c>
      <c r="AF2386">
        <v>0</v>
      </c>
      <c r="AG2386">
        <v>0</v>
      </c>
      <c r="AH2386">
        <v>0</v>
      </c>
      <c r="AI2386">
        <v>0</v>
      </c>
      <c r="AJ2386">
        <v>0</v>
      </c>
      <c r="AK2386">
        <v>0</v>
      </c>
      <c r="AL2386">
        <v>0</v>
      </c>
      <c r="AM2386">
        <v>6.71</v>
      </c>
      <c r="AN2386">
        <v>0</v>
      </c>
      <c r="AO2386">
        <v>0</v>
      </c>
      <c r="AP2386">
        <v>0</v>
      </c>
      <c r="AQ2386">
        <v>0</v>
      </c>
      <c r="AR2386">
        <v>0</v>
      </c>
      <c r="AS2386">
        <v>0</v>
      </c>
      <c r="AT2386">
        <v>0</v>
      </c>
      <c r="AU2386">
        <v>0</v>
      </c>
      <c r="AV2386">
        <v>0</v>
      </c>
      <c r="AW2386">
        <v>0</v>
      </c>
      <c r="AX2386">
        <v>0</v>
      </c>
      <c r="AY2386">
        <v>0</v>
      </c>
      <c r="AZ2386">
        <v>0</v>
      </c>
      <c r="BA2386">
        <v>0</v>
      </c>
      <c r="BB2386">
        <v>0</v>
      </c>
      <c r="BC2386">
        <v>0</v>
      </c>
      <c r="BD2386">
        <v>0</v>
      </c>
      <c r="BE2386">
        <v>0</v>
      </c>
      <c r="BF2386">
        <v>0</v>
      </c>
      <c r="BG2386">
        <v>0</v>
      </c>
      <c r="BH2386">
        <v>1</v>
      </c>
      <c r="BI2386">
        <v>0.2</v>
      </c>
      <c r="BJ2386">
        <v>1.2</v>
      </c>
      <c r="BK2386">
        <v>1.5</v>
      </c>
      <c r="BL2386" s="4">
        <v>39.42</v>
      </c>
      <c r="BM2386" s="4">
        <v>5.91</v>
      </c>
      <c r="BN2386" s="4">
        <v>45.33</v>
      </c>
      <c r="BO2386" s="4">
        <v>45.33</v>
      </c>
      <c r="BQ2386" t="s">
        <v>93</v>
      </c>
      <c r="BR2386" t="s">
        <v>84</v>
      </c>
      <c r="BS2386" s="3">
        <v>43811</v>
      </c>
      <c r="BT2386" s="5">
        <v>0.3298611111111111</v>
      </c>
      <c r="BU2386" t="s">
        <v>2552</v>
      </c>
      <c r="BV2386" t="s">
        <v>86</v>
      </c>
      <c r="BY2386">
        <v>6170.32</v>
      </c>
      <c r="CC2386" t="s">
        <v>492</v>
      </c>
      <c r="CD2386">
        <v>1709</v>
      </c>
      <c r="CE2386" t="s">
        <v>88</v>
      </c>
      <c r="CF2386" s="3">
        <v>43812</v>
      </c>
      <c r="CI2386">
        <v>1</v>
      </c>
      <c r="CJ2386">
        <v>1</v>
      </c>
      <c r="CK2386">
        <v>22</v>
      </c>
      <c r="CL2386" t="s">
        <v>89</v>
      </c>
    </row>
    <row r="2387" spans="1:90">
      <c r="A2387" t="s">
        <v>72</v>
      </c>
      <c r="B2387" t="s">
        <v>73</v>
      </c>
      <c r="C2387" t="s">
        <v>74</v>
      </c>
      <c r="E2387" t="str">
        <f>"FES1162727879"</f>
        <v>FES1162727879</v>
      </c>
      <c r="F2387" s="3">
        <v>43810</v>
      </c>
      <c r="G2387">
        <v>202006</v>
      </c>
      <c r="H2387" t="s">
        <v>75</v>
      </c>
      <c r="I2387" t="s">
        <v>76</v>
      </c>
      <c r="J2387" t="s">
        <v>77</v>
      </c>
      <c r="K2387" t="s">
        <v>78</v>
      </c>
      <c r="L2387" t="s">
        <v>632</v>
      </c>
      <c r="M2387" t="s">
        <v>633</v>
      </c>
      <c r="N2387" t="s">
        <v>2553</v>
      </c>
      <c r="O2387" t="s">
        <v>82</v>
      </c>
      <c r="P2387" t="str">
        <f>"2170721355                    "</f>
        <v xml:space="preserve">2170721355                    </v>
      </c>
      <c r="Q2387">
        <v>0</v>
      </c>
      <c r="R2387">
        <v>0</v>
      </c>
      <c r="S2387">
        <v>0</v>
      </c>
      <c r="T2387">
        <v>0</v>
      </c>
      <c r="U2387">
        <v>0</v>
      </c>
      <c r="V2387">
        <v>0</v>
      </c>
      <c r="W2387">
        <v>0</v>
      </c>
      <c r="X2387">
        <v>0</v>
      </c>
      <c r="Y2387">
        <v>0</v>
      </c>
      <c r="Z2387">
        <v>0</v>
      </c>
      <c r="AA2387">
        <v>0</v>
      </c>
      <c r="AB2387">
        <v>0</v>
      </c>
      <c r="AC2387">
        <v>0</v>
      </c>
      <c r="AD2387">
        <v>0</v>
      </c>
      <c r="AE2387">
        <v>0</v>
      </c>
      <c r="AF2387">
        <v>0</v>
      </c>
      <c r="AG2387">
        <v>0</v>
      </c>
      <c r="AH2387">
        <v>0</v>
      </c>
      <c r="AI2387">
        <v>0</v>
      </c>
      <c r="AJ2387">
        <v>0</v>
      </c>
      <c r="AK2387">
        <v>0</v>
      </c>
      <c r="AL2387">
        <v>0</v>
      </c>
      <c r="AM2387">
        <v>6.71</v>
      </c>
      <c r="AN2387">
        <v>0</v>
      </c>
      <c r="AO2387">
        <v>0</v>
      </c>
      <c r="AP2387">
        <v>0</v>
      </c>
      <c r="AQ2387">
        <v>0</v>
      </c>
      <c r="AR2387">
        <v>0</v>
      </c>
      <c r="AS2387">
        <v>0</v>
      </c>
      <c r="AT2387">
        <v>0</v>
      </c>
      <c r="AU2387">
        <v>0</v>
      </c>
      <c r="AV2387">
        <v>0</v>
      </c>
      <c r="AW2387">
        <v>0</v>
      </c>
      <c r="AX2387">
        <v>0</v>
      </c>
      <c r="AY2387">
        <v>0</v>
      </c>
      <c r="AZ2387">
        <v>0</v>
      </c>
      <c r="BA2387">
        <v>0</v>
      </c>
      <c r="BB2387">
        <v>0</v>
      </c>
      <c r="BC2387">
        <v>0</v>
      </c>
      <c r="BD2387">
        <v>0</v>
      </c>
      <c r="BE2387">
        <v>0</v>
      </c>
      <c r="BF2387">
        <v>0</v>
      </c>
      <c r="BG2387">
        <v>0</v>
      </c>
      <c r="BH2387">
        <v>1</v>
      </c>
      <c r="BI2387">
        <v>1</v>
      </c>
      <c r="BJ2387">
        <v>0.2</v>
      </c>
      <c r="BK2387">
        <v>1</v>
      </c>
      <c r="BL2387" s="4">
        <v>39.42</v>
      </c>
      <c r="BM2387" s="4">
        <v>5.91</v>
      </c>
      <c r="BN2387" s="4">
        <v>45.33</v>
      </c>
      <c r="BO2387" s="4">
        <v>45.33</v>
      </c>
      <c r="BQ2387" t="s">
        <v>2554</v>
      </c>
      <c r="BR2387" t="s">
        <v>84</v>
      </c>
      <c r="BS2387" s="3">
        <v>43811</v>
      </c>
      <c r="BT2387" s="5">
        <v>0.41666666666666669</v>
      </c>
      <c r="BU2387" t="s">
        <v>2555</v>
      </c>
      <c r="BV2387" t="s">
        <v>86</v>
      </c>
      <c r="BY2387">
        <v>1200</v>
      </c>
      <c r="CA2387" t="s">
        <v>2556</v>
      </c>
      <c r="CC2387" t="s">
        <v>633</v>
      </c>
      <c r="CD2387">
        <v>1449</v>
      </c>
      <c r="CE2387" t="s">
        <v>88</v>
      </c>
      <c r="CF2387" s="3">
        <v>43812</v>
      </c>
      <c r="CI2387">
        <v>1</v>
      </c>
      <c r="CJ2387">
        <v>1</v>
      </c>
      <c r="CK2387">
        <v>22</v>
      </c>
      <c r="CL2387" t="s">
        <v>89</v>
      </c>
    </row>
    <row r="2388" spans="1:90">
      <c r="A2388" t="s">
        <v>72</v>
      </c>
      <c r="B2388" t="s">
        <v>73</v>
      </c>
      <c r="C2388" t="s">
        <v>74</v>
      </c>
      <c r="E2388" t="str">
        <f>"FES1162727874"</f>
        <v>FES1162727874</v>
      </c>
      <c r="F2388" s="3">
        <v>43810</v>
      </c>
      <c r="G2388">
        <v>202006</v>
      </c>
      <c r="H2388" t="s">
        <v>75</v>
      </c>
      <c r="I2388" t="s">
        <v>76</v>
      </c>
      <c r="J2388" t="s">
        <v>77</v>
      </c>
      <c r="K2388" t="s">
        <v>78</v>
      </c>
      <c r="L2388" t="s">
        <v>75</v>
      </c>
      <c r="M2388" t="s">
        <v>76</v>
      </c>
      <c r="N2388" t="s">
        <v>321</v>
      </c>
      <c r="O2388" t="s">
        <v>82</v>
      </c>
      <c r="P2388" t="str">
        <f>"21707121349                   "</f>
        <v xml:space="preserve">21707121349                   </v>
      </c>
      <c r="Q2388">
        <v>0</v>
      </c>
      <c r="R2388">
        <v>0</v>
      </c>
      <c r="S2388">
        <v>0</v>
      </c>
      <c r="T2388">
        <v>0</v>
      </c>
      <c r="U2388">
        <v>0</v>
      </c>
      <c r="V2388">
        <v>0</v>
      </c>
      <c r="W2388">
        <v>0</v>
      </c>
      <c r="X2388">
        <v>0</v>
      </c>
      <c r="Y2388">
        <v>0</v>
      </c>
      <c r="Z2388">
        <v>0</v>
      </c>
      <c r="AA2388">
        <v>0</v>
      </c>
      <c r="AB2388">
        <v>0</v>
      </c>
      <c r="AC2388">
        <v>0</v>
      </c>
      <c r="AD2388">
        <v>0</v>
      </c>
      <c r="AE2388">
        <v>0</v>
      </c>
      <c r="AF2388">
        <v>0</v>
      </c>
      <c r="AG2388">
        <v>0</v>
      </c>
      <c r="AH2388">
        <v>0</v>
      </c>
      <c r="AI2388">
        <v>0</v>
      </c>
      <c r="AJ2388">
        <v>0</v>
      </c>
      <c r="AK2388">
        <v>0</v>
      </c>
      <c r="AL2388">
        <v>0</v>
      </c>
      <c r="AM2388">
        <v>6.71</v>
      </c>
      <c r="AN2388">
        <v>0</v>
      </c>
      <c r="AO2388">
        <v>0</v>
      </c>
      <c r="AP2388">
        <v>0</v>
      </c>
      <c r="AQ2388">
        <v>0</v>
      </c>
      <c r="AR2388">
        <v>0</v>
      </c>
      <c r="AS2388">
        <v>0</v>
      </c>
      <c r="AT2388">
        <v>0</v>
      </c>
      <c r="AU2388">
        <v>0</v>
      </c>
      <c r="AV2388">
        <v>0</v>
      </c>
      <c r="AW2388">
        <v>0</v>
      </c>
      <c r="AX2388">
        <v>0</v>
      </c>
      <c r="AY2388">
        <v>0</v>
      </c>
      <c r="AZ2388">
        <v>0</v>
      </c>
      <c r="BA2388">
        <v>0</v>
      </c>
      <c r="BB2388">
        <v>0</v>
      </c>
      <c r="BC2388">
        <v>0</v>
      </c>
      <c r="BD2388">
        <v>0</v>
      </c>
      <c r="BE2388">
        <v>0</v>
      </c>
      <c r="BF2388">
        <v>0</v>
      </c>
      <c r="BG2388">
        <v>0</v>
      </c>
      <c r="BH2388">
        <v>1</v>
      </c>
      <c r="BI2388">
        <v>1</v>
      </c>
      <c r="BJ2388">
        <v>0.2</v>
      </c>
      <c r="BK2388">
        <v>1</v>
      </c>
      <c r="BL2388" s="4">
        <v>39.42</v>
      </c>
      <c r="BM2388" s="4">
        <v>5.91</v>
      </c>
      <c r="BN2388" s="4">
        <v>45.33</v>
      </c>
      <c r="BO2388" s="4">
        <v>45.33</v>
      </c>
      <c r="BQ2388" t="s">
        <v>322</v>
      </c>
      <c r="BR2388" t="s">
        <v>84</v>
      </c>
      <c r="BS2388" s="3">
        <v>43811</v>
      </c>
      <c r="BT2388" s="5">
        <v>0.33819444444444446</v>
      </c>
      <c r="BU2388" t="s">
        <v>2557</v>
      </c>
      <c r="BV2388" t="s">
        <v>86</v>
      </c>
      <c r="BY2388">
        <v>1200</v>
      </c>
      <c r="CC2388" t="s">
        <v>76</v>
      </c>
      <c r="CD2388">
        <v>1619</v>
      </c>
      <c r="CE2388" t="s">
        <v>88</v>
      </c>
      <c r="CF2388" s="3">
        <v>43812</v>
      </c>
      <c r="CI2388">
        <v>1</v>
      </c>
      <c r="CJ2388">
        <v>1</v>
      </c>
      <c r="CK2388">
        <v>22</v>
      </c>
      <c r="CL2388" t="s">
        <v>89</v>
      </c>
    </row>
    <row r="2389" spans="1:90">
      <c r="A2389" t="s">
        <v>72</v>
      </c>
      <c r="B2389" t="s">
        <v>73</v>
      </c>
      <c r="C2389" t="s">
        <v>74</v>
      </c>
      <c r="E2389" t="str">
        <f>"FES1162727878"</f>
        <v>FES1162727878</v>
      </c>
      <c r="F2389" s="3">
        <v>43810</v>
      </c>
      <c r="G2389">
        <v>202006</v>
      </c>
      <c r="H2389" t="s">
        <v>75</v>
      </c>
      <c r="I2389" t="s">
        <v>76</v>
      </c>
      <c r="J2389" t="s">
        <v>77</v>
      </c>
      <c r="K2389" t="s">
        <v>78</v>
      </c>
      <c r="L2389" t="s">
        <v>169</v>
      </c>
      <c r="M2389" t="s">
        <v>170</v>
      </c>
      <c r="N2389" t="s">
        <v>969</v>
      </c>
      <c r="O2389" t="s">
        <v>82</v>
      </c>
      <c r="P2389" t="str">
        <f>"21707123532                   "</f>
        <v xml:space="preserve">21707123532                   </v>
      </c>
      <c r="Q2389">
        <v>0</v>
      </c>
      <c r="R2389">
        <v>0</v>
      </c>
      <c r="S2389">
        <v>0</v>
      </c>
      <c r="T2389">
        <v>0</v>
      </c>
      <c r="U2389">
        <v>0</v>
      </c>
      <c r="V2389">
        <v>0</v>
      </c>
      <c r="W2389">
        <v>0</v>
      </c>
      <c r="X2389">
        <v>0</v>
      </c>
      <c r="Y2389">
        <v>0</v>
      </c>
      <c r="Z2389">
        <v>0</v>
      </c>
      <c r="AA2389">
        <v>0</v>
      </c>
      <c r="AB2389">
        <v>0</v>
      </c>
      <c r="AC2389">
        <v>0</v>
      </c>
      <c r="AD2389">
        <v>0</v>
      </c>
      <c r="AE2389">
        <v>0</v>
      </c>
      <c r="AF2389">
        <v>0</v>
      </c>
      <c r="AG2389">
        <v>0</v>
      </c>
      <c r="AH2389">
        <v>0</v>
      </c>
      <c r="AI2389">
        <v>0</v>
      </c>
      <c r="AJ2389">
        <v>0</v>
      </c>
      <c r="AK2389">
        <v>0</v>
      </c>
      <c r="AL2389">
        <v>0</v>
      </c>
      <c r="AM2389">
        <v>6.71</v>
      </c>
      <c r="AN2389">
        <v>0</v>
      </c>
      <c r="AO2389">
        <v>0</v>
      </c>
      <c r="AP2389">
        <v>0</v>
      </c>
      <c r="AQ2389">
        <v>0</v>
      </c>
      <c r="AR2389">
        <v>0</v>
      </c>
      <c r="AS2389">
        <v>0</v>
      </c>
      <c r="AT2389">
        <v>0</v>
      </c>
      <c r="AU2389">
        <v>0</v>
      </c>
      <c r="AV2389">
        <v>0</v>
      </c>
      <c r="AW2389">
        <v>0</v>
      </c>
      <c r="AX2389">
        <v>0</v>
      </c>
      <c r="AY2389">
        <v>0</v>
      </c>
      <c r="AZ2389">
        <v>0</v>
      </c>
      <c r="BA2389">
        <v>0</v>
      </c>
      <c r="BB2389">
        <v>0</v>
      </c>
      <c r="BC2389">
        <v>0</v>
      </c>
      <c r="BD2389">
        <v>0</v>
      </c>
      <c r="BE2389">
        <v>0</v>
      </c>
      <c r="BF2389">
        <v>0</v>
      </c>
      <c r="BG2389">
        <v>0</v>
      </c>
      <c r="BH2389">
        <v>1</v>
      </c>
      <c r="BI2389">
        <v>1</v>
      </c>
      <c r="BJ2389">
        <v>0.2</v>
      </c>
      <c r="BK2389">
        <v>1</v>
      </c>
      <c r="BL2389" s="4">
        <v>39.42</v>
      </c>
      <c r="BM2389" s="4">
        <v>5.91</v>
      </c>
      <c r="BN2389" s="4">
        <v>45.33</v>
      </c>
      <c r="BO2389" s="4">
        <v>45.33</v>
      </c>
      <c r="BQ2389" t="s">
        <v>93</v>
      </c>
      <c r="BR2389" t="s">
        <v>84</v>
      </c>
      <c r="BS2389" s="3">
        <v>43811</v>
      </c>
      <c r="BT2389" s="5">
        <v>0.32291666666666669</v>
      </c>
      <c r="BU2389" t="s">
        <v>1419</v>
      </c>
      <c r="BV2389" t="s">
        <v>86</v>
      </c>
      <c r="BY2389">
        <v>1200</v>
      </c>
      <c r="CA2389" t="s">
        <v>250</v>
      </c>
      <c r="CC2389" t="s">
        <v>170</v>
      </c>
      <c r="CD2389">
        <v>1459</v>
      </c>
      <c r="CE2389" t="s">
        <v>88</v>
      </c>
      <c r="CF2389" s="3">
        <v>43816</v>
      </c>
      <c r="CI2389">
        <v>1</v>
      </c>
      <c r="CJ2389">
        <v>1</v>
      </c>
      <c r="CK2389">
        <v>22</v>
      </c>
      <c r="CL2389" t="s">
        <v>89</v>
      </c>
    </row>
    <row r="2390" spans="1:90">
      <c r="A2390" t="s">
        <v>72</v>
      </c>
      <c r="B2390" t="s">
        <v>73</v>
      </c>
      <c r="C2390" t="s">
        <v>74</v>
      </c>
      <c r="E2390" t="str">
        <f>"FES1162727913"</f>
        <v>FES1162727913</v>
      </c>
      <c r="F2390" s="3">
        <v>43810</v>
      </c>
      <c r="G2390">
        <v>202006</v>
      </c>
      <c r="H2390" t="s">
        <v>75</v>
      </c>
      <c r="I2390" t="s">
        <v>76</v>
      </c>
      <c r="J2390" t="s">
        <v>77</v>
      </c>
      <c r="K2390" t="s">
        <v>78</v>
      </c>
      <c r="L2390" t="s">
        <v>169</v>
      </c>
      <c r="M2390" t="s">
        <v>170</v>
      </c>
      <c r="N2390" t="s">
        <v>1504</v>
      </c>
      <c r="O2390" t="s">
        <v>82</v>
      </c>
      <c r="P2390" t="str">
        <f>"2170721392                    "</f>
        <v xml:space="preserve">2170721392                    </v>
      </c>
      <c r="Q2390">
        <v>0</v>
      </c>
      <c r="R2390">
        <v>0</v>
      </c>
      <c r="S2390">
        <v>0</v>
      </c>
      <c r="T2390">
        <v>0</v>
      </c>
      <c r="U2390">
        <v>0</v>
      </c>
      <c r="V2390">
        <v>0</v>
      </c>
      <c r="W2390">
        <v>0</v>
      </c>
      <c r="X2390">
        <v>0</v>
      </c>
      <c r="Y2390">
        <v>0</v>
      </c>
      <c r="Z2390">
        <v>0</v>
      </c>
      <c r="AA2390">
        <v>0</v>
      </c>
      <c r="AB2390">
        <v>0</v>
      </c>
      <c r="AC2390">
        <v>0</v>
      </c>
      <c r="AD2390">
        <v>0</v>
      </c>
      <c r="AE2390">
        <v>0</v>
      </c>
      <c r="AF2390">
        <v>0</v>
      </c>
      <c r="AG2390">
        <v>0</v>
      </c>
      <c r="AH2390">
        <v>0</v>
      </c>
      <c r="AI2390">
        <v>0</v>
      </c>
      <c r="AJ2390">
        <v>0</v>
      </c>
      <c r="AK2390">
        <v>0</v>
      </c>
      <c r="AL2390">
        <v>0</v>
      </c>
      <c r="AM2390">
        <v>9.92</v>
      </c>
      <c r="AN2390">
        <v>0</v>
      </c>
      <c r="AO2390">
        <v>0</v>
      </c>
      <c r="AP2390">
        <v>0</v>
      </c>
      <c r="AQ2390">
        <v>0</v>
      </c>
      <c r="AR2390">
        <v>0</v>
      </c>
      <c r="AS2390">
        <v>0</v>
      </c>
      <c r="AT2390">
        <v>0</v>
      </c>
      <c r="AU2390">
        <v>0</v>
      </c>
      <c r="AV2390">
        <v>0</v>
      </c>
      <c r="AW2390">
        <v>0</v>
      </c>
      <c r="AX2390">
        <v>0</v>
      </c>
      <c r="AY2390">
        <v>0</v>
      </c>
      <c r="AZ2390">
        <v>0</v>
      </c>
      <c r="BA2390">
        <v>0</v>
      </c>
      <c r="BB2390">
        <v>0</v>
      </c>
      <c r="BC2390">
        <v>0</v>
      </c>
      <c r="BD2390">
        <v>0</v>
      </c>
      <c r="BE2390">
        <v>0</v>
      </c>
      <c r="BF2390">
        <v>0</v>
      </c>
      <c r="BG2390">
        <v>0</v>
      </c>
      <c r="BH2390">
        <v>1</v>
      </c>
      <c r="BI2390">
        <v>3.8</v>
      </c>
      <c r="BJ2390">
        <v>1.2</v>
      </c>
      <c r="BK2390">
        <v>4</v>
      </c>
      <c r="BL2390" s="4">
        <v>58.31</v>
      </c>
      <c r="BM2390" s="4">
        <v>8.75</v>
      </c>
      <c r="BN2390" s="4">
        <v>67.06</v>
      </c>
      <c r="BO2390" s="4">
        <v>67.06</v>
      </c>
      <c r="BQ2390" t="s">
        <v>147</v>
      </c>
      <c r="BR2390" t="s">
        <v>84</v>
      </c>
      <c r="BS2390" s="3">
        <v>43811</v>
      </c>
      <c r="BT2390" s="5">
        <v>0.27986111111111112</v>
      </c>
      <c r="BU2390" t="s">
        <v>2558</v>
      </c>
      <c r="BV2390" t="s">
        <v>86</v>
      </c>
      <c r="BY2390">
        <v>6019.01</v>
      </c>
      <c r="CA2390" t="s">
        <v>344</v>
      </c>
      <c r="CC2390" t="s">
        <v>170</v>
      </c>
      <c r="CD2390">
        <v>1459</v>
      </c>
      <c r="CE2390" t="s">
        <v>116</v>
      </c>
      <c r="CF2390" s="3">
        <v>43812</v>
      </c>
      <c r="CI2390">
        <v>1</v>
      </c>
      <c r="CJ2390">
        <v>1</v>
      </c>
      <c r="CK2390">
        <v>22</v>
      </c>
      <c r="CL2390" t="s">
        <v>89</v>
      </c>
    </row>
    <row r="2391" spans="1:90">
      <c r="A2391" t="s">
        <v>72</v>
      </c>
      <c r="B2391" t="s">
        <v>73</v>
      </c>
      <c r="C2391" t="s">
        <v>74</v>
      </c>
      <c r="E2391" t="str">
        <f>"FES1162727884"</f>
        <v>FES1162727884</v>
      </c>
      <c r="F2391" s="3">
        <v>43810</v>
      </c>
      <c r="G2391">
        <v>202006</v>
      </c>
      <c r="H2391" t="s">
        <v>75</v>
      </c>
      <c r="I2391" t="s">
        <v>76</v>
      </c>
      <c r="J2391" t="s">
        <v>77</v>
      </c>
      <c r="K2391" t="s">
        <v>78</v>
      </c>
      <c r="L2391" t="s">
        <v>75</v>
      </c>
      <c r="M2391" t="s">
        <v>76</v>
      </c>
      <c r="N2391" t="s">
        <v>289</v>
      </c>
      <c r="O2391" t="s">
        <v>82</v>
      </c>
      <c r="P2391" t="str">
        <f>"217071364                     "</f>
        <v xml:space="preserve">217071364                     </v>
      </c>
      <c r="Q2391">
        <v>0</v>
      </c>
      <c r="R2391">
        <v>0</v>
      </c>
      <c r="S2391">
        <v>0</v>
      </c>
      <c r="T2391">
        <v>0</v>
      </c>
      <c r="U2391">
        <v>0</v>
      </c>
      <c r="V2391">
        <v>0</v>
      </c>
      <c r="W2391">
        <v>0</v>
      </c>
      <c r="X2391">
        <v>0</v>
      </c>
      <c r="Y2391">
        <v>0</v>
      </c>
      <c r="Z2391">
        <v>0</v>
      </c>
      <c r="AA2391">
        <v>0</v>
      </c>
      <c r="AB2391">
        <v>0</v>
      </c>
      <c r="AC2391">
        <v>0</v>
      </c>
      <c r="AD2391">
        <v>0</v>
      </c>
      <c r="AE2391">
        <v>0</v>
      </c>
      <c r="AF2391">
        <v>0</v>
      </c>
      <c r="AG2391">
        <v>0</v>
      </c>
      <c r="AH2391">
        <v>0</v>
      </c>
      <c r="AI2391">
        <v>0</v>
      </c>
      <c r="AJ2391">
        <v>0</v>
      </c>
      <c r="AK2391">
        <v>0</v>
      </c>
      <c r="AL2391">
        <v>0</v>
      </c>
      <c r="AM2391">
        <v>6.71</v>
      </c>
      <c r="AN2391">
        <v>0</v>
      </c>
      <c r="AO2391">
        <v>0</v>
      </c>
      <c r="AP2391">
        <v>0</v>
      </c>
      <c r="AQ2391">
        <v>0</v>
      </c>
      <c r="AR2391">
        <v>0</v>
      </c>
      <c r="AS2391">
        <v>0</v>
      </c>
      <c r="AT2391">
        <v>0</v>
      </c>
      <c r="AU2391">
        <v>0</v>
      </c>
      <c r="AV2391">
        <v>0</v>
      </c>
      <c r="AW2391">
        <v>0</v>
      </c>
      <c r="AX2391">
        <v>0</v>
      </c>
      <c r="AY2391">
        <v>0</v>
      </c>
      <c r="AZ2391">
        <v>0</v>
      </c>
      <c r="BA2391">
        <v>0</v>
      </c>
      <c r="BB2391">
        <v>0</v>
      </c>
      <c r="BC2391">
        <v>0</v>
      </c>
      <c r="BD2391">
        <v>0</v>
      </c>
      <c r="BE2391">
        <v>0</v>
      </c>
      <c r="BF2391">
        <v>0</v>
      </c>
      <c r="BG2391">
        <v>0</v>
      </c>
      <c r="BH2391">
        <v>1</v>
      </c>
      <c r="BI2391">
        <v>1</v>
      </c>
      <c r="BJ2391">
        <v>0.2</v>
      </c>
      <c r="BK2391">
        <v>1</v>
      </c>
      <c r="BL2391" s="4">
        <v>39.42</v>
      </c>
      <c r="BM2391" s="4">
        <v>5.91</v>
      </c>
      <c r="BN2391" s="4">
        <v>45.33</v>
      </c>
      <c r="BO2391" s="4">
        <v>45.33</v>
      </c>
      <c r="BQ2391" t="s">
        <v>290</v>
      </c>
      <c r="BR2391" t="s">
        <v>84</v>
      </c>
      <c r="BS2391" s="3">
        <v>43811</v>
      </c>
      <c r="BT2391" s="5">
        <v>0.28541666666666665</v>
      </c>
      <c r="BU2391" t="s">
        <v>291</v>
      </c>
      <c r="BV2391" t="s">
        <v>86</v>
      </c>
      <c r="BY2391">
        <v>1200</v>
      </c>
      <c r="CA2391" t="s">
        <v>155</v>
      </c>
      <c r="CC2391" t="s">
        <v>76</v>
      </c>
      <c r="CD2391">
        <v>1601</v>
      </c>
      <c r="CE2391" t="s">
        <v>88</v>
      </c>
      <c r="CF2391" s="3">
        <v>43812</v>
      </c>
      <c r="CI2391">
        <v>1</v>
      </c>
      <c r="CJ2391">
        <v>1</v>
      </c>
      <c r="CK2391">
        <v>22</v>
      </c>
      <c r="CL2391" t="s">
        <v>89</v>
      </c>
    </row>
    <row r="2392" spans="1:90">
      <c r="A2392" t="s">
        <v>72</v>
      </c>
      <c r="B2392" t="s">
        <v>73</v>
      </c>
      <c r="C2392" t="s">
        <v>74</v>
      </c>
      <c r="E2392" t="str">
        <f>"FES1162727905"</f>
        <v>FES1162727905</v>
      </c>
      <c r="F2392" s="3">
        <v>43810</v>
      </c>
      <c r="G2392">
        <v>202006</v>
      </c>
      <c r="H2392" t="s">
        <v>75</v>
      </c>
      <c r="I2392" t="s">
        <v>76</v>
      </c>
      <c r="J2392" t="s">
        <v>77</v>
      </c>
      <c r="K2392" t="s">
        <v>78</v>
      </c>
      <c r="L2392" t="s">
        <v>75</v>
      </c>
      <c r="M2392" t="s">
        <v>76</v>
      </c>
      <c r="N2392" t="s">
        <v>194</v>
      </c>
      <c r="O2392" t="s">
        <v>82</v>
      </c>
      <c r="P2392" t="str">
        <f>"21707121383                   "</f>
        <v xml:space="preserve">21707121383                   </v>
      </c>
      <c r="Q2392">
        <v>0</v>
      </c>
      <c r="R2392">
        <v>0</v>
      </c>
      <c r="S2392">
        <v>0</v>
      </c>
      <c r="T2392">
        <v>0</v>
      </c>
      <c r="U2392">
        <v>0</v>
      </c>
      <c r="V2392">
        <v>0</v>
      </c>
      <c r="W2392">
        <v>0</v>
      </c>
      <c r="X2392">
        <v>0</v>
      </c>
      <c r="Y2392">
        <v>0</v>
      </c>
      <c r="Z2392">
        <v>0</v>
      </c>
      <c r="AA2392">
        <v>0</v>
      </c>
      <c r="AB2392">
        <v>0</v>
      </c>
      <c r="AC2392">
        <v>0</v>
      </c>
      <c r="AD2392">
        <v>0</v>
      </c>
      <c r="AE2392">
        <v>0</v>
      </c>
      <c r="AF2392">
        <v>0</v>
      </c>
      <c r="AG2392">
        <v>0</v>
      </c>
      <c r="AH2392">
        <v>0</v>
      </c>
      <c r="AI2392">
        <v>0</v>
      </c>
      <c r="AJ2392">
        <v>0</v>
      </c>
      <c r="AK2392">
        <v>0</v>
      </c>
      <c r="AL2392">
        <v>0</v>
      </c>
      <c r="AM2392">
        <v>6.71</v>
      </c>
      <c r="AN2392">
        <v>0</v>
      </c>
      <c r="AO2392">
        <v>0</v>
      </c>
      <c r="AP2392">
        <v>0</v>
      </c>
      <c r="AQ2392">
        <v>0</v>
      </c>
      <c r="AR2392">
        <v>0</v>
      </c>
      <c r="AS2392">
        <v>0</v>
      </c>
      <c r="AT2392">
        <v>0</v>
      </c>
      <c r="AU2392">
        <v>0</v>
      </c>
      <c r="AV2392">
        <v>0</v>
      </c>
      <c r="AW2392">
        <v>0</v>
      </c>
      <c r="AX2392">
        <v>0</v>
      </c>
      <c r="AY2392">
        <v>0</v>
      </c>
      <c r="AZ2392">
        <v>0</v>
      </c>
      <c r="BA2392">
        <v>0</v>
      </c>
      <c r="BB2392">
        <v>0</v>
      </c>
      <c r="BC2392">
        <v>0</v>
      </c>
      <c r="BD2392">
        <v>0</v>
      </c>
      <c r="BE2392">
        <v>0</v>
      </c>
      <c r="BF2392">
        <v>0</v>
      </c>
      <c r="BG2392">
        <v>0</v>
      </c>
      <c r="BH2392">
        <v>1</v>
      </c>
      <c r="BI2392">
        <v>1</v>
      </c>
      <c r="BJ2392">
        <v>0.2</v>
      </c>
      <c r="BK2392">
        <v>1</v>
      </c>
      <c r="BL2392" s="4">
        <v>39.42</v>
      </c>
      <c r="BM2392" s="4">
        <v>5.91</v>
      </c>
      <c r="BN2392" s="4">
        <v>45.33</v>
      </c>
      <c r="BO2392" s="4">
        <v>45.33</v>
      </c>
      <c r="BQ2392" t="s">
        <v>195</v>
      </c>
      <c r="BR2392" t="s">
        <v>84</v>
      </c>
      <c r="BS2392" s="3">
        <v>43811</v>
      </c>
      <c r="BT2392" s="5">
        <v>0.30833333333333335</v>
      </c>
      <c r="BU2392" t="s">
        <v>587</v>
      </c>
      <c r="BV2392" t="s">
        <v>86</v>
      </c>
      <c r="BY2392">
        <v>1200</v>
      </c>
      <c r="CA2392" t="s">
        <v>588</v>
      </c>
      <c r="CC2392" t="s">
        <v>76</v>
      </c>
      <c r="CD2392">
        <v>1600</v>
      </c>
      <c r="CE2392" t="s">
        <v>88</v>
      </c>
      <c r="CF2392" s="3">
        <v>43812</v>
      </c>
      <c r="CI2392">
        <v>1</v>
      </c>
      <c r="CJ2392">
        <v>1</v>
      </c>
      <c r="CK2392">
        <v>22</v>
      </c>
      <c r="CL2392" t="s">
        <v>89</v>
      </c>
    </row>
    <row r="2393" spans="1:90">
      <c r="A2393" t="s">
        <v>72</v>
      </c>
      <c r="B2393" t="s">
        <v>73</v>
      </c>
      <c r="C2393" t="s">
        <v>74</v>
      </c>
      <c r="E2393" t="str">
        <f>"FES1162727799"</f>
        <v>FES1162727799</v>
      </c>
      <c r="F2393" s="3">
        <v>43810</v>
      </c>
      <c r="G2393">
        <v>202006</v>
      </c>
      <c r="H2393" t="s">
        <v>75</v>
      </c>
      <c r="I2393" t="s">
        <v>76</v>
      </c>
      <c r="J2393" t="s">
        <v>77</v>
      </c>
      <c r="K2393" t="s">
        <v>78</v>
      </c>
      <c r="L2393" t="s">
        <v>361</v>
      </c>
      <c r="M2393" t="s">
        <v>362</v>
      </c>
      <c r="N2393" t="s">
        <v>363</v>
      </c>
      <c r="O2393" t="s">
        <v>82</v>
      </c>
      <c r="P2393" t="str">
        <f>"2170718811                    "</f>
        <v xml:space="preserve">2170718811                    </v>
      </c>
      <c r="Q2393">
        <v>0</v>
      </c>
      <c r="R2393">
        <v>0</v>
      </c>
      <c r="S2393">
        <v>0</v>
      </c>
      <c r="T2393">
        <v>0</v>
      </c>
      <c r="U2393">
        <v>0</v>
      </c>
      <c r="V2393">
        <v>0</v>
      </c>
      <c r="W2393">
        <v>0</v>
      </c>
      <c r="X2393">
        <v>0</v>
      </c>
      <c r="Y2393">
        <v>0</v>
      </c>
      <c r="Z2393">
        <v>0</v>
      </c>
      <c r="AA2393">
        <v>0</v>
      </c>
      <c r="AB2393">
        <v>0</v>
      </c>
      <c r="AC2393">
        <v>0</v>
      </c>
      <c r="AD2393">
        <v>0</v>
      </c>
      <c r="AE2393">
        <v>0</v>
      </c>
      <c r="AF2393">
        <v>0</v>
      </c>
      <c r="AG2393">
        <v>0</v>
      </c>
      <c r="AH2393">
        <v>0</v>
      </c>
      <c r="AI2393">
        <v>0</v>
      </c>
      <c r="AJ2393">
        <v>0</v>
      </c>
      <c r="AK2393">
        <v>0</v>
      </c>
      <c r="AL2393">
        <v>0</v>
      </c>
      <c r="AM2393">
        <v>8.58</v>
      </c>
      <c r="AN2393">
        <v>0</v>
      </c>
      <c r="AO2393">
        <v>0</v>
      </c>
      <c r="AP2393">
        <v>0</v>
      </c>
      <c r="AQ2393">
        <v>0</v>
      </c>
      <c r="AR2393">
        <v>0</v>
      </c>
      <c r="AS2393">
        <v>0</v>
      </c>
      <c r="AT2393">
        <v>0</v>
      </c>
      <c r="AU2393">
        <v>0</v>
      </c>
      <c r="AV2393">
        <v>0</v>
      </c>
      <c r="AW2393">
        <v>0</v>
      </c>
      <c r="AX2393">
        <v>0</v>
      </c>
      <c r="AY2393">
        <v>0</v>
      </c>
      <c r="AZ2393">
        <v>0</v>
      </c>
      <c r="BA2393">
        <v>0</v>
      </c>
      <c r="BB2393">
        <v>0</v>
      </c>
      <c r="BC2393">
        <v>0</v>
      </c>
      <c r="BD2393">
        <v>0</v>
      </c>
      <c r="BE2393">
        <v>0</v>
      </c>
      <c r="BF2393">
        <v>0</v>
      </c>
      <c r="BG2393">
        <v>0</v>
      </c>
      <c r="BH2393">
        <v>1</v>
      </c>
      <c r="BI2393">
        <v>1</v>
      </c>
      <c r="BJ2393">
        <v>0.2</v>
      </c>
      <c r="BK2393">
        <v>1</v>
      </c>
      <c r="BL2393" s="4">
        <v>50.45</v>
      </c>
      <c r="BM2393" s="4">
        <v>7.57</v>
      </c>
      <c r="BN2393" s="4">
        <v>58.02</v>
      </c>
      <c r="BO2393" s="4">
        <v>58.02</v>
      </c>
      <c r="BQ2393" t="s">
        <v>93</v>
      </c>
      <c r="BR2393" t="s">
        <v>84</v>
      </c>
      <c r="BS2393" s="3">
        <v>43811</v>
      </c>
      <c r="BT2393" s="5">
        <v>0.42569444444444443</v>
      </c>
      <c r="BU2393" t="s">
        <v>364</v>
      </c>
      <c r="BV2393" t="s">
        <v>86</v>
      </c>
      <c r="BY2393">
        <v>1200</v>
      </c>
      <c r="CA2393" t="s">
        <v>185</v>
      </c>
      <c r="CC2393" t="s">
        <v>362</v>
      </c>
      <c r="CD2393">
        <v>6220</v>
      </c>
      <c r="CE2393" t="s">
        <v>88</v>
      </c>
      <c r="CF2393" s="3">
        <v>43812</v>
      </c>
      <c r="CI2393">
        <v>1</v>
      </c>
      <c r="CJ2393">
        <v>1</v>
      </c>
      <c r="CK2393">
        <v>21</v>
      </c>
      <c r="CL2393" t="s">
        <v>89</v>
      </c>
    </row>
    <row r="2394" spans="1:90">
      <c r="A2394" t="s">
        <v>72</v>
      </c>
      <c r="B2394" t="s">
        <v>73</v>
      </c>
      <c r="C2394" t="s">
        <v>74</v>
      </c>
      <c r="E2394" t="str">
        <f>"FES1162727803"</f>
        <v>FES1162727803</v>
      </c>
      <c r="F2394" s="3">
        <v>43810</v>
      </c>
      <c r="G2394">
        <v>202006</v>
      </c>
      <c r="H2394" t="s">
        <v>75</v>
      </c>
      <c r="I2394" t="s">
        <v>76</v>
      </c>
      <c r="J2394" t="s">
        <v>77</v>
      </c>
      <c r="K2394" t="s">
        <v>78</v>
      </c>
      <c r="L2394" t="s">
        <v>79</v>
      </c>
      <c r="M2394" t="s">
        <v>80</v>
      </c>
      <c r="N2394" t="s">
        <v>1769</v>
      </c>
      <c r="O2394" t="s">
        <v>82</v>
      </c>
      <c r="P2394" t="str">
        <f>"2170719004                    "</f>
        <v xml:space="preserve">2170719004                    </v>
      </c>
      <c r="Q2394">
        <v>0</v>
      </c>
      <c r="R2394">
        <v>0</v>
      </c>
      <c r="S2394">
        <v>0</v>
      </c>
      <c r="T2394">
        <v>0</v>
      </c>
      <c r="U2394">
        <v>0</v>
      </c>
      <c r="V2394">
        <v>0</v>
      </c>
      <c r="W2394">
        <v>0</v>
      </c>
      <c r="X2394">
        <v>0</v>
      </c>
      <c r="Y2394">
        <v>0</v>
      </c>
      <c r="Z2394">
        <v>0</v>
      </c>
      <c r="AA2394">
        <v>0</v>
      </c>
      <c r="AB2394">
        <v>0</v>
      </c>
      <c r="AC2394">
        <v>0</v>
      </c>
      <c r="AD2394">
        <v>0</v>
      </c>
      <c r="AE2394">
        <v>0</v>
      </c>
      <c r="AF2394">
        <v>0</v>
      </c>
      <c r="AG2394">
        <v>0</v>
      </c>
      <c r="AH2394">
        <v>0</v>
      </c>
      <c r="AI2394">
        <v>0</v>
      </c>
      <c r="AJ2394">
        <v>0</v>
      </c>
      <c r="AK2394">
        <v>0</v>
      </c>
      <c r="AL2394">
        <v>0</v>
      </c>
      <c r="AM2394">
        <v>8.58</v>
      </c>
      <c r="AN2394">
        <v>0</v>
      </c>
      <c r="AO2394">
        <v>0</v>
      </c>
      <c r="AP2394">
        <v>0</v>
      </c>
      <c r="AQ2394">
        <v>0</v>
      </c>
      <c r="AR2394">
        <v>0</v>
      </c>
      <c r="AS2394">
        <v>0</v>
      </c>
      <c r="AT2394">
        <v>0</v>
      </c>
      <c r="AU2394">
        <v>0</v>
      </c>
      <c r="AV2394">
        <v>0</v>
      </c>
      <c r="AW2394">
        <v>0</v>
      </c>
      <c r="AX2394">
        <v>0</v>
      </c>
      <c r="AY2394">
        <v>0</v>
      </c>
      <c r="AZ2394">
        <v>0</v>
      </c>
      <c r="BA2394">
        <v>0</v>
      </c>
      <c r="BB2394">
        <v>0</v>
      </c>
      <c r="BC2394">
        <v>0</v>
      </c>
      <c r="BD2394">
        <v>0</v>
      </c>
      <c r="BE2394">
        <v>0</v>
      </c>
      <c r="BF2394">
        <v>0</v>
      </c>
      <c r="BG2394">
        <v>0</v>
      </c>
      <c r="BH2394">
        <v>1</v>
      </c>
      <c r="BI2394">
        <v>1</v>
      </c>
      <c r="BJ2394">
        <v>0.2</v>
      </c>
      <c r="BK2394">
        <v>1</v>
      </c>
      <c r="BL2394" s="4">
        <v>50.45</v>
      </c>
      <c r="BM2394" s="4">
        <v>7.57</v>
      </c>
      <c r="BN2394" s="4">
        <v>58.02</v>
      </c>
      <c r="BO2394" s="4">
        <v>58.02</v>
      </c>
      <c r="BQ2394" t="s">
        <v>93</v>
      </c>
      <c r="BR2394" t="s">
        <v>84</v>
      </c>
      <c r="BS2394" s="3">
        <v>43811</v>
      </c>
      <c r="BT2394" s="5">
        <v>0.4284722222222222</v>
      </c>
      <c r="BU2394" t="s">
        <v>2559</v>
      </c>
      <c r="BV2394" t="s">
        <v>86</v>
      </c>
      <c r="BY2394">
        <v>1200</v>
      </c>
      <c r="CA2394" t="s">
        <v>185</v>
      </c>
      <c r="CC2394" t="s">
        <v>80</v>
      </c>
      <c r="CD2394">
        <v>6001</v>
      </c>
      <c r="CE2394" t="s">
        <v>88</v>
      </c>
      <c r="CF2394" s="3">
        <v>43812</v>
      </c>
      <c r="CI2394">
        <v>1</v>
      </c>
      <c r="CJ2394">
        <v>1</v>
      </c>
      <c r="CK2394">
        <v>21</v>
      </c>
      <c r="CL2394" t="s">
        <v>89</v>
      </c>
    </row>
    <row r="2395" spans="1:90">
      <c r="A2395" t="s">
        <v>72</v>
      </c>
      <c r="B2395" t="s">
        <v>73</v>
      </c>
      <c r="C2395" t="s">
        <v>74</v>
      </c>
      <c r="E2395" t="str">
        <f>"FES1162727792"</f>
        <v>FES1162727792</v>
      </c>
      <c r="F2395" s="3">
        <v>43810</v>
      </c>
      <c r="G2395">
        <v>202006</v>
      </c>
      <c r="H2395" t="s">
        <v>75</v>
      </c>
      <c r="I2395" t="s">
        <v>76</v>
      </c>
      <c r="J2395" t="s">
        <v>77</v>
      </c>
      <c r="K2395" t="s">
        <v>78</v>
      </c>
      <c r="L2395" t="s">
        <v>79</v>
      </c>
      <c r="M2395" t="s">
        <v>80</v>
      </c>
      <c r="N2395" t="s">
        <v>388</v>
      </c>
      <c r="O2395" t="s">
        <v>82</v>
      </c>
      <c r="P2395" t="str">
        <f>"2170718479                    "</f>
        <v xml:space="preserve">2170718479                    </v>
      </c>
      <c r="Q2395">
        <v>0</v>
      </c>
      <c r="R2395">
        <v>0</v>
      </c>
      <c r="S2395">
        <v>0</v>
      </c>
      <c r="T2395">
        <v>0</v>
      </c>
      <c r="U2395">
        <v>0</v>
      </c>
      <c r="V2395">
        <v>0</v>
      </c>
      <c r="W2395">
        <v>0</v>
      </c>
      <c r="X2395">
        <v>0</v>
      </c>
      <c r="Y2395">
        <v>0</v>
      </c>
      <c r="Z2395">
        <v>0</v>
      </c>
      <c r="AA2395">
        <v>0</v>
      </c>
      <c r="AB2395">
        <v>0</v>
      </c>
      <c r="AC2395">
        <v>0</v>
      </c>
      <c r="AD2395">
        <v>0</v>
      </c>
      <c r="AE2395">
        <v>0</v>
      </c>
      <c r="AF2395">
        <v>0</v>
      </c>
      <c r="AG2395">
        <v>0</v>
      </c>
      <c r="AH2395">
        <v>0</v>
      </c>
      <c r="AI2395">
        <v>0</v>
      </c>
      <c r="AJ2395">
        <v>0</v>
      </c>
      <c r="AK2395">
        <v>0</v>
      </c>
      <c r="AL2395">
        <v>0</v>
      </c>
      <c r="AM2395">
        <v>8.58</v>
      </c>
      <c r="AN2395">
        <v>0</v>
      </c>
      <c r="AO2395">
        <v>0</v>
      </c>
      <c r="AP2395">
        <v>0</v>
      </c>
      <c r="AQ2395">
        <v>0</v>
      </c>
      <c r="AR2395">
        <v>0</v>
      </c>
      <c r="AS2395">
        <v>0</v>
      </c>
      <c r="AT2395">
        <v>0</v>
      </c>
      <c r="AU2395">
        <v>0</v>
      </c>
      <c r="AV2395">
        <v>0</v>
      </c>
      <c r="AW2395">
        <v>0</v>
      </c>
      <c r="AX2395">
        <v>0</v>
      </c>
      <c r="AY2395">
        <v>0</v>
      </c>
      <c r="AZ2395">
        <v>0</v>
      </c>
      <c r="BA2395">
        <v>0</v>
      </c>
      <c r="BB2395">
        <v>0</v>
      </c>
      <c r="BC2395">
        <v>0</v>
      </c>
      <c r="BD2395">
        <v>0</v>
      </c>
      <c r="BE2395">
        <v>0</v>
      </c>
      <c r="BF2395">
        <v>0</v>
      </c>
      <c r="BG2395">
        <v>0</v>
      </c>
      <c r="BH2395">
        <v>1</v>
      </c>
      <c r="BI2395">
        <v>1</v>
      </c>
      <c r="BJ2395">
        <v>0.2</v>
      </c>
      <c r="BK2395">
        <v>1</v>
      </c>
      <c r="BL2395" s="4">
        <v>50.45</v>
      </c>
      <c r="BM2395" s="4">
        <v>7.57</v>
      </c>
      <c r="BN2395" s="4">
        <v>58.02</v>
      </c>
      <c r="BO2395" s="4">
        <v>58.02</v>
      </c>
      <c r="BQ2395" t="s">
        <v>147</v>
      </c>
      <c r="BR2395" t="s">
        <v>84</v>
      </c>
      <c r="BS2395" s="3">
        <v>43811</v>
      </c>
      <c r="BT2395" s="5">
        <v>0.37083333333333335</v>
      </c>
      <c r="BU2395" t="s">
        <v>368</v>
      </c>
      <c r="BV2395" t="s">
        <v>86</v>
      </c>
      <c r="BY2395">
        <v>1200</v>
      </c>
      <c r="CA2395" t="s">
        <v>131</v>
      </c>
      <c r="CC2395" t="s">
        <v>80</v>
      </c>
      <c r="CD2395">
        <v>6001</v>
      </c>
      <c r="CE2395" t="s">
        <v>88</v>
      </c>
      <c r="CF2395" s="3">
        <v>43812</v>
      </c>
      <c r="CI2395">
        <v>1</v>
      </c>
      <c r="CJ2395">
        <v>1</v>
      </c>
      <c r="CK2395">
        <v>21</v>
      </c>
      <c r="CL2395" t="s">
        <v>89</v>
      </c>
    </row>
    <row r="2396" spans="1:90">
      <c r="A2396" t="s">
        <v>72</v>
      </c>
      <c r="B2396" t="s">
        <v>73</v>
      </c>
      <c r="C2396" t="s">
        <v>74</v>
      </c>
      <c r="E2396" t="str">
        <f>"FES1162727818"</f>
        <v>FES1162727818</v>
      </c>
      <c r="F2396" s="3">
        <v>43810</v>
      </c>
      <c r="G2396">
        <v>202006</v>
      </c>
      <c r="H2396" t="s">
        <v>75</v>
      </c>
      <c r="I2396" t="s">
        <v>76</v>
      </c>
      <c r="J2396" t="s">
        <v>77</v>
      </c>
      <c r="K2396" t="s">
        <v>78</v>
      </c>
      <c r="L2396" t="s">
        <v>164</v>
      </c>
      <c r="M2396" t="s">
        <v>165</v>
      </c>
      <c r="N2396" t="s">
        <v>263</v>
      </c>
      <c r="O2396" t="s">
        <v>82</v>
      </c>
      <c r="P2396" t="str">
        <f>"2170719414                    "</f>
        <v xml:space="preserve">2170719414                    </v>
      </c>
      <c r="Q2396">
        <v>0</v>
      </c>
      <c r="R2396">
        <v>0</v>
      </c>
      <c r="S2396">
        <v>0</v>
      </c>
      <c r="T2396">
        <v>0</v>
      </c>
      <c r="U2396">
        <v>0</v>
      </c>
      <c r="V2396">
        <v>0</v>
      </c>
      <c r="W2396">
        <v>0</v>
      </c>
      <c r="X2396">
        <v>0</v>
      </c>
      <c r="Y2396">
        <v>0</v>
      </c>
      <c r="Z2396">
        <v>0</v>
      </c>
      <c r="AA2396">
        <v>0</v>
      </c>
      <c r="AB2396">
        <v>0</v>
      </c>
      <c r="AC2396">
        <v>0</v>
      </c>
      <c r="AD2396">
        <v>0</v>
      </c>
      <c r="AE2396">
        <v>0</v>
      </c>
      <c r="AF2396">
        <v>0</v>
      </c>
      <c r="AG2396">
        <v>0</v>
      </c>
      <c r="AH2396">
        <v>0</v>
      </c>
      <c r="AI2396">
        <v>0</v>
      </c>
      <c r="AJ2396">
        <v>0</v>
      </c>
      <c r="AK2396">
        <v>0</v>
      </c>
      <c r="AL2396">
        <v>0</v>
      </c>
      <c r="AM2396">
        <v>8.58</v>
      </c>
      <c r="AN2396">
        <v>0</v>
      </c>
      <c r="AO2396">
        <v>0</v>
      </c>
      <c r="AP2396">
        <v>0</v>
      </c>
      <c r="AQ2396">
        <v>0</v>
      </c>
      <c r="AR2396">
        <v>0</v>
      </c>
      <c r="AS2396">
        <v>0</v>
      </c>
      <c r="AT2396">
        <v>0</v>
      </c>
      <c r="AU2396">
        <v>0</v>
      </c>
      <c r="AV2396">
        <v>0</v>
      </c>
      <c r="AW2396">
        <v>0</v>
      </c>
      <c r="AX2396">
        <v>0</v>
      </c>
      <c r="AY2396">
        <v>0</v>
      </c>
      <c r="AZ2396">
        <v>0</v>
      </c>
      <c r="BA2396">
        <v>0</v>
      </c>
      <c r="BB2396">
        <v>0</v>
      </c>
      <c r="BC2396">
        <v>0</v>
      </c>
      <c r="BD2396">
        <v>0</v>
      </c>
      <c r="BE2396">
        <v>0</v>
      </c>
      <c r="BF2396">
        <v>0</v>
      </c>
      <c r="BG2396">
        <v>0</v>
      </c>
      <c r="BH2396">
        <v>1</v>
      </c>
      <c r="BI2396">
        <v>1</v>
      </c>
      <c r="BJ2396">
        <v>0.2</v>
      </c>
      <c r="BK2396">
        <v>1</v>
      </c>
      <c r="BL2396" s="4">
        <v>50.45</v>
      </c>
      <c r="BM2396" s="4">
        <v>7.57</v>
      </c>
      <c r="BN2396" s="4">
        <v>58.02</v>
      </c>
      <c r="BO2396" s="4">
        <v>58.02</v>
      </c>
      <c r="BQ2396" t="s">
        <v>147</v>
      </c>
      <c r="BR2396" t="s">
        <v>84</v>
      </c>
      <c r="BS2396" s="3">
        <v>43811</v>
      </c>
      <c r="BT2396" s="5">
        <v>0.4055555555555555</v>
      </c>
      <c r="BU2396" t="s">
        <v>2473</v>
      </c>
      <c r="BV2396" t="s">
        <v>86</v>
      </c>
      <c r="BY2396">
        <v>1200</v>
      </c>
      <c r="CA2396" t="s">
        <v>766</v>
      </c>
      <c r="CC2396" t="s">
        <v>165</v>
      </c>
      <c r="CD2396">
        <v>5201</v>
      </c>
      <c r="CE2396" t="s">
        <v>88</v>
      </c>
      <c r="CF2396" s="3">
        <v>43816</v>
      </c>
      <c r="CI2396">
        <v>1</v>
      </c>
      <c r="CJ2396">
        <v>1</v>
      </c>
      <c r="CK2396">
        <v>21</v>
      </c>
      <c r="CL2396" t="s">
        <v>89</v>
      </c>
    </row>
    <row r="2397" spans="1:90">
      <c r="A2397" t="s">
        <v>72</v>
      </c>
      <c r="B2397" t="s">
        <v>73</v>
      </c>
      <c r="C2397" t="s">
        <v>74</v>
      </c>
      <c r="E2397" t="str">
        <f>"FES1162727805"</f>
        <v>FES1162727805</v>
      </c>
      <c r="F2397" s="3">
        <v>43810</v>
      </c>
      <c r="G2397">
        <v>202006</v>
      </c>
      <c r="H2397" t="s">
        <v>75</v>
      </c>
      <c r="I2397" t="s">
        <v>76</v>
      </c>
      <c r="J2397" t="s">
        <v>77</v>
      </c>
      <c r="K2397" t="s">
        <v>78</v>
      </c>
      <c r="L2397" t="s">
        <v>164</v>
      </c>
      <c r="M2397" t="s">
        <v>165</v>
      </c>
      <c r="N2397" t="s">
        <v>238</v>
      </c>
      <c r="O2397" t="s">
        <v>82</v>
      </c>
      <c r="P2397" t="str">
        <f>"2170719068                    "</f>
        <v xml:space="preserve">2170719068                    </v>
      </c>
      <c r="Q2397">
        <v>0</v>
      </c>
      <c r="R2397">
        <v>0</v>
      </c>
      <c r="S2397">
        <v>0</v>
      </c>
      <c r="T2397">
        <v>0</v>
      </c>
      <c r="U2397">
        <v>0</v>
      </c>
      <c r="V2397">
        <v>0</v>
      </c>
      <c r="W2397">
        <v>0</v>
      </c>
      <c r="X2397">
        <v>0</v>
      </c>
      <c r="Y2397">
        <v>0</v>
      </c>
      <c r="Z2397">
        <v>0</v>
      </c>
      <c r="AA2397">
        <v>0</v>
      </c>
      <c r="AB2397">
        <v>0</v>
      </c>
      <c r="AC2397">
        <v>0</v>
      </c>
      <c r="AD2397">
        <v>0</v>
      </c>
      <c r="AE2397">
        <v>0</v>
      </c>
      <c r="AF2397">
        <v>0</v>
      </c>
      <c r="AG2397">
        <v>0</v>
      </c>
      <c r="AH2397">
        <v>0</v>
      </c>
      <c r="AI2397">
        <v>0</v>
      </c>
      <c r="AJ2397">
        <v>0</v>
      </c>
      <c r="AK2397">
        <v>0</v>
      </c>
      <c r="AL2397">
        <v>0</v>
      </c>
      <c r="AM2397">
        <v>8.58</v>
      </c>
      <c r="AN2397">
        <v>0</v>
      </c>
      <c r="AO2397">
        <v>0</v>
      </c>
      <c r="AP2397">
        <v>0</v>
      </c>
      <c r="AQ2397">
        <v>0</v>
      </c>
      <c r="AR2397">
        <v>0</v>
      </c>
      <c r="AS2397">
        <v>0</v>
      </c>
      <c r="AT2397">
        <v>0</v>
      </c>
      <c r="AU2397">
        <v>0</v>
      </c>
      <c r="AV2397">
        <v>0</v>
      </c>
      <c r="AW2397">
        <v>0</v>
      </c>
      <c r="AX2397">
        <v>0</v>
      </c>
      <c r="AY2397">
        <v>0</v>
      </c>
      <c r="AZ2397">
        <v>0</v>
      </c>
      <c r="BA2397">
        <v>0</v>
      </c>
      <c r="BB2397">
        <v>0</v>
      </c>
      <c r="BC2397">
        <v>0</v>
      </c>
      <c r="BD2397">
        <v>0</v>
      </c>
      <c r="BE2397">
        <v>0</v>
      </c>
      <c r="BF2397">
        <v>0</v>
      </c>
      <c r="BG2397">
        <v>0</v>
      </c>
      <c r="BH2397">
        <v>1</v>
      </c>
      <c r="BI2397">
        <v>1</v>
      </c>
      <c r="BJ2397">
        <v>0.2</v>
      </c>
      <c r="BK2397">
        <v>1</v>
      </c>
      <c r="BL2397" s="4">
        <v>50.45</v>
      </c>
      <c r="BM2397" s="4">
        <v>7.57</v>
      </c>
      <c r="BN2397" s="4">
        <v>58.02</v>
      </c>
      <c r="BO2397" s="4">
        <v>58.02</v>
      </c>
      <c r="BQ2397" t="s">
        <v>147</v>
      </c>
      <c r="BR2397" t="s">
        <v>84</v>
      </c>
      <c r="BS2397" s="3">
        <v>43811</v>
      </c>
      <c r="BT2397" s="5">
        <v>0.375</v>
      </c>
      <c r="BU2397" t="s">
        <v>239</v>
      </c>
      <c r="BV2397" t="s">
        <v>86</v>
      </c>
      <c r="BY2397">
        <v>1200</v>
      </c>
      <c r="CA2397" t="s">
        <v>168</v>
      </c>
      <c r="CC2397" t="s">
        <v>165</v>
      </c>
      <c r="CD2397">
        <v>5201</v>
      </c>
      <c r="CE2397" t="s">
        <v>88</v>
      </c>
      <c r="CF2397" s="3">
        <v>43812</v>
      </c>
      <c r="CI2397">
        <v>1</v>
      </c>
      <c r="CJ2397">
        <v>1</v>
      </c>
      <c r="CK2397">
        <v>21</v>
      </c>
      <c r="CL2397" t="s">
        <v>89</v>
      </c>
    </row>
    <row r="2398" spans="1:90">
      <c r="A2398" t="s">
        <v>72</v>
      </c>
      <c r="B2398" t="s">
        <v>73</v>
      </c>
      <c r="C2398" t="s">
        <v>74</v>
      </c>
      <c r="E2398" t="str">
        <f>"FES1162727899"</f>
        <v>FES1162727899</v>
      </c>
      <c r="F2398" s="3">
        <v>43810</v>
      </c>
      <c r="G2398">
        <v>202006</v>
      </c>
      <c r="H2398" t="s">
        <v>75</v>
      </c>
      <c r="I2398" t="s">
        <v>76</v>
      </c>
      <c r="J2398" t="s">
        <v>77</v>
      </c>
      <c r="K2398" t="s">
        <v>78</v>
      </c>
      <c r="L2398" t="s">
        <v>79</v>
      </c>
      <c r="M2398" t="s">
        <v>80</v>
      </c>
      <c r="N2398" t="s">
        <v>689</v>
      </c>
      <c r="O2398" t="s">
        <v>82</v>
      </c>
      <c r="P2398" t="str">
        <f>"2170721380                    "</f>
        <v xml:space="preserve">2170721380                    </v>
      </c>
      <c r="Q2398">
        <v>0</v>
      </c>
      <c r="R2398">
        <v>0</v>
      </c>
      <c r="S2398">
        <v>0</v>
      </c>
      <c r="T2398">
        <v>0</v>
      </c>
      <c r="U2398">
        <v>0</v>
      </c>
      <c r="V2398">
        <v>0</v>
      </c>
      <c r="W2398">
        <v>0</v>
      </c>
      <c r="X2398">
        <v>0</v>
      </c>
      <c r="Y2398">
        <v>0</v>
      </c>
      <c r="Z2398">
        <v>0</v>
      </c>
      <c r="AA2398">
        <v>0</v>
      </c>
      <c r="AB2398">
        <v>0</v>
      </c>
      <c r="AC2398">
        <v>0</v>
      </c>
      <c r="AD2398">
        <v>0</v>
      </c>
      <c r="AE2398">
        <v>0</v>
      </c>
      <c r="AF2398">
        <v>0</v>
      </c>
      <c r="AG2398">
        <v>0</v>
      </c>
      <c r="AH2398">
        <v>0</v>
      </c>
      <c r="AI2398">
        <v>0</v>
      </c>
      <c r="AJ2398">
        <v>0</v>
      </c>
      <c r="AK2398">
        <v>0</v>
      </c>
      <c r="AL2398">
        <v>0</v>
      </c>
      <c r="AM2398">
        <v>8.58</v>
      </c>
      <c r="AN2398">
        <v>0</v>
      </c>
      <c r="AO2398">
        <v>0</v>
      </c>
      <c r="AP2398">
        <v>0</v>
      </c>
      <c r="AQ2398">
        <v>0</v>
      </c>
      <c r="AR2398">
        <v>0</v>
      </c>
      <c r="AS2398">
        <v>0</v>
      </c>
      <c r="AT2398">
        <v>0</v>
      </c>
      <c r="AU2398">
        <v>0</v>
      </c>
      <c r="AV2398">
        <v>0</v>
      </c>
      <c r="AW2398">
        <v>0</v>
      </c>
      <c r="AX2398">
        <v>0</v>
      </c>
      <c r="AY2398">
        <v>0</v>
      </c>
      <c r="AZ2398">
        <v>0</v>
      </c>
      <c r="BA2398">
        <v>0</v>
      </c>
      <c r="BB2398">
        <v>0</v>
      </c>
      <c r="BC2398">
        <v>0</v>
      </c>
      <c r="BD2398">
        <v>0</v>
      </c>
      <c r="BE2398">
        <v>0</v>
      </c>
      <c r="BF2398">
        <v>0</v>
      </c>
      <c r="BG2398">
        <v>0</v>
      </c>
      <c r="BH2398">
        <v>1</v>
      </c>
      <c r="BI2398">
        <v>1</v>
      </c>
      <c r="BJ2398">
        <v>0.2</v>
      </c>
      <c r="BK2398">
        <v>1</v>
      </c>
      <c r="BL2398" s="4">
        <v>50.45</v>
      </c>
      <c r="BM2398" s="4">
        <v>7.57</v>
      </c>
      <c r="BN2398" s="4">
        <v>58.02</v>
      </c>
      <c r="BO2398" s="4">
        <v>58.02</v>
      </c>
      <c r="BQ2398" t="s">
        <v>147</v>
      </c>
      <c r="BR2398" t="s">
        <v>84</v>
      </c>
      <c r="BS2398" s="3">
        <v>43811</v>
      </c>
      <c r="BT2398" s="5">
        <v>0.38472222222222219</v>
      </c>
      <c r="BU2398" t="s">
        <v>1080</v>
      </c>
      <c r="BV2398" t="s">
        <v>86</v>
      </c>
      <c r="BY2398">
        <v>1200</v>
      </c>
      <c r="CA2398" t="s">
        <v>185</v>
      </c>
      <c r="CC2398" t="s">
        <v>80</v>
      </c>
      <c r="CD2398">
        <v>6001</v>
      </c>
      <c r="CE2398" t="s">
        <v>88</v>
      </c>
      <c r="CF2398" s="3">
        <v>43812</v>
      </c>
      <c r="CI2398">
        <v>1</v>
      </c>
      <c r="CJ2398">
        <v>1</v>
      </c>
      <c r="CK2398">
        <v>21</v>
      </c>
      <c r="CL2398" t="s">
        <v>89</v>
      </c>
    </row>
    <row r="2399" spans="1:90">
      <c r="A2399" t="s">
        <v>72</v>
      </c>
      <c r="B2399" t="s">
        <v>73</v>
      </c>
      <c r="C2399" t="s">
        <v>74</v>
      </c>
      <c r="E2399" t="str">
        <f>"FES1162727900"</f>
        <v>FES1162727900</v>
      </c>
      <c r="F2399" s="3">
        <v>43810</v>
      </c>
      <c r="G2399">
        <v>202006</v>
      </c>
      <c r="H2399" t="s">
        <v>75</v>
      </c>
      <c r="I2399" t="s">
        <v>76</v>
      </c>
      <c r="J2399" t="s">
        <v>77</v>
      </c>
      <c r="K2399" t="s">
        <v>78</v>
      </c>
      <c r="L2399" t="s">
        <v>350</v>
      </c>
      <c r="M2399" t="s">
        <v>351</v>
      </c>
      <c r="N2399" t="s">
        <v>727</v>
      </c>
      <c r="O2399" t="s">
        <v>82</v>
      </c>
      <c r="P2399" t="str">
        <f>"217071381                     "</f>
        <v xml:space="preserve">217071381                     </v>
      </c>
      <c r="Q2399">
        <v>0</v>
      </c>
      <c r="R2399">
        <v>0</v>
      </c>
      <c r="S2399">
        <v>0</v>
      </c>
      <c r="T2399">
        <v>0</v>
      </c>
      <c r="U2399">
        <v>0</v>
      </c>
      <c r="V2399">
        <v>0</v>
      </c>
      <c r="W2399">
        <v>0</v>
      </c>
      <c r="X2399">
        <v>0</v>
      </c>
      <c r="Y2399">
        <v>0</v>
      </c>
      <c r="Z2399">
        <v>0</v>
      </c>
      <c r="AA2399">
        <v>0</v>
      </c>
      <c r="AB2399">
        <v>0</v>
      </c>
      <c r="AC2399">
        <v>0</v>
      </c>
      <c r="AD2399">
        <v>0</v>
      </c>
      <c r="AE2399">
        <v>0</v>
      </c>
      <c r="AF2399">
        <v>0</v>
      </c>
      <c r="AG2399">
        <v>0</v>
      </c>
      <c r="AH2399">
        <v>0</v>
      </c>
      <c r="AI2399">
        <v>0</v>
      </c>
      <c r="AJ2399">
        <v>0</v>
      </c>
      <c r="AK2399">
        <v>0</v>
      </c>
      <c r="AL2399">
        <v>0</v>
      </c>
      <c r="AM2399">
        <v>9.92</v>
      </c>
      <c r="AN2399">
        <v>0</v>
      </c>
      <c r="AO2399">
        <v>0</v>
      </c>
      <c r="AP2399">
        <v>0</v>
      </c>
      <c r="AQ2399">
        <v>0</v>
      </c>
      <c r="AR2399">
        <v>0</v>
      </c>
      <c r="AS2399">
        <v>0</v>
      </c>
      <c r="AT2399">
        <v>0</v>
      </c>
      <c r="AU2399">
        <v>0</v>
      </c>
      <c r="AV2399">
        <v>0</v>
      </c>
      <c r="AW2399">
        <v>0</v>
      </c>
      <c r="AX2399">
        <v>0</v>
      </c>
      <c r="AY2399">
        <v>0</v>
      </c>
      <c r="AZ2399">
        <v>0</v>
      </c>
      <c r="BA2399">
        <v>0</v>
      </c>
      <c r="BB2399">
        <v>0</v>
      </c>
      <c r="BC2399">
        <v>0</v>
      </c>
      <c r="BD2399">
        <v>0</v>
      </c>
      <c r="BE2399">
        <v>0</v>
      </c>
      <c r="BF2399">
        <v>0</v>
      </c>
      <c r="BG2399">
        <v>0</v>
      </c>
      <c r="BH2399">
        <v>1</v>
      </c>
      <c r="BI2399">
        <v>2.9</v>
      </c>
      <c r="BJ2399">
        <v>4</v>
      </c>
      <c r="BK2399">
        <v>4</v>
      </c>
      <c r="BL2399" s="4">
        <v>58.31</v>
      </c>
      <c r="BM2399" s="4">
        <v>8.75</v>
      </c>
      <c r="BN2399" s="4">
        <v>67.06</v>
      </c>
      <c r="BO2399" s="4">
        <v>67.06</v>
      </c>
      <c r="BQ2399" t="s">
        <v>147</v>
      </c>
      <c r="BR2399" t="s">
        <v>84</v>
      </c>
      <c r="BS2399" s="3">
        <v>43811</v>
      </c>
      <c r="BT2399" s="5">
        <v>0.2951388888888889</v>
      </c>
      <c r="BU2399" t="s">
        <v>2508</v>
      </c>
      <c r="BV2399" t="s">
        <v>86</v>
      </c>
      <c r="BY2399">
        <v>20011.990000000002</v>
      </c>
      <c r="CA2399" t="s">
        <v>729</v>
      </c>
      <c r="CC2399" t="s">
        <v>351</v>
      </c>
      <c r="CD2399">
        <v>1501</v>
      </c>
      <c r="CE2399" t="s">
        <v>116</v>
      </c>
      <c r="CF2399" s="3">
        <v>43812</v>
      </c>
      <c r="CI2399">
        <v>1</v>
      </c>
      <c r="CJ2399">
        <v>1</v>
      </c>
      <c r="CK2399">
        <v>22</v>
      </c>
      <c r="CL2399" t="s">
        <v>89</v>
      </c>
    </row>
    <row r="2400" spans="1:90">
      <c r="A2400" t="s">
        <v>72</v>
      </c>
      <c r="B2400" t="s">
        <v>73</v>
      </c>
      <c r="C2400" t="s">
        <v>74</v>
      </c>
      <c r="E2400" t="str">
        <f>"FES1162727790"</f>
        <v>FES1162727790</v>
      </c>
      <c r="F2400" s="3">
        <v>43810</v>
      </c>
      <c r="G2400">
        <v>202006</v>
      </c>
      <c r="H2400" t="s">
        <v>75</v>
      </c>
      <c r="I2400" t="s">
        <v>76</v>
      </c>
      <c r="J2400" t="s">
        <v>77</v>
      </c>
      <c r="K2400" t="s">
        <v>78</v>
      </c>
      <c r="L2400" t="s">
        <v>332</v>
      </c>
      <c r="M2400" t="s">
        <v>333</v>
      </c>
      <c r="N2400" t="s">
        <v>701</v>
      </c>
      <c r="O2400" t="s">
        <v>82</v>
      </c>
      <c r="P2400" t="str">
        <f>"2170718356                    "</f>
        <v xml:space="preserve">2170718356                    </v>
      </c>
      <c r="Q2400">
        <v>0</v>
      </c>
      <c r="R2400">
        <v>0</v>
      </c>
      <c r="S2400">
        <v>0</v>
      </c>
      <c r="T2400">
        <v>0</v>
      </c>
      <c r="U2400">
        <v>0</v>
      </c>
      <c r="V2400">
        <v>0</v>
      </c>
      <c r="W2400">
        <v>0</v>
      </c>
      <c r="X2400">
        <v>0</v>
      </c>
      <c r="Y2400">
        <v>0</v>
      </c>
      <c r="Z2400">
        <v>0</v>
      </c>
      <c r="AA2400">
        <v>0</v>
      </c>
      <c r="AB2400">
        <v>0</v>
      </c>
      <c r="AC2400">
        <v>0</v>
      </c>
      <c r="AD2400">
        <v>0</v>
      </c>
      <c r="AE2400">
        <v>0</v>
      </c>
      <c r="AF2400">
        <v>0</v>
      </c>
      <c r="AG2400">
        <v>0</v>
      </c>
      <c r="AH2400">
        <v>0</v>
      </c>
      <c r="AI2400">
        <v>0</v>
      </c>
      <c r="AJ2400">
        <v>0</v>
      </c>
      <c r="AK2400">
        <v>0</v>
      </c>
      <c r="AL2400">
        <v>0</v>
      </c>
      <c r="AM2400">
        <v>13.13</v>
      </c>
      <c r="AN2400">
        <v>0</v>
      </c>
      <c r="AO2400">
        <v>0</v>
      </c>
      <c r="AP2400">
        <v>0</v>
      </c>
      <c r="AQ2400">
        <v>0</v>
      </c>
      <c r="AR2400">
        <v>0</v>
      </c>
      <c r="AS2400">
        <v>0</v>
      </c>
      <c r="AT2400">
        <v>0</v>
      </c>
      <c r="AU2400">
        <v>0</v>
      </c>
      <c r="AV2400">
        <v>0</v>
      </c>
      <c r="AW2400">
        <v>0</v>
      </c>
      <c r="AX2400">
        <v>0</v>
      </c>
      <c r="AY2400">
        <v>0</v>
      </c>
      <c r="AZ2400">
        <v>0</v>
      </c>
      <c r="BA2400">
        <v>0</v>
      </c>
      <c r="BB2400">
        <v>0</v>
      </c>
      <c r="BC2400">
        <v>0</v>
      </c>
      <c r="BD2400">
        <v>0</v>
      </c>
      <c r="BE2400">
        <v>0</v>
      </c>
      <c r="BF2400">
        <v>0</v>
      </c>
      <c r="BG2400">
        <v>0</v>
      </c>
      <c r="BH2400">
        <v>1</v>
      </c>
      <c r="BI2400">
        <v>2.7</v>
      </c>
      <c r="BJ2400">
        <v>5.7</v>
      </c>
      <c r="BK2400">
        <v>6</v>
      </c>
      <c r="BL2400" s="4">
        <v>77.2</v>
      </c>
      <c r="BM2400" s="4">
        <v>11.58</v>
      </c>
      <c r="BN2400" s="4">
        <v>88.78</v>
      </c>
      <c r="BO2400" s="4">
        <v>88.78</v>
      </c>
      <c r="BQ2400" t="s">
        <v>93</v>
      </c>
      <c r="BR2400" t="s">
        <v>84</v>
      </c>
      <c r="BS2400" s="3">
        <v>43811</v>
      </c>
      <c r="BT2400" s="5">
        <v>0.3659722222222222</v>
      </c>
      <c r="BU2400" t="s">
        <v>2084</v>
      </c>
      <c r="BV2400" t="s">
        <v>86</v>
      </c>
      <c r="BY2400">
        <v>28371.42</v>
      </c>
      <c r="CC2400" t="s">
        <v>333</v>
      </c>
      <c r="CD2400">
        <v>2094</v>
      </c>
      <c r="CE2400" t="s">
        <v>116</v>
      </c>
      <c r="CF2400" s="3">
        <v>43812</v>
      </c>
      <c r="CI2400">
        <v>1</v>
      </c>
      <c r="CJ2400">
        <v>1</v>
      </c>
      <c r="CK2400">
        <v>22</v>
      </c>
      <c r="CL2400" t="s">
        <v>89</v>
      </c>
    </row>
    <row r="2401" spans="1:90">
      <c r="A2401" t="s">
        <v>72</v>
      </c>
      <c r="B2401" t="s">
        <v>73</v>
      </c>
      <c r="C2401" t="s">
        <v>74</v>
      </c>
      <c r="E2401" t="str">
        <f>"RFES1162727981"</f>
        <v>RFES1162727981</v>
      </c>
      <c r="F2401" s="3">
        <v>43819</v>
      </c>
      <c r="G2401">
        <v>202006</v>
      </c>
      <c r="H2401" t="s">
        <v>138</v>
      </c>
      <c r="I2401" t="s">
        <v>139</v>
      </c>
      <c r="J2401" t="s">
        <v>1768</v>
      </c>
      <c r="K2401" t="s">
        <v>78</v>
      </c>
      <c r="L2401" t="s">
        <v>75</v>
      </c>
      <c r="M2401" t="s">
        <v>76</v>
      </c>
      <c r="N2401" t="s">
        <v>77</v>
      </c>
      <c r="O2401" t="s">
        <v>82</v>
      </c>
      <c r="P2401" t="str">
        <f>"2170719038 CLIENT             "</f>
        <v xml:space="preserve">2170719038 CLIENT             </v>
      </c>
      <c r="Q2401">
        <v>0</v>
      </c>
      <c r="R2401">
        <v>0</v>
      </c>
      <c r="S2401">
        <v>0</v>
      </c>
      <c r="T2401">
        <v>0</v>
      </c>
      <c r="U2401">
        <v>0</v>
      </c>
      <c r="V2401">
        <v>0</v>
      </c>
      <c r="W2401">
        <v>0</v>
      </c>
      <c r="X2401">
        <v>0</v>
      </c>
      <c r="Y2401">
        <v>0</v>
      </c>
      <c r="Z2401">
        <v>0</v>
      </c>
      <c r="AA2401">
        <v>0</v>
      </c>
      <c r="AB2401">
        <v>0</v>
      </c>
      <c r="AC2401">
        <v>0</v>
      </c>
      <c r="AD2401">
        <v>0</v>
      </c>
      <c r="AE2401">
        <v>0</v>
      </c>
      <c r="AF2401">
        <v>0</v>
      </c>
      <c r="AG2401">
        <v>0</v>
      </c>
      <c r="AH2401">
        <v>0</v>
      </c>
      <c r="AI2401">
        <v>0</v>
      </c>
      <c r="AJ2401">
        <v>0</v>
      </c>
      <c r="AK2401">
        <v>0</v>
      </c>
      <c r="AL2401">
        <v>0</v>
      </c>
      <c r="AM2401">
        <v>6.71</v>
      </c>
      <c r="AN2401">
        <v>0</v>
      </c>
      <c r="AO2401">
        <v>0</v>
      </c>
      <c r="AP2401">
        <v>0</v>
      </c>
      <c r="AQ2401">
        <v>0</v>
      </c>
      <c r="AR2401">
        <v>0</v>
      </c>
      <c r="AS2401">
        <v>0</v>
      </c>
      <c r="AT2401">
        <v>0</v>
      </c>
      <c r="AU2401">
        <v>0</v>
      </c>
      <c r="AV2401">
        <v>0</v>
      </c>
      <c r="AW2401">
        <v>0</v>
      </c>
      <c r="AX2401">
        <v>0</v>
      </c>
      <c r="AY2401">
        <v>0</v>
      </c>
      <c r="AZ2401">
        <v>0</v>
      </c>
      <c r="BA2401">
        <v>0</v>
      </c>
      <c r="BB2401">
        <v>0</v>
      </c>
      <c r="BC2401">
        <v>0</v>
      </c>
      <c r="BD2401">
        <v>0</v>
      </c>
      <c r="BE2401">
        <v>0</v>
      </c>
      <c r="BF2401">
        <v>0</v>
      </c>
      <c r="BG2401">
        <v>0</v>
      </c>
      <c r="BH2401">
        <v>1</v>
      </c>
      <c r="BI2401">
        <v>1</v>
      </c>
      <c r="BJ2401">
        <v>0.2</v>
      </c>
      <c r="BK2401">
        <v>1</v>
      </c>
      <c r="BL2401" s="4">
        <v>39.42</v>
      </c>
      <c r="BM2401" s="4">
        <v>5.91</v>
      </c>
      <c r="BN2401" s="4">
        <v>45.33</v>
      </c>
      <c r="BO2401" s="4">
        <v>45.33</v>
      </c>
      <c r="BQ2401" t="s">
        <v>84</v>
      </c>
      <c r="BS2401" s="3">
        <v>43822</v>
      </c>
      <c r="BT2401" s="5">
        <v>0.41180555555555554</v>
      </c>
      <c r="BU2401" t="s">
        <v>154</v>
      </c>
      <c r="BV2401" t="s">
        <v>86</v>
      </c>
      <c r="BY2401">
        <v>1200</v>
      </c>
      <c r="CA2401" t="s">
        <v>155</v>
      </c>
      <c r="CC2401" t="s">
        <v>76</v>
      </c>
      <c r="CD2401">
        <v>1601</v>
      </c>
      <c r="CE2401" t="s">
        <v>88</v>
      </c>
      <c r="CF2401" s="3">
        <v>43823</v>
      </c>
      <c r="CI2401">
        <v>1</v>
      </c>
      <c r="CJ2401">
        <v>1</v>
      </c>
      <c r="CK2401">
        <v>22</v>
      </c>
      <c r="CL2401" t="s">
        <v>89</v>
      </c>
    </row>
    <row r="2402" spans="1:90">
      <c r="A2402" t="s">
        <v>72</v>
      </c>
      <c r="B2402" t="s">
        <v>73</v>
      </c>
      <c r="C2402" t="s">
        <v>74</v>
      </c>
      <c r="E2402" t="str">
        <f>"RFES1162728511"</f>
        <v>RFES1162728511</v>
      </c>
      <c r="F2402" s="3">
        <v>43819</v>
      </c>
      <c r="G2402">
        <v>202006</v>
      </c>
      <c r="H2402" t="s">
        <v>1934</v>
      </c>
      <c r="I2402" t="s">
        <v>1935</v>
      </c>
      <c r="J2402" t="s">
        <v>1936</v>
      </c>
      <c r="K2402" t="s">
        <v>78</v>
      </c>
      <c r="L2402" t="s">
        <v>75</v>
      </c>
      <c r="M2402" t="s">
        <v>76</v>
      </c>
      <c r="N2402" t="s">
        <v>77</v>
      </c>
      <c r="O2402" t="s">
        <v>82</v>
      </c>
      <c r="P2402" t="str">
        <f>"2170712137 CLIENT             "</f>
        <v xml:space="preserve">2170712137 CLIENT             </v>
      </c>
      <c r="Q2402">
        <v>0</v>
      </c>
      <c r="R2402">
        <v>0</v>
      </c>
      <c r="S2402">
        <v>0</v>
      </c>
      <c r="T2402">
        <v>0</v>
      </c>
      <c r="U2402">
        <v>0</v>
      </c>
      <c r="V2402">
        <v>0</v>
      </c>
      <c r="W2402">
        <v>0</v>
      </c>
      <c r="X2402">
        <v>0</v>
      </c>
      <c r="Y2402">
        <v>0</v>
      </c>
      <c r="Z2402">
        <v>0</v>
      </c>
      <c r="AA2402">
        <v>0</v>
      </c>
      <c r="AB2402">
        <v>0</v>
      </c>
      <c r="AC2402">
        <v>0</v>
      </c>
      <c r="AD2402">
        <v>0</v>
      </c>
      <c r="AE2402">
        <v>0</v>
      </c>
      <c r="AF2402">
        <v>0</v>
      </c>
      <c r="AG2402">
        <v>0</v>
      </c>
      <c r="AH2402">
        <v>0</v>
      </c>
      <c r="AI2402">
        <v>0</v>
      </c>
      <c r="AJ2402">
        <v>0</v>
      </c>
      <c r="AK2402">
        <v>0</v>
      </c>
      <c r="AL2402">
        <v>0</v>
      </c>
      <c r="AM2402">
        <v>12.07</v>
      </c>
      <c r="AN2402">
        <v>0</v>
      </c>
      <c r="AO2402">
        <v>0</v>
      </c>
      <c r="AP2402">
        <v>0</v>
      </c>
      <c r="AQ2402">
        <v>0</v>
      </c>
      <c r="AR2402">
        <v>0</v>
      </c>
      <c r="AS2402">
        <v>0</v>
      </c>
      <c r="AT2402">
        <v>0</v>
      </c>
      <c r="AU2402">
        <v>0</v>
      </c>
      <c r="AV2402">
        <v>0</v>
      </c>
      <c r="AW2402">
        <v>0</v>
      </c>
      <c r="AX2402">
        <v>0</v>
      </c>
      <c r="AY2402">
        <v>0</v>
      </c>
      <c r="AZ2402">
        <v>0</v>
      </c>
      <c r="BA2402">
        <v>0</v>
      </c>
      <c r="BB2402">
        <v>0</v>
      </c>
      <c r="BC2402">
        <v>0</v>
      </c>
      <c r="BD2402">
        <v>0</v>
      </c>
      <c r="BE2402">
        <v>0</v>
      </c>
      <c r="BF2402">
        <v>0</v>
      </c>
      <c r="BG2402">
        <v>0</v>
      </c>
      <c r="BH2402">
        <v>1</v>
      </c>
      <c r="BI2402">
        <v>1</v>
      </c>
      <c r="BJ2402">
        <v>0.2</v>
      </c>
      <c r="BK2402">
        <v>1</v>
      </c>
      <c r="BL2402" s="4">
        <v>70.95</v>
      </c>
      <c r="BM2402" s="4">
        <v>10.64</v>
      </c>
      <c r="BN2402" s="4">
        <v>81.59</v>
      </c>
      <c r="BO2402" s="4">
        <v>81.59</v>
      </c>
      <c r="BQ2402" t="s">
        <v>84</v>
      </c>
      <c r="BS2402" s="3">
        <v>43822</v>
      </c>
      <c r="BT2402" s="5">
        <v>0.40625</v>
      </c>
      <c r="BU2402" t="s">
        <v>154</v>
      </c>
      <c r="BV2402" t="s">
        <v>86</v>
      </c>
      <c r="BY2402">
        <v>1200</v>
      </c>
      <c r="CA2402" t="s">
        <v>155</v>
      </c>
      <c r="CC2402" t="s">
        <v>76</v>
      </c>
      <c r="CD2402">
        <v>1601</v>
      </c>
      <c r="CE2402" t="s">
        <v>88</v>
      </c>
      <c r="CF2402" s="3">
        <v>43823</v>
      </c>
      <c r="CI2402">
        <v>1</v>
      </c>
      <c r="CJ2402">
        <v>1</v>
      </c>
      <c r="CK2402">
        <v>24</v>
      </c>
      <c r="CL2402" t="s">
        <v>89</v>
      </c>
    </row>
    <row r="2403" spans="1:90">
      <c r="A2403" t="s">
        <v>72</v>
      </c>
      <c r="B2403" t="s">
        <v>73</v>
      </c>
      <c r="C2403" t="s">
        <v>74</v>
      </c>
      <c r="E2403" t="str">
        <f>"RFES1162728063"</f>
        <v>RFES1162728063</v>
      </c>
      <c r="F2403" s="3">
        <v>43819</v>
      </c>
      <c r="G2403">
        <v>202006</v>
      </c>
      <c r="H2403" t="s">
        <v>169</v>
      </c>
      <c r="I2403" t="s">
        <v>170</v>
      </c>
      <c r="J2403" t="s">
        <v>1687</v>
      </c>
      <c r="K2403" t="s">
        <v>78</v>
      </c>
      <c r="L2403" t="s">
        <v>75</v>
      </c>
      <c r="M2403" t="s">
        <v>76</v>
      </c>
      <c r="N2403" t="s">
        <v>77</v>
      </c>
      <c r="O2403" t="s">
        <v>82</v>
      </c>
      <c r="P2403" t="str">
        <f>"2170718163 CLIENT             "</f>
        <v xml:space="preserve">2170718163 CLIENT             </v>
      </c>
      <c r="Q2403">
        <v>0</v>
      </c>
      <c r="R2403">
        <v>0</v>
      </c>
      <c r="S2403">
        <v>0</v>
      </c>
      <c r="T2403">
        <v>0</v>
      </c>
      <c r="U2403">
        <v>0</v>
      </c>
      <c r="V2403">
        <v>0</v>
      </c>
      <c r="W2403">
        <v>0</v>
      </c>
      <c r="X2403">
        <v>0</v>
      </c>
      <c r="Y2403">
        <v>0</v>
      </c>
      <c r="Z2403">
        <v>0</v>
      </c>
      <c r="AA2403">
        <v>0</v>
      </c>
      <c r="AB2403">
        <v>0</v>
      </c>
      <c r="AC2403">
        <v>0</v>
      </c>
      <c r="AD2403">
        <v>0</v>
      </c>
      <c r="AE2403">
        <v>0</v>
      </c>
      <c r="AF2403">
        <v>0</v>
      </c>
      <c r="AG2403">
        <v>0</v>
      </c>
      <c r="AH2403">
        <v>0</v>
      </c>
      <c r="AI2403">
        <v>0</v>
      </c>
      <c r="AJ2403">
        <v>0</v>
      </c>
      <c r="AK2403">
        <v>0</v>
      </c>
      <c r="AL2403">
        <v>0</v>
      </c>
      <c r="AM2403">
        <v>6.71</v>
      </c>
      <c r="AN2403">
        <v>0</v>
      </c>
      <c r="AO2403">
        <v>0</v>
      </c>
      <c r="AP2403">
        <v>0</v>
      </c>
      <c r="AQ2403">
        <v>0</v>
      </c>
      <c r="AR2403">
        <v>0</v>
      </c>
      <c r="AS2403">
        <v>0</v>
      </c>
      <c r="AT2403">
        <v>0</v>
      </c>
      <c r="AU2403">
        <v>0</v>
      </c>
      <c r="AV2403">
        <v>0</v>
      </c>
      <c r="AW2403">
        <v>0</v>
      </c>
      <c r="AX2403">
        <v>0</v>
      </c>
      <c r="AY2403">
        <v>0</v>
      </c>
      <c r="AZ2403">
        <v>0</v>
      </c>
      <c r="BA2403">
        <v>0</v>
      </c>
      <c r="BB2403">
        <v>0</v>
      </c>
      <c r="BC2403">
        <v>0</v>
      </c>
      <c r="BD2403">
        <v>0</v>
      </c>
      <c r="BE2403">
        <v>0</v>
      </c>
      <c r="BF2403">
        <v>0</v>
      </c>
      <c r="BG2403">
        <v>0</v>
      </c>
      <c r="BH2403">
        <v>1</v>
      </c>
      <c r="BI2403">
        <v>1</v>
      </c>
      <c r="BJ2403">
        <v>0.2</v>
      </c>
      <c r="BK2403">
        <v>1</v>
      </c>
      <c r="BL2403" s="4">
        <v>39.42</v>
      </c>
      <c r="BM2403" s="4">
        <v>5.91</v>
      </c>
      <c r="BN2403" s="4">
        <v>45.33</v>
      </c>
      <c r="BO2403" s="4">
        <v>45.33</v>
      </c>
      <c r="BQ2403" t="s">
        <v>84</v>
      </c>
      <c r="BS2403" t="s">
        <v>717</v>
      </c>
      <c r="BY2403">
        <v>1200</v>
      </c>
      <c r="BZ2403" t="s">
        <v>27</v>
      </c>
      <c r="CC2403" t="s">
        <v>76</v>
      </c>
      <c r="CD2403">
        <v>1601</v>
      </c>
      <c r="CE2403" t="s">
        <v>88</v>
      </c>
      <c r="CI2403">
        <v>1</v>
      </c>
      <c r="CJ2403" t="s">
        <v>717</v>
      </c>
      <c r="CK2403">
        <v>22</v>
      </c>
      <c r="CL2403" t="s">
        <v>89</v>
      </c>
    </row>
    <row r="2404" spans="1:90">
      <c r="A2404" t="s">
        <v>72</v>
      </c>
      <c r="B2404" t="s">
        <v>73</v>
      </c>
      <c r="C2404" t="s">
        <v>74</v>
      </c>
      <c r="E2404" t="str">
        <f>"019911311466"</f>
        <v>019911311466</v>
      </c>
      <c r="F2404" s="3">
        <v>43819</v>
      </c>
      <c r="G2404">
        <v>202006</v>
      </c>
      <c r="H2404" t="s">
        <v>90</v>
      </c>
      <c r="I2404" t="s">
        <v>91</v>
      </c>
      <c r="J2404" t="s">
        <v>100</v>
      </c>
      <c r="K2404" t="s">
        <v>78</v>
      </c>
      <c r="L2404" t="s">
        <v>75</v>
      </c>
      <c r="M2404" t="s">
        <v>76</v>
      </c>
      <c r="N2404" t="s">
        <v>125</v>
      </c>
      <c r="O2404" t="s">
        <v>104</v>
      </c>
      <c r="P2404" t="str">
        <f>"1703                          "</f>
        <v xml:space="preserve">1703                          </v>
      </c>
      <c r="Q2404">
        <v>0</v>
      </c>
      <c r="R2404">
        <v>0</v>
      </c>
      <c r="S2404">
        <v>0</v>
      </c>
      <c r="T2404">
        <v>0</v>
      </c>
      <c r="U2404">
        <v>0</v>
      </c>
      <c r="V2404">
        <v>0</v>
      </c>
      <c r="W2404">
        <v>0</v>
      </c>
      <c r="X2404">
        <v>0</v>
      </c>
      <c r="Y2404">
        <v>0</v>
      </c>
      <c r="Z2404">
        <v>0</v>
      </c>
      <c r="AA2404">
        <v>0</v>
      </c>
      <c r="AB2404">
        <v>0</v>
      </c>
      <c r="AC2404">
        <v>0</v>
      </c>
      <c r="AD2404">
        <v>0</v>
      </c>
      <c r="AE2404">
        <v>0</v>
      </c>
      <c r="AF2404">
        <v>0</v>
      </c>
      <c r="AG2404">
        <v>0</v>
      </c>
      <c r="AH2404">
        <v>0</v>
      </c>
      <c r="AI2404">
        <v>0</v>
      </c>
      <c r="AJ2404">
        <v>0</v>
      </c>
      <c r="AK2404">
        <v>0</v>
      </c>
      <c r="AL2404">
        <v>0</v>
      </c>
      <c r="AM2404">
        <v>17.57</v>
      </c>
      <c r="AN2404">
        <v>0</v>
      </c>
      <c r="AO2404">
        <v>0</v>
      </c>
      <c r="AP2404">
        <v>0</v>
      </c>
      <c r="AQ2404">
        <v>0</v>
      </c>
      <c r="AR2404">
        <v>0</v>
      </c>
      <c r="AS2404">
        <v>0</v>
      </c>
      <c r="AT2404">
        <v>0</v>
      </c>
      <c r="AU2404">
        <v>0</v>
      </c>
      <c r="AV2404">
        <v>0</v>
      </c>
      <c r="AW2404">
        <v>0</v>
      </c>
      <c r="AX2404">
        <v>0</v>
      </c>
      <c r="AY2404">
        <v>0</v>
      </c>
      <c r="AZ2404">
        <v>0</v>
      </c>
      <c r="BA2404">
        <v>0</v>
      </c>
      <c r="BB2404">
        <v>0</v>
      </c>
      <c r="BC2404">
        <v>0</v>
      </c>
      <c r="BD2404">
        <v>0</v>
      </c>
      <c r="BE2404">
        <v>0</v>
      </c>
      <c r="BF2404">
        <v>0</v>
      </c>
      <c r="BG2404">
        <v>0</v>
      </c>
      <c r="BH2404">
        <v>1</v>
      </c>
      <c r="BI2404">
        <v>6</v>
      </c>
      <c r="BJ2404">
        <v>3.8</v>
      </c>
      <c r="BK2404">
        <v>6</v>
      </c>
      <c r="BL2404" s="4">
        <v>108.28</v>
      </c>
      <c r="BM2404" s="4">
        <v>16.239999999999998</v>
      </c>
      <c r="BN2404" s="4">
        <v>124.52</v>
      </c>
      <c r="BO2404" s="4">
        <v>124.52</v>
      </c>
      <c r="BQ2404" t="s">
        <v>126</v>
      </c>
      <c r="BR2404" t="s">
        <v>127</v>
      </c>
      <c r="BS2404" s="3">
        <v>43822</v>
      </c>
      <c r="BT2404" s="5">
        <v>0.40486111111111112</v>
      </c>
      <c r="BU2404" t="s">
        <v>154</v>
      </c>
      <c r="BV2404" t="s">
        <v>86</v>
      </c>
      <c r="BY2404">
        <v>18927.72</v>
      </c>
      <c r="CA2404" t="s">
        <v>155</v>
      </c>
      <c r="CC2404" t="s">
        <v>76</v>
      </c>
      <c r="CD2404">
        <v>1600</v>
      </c>
      <c r="CE2404" t="s">
        <v>2560</v>
      </c>
      <c r="CF2404" s="3">
        <v>43823</v>
      </c>
      <c r="CI2404">
        <v>2</v>
      </c>
      <c r="CJ2404">
        <v>1</v>
      </c>
      <c r="CK2404" t="s">
        <v>113</v>
      </c>
      <c r="CL2404" t="s">
        <v>89</v>
      </c>
    </row>
    <row r="2405" spans="1:90">
      <c r="A2405" t="s">
        <v>72</v>
      </c>
      <c r="B2405" t="s">
        <v>73</v>
      </c>
      <c r="C2405" t="s">
        <v>74</v>
      </c>
      <c r="E2405" t="str">
        <f>"009939517535"</f>
        <v>009939517535</v>
      </c>
      <c r="F2405" s="3">
        <v>43819</v>
      </c>
      <c r="G2405">
        <v>202006</v>
      </c>
      <c r="H2405" t="s">
        <v>198</v>
      </c>
      <c r="I2405" t="s">
        <v>199</v>
      </c>
      <c r="J2405" t="s">
        <v>297</v>
      </c>
      <c r="K2405" t="s">
        <v>78</v>
      </c>
      <c r="L2405" t="s">
        <v>75</v>
      </c>
      <c r="M2405" t="s">
        <v>76</v>
      </c>
      <c r="N2405" t="s">
        <v>2561</v>
      </c>
      <c r="O2405" t="s">
        <v>104</v>
      </c>
      <c r="P2405" t="str">
        <f>"                              "</f>
        <v xml:space="preserve">                              </v>
      </c>
      <c r="Q2405">
        <v>0</v>
      </c>
      <c r="R2405">
        <v>0</v>
      </c>
      <c r="S2405">
        <v>0</v>
      </c>
      <c r="T2405">
        <v>0</v>
      </c>
      <c r="U2405">
        <v>0</v>
      </c>
      <c r="V2405">
        <v>0</v>
      </c>
      <c r="W2405">
        <v>0</v>
      </c>
      <c r="X2405">
        <v>0</v>
      </c>
      <c r="Y2405">
        <v>0</v>
      </c>
      <c r="Z2405">
        <v>0</v>
      </c>
      <c r="AA2405">
        <v>0</v>
      </c>
      <c r="AB2405">
        <v>0</v>
      </c>
      <c r="AC2405">
        <v>0</v>
      </c>
      <c r="AD2405">
        <v>0</v>
      </c>
      <c r="AE2405">
        <v>0</v>
      </c>
      <c r="AF2405">
        <v>0</v>
      </c>
      <c r="AG2405">
        <v>0</v>
      </c>
      <c r="AH2405">
        <v>0</v>
      </c>
      <c r="AI2405">
        <v>0</v>
      </c>
      <c r="AJ2405">
        <v>0</v>
      </c>
      <c r="AK2405">
        <v>0</v>
      </c>
      <c r="AL2405">
        <v>0</v>
      </c>
      <c r="AM2405">
        <v>16.09</v>
      </c>
      <c r="AN2405">
        <v>0</v>
      </c>
      <c r="AO2405">
        <v>0</v>
      </c>
      <c r="AP2405">
        <v>0</v>
      </c>
      <c r="AQ2405">
        <v>0</v>
      </c>
      <c r="AR2405">
        <v>0</v>
      </c>
      <c r="AS2405">
        <v>0</v>
      </c>
      <c r="AT2405">
        <v>0</v>
      </c>
      <c r="AU2405">
        <v>0</v>
      </c>
      <c r="AV2405">
        <v>0</v>
      </c>
      <c r="AW2405">
        <v>0</v>
      </c>
      <c r="AX2405">
        <v>0</v>
      </c>
      <c r="AY2405">
        <v>0</v>
      </c>
      <c r="AZ2405">
        <v>0</v>
      </c>
      <c r="BA2405">
        <v>0</v>
      </c>
      <c r="BB2405">
        <v>0</v>
      </c>
      <c r="BC2405">
        <v>0</v>
      </c>
      <c r="BD2405">
        <v>0</v>
      </c>
      <c r="BE2405">
        <v>0</v>
      </c>
      <c r="BF2405">
        <v>0</v>
      </c>
      <c r="BG2405">
        <v>0</v>
      </c>
      <c r="BH2405">
        <v>1</v>
      </c>
      <c r="BI2405">
        <v>2</v>
      </c>
      <c r="BJ2405">
        <v>1.4</v>
      </c>
      <c r="BK2405">
        <v>2</v>
      </c>
      <c r="BL2405" s="4">
        <v>99.59</v>
      </c>
      <c r="BM2405" s="4">
        <v>14.94</v>
      </c>
      <c r="BN2405" s="4">
        <v>114.53</v>
      </c>
      <c r="BO2405" s="4">
        <v>114.53</v>
      </c>
      <c r="BQ2405" t="s">
        <v>2562</v>
      </c>
      <c r="BS2405" s="3">
        <v>43822</v>
      </c>
      <c r="BT2405" s="5">
        <v>0.4055555555555555</v>
      </c>
      <c r="BU2405" t="s">
        <v>154</v>
      </c>
      <c r="BV2405" t="s">
        <v>86</v>
      </c>
      <c r="BY2405">
        <v>5199.9799999999996</v>
      </c>
      <c r="CA2405" t="s">
        <v>155</v>
      </c>
      <c r="CC2405" t="s">
        <v>76</v>
      </c>
      <c r="CD2405">
        <v>1600</v>
      </c>
      <c r="CE2405" t="s">
        <v>96</v>
      </c>
      <c r="CF2405" s="3">
        <v>43823</v>
      </c>
      <c r="CI2405">
        <v>1</v>
      </c>
      <c r="CJ2405">
        <v>1</v>
      </c>
      <c r="CK2405" t="s">
        <v>722</v>
      </c>
      <c r="CL2405" t="s">
        <v>89</v>
      </c>
    </row>
    <row r="2406" spans="1:90">
      <c r="A2406" t="s">
        <v>72</v>
      </c>
      <c r="B2406" t="s">
        <v>73</v>
      </c>
      <c r="C2406" t="s">
        <v>74</v>
      </c>
      <c r="E2406" t="str">
        <f>"FES1162729046"</f>
        <v>FES1162729046</v>
      </c>
      <c r="F2406" s="3">
        <v>43818</v>
      </c>
      <c r="G2406">
        <v>202006</v>
      </c>
      <c r="H2406" t="s">
        <v>75</v>
      </c>
      <c r="I2406" t="s">
        <v>76</v>
      </c>
      <c r="J2406" t="s">
        <v>100</v>
      </c>
      <c r="K2406" t="s">
        <v>78</v>
      </c>
      <c r="L2406" t="s">
        <v>177</v>
      </c>
      <c r="M2406" t="s">
        <v>178</v>
      </c>
      <c r="N2406" t="s">
        <v>179</v>
      </c>
      <c r="O2406" t="s">
        <v>1340</v>
      </c>
      <c r="P2406" t="str">
        <f>"21707198790                   "</f>
        <v xml:space="preserve">21707198790                   </v>
      </c>
      <c r="Q2406">
        <v>0</v>
      </c>
      <c r="R2406">
        <v>0</v>
      </c>
      <c r="S2406">
        <v>0</v>
      </c>
      <c r="T2406">
        <v>0</v>
      </c>
      <c r="U2406">
        <v>0</v>
      </c>
      <c r="V2406">
        <v>0</v>
      </c>
      <c r="W2406">
        <v>0</v>
      </c>
      <c r="X2406">
        <v>0</v>
      </c>
      <c r="Y2406">
        <v>0</v>
      </c>
      <c r="Z2406">
        <v>0</v>
      </c>
      <c r="AA2406">
        <v>0</v>
      </c>
      <c r="AB2406">
        <v>0</v>
      </c>
      <c r="AC2406">
        <v>0</v>
      </c>
      <c r="AD2406">
        <v>0</v>
      </c>
      <c r="AE2406">
        <v>0</v>
      </c>
      <c r="AF2406">
        <v>0</v>
      </c>
      <c r="AG2406">
        <v>0</v>
      </c>
      <c r="AH2406">
        <v>0</v>
      </c>
      <c r="AI2406">
        <v>0</v>
      </c>
      <c r="AJ2406">
        <v>0</v>
      </c>
      <c r="AK2406">
        <v>0</v>
      </c>
      <c r="AL2406">
        <v>0</v>
      </c>
      <c r="AM2406">
        <v>12.07</v>
      </c>
      <c r="AN2406">
        <v>0</v>
      </c>
      <c r="AO2406">
        <v>0</v>
      </c>
      <c r="AP2406">
        <v>0</v>
      </c>
      <c r="AQ2406">
        <v>0</v>
      </c>
      <c r="AR2406">
        <v>0</v>
      </c>
      <c r="AS2406">
        <v>0</v>
      </c>
      <c r="AT2406">
        <v>0</v>
      </c>
      <c r="AU2406">
        <v>0</v>
      </c>
      <c r="AV2406">
        <v>0</v>
      </c>
      <c r="AW2406">
        <v>0</v>
      </c>
      <c r="AX2406">
        <v>0</v>
      </c>
      <c r="AY2406">
        <v>0</v>
      </c>
      <c r="AZ2406">
        <v>0</v>
      </c>
      <c r="BA2406">
        <v>0</v>
      </c>
      <c r="BB2406">
        <v>0</v>
      </c>
      <c r="BC2406">
        <v>0</v>
      </c>
      <c r="BD2406">
        <v>0</v>
      </c>
      <c r="BE2406">
        <v>0</v>
      </c>
      <c r="BF2406">
        <v>0</v>
      </c>
      <c r="BG2406">
        <v>0</v>
      </c>
      <c r="BH2406">
        <v>1</v>
      </c>
      <c r="BI2406">
        <v>2.8</v>
      </c>
      <c r="BJ2406">
        <v>3</v>
      </c>
      <c r="BK2406">
        <v>3</v>
      </c>
      <c r="BL2406" s="4">
        <v>70.95</v>
      </c>
      <c r="BM2406" s="4">
        <v>10.64</v>
      </c>
      <c r="BN2406" s="4">
        <v>81.59</v>
      </c>
      <c r="BO2406" s="4">
        <v>81.59</v>
      </c>
      <c r="BQ2406" t="s">
        <v>93</v>
      </c>
      <c r="BR2406" t="s">
        <v>105</v>
      </c>
      <c r="BS2406" s="3">
        <v>43819</v>
      </c>
      <c r="BT2406" s="5">
        <v>0.51736111111111105</v>
      </c>
      <c r="BU2406" t="s">
        <v>2135</v>
      </c>
      <c r="BV2406" t="s">
        <v>86</v>
      </c>
      <c r="BY2406">
        <v>15201.52</v>
      </c>
      <c r="BZ2406" t="s">
        <v>27</v>
      </c>
      <c r="CA2406" t="s">
        <v>997</v>
      </c>
      <c r="CC2406" t="s">
        <v>178</v>
      </c>
      <c r="CD2406">
        <v>1028</v>
      </c>
      <c r="CE2406" t="s">
        <v>96</v>
      </c>
      <c r="CF2406" s="3">
        <v>43822</v>
      </c>
      <c r="CI2406">
        <v>1</v>
      </c>
      <c r="CJ2406">
        <v>1</v>
      </c>
      <c r="CK2406">
        <v>34</v>
      </c>
      <c r="CL2406" t="s">
        <v>89</v>
      </c>
    </row>
    <row r="2407" spans="1:90">
      <c r="A2407" t="s">
        <v>72</v>
      </c>
      <c r="B2407" t="s">
        <v>73</v>
      </c>
      <c r="C2407" t="s">
        <v>74</v>
      </c>
      <c r="E2407" t="str">
        <f>"FES1162729013"</f>
        <v>FES1162729013</v>
      </c>
      <c r="F2407" s="3">
        <v>43818</v>
      </c>
      <c r="G2407">
        <v>202006</v>
      </c>
      <c r="H2407" t="s">
        <v>75</v>
      </c>
      <c r="I2407" t="s">
        <v>76</v>
      </c>
      <c r="J2407" t="s">
        <v>100</v>
      </c>
      <c r="K2407" t="s">
        <v>78</v>
      </c>
      <c r="L2407" t="s">
        <v>430</v>
      </c>
      <c r="M2407" t="s">
        <v>431</v>
      </c>
      <c r="N2407" t="s">
        <v>2563</v>
      </c>
      <c r="O2407" t="s">
        <v>1340</v>
      </c>
      <c r="P2407" t="str">
        <f>"2170722118                    "</f>
        <v xml:space="preserve">2170722118                    </v>
      </c>
      <c r="Q2407">
        <v>0</v>
      </c>
      <c r="R2407">
        <v>0</v>
      </c>
      <c r="S2407">
        <v>0</v>
      </c>
      <c r="T2407">
        <v>0</v>
      </c>
      <c r="U2407">
        <v>0</v>
      </c>
      <c r="V2407">
        <v>0</v>
      </c>
      <c r="W2407">
        <v>0</v>
      </c>
      <c r="X2407">
        <v>0</v>
      </c>
      <c r="Y2407">
        <v>0</v>
      </c>
      <c r="Z2407">
        <v>0</v>
      </c>
      <c r="AA2407">
        <v>0</v>
      </c>
      <c r="AB2407">
        <v>0</v>
      </c>
      <c r="AC2407">
        <v>0</v>
      </c>
      <c r="AD2407">
        <v>0</v>
      </c>
      <c r="AE2407">
        <v>0</v>
      </c>
      <c r="AF2407">
        <v>0</v>
      </c>
      <c r="AG2407">
        <v>0</v>
      </c>
      <c r="AH2407">
        <v>0</v>
      </c>
      <c r="AI2407">
        <v>0</v>
      </c>
      <c r="AJ2407">
        <v>0</v>
      </c>
      <c r="AK2407">
        <v>0</v>
      </c>
      <c r="AL2407">
        <v>0</v>
      </c>
      <c r="AM2407">
        <v>26.56</v>
      </c>
      <c r="AN2407">
        <v>0</v>
      </c>
      <c r="AO2407">
        <v>0</v>
      </c>
      <c r="AP2407">
        <v>0</v>
      </c>
      <c r="AQ2407">
        <v>0</v>
      </c>
      <c r="AR2407">
        <v>0</v>
      </c>
      <c r="AS2407">
        <v>0</v>
      </c>
      <c r="AT2407">
        <v>0</v>
      </c>
      <c r="AU2407">
        <v>0</v>
      </c>
      <c r="AV2407">
        <v>0</v>
      </c>
      <c r="AW2407">
        <v>0</v>
      </c>
      <c r="AX2407">
        <v>0</v>
      </c>
      <c r="AY2407">
        <v>0</v>
      </c>
      <c r="AZ2407">
        <v>0</v>
      </c>
      <c r="BA2407">
        <v>0</v>
      </c>
      <c r="BB2407">
        <v>0</v>
      </c>
      <c r="BC2407">
        <v>0</v>
      </c>
      <c r="BD2407">
        <v>0</v>
      </c>
      <c r="BE2407">
        <v>0</v>
      </c>
      <c r="BF2407">
        <v>0</v>
      </c>
      <c r="BG2407">
        <v>0</v>
      </c>
      <c r="BH2407">
        <v>1</v>
      </c>
      <c r="BI2407">
        <v>7.6</v>
      </c>
      <c r="BJ2407">
        <v>3.2</v>
      </c>
      <c r="BK2407">
        <v>8</v>
      </c>
      <c r="BL2407" s="4">
        <v>156.12</v>
      </c>
      <c r="BM2407" s="4">
        <v>23.42</v>
      </c>
      <c r="BN2407" s="4">
        <v>179.54</v>
      </c>
      <c r="BO2407" s="4">
        <v>179.54</v>
      </c>
      <c r="BQ2407" t="s">
        <v>93</v>
      </c>
      <c r="BR2407" t="s">
        <v>105</v>
      </c>
      <c r="BS2407" s="3">
        <v>43819</v>
      </c>
      <c r="BT2407" s="5">
        <v>0.37152777777777773</v>
      </c>
      <c r="BU2407" t="s">
        <v>2564</v>
      </c>
      <c r="BV2407" t="s">
        <v>86</v>
      </c>
      <c r="BY2407">
        <v>15841.44</v>
      </c>
      <c r="BZ2407" t="s">
        <v>27</v>
      </c>
      <c r="CA2407" t="s">
        <v>2169</v>
      </c>
      <c r="CC2407" t="s">
        <v>431</v>
      </c>
      <c r="CD2407">
        <v>250</v>
      </c>
      <c r="CE2407" t="s">
        <v>96</v>
      </c>
      <c r="CF2407" s="3">
        <v>43823</v>
      </c>
      <c r="CI2407">
        <v>1</v>
      </c>
      <c r="CJ2407">
        <v>1</v>
      </c>
      <c r="CK2407">
        <v>34</v>
      </c>
      <c r="CL2407" t="s">
        <v>89</v>
      </c>
    </row>
    <row r="2408" spans="1:90">
      <c r="A2408" t="s">
        <v>72</v>
      </c>
      <c r="B2408" t="s">
        <v>73</v>
      </c>
      <c r="C2408" t="s">
        <v>74</v>
      </c>
      <c r="E2408" t="str">
        <f>"FES1162729002"</f>
        <v>FES1162729002</v>
      </c>
      <c r="F2408" s="3">
        <v>43818</v>
      </c>
      <c r="G2408">
        <v>202006</v>
      </c>
      <c r="H2408" t="s">
        <v>75</v>
      </c>
      <c r="I2408" t="s">
        <v>76</v>
      </c>
      <c r="J2408" t="s">
        <v>100</v>
      </c>
      <c r="K2408" t="s">
        <v>78</v>
      </c>
      <c r="L2408" t="s">
        <v>1679</v>
      </c>
      <c r="M2408" t="s">
        <v>1680</v>
      </c>
      <c r="N2408" t="s">
        <v>1681</v>
      </c>
      <c r="O2408" t="s">
        <v>1340</v>
      </c>
      <c r="P2408" t="str">
        <f>"2170721596                    "</f>
        <v xml:space="preserve">2170721596                    </v>
      </c>
      <c r="Q2408">
        <v>0</v>
      </c>
      <c r="R2408">
        <v>0</v>
      </c>
      <c r="S2408">
        <v>0</v>
      </c>
      <c r="T2408">
        <v>0</v>
      </c>
      <c r="U2408">
        <v>0</v>
      </c>
      <c r="V2408">
        <v>0</v>
      </c>
      <c r="W2408">
        <v>0</v>
      </c>
      <c r="X2408">
        <v>0</v>
      </c>
      <c r="Y2408">
        <v>0</v>
      </c>
      <c r="Z2408">
        <v>0</v>
      </c>
      <c r="AA2408">
        <v>0</v>
      </c>
      <c r="AB2408">
        <v>0</v>
      </c>
      <c r="AC2408">
        <v>0</v>
      </c>
      <c r="AD2408">
        <v>0</v>
      </c>
      <c r="AE2408">
        <v>0</v>
      </c>
      <c r="AF2408">
        <v>0</v>
      </c>
      <c r="AG2408">
        <v>0</v>
      </c>
      <c r="AH2408">
        <v>0</v>
      </c>
      <c r="AI2408">
        <v>0</v>
      </c>
      <c r="AJ2408">
        <v>0</v>
      </c>
      <c r="AK2408">
        <v>0</v>
      </c>
      <c r="AL2408">
        <v>0</v>
      </c>
      <c r="AM2408">
        <v>12.07</v>
      </c>
      <c r="AN2408">
        <v>0</v>
      </c>
      <c r="AO2408">
        <v>0</v>
      </c>
      <c r="AP2408">
        <v>0</v>
      </c>
      <c r="AQ2408">
        <v>0</v>
      </c>
      <c r="AR2408">
        <v>0</v>
      </c>
      <c r="AS2408">
        <v>0</v>
      </c>
      <c r="AT2408">
        <v>0</v>
      </c>
      <c r="AU2408">
        <v>0</v>
      </c>
      <c r="AV2408">
        <v>0</v>
      </c>
      <c r="AW2408">
        <v>0</v>
      </c>
      <c r="AX2408">
        <v>0</v>
      </c>
      <c r="AY2408">
        <v>0</v>
      </c>
      <c r="AZ2408">
        <v>0</v>
      </c>
      <c r="BA2408">
        <v>0</v>
      </c>
      <c r="BB2408">
        <v>0</v>
      </c>
      <c r="BC2408">
        <v>0</v>
      </c>
      <c r="BD2408">
        <v>0</v>
      </c>
      <c r="BE2408">
        <v>0</v>
      </c>
      <c r="BF2408">
        <v>0</v>
      </c>
      <c r="BG2408">
        <v>0</v>
      </c>
      <c r="BH2408">
        <v>1</v>
      </c>
      <c r="BI2408">
        <v>2.4</v>
      </c>
      <c r="BJ2408">
        <v>2.8</v>
      </c>
      <c r="BK2408">
        <v>3</v>
      </c>
      <c r="BL2408" s="4">
        <v>70.95</v>
      </c>
      <c r="BM2408" s="4">
        <v>10.64</v>
      </c>
      <c r="BN2408" s="4">
        <v>81.59</v>
      </c>
      <c r="BO2408" s="4">
        <v>81.59</v>
      </c>
      <c r="BQ2408" t="s">
        <v>93</v>
      </c>
      <c r="BR2408" t="s">
        <v>105</v>
      </c>
      <c r="BS2408" s="3">
        <v>43819</v>
      </c>
      <c r="BT2408" s="5">
        <v>0.43055555555555558</v>
      </c>
      <c r="BU2408" t="s">
        <v>2565</v>
      </c>
      <c r="BV2408" t="s">
        <v>86</v>
      </c>
      <c r="BY2408">
        <v>13891.5</v>
      </c>
      <c r="BZ2408" t="s">
        <v>27</v>
      </c>
      <c r="CA2408" t="s">
        <v>344</v>
      </c>
      <c r="CC2408" t="s">
        <v>1680</v>
      </c>
      <c r="CD2408">
        <v>2210</v>
      </c>
      <c r="CE2408" t="s">
        <v>116</v>
      </c>
      <c r="CF2408" s="3">
        <v>43823</v>
      </c>
      <c r="CI2408">
        <v>1</v>
      </c>
      <c r="CJ2408">
        <v>1</v>
      </c>
      <c r="CK2408">
        <v>34</v>
      </c>
      <c r="CL2408" t="s">
        <v>89</v>
      </c>
    </row>
    <row r="2409" spans="1:90">
      <c r="A2409" t="s">
        <v>72</v>
      </c>
      <c r="B2409" t="s">
        <v>73</v>
      </c>
      <c r="C2409" t="s">
        <v>74</v>
      </c>
      <c r="E2409" t="str">
        <f>"FES1162729018"</f>
        <v>FES1162729018</v>
      </c>
      <c r="F2409" s="3">
        <v>43818</v>
      </c>
      <c r="G2409">
        <v>202006</v>
      </c>
      <c r="H2409" t="s">
        <v>75</v>
      </c>
      <c r="I2409" t="s">
        <v>76</v>
      </c>
      <c r="J2409" t="s">
        <v>100</v>
      </c>
      <c r="K2409" t="s">
        <v>78</v>
      </c>
      <c r="L2409" t="s">
        <v>430</v>
      </c>
      <c r="M2409" t="s">
        <v>431</v>
      </c>
      <c r="N2409" t="s">
        <v>2563</v>
      </c>
      <c r="O2409" t="s">
        <v>1340</v>
      </c>
      <c r="P2409" t="str">
        <f>"2170722118                    "</f>
        <v xml:space="preserve">2170722118                    </v>
      </c>
      <c r="Q2409">
        <v>0</v>
      </c>
      <c r="R2409">
        <v>0</v>
      </c>
      <c r="S2409">
        <v>0</v>
      </c>
      <c r="T2409">
        <v>0</v>
      </c>
      <c r="U2409">
        <v>0</v>
      </c>
      <c r="V2409">
        <v>0</v>
      </c>
      <c r="W2409">
        <v>0</v>
      </c>
      <c r="X2409">
        <v>0</v>
      </c>
      <c r="Y2409">
        <v>0</v>
      </c>
      <c r="Z2409">
        <v>0</v>
      </c>
      <c r="AA2409">
        <v>0</v>
      </c>
      <c r="AB2409">
        <v>0</v>
      </c>
      <c r="AC2409">
        <v>0</v>
      </c>
      <c r="AD2409">
        <v>0</v>
      </c>
      <c r="AE2409">
        <v>0</v>
      </c>
      <c r="AF2409">
        <v>0</v>
      </c>
      <c r="AG2409">
        <v>0</v>
      </c>
      <c r="AH2409">
        <v>0</v>
      </c>
      <c r="AI2409">
        <v>0</v>
      </c>
      <c r="AJ2409">
        <v>0</v>
      </c>
      <c r="AK2409">
        <v>0</v>
      </c>
      <c r="AL2409">
        <v>0</v>
      </c>
      <c r="AM2409">
        <v>12.07</v>
      </c>
      <c r="AN2409">
        <v>0</v>
      </c>
      <c r="AO2409">
        <v>0</v>
      </c>
      <c r="AP2409">
        <v>0</v>
      </c>
      <c r="AQ2409">
        <v>0</v>
      </c>
      <c r="AR2409">
        <v>0</v>
      </c>
      <c r="AS2409">
        <v>0</v>
      </c>
      <c r="AT2409">
        <v>0</v>
      </c>
      <c r="AU2409">
        <v>0</v>
      </c>
      <c r="AV2409">
        <v>0</v>
      </c>
      <c r="AW2409">
        <v>0</v>
      </c>
      <c r="AX2409">
        <v>0</v>
      </c>
      <c r="AY2409">
        <v>0</v>
      </c>
      <c r="AZ2409">
        <v>0</v>
      </c>
      <c r="BA2409">
        <v>0</v>
      </c>
      <c r="BB2409">
        <v>0</v>
      </c>
      <c r="BC2409">
        <v>0</v>
      </c>
      <c r="BD2409">
        <v>0</v>
      </c>
      <c r="BE2409">
        <v>0</v>
      </c>
      <c r="BF2409">
        <v>0</v>
      </c>
      <c r="BG2409">
        <v>0</v>
      </c>
      <c r="BH2409">
        <v>1</v>
      </c>
      <c r="BI2409">
        <v>3.3</v>
      </c>
      <c r="BJ2409">
        <v>0.8</v>
      </c>
      <c r="BK2409">
        <v>4</v>
      </c>
      <c r="BL2409" s="4">
        <v>70.95</v>
      </c>
      <c r="BM2409" s="4">
        <v>10.64</v>
      </c>
      <c r="BN2409" s="4">
        <v>81.59</v>
      </c>
      <c r="BO2409" s="4">
        <v>81.59</v>
      </c>
      <c r="BQ2409" t="s">
        <v>93</v>
      </c>
      <c r="BR2409" t="s">
        <v>105</v>
      </c>
      <c r="BS2409" s="3">
        <v>43819</v>
      </c>
      <c r="BT2409" s="5">
        <v>0.37222222222222223</v>
      </c>
      <c r="BU2409" t="s">
        <v>2564</v>
      </c>
      <c r="BV2409" t="s">
        <v>86</v>
      </c>
      <c r="BY2409">
        <v>4044.54</v>
      </c>
      <c r="BZ2409" t="s">
        <v>27</v>
      </c>
      <c r="CA2409" t="s">
        <v>2169</v>
      </c>
      <c r="CC2409" t="s">
        <v>431</v>
      </c>
      <c r="CD2409">
        <v>250</v>
      </c>
      <c r="CE2409" t="s">
        <v>116</v>
      </c>
      <c r="CF2409" s="3">
        <v>43823</v>
      </c>
      <c r="CI2409">
        <v>1</v>
      </c>
      <c r="CJ2409">
        <v>1</v>
      </c>
      <c r="CK2409">
        <v>34</v>
      </c>
      <c r="CL2409" t="s">
        <v>89</v>
      </c>
    </row>
    <row r="2410" spans="1:90">
      <c r="A2410" t="s">
        <v>72</v>
      </c>
      <c r="B2410" t="s">
        <v>73</v>
      </c>
      <c r="C2410" t="s">
        <v>74</v>
      </c>
      <c r="E2410" t="str">
        <f>"FES1162728812"</f>
        <v>FES1162728812</v>
      </c>
      <c r="F2410" s="3">
        <v>43818</v>
      </c>
      <c r="G2410">
        <v>202006</v>
      </c>
      <c r="H2410" t="s">
        <v>75</v>
      </c>
      <c r="I2410" t="s">
        <v>76</v>
      </c>
      <c r="J2410" t="s">
        <v>100</v>
      </c>
      <c r="K2410" t="s">
        <v>78</v>
      </c>
      <c r="L2410" t="s">
        <v>2100</v>
      </c>
      <c r="M2410" t="s">
        <v>2101</v>
      </c>
      <c r="N2410" t="s">
        <v>2248</v>
      </c>
      <c r="O2410" t="s">
        <v>1340</v>
      </c>
      <c r="P2410" t="str">
        <f>"2170797893                    "</f>
        <v xml:space="preserve">2170797893                    </v>
      </c>
      <c r="Q2410">
        <v>0</v>
      </c>
      <c r="R2410">
        <v>0</v>
      </c>
      <c r="S2410">
        <v>0</v>
      </c>
      <c r="T2410">
        <v>0</v>
      </c>
      <c r="U2410">
        <v>0</v>
      </c>
      <c r="V2410">
        <v>0</v>
      </c>
      <c r="W2410">
        <v>0</v>
      </c>
      <c r="X2410">
        <v>0</v>
      </c>
      <c r="Y2410">
        <v>0</v>
      </c>
      <c r="Z2410">
        <v>0</v>
      </c>
      <c r="AA2410">
        <v>0</v>
      </c>
      <c r="AB2410">
        <v>0</v>
      </c>
      <c r="AC2410">
        <v>0</v>
      </c>
      <c r="AD2410">
        <v>0</v>
      </c>
      <c r="AE2410">
        <v>0</v>
      </c>
      <c r="AF2410">
        <v>0</v>
      </c>
      <c r="AG2410">
        <v>0</v>
      </c>
      <c r="AH2410">
        <v>0</v>
      </c>
      <c r="AI2410">
        <v>0</v>
      </c>
      <c r="AJ2410">
        <v>0</v>
      </c>
      <c r="AK2410">
        <v>0</v>
      </c>
      <c r="AL2410">
        <v>0</v>
      </c>
      <c r="AM2410">
        <v>12.07</v>
      </c>
      <c r="AN2410">
        <v>0</v>
      </c>
      <c r="AO2410">
        <v>0</v>
      </c>
      <c r="AP2410">
        <v>0</v>
      </c>
      <c r="AQ2410">
        <v>0</v>
      </c>
      <c r="AR2410">
        <v>0</v>
      </c>
      <c r="AS2410">
        <v>0</v>
      </c>
      <c r="AT2410">
        <v>0</v>
      </c>
      <c r="AU2410">
        <v>0</v>
      </c>
      <c r="AV2410">
        <v>0</v>
      </c>
      <c r="AW2410">
        <v>0</v>
      </c>
      <c r="AX2410">
        <v>0</v>
      </c>
      <c r="AY2410">
        <v>0</v>
      </c>
      <c r="AZ2410">
        <v>0</v>
      </c>
      <c r="BA2410">
        <v>0</v>
      </c>
      <c r="BB2410">
        <v>0</v>
      </c>
      <c r="BC2410">
        <v>0</v>
      </c>
      <c r="BD2410">
        <v>0</v>
      </c>
      <c r="BE2410">
        <v>0</v>
      </c>
      <c r="BF2410">
        <v>0</v>
      </c>
      <c r="BG2410">
        <v>0</v>
      </c>
      <c r="BH2410">
        <v>1</v>
      </c>
      <c r="BI2410">
        <v>3.5</v>
      </c>
      <c r="BJ2410">
        <v>3.1</v>
      </c>
      <c r="BK2410">
        <v>4</v>
      </c>
      <c r="BL2410" s="4">
        <v>70.95</v>
      </c>
      <c r="BM2410" s="4">
        <v>10.64</v>
      </c>
      <c r="BN2410" s="4">
        <v>81.59</v>
      </c>
      <c r="BO2410" s="4">
        <v>81.59</v>
      </c>
      <c r="BQ2410" t="s">
        <v>93</v>
      </c>
      <c r="BR2410" t="s">
        <v>105</v>
      </c>
      <c r="BS2410" s="3">
        <v>43819</v>
      </c>
      <c r="BT2410" s="5">
        <v>0.40625</v>
      </c>
      <c r="BU2410" t="s">
        <v>2249</v>
      </c>
      <c r="BV2410" t="s">
        <v>86</v>
      </c>
      <c r="BY2410">
        <v>15583.98</v>
      </c>
      <c r="BZ2410" t="s">
        <v>27</v>
      </c>
      <c r="CA2410" t="s">
        <v>2250</v>
      </c>
      <c r="CC2410" t="s">
        <v>2101</v>
      </c>
      <c r="CD2410">
        <v>1438</v>
      </c>
      <c r="CE2410" t="s">
        <v>96</v>
      </c>
      <c r="CF2410" s="3">
        <v>43822</v>
      </c>
      <c r="CI2410">
        <v>1</v>
      </c>
      <c r="CJ2410">
        <v>1</v>
      </c>
      <c r="CK2410">
        <v>34</v>
      </c>
      <c r="CL2410" t="s">
        <v>89</v>
      </c>
    </row>
    <row r="2411" spans="1:90">
      <c r="A2411" t="s">
        <v>72</v>
      </c>
      <c r="B2411" t="s">
        <v>73</v>
      </c>
      <c r="C2411" t="s">
        <v>74</v>
      </c>
      <c r="E2411" t="str">
        <f>"FES1162729109"</f>
        <v>FES1162729109</v>
      </c>
      <c r="F2411" s="3">
        <v>43819</v>
      </c>
      <c r="G2411">
        <v>202006</v>
      </c>
      <c r="H2411" t="s">
        <v>75</v>
      </c>
      <c r="I2411" t="s">
        <v>76</v>
      </c>
      <c r="J2411" t="s">
        <v>100</v>
      </c>
      <c r="K2411" t="s">
        <v>78</v>
      </c>
      <c r="L2411" t="s">
        <v>138</v>
      </c>
      <c r="M2411" t="s">
        <v>139</v>
      </c>
      <c r="N2411" t="s">
        <v>703</v>
      </c>
      <c r="O2411" t="s">
        <v>1340</v>
      </c>
      <c r="P2411" t="str">
        <f>"2170720614                    "</f>
        <v xml:space="preserve">2170720614                    </v>
      </c>
      <c r="Q2411">
        <v>0</v>
      </c>
      <c r="R2411">
        <v>0</v>
      </c>
      <c r="S2411">
        <v>0</v>
      </c>
      <c r="T2411">
        <v>0</v>
      </c>
      <c r="U2411">
        <v>0</v>
      </c>
      <c r="V2411">
        <v>0</v>
      </c>
      <c r="W2411">
        <v>0</v>
      </c>
      <c r="X2411">
        <v>0</v>
      </c>
      <c r="Y2411">
        <v>0</v>
      </c>
      <c r="Z2411">
        <v>0</v>
      </c>
      <c r="AA2411">
        <v>0</v>
      </c>
      <c r="AB2411">
        <v>0</v>
      </c>
      <c r="AC2411">
        <v>0</v>
      </c>
      <c r="AD2411">
        <v>0</v>
      </c>
      <c r="AE2411">
        <v>0</v>
      </c>
      <c r="AF2411">
        <v>0</v>
      </c>
      <c r="AG2411">
        <v>0</v>
      </c>
      <c r="AH2411">
        <v>0</v>
      </c>
      <c r="AI2411">
        <v>0</v>
      </c>
      <c r="AJ2411">
        <v>0</v>
      </c>
      <c r="AK2411">
        <v>0</v>
      </c>
      <c r="AL2411">
        <v>0</v>
      </c>
      <c r="AM2411">
        <v>13.48</v>
      </c>
      <c r="AN2411">
        <v>0</v>
      </c>
      <c r="AO2411">
        <v>0</v>
      </c>
      <c r="AP2411">
        <v>0</v>
      </c>
      <c r="AQ2411">
        <v>0</v>
      </c>
      <c r="AR2411">
        <v>0</v>
      </c>
      <c r="AS2411">
        <v>0</v>
      </c>
      <c r="AT2411">
        <v>0</v>
      </c>
      <c r="AU2411">
        <v>0</v>
      </c>
      <c r="AV2411">
        <v>0</v>
      </c>
      <c r="AW2411">
        <v>0</v>
      </c>
      <c r="AX2411">
        <v>0</v>
      </c>
      <c r="AY2411">
        <v>0</v>
      </c>
      <c r="AZ2411">
        <v>0</v>
      </c>
      <c r="BA2411">
        <v>0</v>
      </c>
      <c r="BB2411">
        <v>0</v>
      </c>
      <c r="BC2411">
        <v>0</v>
      </c>
      <c r="BD2411">
        <v>0</v>
      </c>
      <c r="BE2411">
        <v>0</v>
      </c>
      <c r="BF2411">
        <v>0</v>
      </c>
      <c r="BG2411">
        <v>0</v>
      </c>
      <c r="BH2411">
        <v>1</v>
      </c>
      <c r="BI2411">
        <v>11.7</v>
      </c>
      <c r="BJ2411">
        <v>12.9</v>
      </c>
      <c r="BK2411">
        <v>13</v>
      </c>
      <c r="BL2411" s="4">
        <v>79.22</v>
      </c>
      <c r="BM2411" s="4">
        <v>11.88</v>
      </c>
      <c r="BN2411" s="4">
        <v>91.1</v>
      </c>
      <c r="BO2411" s="4">
        <v>91.1</v>
      </c>
      <c r="BQ2411" t="s">
        <v>704</v>
      </c>
      <c r="BR2411" t="s">
        <v>105</v>
      </c>
      <c r="BS2411" s="3">
        <v>43822</v>
      </c>
      <c r="BT2411" s="5">
        <v>0.38541666666666669</v>
      </c>
      <c r="BU2411" t="s">
        <v>1828</v>
      </c>
      <c r="BV2411" t="s">
        <v>86</v>
      </c>
      <c r="BY2411">
        <v>64736.91</v>
      </c>
      <c r="BZ2411" t="s">
        <v>27</v>
      </c>
      <c r="CC2411" t="s">
        <v>139</v>
      </c>
      <c r="CD2411">
        <v>1422</v>
      </c>
      <c r="CE2411" t="s">
        <v>116</v>
      </c>
      <c r="CF2411" s="3">
        <v>43823</v>
      </c>
      <c r="CI2411">
        <v>1</v>
      </c>
      <c r="CJ2411">
        <v>1</v>
      </c>
      <c r="CK2411">
        <v>32</v>
      </c>
      <c r="CL2411" t="s">
        <v>89</v>
      </c>
    </row>
    <row r="2412" spans="1:90">
      <c r="A2412" t="s">
        <v>72</v>
      </c>
      <c r="B2412" t="s">
        <v>73</v>
      </c>
      <c r="C2412" t="s">
        <v>74</v>
      </c>
      <c r="E2412" t="str">
        <f>"009939131813"</f>
        <v>009939131813</v>
      </c>
      <c r="F2412" s="3">
        <v>43818</v>
      </c>
      <c r="G2412">
        <v>202006</v>
      </c>
      <c r="H2412" t="s">
        <v>79</v>
      </c>
      <c r="I2412" t="s">
        <v>80</v>
      </c>
      <c r="J2412" t="s">
        <v>2566</v>
      </c>
      <c r="K2412" t="s">
        <v>78</v>
      </c>
      <c r="L2412" t="s">
        <v>75</v>
      </c>
      <c r="M2412" t="s">
        <v>76</v>
      </c>
      <c r="N2412" t="s">
        <v>2567</v>
      </c>
      <c r="O2412" t="s">
        <v>82</v>
      </c>
      <c r="P2412" t="str">
        <f>"                              "</f>
        <v xml:space="preserve">                              </v>
      </c>
      <c r="Q2412">
        <v>0</v>
      </c>
      <c r="R2412">
        <v>0</v>
      </c>
      <c r="S2412">
        <v>0</v>
      </c>
      <c r="T2412">
        <v>0</v>
      </c>
      <c r="U2412">
        <v>0</v>
      </c>
      <c r="V2412">
        <v>0</v>
      </c>
      <c r="W2412">
        <v>0</v>
      </c>
      <c r="X2412">
        <v>0</v>
      </c>
      <c r="Y2412">
        <v>0</v>
      </c>
      <c r="Z2412">
        <v>0</v>
      </c>
      <c r="AA2412">
        <v>0</v>
      </c>
      <c r="AB2412">
        <v>0</v>
      </c>
      <c r="AC2412">
        <v>0</v>
      </c>
      <c r="AD2412">
        <v>0</v>
      </c>
      <c r="AE2412">
        <v>0</v>
      </c>
      <c r="AF2412">
        <v>0</v>
      </c>
      <c r="AG2412">
        <v>0</v>
      </c>
      <c r="AH2412">
        <v>0</v>
      </c>
      <c r="AI2412">
        <v>0</v>
      </c>
      <c r="AJ2412">
        <v>0</v>
      </c>
      <c r="AK2412">
        <v>0</v>
      </c>
      <c r="AL2412">
        <v>0</v>
      </c>
      <c r="AM2412">
        <v>8.58</v>
      </c>
      <c r="AN2412">
        <v>0</v>
      </c>
      <c r="AO2412">
        <v>0</v>
      </c>
      <c r="AP2412">
        <v>0</v>
      </c>
      <c r="AQ2412">
        <v>0</v>
      </c>
      <c r="AR2412">
        <v>0</v>
      </c>
      <c r="AS2412">
        <v>0</v>
      </c>
      <c r="AT2412">
        <v>0</v>
      </c>
      <c r="AU2412">
        <v>0</v>
      </c>
      <c r="AV2412">
        <v>0</v>
      </c>
      <c r="AW2412">
        <v>0</v>
      </c>
      <c r="AX2412">
        <v>0</v>
      </c>
      <c r="AY2412">
        <v>0</v>
      </c>
      <c r="AZ2412">
        <v>0</v>
      </c>
      <c r="BA2412">
        <v>0</v>
      </c>
      <c r="BB2412">
        <v>0</v>
      </c>
      <c r="BC2412">
        <v>0</v>
      </c>
      <c r="BD2412">
        <v>0</v>
      </c>
      <c r="BE2412">
        <v>0</v>
      </c>
      <c r="BF2412">
        <v>0</v>
      </c>
      <c r="BG2412">
        <v>0</v>
      </c>
      <c r="BH2412">
        <v>1</v>
      </c>
      <c r="BI2412">
        <v>1</v>
      </c>
      <c r="BJ2412">
        <v>0.2</v>
      </c>
      <c r="BK2412">
        <v>1</v>
      </c>
      <c r="BL2412" s="4">
        <v>50.45</v>
      </c>
      <c r="BM2412" s="4">
        <v>7.57</v>
      </c>
      <c r="BN2412" s="4">
        <v>58.02</v>
      </c>
      <c r="BO2412" s="4">
        <v>58.02</v>
      </c>
      <c r="BQ2412" t="s">
        <v>2568</v>
      </c>
      <c r="BS2412" s="3">
        <v>43819</v>
      </c>
      <c r="BT2412" s="5">
        <v>0.38958333333333334</v>
      </c>
      <c r="BU2412" t="s">
        <v>154</v>
      </c>
      <c r="BV2412" t="s">
        <v>86</v>
      </c>
      <c r="BY2412">
        <v>1200</v>
      </c>
      <c r="BZ2412" t="s">
        <v>27</v>
      </c>
      <c r="CA2412" t="s">
        <v>155</v>
      </c>
      <c r="CC2412" t="s">
        <v>76</v>
      </c>
      <c r="CD2412">
        <v>1600</v>
      </c>
      <c r="CE2412" t="s">
        <v>96</v>
      </c>
      <c r="CF2412" s="3">
        <v>43822</v>
      </c>
      <c r="CI2412">
        <v>1</v>
      </c>
      <c r="CJ2412">
        <v>1</v>
      </c>
      <c r="CK2412">
        <v>21</v>
      </c>
      <c r="CL2412" t="s">
        <v>89</v>
      </c>
    </row>
    <row r="2413" spans="1:90">
      <c r="A2413" t="s">
        <v>72</v>
      </c>
      <c r="B2413" t="s">
        <v>73</v>
      </c>
      <c r="C2413" t="s">
        <v>74</v>
      </c>
      <c r="E2413" t="str">
        <f>"FES1162727702"</f>
        <v>FES1162727702</v>
      </c>
      <c r="F2413" s="3">
        <v>43810</v>
      </c>
      <c r="G2413">
        <v>202006</v>
      </c>
      <c r="H2413" t="s">
        <v>75</v>
      </c>
      <c r="I2413" t="s">
        <v>76</v>
      </c>
      <c r="J2413" t="s">
        <v>100</v>
      </c>
      <c r="K2413" t="s">
        <v>78</v>
      </c>
      <c r="L2413" t="s">
        <v>667</v>
      </c>
      <c r="M2413" t="s">
        <v>668</v>
      </c>
      <c r="N2413" t="s">
        <v>669</v>
      </c>
      <c r="O2413" t="s">
        <v>1340</v>
      </c>
      <c r="P2413" t="str">
        <f>"217071452                     "</f>
        <v xml:space="preserve">217071452                     </v>
      </c>
      <c r="Q2413">
        <v>0</v>
      </c>
      <c r="R2413">
        <v>0</v>
      </c>
      <c r="S2413">
        <v>0</v>
      </c>
      <c r="T2413">
        <v>0</v>
      </c>
      <c r="U2413">
        <v>0</v>
      </c>
      <c r="V2413">
        <v>0</v>
      </c>
      <c r="W2413">
        <v>0</v>
      </c>
      <c r="X2413">
        <v>0</v>
      </c>
      <c r="Y2413">
        <v>0</v>
      </c>
      <c r="Z2413">
        <v>0</v>
      </c>
      <c r="AA2413">
        <v>0</v>
      </c>
      <c r="AB2413">
        <v>0</v>
      </c>
      <c r="AC2413">
        <v>0</v>
      </c>
      <c r="AD2413">
        <v>0</v>
      </c>
      <c r="AE2413">
        <v>0</v>
      </c>
      <c r="AF2413">
        <v>0</v>
      </c>
      <c r="AG2413">
        <v>0</v>
      </c>
      <c r="AH2413">
        <v>0</v>
      </c>
      <c r="AI2413">
        <v>0</v>
      </c>
      <c r="AJ2413">
        <v>0</v>
      </c>
      <c r="AK2413">
        <v>0</v>
      </c>
      <c r="AL2413">
        <v>0</v>
      </c>
      <c r="AM2413">
        <v>12.07</v>
      </c>
      <c r="AN2413">
        <v>0</v>
      </c>
      <c r="AO2413">
        <v>0</v>
      </c>
      <c r="AP2413">
        <v>0</v>
      </c>
      <c r="AQ2413">
        <v>0</v>
      </c>
      <c r="AR2413">
        <v>0</v>
      </c>
      <c r="AS2413">
        <v>0</v>
      </c>
      <c r="AT2413">
        <v>0</v>
      </c>
      <c r="AU2413">
        <v>0</v>
      </c>
      <c r="AV2413">
        <v>0</v>
      </c>
      <c r="AW2413">
        <v>0</v>
      </c>
      <c r="AX2413">
        <v>0</v>
      </c>
      <c r="AY2413">
        <v>0</v>
      </c>
      <c r="AZ2413">
        <v>0</v>
      </c>
      <c r="BA2413">
        <v>0</v>
      </c>
      <c r="BB2413">
        <v>0</v>
      </c>
      <c r="BC2413">
        <v>0</v>
      </c>
      <c r="BD2413">
        <v>0</v>
      </c>
      <c r="BE2413">
        <v>0</v>
      </c>
      <c r="BF2413">
        <v>0</v>
      </c>
      <c r="BG2413">
        <v>0</v>
      </c>
      <c r="BH2413">
        <v>1</v>
      </c>
      <c r="BI2413">
        <v>4</v>
      </c>
      <c r="BJ2413">
        <v>3</v>
      </c>
      <c r="BK2413">
        <v>4</v>
      </c>
      <c r="BL2413" s="4">
        <v>70.95</v>
      </c>
      <c r="BM2413" s="4">
        <v>10.64</v>
      </c>
      <c r="BN2413" s="4">
        <v>81.59</v>
      </c>
      <c r="BO2413" s="4">
        <v>81.59</v>
      </c>
      <c r="BQ2413" t="s">
        <v>93</v>
      </c>
      <c r="BR2413" t="s">
        <v>105</v>
      </c>
      <c r="BS2413" s="3">
        <v>43811</v>
      </c>
      <c r="BT2413" s="5">
        <v>0.36805555555555558</v>
      </c>
      <c r="BU2413" t="s">
        <v>2569</v>
      </c>
      <c r="BV2413" t="s">
        <v>86</v>
      </c>
      <c r="BY2413">
        <v>15032.74</v>
      </c>
      <c r="BZ2413" t="s">
        <v>27</v>
      </c>
      <c r="CC2413" t="s">
        <v>668</v>
      </c>
      <c r="CD2413">
        <v>1759</v>
      </c>
      <c r="CE2413" t="s">
        <v>116</v>
      </c>
      <c r="CF2413" s="3">
        <v>43812</v>
      </c>
      <c r="CI2413">
        <v>1</v>
      </c>
      <c r="CJ2413">
        <v>1</v>
      </c>
      <c r="CK2413">
        <v>34</v>
      </c>
      <c r="CL2413" t="s">
        <v>89</v>
      </c>
    </row>
    <row r="2414" spans="1:90">
      <c r="A2414" t="s">
        <v>72</v>
      </c>
      <c r="B2414" t="s">
        <v>73</v>
      </c>
      <c r="C2414" t="s">
        <v>74</v>
      </c>
      <c r="E2414" t="str">
        <f>"FES1162727679"</f>
        <v>FES1162727679</v>
      </c>
      <c r="F2414" s="3">
        <v>43810</v>
      </c>
      <c r="G2414">
        <v>202006</v>
      </c>
      <c r="H2414" t="s">
        <v>75</v>
      </c>
      <c r="I2414" t="s">
        <v>76</v>
      </c>
      <c r="J2414" t="s">
        <v>100</v>
      </c>
      <c r="K2414" t="s">
        <v>78</v>
      </c>
      <c r="L2414" t="s">
        <v>709</v>
      </c>
      <c r="M2414" t="s">
        <v>710</v>
      </c>
      <c r="N2414" t="s">
        <v>2272</v>
      </c>
      <c r="O2414" t="s">
        <v>1340</v>
      </c>
      <c r="P2414" t="str">
        <f>"217071733                     "</f>
        <v xml:space="preserve">217071733                     </v>
      </c>
      <c r="Q2414">
        <v>0</v>
      </c>
      <c r="R2414">
        <v>0</v>
      </c>
      <c r="S2414">
        <v>0</v>
      </c>
      <c r="T2414">
        <v>0</v>
      </c>
      <c r="U2414">
        <v>0</v>
      </c>
      <c r="V2414">
        <v>0</v>
      </c>
      <c r="W2414">
        <v>0</v>
      </c>
      <c r="X2414">
        <v>0</v>
      </c>
      <c r="Y2414">
        <v>0</v>
      </c>
      <c r="Z2414">
        <v>0</v>
      </c>
      <c r="AA2414">
        <v>0</v>
      </c>
      <c r="AB2414">
        <v>0</v>
      </c>
      <c r="AC2414">
        <v>0</v>
      </c>
      <c r="AD2414">
        <v>0</v>
      </c>
      <c r="AE2414">
        <v>0</v>
      </c>
      <c r="AF2414">
        <v>0</v>
      </c>
      <c r="AG2414">
        <v>0</v>
      </c>
      <c r="AH2414">
        <v>0</v>
      </c>
      <c r="AI2414">
        <v>0</v>
      </c>
      <c r="AJ2414">
        <v>0</v>
      </c>
      <c r="AK2414">
        <v>0</v>
      </c>
      <c r="AL2414">
        <v>0</v>
      </c>
      <c r="AM2414">
        <v>26.56</v>
      </c>
      <c r="AN2414">
        <v>0</v>
      </c>
      <c r="AO2414">
        <v>0</v>
      </c>
      <c r="AP2414">
        <v>0</v>
      </c>
      <c r="AQ2414">
        <v>0</v>
      </c>
      <c r="AR2414">
        <v>0</v>
      </c>
      <c r="AS2414">
        <v>0</v>
      </c>
      <c r="AT2414">
        <v>0</v>
      </c>
      <c r="AU2414">
        <v>0</v>
      </c>
      <c r="AV2414">
        <v>0</v>
      </c>
      <c r="AW2414">
        <v>0</v>
      </c>
      <c r="AX2414">
        <v>0</v>
      </c>
      <c r="AY2414">
        <v>0</v>
      </c>
      <c r="AZ2414">
        <v>0</v>
      </c>
      <c r="BA2414">
        <v>0</v>
      </c>
      <c r="BB2414">
        <v>0</v>
      </c>
      <c r="BC2414">
        <v>0</v>
      </c>
      <c r="BD2414">
        <v>0</v>
      </c>
      <c r="BE2414">
        <v>0</v>
      </c>
      <c r="BF2414">
        <v>0</v>
      </c>
      <c r="BG2414">
        <v>0</v>
      </c>
      <c r="BH2414">
        <v>1</v>
      </c>
      <c r="BI2414">
        <v>8</v>
      </c>
      <c r="BJ2414">
        <v>3.4</v>
      </c>
      <c r="BK2414">
        <v>8</v>
      </c>
      <c r="BL2414" s="4">
        <v>156.12</v>
      </c>
      <c r="BM2414" s="4">
        <v>23.42</v>
      </c>
      <c r="BN2414" s="4">
        <v>179.54</v>
      </c>
      <c r="BO2414" s="4">
        <v>179.54</v>
      </c>
      <c r="BR2414" t="s">
        <v>105</v>
      </c>
      <c r="BS2414" s="3">
        <v>43811</v>
      </c>
      <c r="BT2414" s="5">
        <v>0.43263888888888885</v>
      </c>
      <c r="BU2414" t="s">
        <v>2464</v>
      </c>
      <c r="BV2414" t="s">
        <v>86</v>
      </c>
      <c r="BY2414">
        <v>17030.419999999998</v>
      </c>
      <c r="BZ2414" t="s">
        <v>27</v>
      </c>
      <c r="CA2414" t="s">
        <v>713</v>
      </c>
      <c r="CC2414" t="s">
        <v>710</v>
      </c>
      <c r="CD2414">
        <v>1939</v>
      </c>
      <c r="CE2414" t="s">
        <v>116</v>
      </c>
      <c r="CF2414" s="3">
        <v>43812</v>
      </c>
      <c r="CI2414">
        <v>1</v>
      </c>
      <c r="CJ2414">
        <v>1</v>
      </c>
      <c r="CK2414">
        <v>34</v>
      </c>
      <c r="CL2414" t="s">
        <v>89</v>
      </c>
    </row>
    <row r="2415" spans="1:90">
      <c r="A2415" t="s">
        <v>72</v>
      </c>
      <c r="B2415" t="s">
        <v>73</v>
      </c>
      <c r="C2415" t="s">
        <v>74</v>
      </c>
      <c r="E2415" t="str">
        <f>"019911311465"</f>
        <v>019911311465</v>
      </c>
      <c r="F2415" s="3">
        <v>43819</v>
      </c>
      <c r="G2415">
        <v>202006</v>
      </c>
      <c r="H2415" t="s">
        <v>90</v>
      </c>
      <c r="I2415" t="s">
        <v>91</v>
      </c>
      <c r="J2415" t="s">
        <v>100</v>
      </c>
      <c r="K2415" t="s">
        <v>78</v>
      </c>
      <c r="L2415" t="s">
        <v>75</v>
      </c>
      <c r="M2415" t="s">
        <v>76</v>
      </c>
      <c r="N2415" t="s">
        <v>125</v>
      </c>
      <c r="O2415" t="s">
        <v>82</v>
      </c>
      <c r="P2415" t="str">
        <f>"ICM NO ZA1000877894    1703   "</f>
        <v xml:space="preserve">ICM NO ZA1000877894    1703   </v>
      </c>
      <c r="Q2415">
        <v>0</v>
      </c>
      <c r="R2415">
        <v>0</v>
      </c>
      <c r="S2415">
        <v>0</v>
      </c>
      <c r="T2415">
        <v>0</v>
      </c>
      <c r="U2415">
        <v>0</v>
      </c>
      <c r="V2415">
        <v>0</v>
      </c>
      <c r="W2415">
        <v>0</v>
      </c>
      <c r="X2415">
        <v>0</v>
      </c>
      <c r="Y2415">
        <v>0</v>
      </c>
      <c r="Z2415">
        <v>0</v>
      </c>
      <c r="AA2415">
        <v>0</v>
      </c>
      <c r="AB2415">
        <v>0</v>
      </c>
      <c r="AC2415">
        <v>0</v>
      </c>
      <c r="AD2415">
        <v>0</v>
      </c>
      <c r="AE2415">
        <v>0</v>
      </c>
      <c r="AF2415">
        <v>0</v>
      </c>
      <c r="AG2415">
        <v>0</v>
      </c>
      <c r="AH2415">
        <v>0</v>
      </c>
      <c r="AI2415">
        <v>0</v>
      </c>
      <c r="AJ2415">
        <v>0</v>
      </c>
      <c r="AK2415">
        <v>0</v>
      </c>
      <c r="AL2415">
        <v>0</v>
      </c>
      <c r="AM2415">
        <v>8.58</v>
      </c>
      <c r="AN2415">
        <v>0</v>
      </c>
      <c r="AO2415">
        <v>0</v>
      </c>
      <c r="AP2415">
        <v>0</v>
      </c>
      <c r="AQ2415">
        <v>0</v>
      </c>
      <c r="AR2415">
        <v>0</v>
      </c>
      <c r="AS2415">
        <v>0</v>
      </c>
      <c r="AT2415">
        <v>0</v>
      </c>
      <c r="AU2415">
        <v>0</v>
      </c>
      <c r="AV2415">
        <v>0</v>
      </c>
      <c r="AW2415">
        <v>0</v>
      </c>
      <c r="AX2415">
        <v>0</v>
      </c>
      <c r="AY2415">
        <v>0</v>
      </c>
      <c r="AZ2415">
        <v>0</v>
      </c>
      <c r="BA2415">
        <v>0</v>
      </c>
      <c r="BB2415">
        <v>0</v>
      </c>
      <c r="BC2415">
        <v>0</v>
      </c>
      <c r="BD2415">
        <v>0</v>
      </c>
      <c r="BE2415">
        <v>0</v>
      </c>
      <c r="BF2415">
        <v>0</v>
      </c>
      <c r="BG2415">
        <v>0</v>
      </c>
      <c r="BH2415">
        <v>1</v>
      </c>
      <c r="BI2415">
        <v>0.2</v>
      </c>
      <c r="BJ2415">
        <v>0.4</v>
      </c>
      <c r="BK2415">
        <v>0.5</v>
      </c>
      <c r="BL2415" s="4">
        <v>50.45</v>
      </c>
      <c r="BM2415" s="4">
        <v>7.57</v>
      </c>
      <c r="BN2415" s="4">
        <v>58.02</v>
      </c>
      <c r="BO2415" s="4">
        <v>58.02</v>
      </c>
      <c r="BQ2415" t="s">
        <v>126</v>
      </c>
      <c r="BR2415" t="s">
        <v>127</v>
      </c>
      <c r="BS2415" s="3">
        <v>43822</v>
      </c>
      <c r="BT2415" s="5">
        <v>0.40486111111111112</v>
      </c>
      <c r="BU2415" t="s">
        <v>154</v>
      </c>
      <c r="BV2415" t="s">
        <v>86</v>
      </c>
      <c r="BY2415">
        <v>2147.7600000000002</v>
      </c>
      <c r="BZ2415" t="s">
        <v>27</v>
      </c>
      <c r="CA2415" t="s">
        <v>155</v>
      </c>
      <c r="CC2415" t="s">
        <v>76</v>
      </c>
      <c r="CD2415">
        <v>1600</v>
      </c>
      <c r="CE2415" t="s">
        <v>96</v>
      </c>
      <c r="CF2415" s="3">
        <v>43823</v>
      </c>
      <c r="CI2415">
        <v>1</v>
      </c>
      <c r="CJ2415">
        <v>1</v>
      </c>
      <c r="CK2415">
        <v>21</v>
      </c>
      <c r="CL2415" t="s">
        <v>89</v>
      </c>
    </row>
    <row r="2416" spans="1:90">
      <c r="A2416" t="s">
        <v>72</v>
      </c>
      <c r="B2416" t="s">
        <v>73</v>
      </c>
      <c r="C2416" t="s">
        <v>74</v>
      </c>
      <c r="E2416" t="str">
        <f>"FES1162729047"</f>
        <v>FES1162729047</v>
      </c>
      <c r="F2416" s="3">
        <v>43822</v>
      </c>
      <c r="G2416">
        <v>202006</v>
      </c>
      <c r="H2416" t="s">
        <v>75</v>
      </c>
      <c r="I2416" t="s">
        <v>76</v>
      </c>
      <c r="J2416" t="s">
        <v>100</v>
      </c>
      <c r="K2416" t="s">
        <v>78</v>
      </c>
      <c r="L2416" t="s">
        <v>1051</v>
      </c>
      <c r="M2416" t="s">
        <v>1052</v>
      </c>
      <c r="N2416" t="s">
        <v>2358</v>
      </c>
      <c r="O2416" t="s">
        <v>1340</v>
      </c>
      <c r="P2416" t="str">
        <f>"2170729047                    "</f>
        <v xml:space="preserve">2170729047                    </v>
      </c>
      <c r="Q2416">
        <v>0</v>
      </c>
      <c r="R2416">
        <v>0</v>
      </c>
      <c r="S2416">
        <v>0</v>
      </c>
      <c r="T2416">
        <v>0</v>
      </c>
      <c r="U2416">
        <v>0</v>
      </c>
      <c r="V2416">
        <v>0</v>
      </c>
      <c r="W2416">
        <v>0</v>
      </c>
      <c r="X2416">
        <v>0</v>
      </c>
      <c r="Y2416">
        <v>0</v>
      </c>
      <c r="Z2416">
        <v>0</v>
      </c>
      <c r="AA2416">
        <v>0</v>
      </c>
      <c r="AB2416">
        <v>0</v>
      </c>
      <c r="AC2416">
        <v>0</v>
      </c>
      <c r="AD2416">
        <v>0</v>
      </c>
      <c r="AE2416">
        <v>0</v>
      </c>
      <c r="AF2416">
        <v>0</v>
      </c>
      <c r="AG2416">
        <v>0</v>
      </c>
      <c r="AH2416">
        <v>0</v>
      </c>
      <c r="AI2416">
        <v>0</v>
      </c>
      <c r="AJ2416">
        <v>0</v>
      </c>
      <c r="AK2416">
        <v>0</v>
      </c>
      <c r="AL2416">
        <v>0</v>
      </c>
      <c r="AM2416">
        <v>30.18</v>
      </c>
      <c r="AN2416">
        <v>0</v>
      </c>
      <c r="AO2416">
        <v>0</v>
      </c>
      <c r="AP2416">
        <v>0</v>
      </c>
      <c r="AQ2416">
        <v>0</v>
      </c>
      <c r="AR2416">
        <v>0</v>
      </c>
      <c r="AS2416">
        <v>0</v>
      </c>
      <c r="AT2416">
        <v>0</v>
      </c>
      <c r="AU2416">
        <v>0</v>
      </c>
      <c r="AV2416">
        <v>0</v>
      </c>
      <c r="AW2416">
        <v>0</v>
      </c>
      <c r="AX2416">
        <v>0</v>
      </c>
      <c r="AY2416">
        <v>0</v>
      </c>
      <c r="AZ2416">
        <v>0</v>
      </c>
      <c r="BA2416">
        <v>0</v>
      </c>
      <c r="BB2416">
        <v>0</v>
      </c>
      <c r="BC2416">
        <v>0</v>
      </c>
      <c r="BD2416">
        <v>0</v>
      </c>
      <c r="BE2416">
        <v>0</v>
      </c>
      <c r="BF2416">
        <v>0</v>
      </c>
      <c r="BG2416">
        <v>0</v>
      </c>
      <c r="BH2416">
        <v>1</v>
      </c>
      <c r="BI2416">
        <v>4</v>
      </c>
      <c r="BJ2416">
        <v>8.3000000000000007</v>
      </c>
      <c r="BK2416">
        <v>9</v>
      </c>
      <c r="BL2416" s="4">
        <v>177.41</v>
      </c>
      <c r="BM2416" s="4">
        <v>26.61</v>
      </c>
      <c r="BN2416" s="4">
        <v>204.02</v>
      </c>
      <c r="BO2416" s="4">
        <v>204.02</v>
      </c>
      <c r="BQ2416" t="s">
        <v>135</v>
      </c>
      <c r="BR2416" t="s">
        <v>105</v>
      </c>
      <c r="BS2416" s="3">
        <v>43823</v>
      </c>
      <c r="BT2416" s="5">
        <v>0.34166666666666662</v>
      </c>
      <c r="BU2416" t="s">
        <v>2359</v>
      </c>
      <c r="BV2416" t="s">
        <v>86</v>
      </c>
      <c r="BY2416">
        <v>41617.29</v>
      </c>
      <c r="BZ2416" t="s">
        <v>27</v>
      </c>
      <c r="CC2416" t="s">
        <v>1052</v>
      </c>
      <c r="CD2416">
        <v>1739</v>
      </c>
      <c r="CE2416" t="s">
        <v>96</v>
      </c>
      <c r="CF2416" s="3">
        <v>43826</v>
      </c>
      <c r="CI2416">
        <v>1</v>
      </c>
      <c r="CJ2416">
        <v>1</v>
      </c>
      <c r="CK2416">
        <v>34</v>
      </c>
      <c r="CL2416" t="s">
        <v>89</v>
      </c>
    </row>
    <row r="2417" spans="1:90">
      <c r="A2417" t="s">
        <v>72</v>
      </c>
      <c r="B2417" t="s">
        <v>73</v>
      </c>
      <c r="C2417" t="s">
        <v>74</v>
      </c>
      <c r="E2417" t="str">
        <f>"009939332145"</f>
        <v>009939332145</v>
      </c>
      <c r="F2417" s="3">
        <v>43810</v>
      </c>
      <c r="G2417">
        <v>202006</v>
      </c>
      <c r="H2417" t="s">
        <v>90</v>
      </c>
      <c r="I2417" t="s">
        <v>91</v>
      </c>
      <c r="J2417" t="s">
        <v>2570</v>
      </c>
      <c r="K2417" t="s">
        <v>78</v>
      </c>
      <c r="L2417" t="s">
        <v>75</v>
      </c>
      <c r="M2417" t="s">
        <v>76</v>
      </c>
      <c r="N2417" t="s">
        <v>2570</v>
      </c>
      <c r="O2417" t="s">
        <v>82</v>
      </c>
      <c r="P2417" t="str">
        <f>".                             "</f>
        <v xml:space="preserve">.                             </v>
      </c>
      <c r="Q2417">
        <v>0</v>
      </c>
      <c r="R2417">
        <v>0</v>
      </c>
      <c r="S2417">
        <v>0</v>
      </c>
      <c r="T2417">
        <v>0</v>
      </c>
      <c r="U2417">
        <v>0</v>
      </c>
      <c r="V2417">
        <v>0</v>
      </c>
      <c r="W2417">
        <v>0</v>
      </c>
      <c r="X2417">
        <v>0</v>
      </c>
      <c r="Y2417">
        <v>0</v>
      </c>
      <c r="Z2417">
        <v>0</v>
      </c>
      <c r="AA2417">
        <v>0</v>
      </c>
      <c r="AB2417">
        <v>0</v>
      </c>
      <c r="AC2417">
        <v>0</v>
      </c>
      <c r="AD2417">
        <v>0</v>
      </c>
      <c r="AE2417">
        <v>0</v>
      </c>
      <c r="AF2417">
        <v>0</v>
      </c>
      <c r="AG2417">
        <v>0</v>
      </c>
      <c r="AH2417">
        <v>0</v>
      </c>
      <c r="AI2417">
        <v>0</v>
      </c>
      <c r="AJ2417">
        <v>0</v>
      </c>
      <c r="AK2417">
        <v>0</v>
      </c>
      <c r="AL2417">
        <v>0</v>
      </c>
      <c r="AM2417">
        <v>8.58</v>
      </c>
      <c r="AN2417">
        <v>0</v>
      </c>
      <c r="AO2417">
        <v>0</v>
      </c>
      <c r="AP2417">
        <v>0</v>
      </c>
      <c r="AQ2417">
        <v>0</v>
      </c>
      <c r="AR2417">
        <v>0</v>
      </c>
      <c r="AS2417">
        <v>0</v>
      </c>
      <c r="AT2417">
        <v>0</v>
      </c>
      <c r="AU2417">
        <v>0</v>
      </c>
      <c r="AV2417">
        <v>0</v>
      </c>
      <c r="AW2417">
        <v>0</v>
      </c>
      <c r="AX2417">
        <v>0</v>
      </c>
      <c r="AY2417">
        <v>0</v>
      </c>
      <c r="AZ2417">
        <v>0</v>
      </c>
      <c r="BA2417">
        <v>0</v>
      </c>
      <c r="BB2417">
        <v>0</v>
      </c>
      <c r="BC2417">
        <v>0</v>
      </c>
      <c r="BD2417">
        <v>0</v>
      </c>
      <c r="BE2417">
        <v>0</v>
      </c>
      <c r="BF2417">
        <v>0</v>
      </c>
      <c r="BG2417">
        <v>0</v>
      </c>
      <c r="BH2417">
        <v>1</v>
      </c>
      <c r="BI2417">
        <v>0.2</v>
      </c>
      <c r="BJ2417">
        <v>1.8</v>
      </c>
      <c r="BK2417">
        <v>2</v>
      </c>
      <c r="BL2417" s="4">
        <v>50.45</v>
      </c>
      <c r="BM2417" s="4">
        <v>7.57</v>
      </c>
      <c r="BN2417" s="4">
        <v>58.02</v>
      </c>
      <c r="BO2417" s="4">
        <v>58.02</v>
      </c>
      <c r="BQ2417" t="s">
        <v>2571</v>
      </c>
      <c r="BR2417" t="s">
        <v>2572</v>
      </c>
      <c r="BS2417" s="3">
        <v>43812</v>
      </c>
      <c r="BT2417" s="5">
        <v>0.33333333333333331</v>
      </c>
      <c r="BU2417" t="s">
        <v>1078</v>
      </c>
      <c r="BV2417" t="s">
        <v>86</v>
      </c>
      <c r="BY2417">
        <v>9000</v>
      </c>
      <c r="BZ2417" t="s">
        <v>27</v>
      </c>
      <c r="CA2417" t="s">
        <v>746</v>
      </c>
      <c r="CC2417" t="s">
        <v>76</v>
      </c>
      <c r="CD2417">
        <v>1600</v>
      </c>
      <c r="CE2417" t="s">
        <v>96</v>
      </c>
      <c r="CF2417" s="3">
        <v>43816</v>
      </c>
      <c r="CI2417">
        <v>1</v>
      </c>
      <c r="CJ2417">
        <v>2</v>
      </c>
      <c r="CK2417">
        <v>21</v>
      </c>
      <c r="CL2417" t="s">
        <v>89</v>
      </c>
    </row>
    <row r="2418" spans="1:90">
      <c r="A2418" t="s">
        <v>72</v>
      </c>
      <c r="B2418" t="s">
        <v>73</v>
      </c>
      <c r="C2418" t="s">
        <v>74</v>
      </c>
      <c r="E2418" t="str">
        <f>"FES1162727711"</f>
        <v>FES1162727711</v>
      </c>
      <c r="F2418" s="3">
        <v>43810</v>
      </c>
      <c r="G2418">
        <v>202006</v>
      </c>
      <c r="H2418" t="s">
        <v>75</v>
      </c>
      <c r="I2418" t="s">
        <v>76</v>
      </c>
      <c r="J2418" t="s">
        <v>100</v>
      </c>
      <c r="K2418" t="s">
        <v>78</v>
      </c>
      <c r="L2418" t="s">
        <v>213</v>
      </c>
      <c r="M2418" t="s">
        <v>214</v>
      </c>
      <c r="N2418" t="s">
        <v>303</v>
      </c>
      <c r="O2418" t="s">
        <v>104</v>
      </c>
      <c r="P2418" t="str">
        <f>"21707120187                   "</f>
        <v xml:space="preserve">21707120187                   </v>
      </c>
      <c r="Q2418">
        <v>0</v>
      </c>
      <c r="R2418">
        <v>0</v>
      </c>
      <c r="S2418">
        <v>0</v>
      </c>
      <c r="T2418">
        <v>0</v>
      </c>
      <c r="U2418">
        <v>0</v>
      </c>
      <c r="V2418">
        <v>0</v>
      </c>
      <c r="W2418">
        <v>0</v>
      </c>
      <c r="X2418">
        <v>0</v>
      </c>
      <c r="Y2418">
        <v>0</v>
      </c>
      <c r="Z2418">
        <v>0</v>
      </c>
      <c r="AA2418">
        <v>0</v>
      </c>
      <c r="AB2418">
        <v>0</v>
      </c>
      <c r="AC2418">
        <v>0</v>
      </c>
      <c r="AD2418">
        <v>0</v>
      </c>
      <c r="AE2418">
        <v>0</v>
      </c>
      <c r="AF2418">
        <v>0</v>
      </c>
      <c r="AG2418">
        <v>0</v>
      </c>
      <c r="AH2418">
        <v>0</v>
      </c>
      <c r="AI2418">
        <v>0</v>
      </c>
      <c r="AJ2418">
        <v>0</v>
      </c>
      <c r="AK2418">
        <v>0</v>
      </c>
      <c r="AL2418">
        <v>0</v>
      </c>
      <c r="AM2418">
        <v>29.61</v>
      </c>
      <c r="AN2418">
        <v>0</v>
      </c>
      <c r="AO2418">
        <v>0</v>
      </c>
      <c r="AP2418">
        <v>0</v>
      </c>
      <c r="AQ2418">
        <v>0</v>
      </c>
      <c r="AR2418">
        <v>0</v>
      </c>
      <c r="AS2418">
        <v>0</v>
      </c>
      <c r="AT2418">
        <v>0</v>
      </c>
      <c r="AU2418">
        <v>0</v>
      </c>
      <c r="AV2418">
        <v>0</v>
      </c>
      <c r="AW2418">
        <v>0</v>
      </c>
      <c r="AX2418">
        <v>0</v>
      </c>
      <c r="AY2418">
        <v>0</v>
      </c>
      <c r="AZ2418">
        <v>0</v>
      </c>
      <c r="BA2418">
        <v>0</v>
      </c>
      <c r="BB2418">
        <v>0</v>
      </c>
      <c r="BC2418">
        <v>0</v>
      </c>
      <c r="BD2418">
        <v>0</v>
      </c>
      <c r="BE2418">
        <v>0</v>
      </c>
      <c r="BF2418">
        <v>0</v>
      </c>
      <c r="BG2418">
        <v>0</v>
      </c>
      <c r="BH2418">
        <v>1</v>
      </c>
      <c r="BI2418">
        <v>14</v>
      </c>
      <c r="BJ2418">
        <v>30.1</v>
      </c>
      <c r="BK2418">
        <v>31</v>
      </c>
      <c r="BL2418" s="4">
        <v>179.04</v>
      </c>
      <c r="BM2418" s="4">
        <v>26.86</v>
      </c>
      <c r="BN2418" s="4">
        <v>205.9</v>
      </c>
      <c r="BO2418" s="4">
        <v>205.9</v>
      </c>
      <c r="BQ2418" t="s">
        <v>93</v>
      </c>
      <c r="BR2418" t="s">
        <v>105</v>
      </c>
      <c r="BS2418" s="3">
        <v>43811</v>
      </c>
      <c r="BT2418" s="5">
        <v>0.3263888888888889</v>
      </c>
      <c r="BU2418" t="s">
        <v>2503</v>
      </c>
      <c r="BV2418" t="s">
        <v>86</v>
      </c>
      <c r="BY2418">
        <v>150674.57999999999</v>
      </c>
      <c r="CA2418" t="s">
        <v>99</v>
      </c>
      <c r="CC2418" t="s">
        <v>214</v>
      </c>
      <c r="CD2418">
        <v>6230</v>
      </c>
      <c r="CE2418" t="s">
        <v>96</v>
      </c>
      <c r="CF2418" s="3">
        <v>43812</v>
      </c>
      <c r="CI2418">
        <v>2</v>
      </c>
      <c r="CJ2418">
        <v>1</v>
      </c>
      <c r="CK2418" t="s">
        <v>113</v>
      </c>
      <c r="CL2418" t="s">
        <v>89</v>
      </c>
    </row>
    <row r="2419" spans="1:90">
      <c r="A2419" t="s">
        <v>72</v>
      </c>
      <c r="B2419" t="s">
        <v>73</v>
      </c>
      <c r="C2419" t="s">
        <v>74</v>
      </c>
      <c r="E2419" t="str">
        <f>"FES1162729483"</f>
        <v>FES1162729483</v>
      </c>
      <c r="F2419" s="3">
        <v>43822</v>
      </c>
      <c r="G2419">
        <v>202006</v>
      </c>
      <c r="H2419" t="s">
        <v>75</v>
      </c>
      <c r="I2419" t="s">
        <v>76</v>
      </c>
      <c r="J2419" t="s">
        <v>77</v>
      </c>
      <c r="K2419" t="s">
        <v>78</v>
      </c>
      <c r="L2419" t="s">
        <v>151</v>
      </c>
      <c r="M2419" t="s">
        <v>102</v>
      </c>
      <c r="N2419" t="s">
        <v>634</v>
      </c>
      <c r="O2419" t="s">
        <v>82</v>
      </c>
      <c r="P2419" t="str">
        <f>"2170722173                    "</f>
        <v xml:space="preserve">2170722173                    </v>
      </c>
      <c r="Q2419">
        <v>0</v>
      </c>
      <c r="R2419">
        <v>0</v>
      </c>
      <c r="S2419">
        <v>0</v>
      </c>
      <c r="T2419">
        <v>0</v>
      </c>
      <c r="U2419">
        <v>0</v>
      </c>
      <c r="V2419">
        <v>0</v>
      </c>
      <c r="W2419">
        <v>0</v>
      </c>
      <c r="X2419">
        <v>0</v>
      </c>
      <c r="Y2419">
        <v>0</v>
      </c>
      <c r="Z2419">
        <v>0</v>
      </c>
      <c r="AA2419">
        <v>0</v>
      </c>
      <c r="AB2419">
        <v>0</v>
      </c>
      <c r="AC2419">
        <v>0</v>
      </c>
      <c r="AD2419">
        <v>0</v>
      </c>
      <c r="AE2419">
        <v>0</v>
      </c>
      <c r="AF2419">
        <v>0</v>
      </c>
      <c r="AG2419">
        <v>0</v>
      </c>
      <c r="AH2419">
        <v>0</v>
      </c>
      <c r="AI2419">
        <v>0</v>
      </c>
      <c r="AJ2419">
        <v>0</v>
      </c>
      <c r="AK2419">
        <v>0</v>
      </c>
      <c r="AL2419">
        <v>0</v>
      </c>
      <c r="AM2419">
        <v>10.73</v>
      </c>
      <c r="AN2419">
        <v>0</v>
      </c>
      <c r="AO2419">
        <v>0</v>
      </c>
      <c r="AP2419">
        <v>0</v>
      </c>
      <c r="AQ2419">
        <v>0</v>
      </c>
      <c r="AR2419">
        <v>0</v>
      </c>
      <c r="AS2419">
        <v>0</v>
      </c>
      <c r="AT2419">
        <v>0</v>
      </c>
      <c r="AU2419">
        <v>0</v>
      </c>
      <c r="AV2419">
        <v>0</v>
      </c>
      <c r="AW2419">
        <v>0</v>
      </c>
      <c r="AX2419">
        <v>0</v>
      </c>
      <c r="AY2419">
        <v>0</v>
      </c>
      <c r="AZ2419">
        <v>0</v>
      </c>
      <c r="BA2419">
        <v>0</v>
      </c>
      <c r="BB2419">
        <v>0</v>
      </c>
      <c r="BC2419">
        <v>0</v>
      </c>
      <c r="BD2419">
        <v>0</v>
      </c>
      <c r="BE2419">
        <v>0</v>
      </c>
      <c r="BF2419">
        <v>0</v>
      </c>
      <c r="BG2419">
        <v>0</v>
      </c>
      <c r="BH2419">
        <v>1</v>
      </c>
      <c r="BI2419">
        <v>2.4</v>
      </c>
      <c r="BJ2419">
        <v>0.9</v>
      </c>
      <c r="BK2419">
        <v>2.5</v>
      </c>
      <c r="BL2419" s="4">
        <v>63.06</v>
      </c>
      <c r="BM2419" s="4">
        <v>9.4600000000000009</v>
      </c>
      <c r="BN2419" s="4">
        <v>72.52</v>
      </c>
      <c r="BO2419" s="4">
        <v>72.52</v>
      </c>
      <c r="BQ2419" t="s">
        <v>147</v>
      </c>
      <c r="BR2419" t="s">
        <v>84</v>
      </c>
      <c r="BS2419" s="3">
        <v>43823</v>
      </c>
      <c r="BT2419" s="5">
        <v>0.34375</v>
      </c>
      <c r="BU2419" t="s">
        <v>2573</v>
      </c>
      <c r="BV2419" t="s">
        <v>86</v>
      </c>
      <c r="BY2419">
        <v>4645.2700000000004</v>
      </c>
      <c r="CC2419" t="s">
        <v>102</v>
      </c>
      <c r="CD2419">
        <v>200</v>
      </c>
      <c r="CE2419" t="s">
        <v>116</v>
      </c>
      <c r="CF2419" s="3">
        <v>43826</v>
      </c>
      <c r="CI2419">
        <v>1</v>
      </c>
      <c r="CJ2419">
        <v>1</v>
      </c>
      <c r="CK2419">
        <v>21</v>
      </c>
      <c r="CL2419" t="s">
        <v>89</v>
      </c>
    </row>
    <row r="2420" spans="1:90">
      <c r="A2420" t="s">
        <v>72</v>
      </c>
      <c r="B2420" t="s">
        <v>73</v>
      </c>
      <c r="C2420" t="s">
        <v>74</v>
      </c>
      <c r="E2420" t="str">
        <f>"FES1162729463"</f>
        <v>FES1162729463</v>
      </c>
      <c r="F2420" s="3">
        <v>43822</v>
      </c>
      <c r="G2420">
        <v>202006</v>
      </c>
      <c r="H2420" t="s">
        <v>75</v>
      </c>
      <c r="I2420" t="s">
        <v>76</v>
      </c>
      <c r="J2420" t="s">
        <v>77</v>
      </c>
      <c r="K2420" t="s">
        <v>78</v>
      </c>
      <c r="L2420" t="s">
        <v>90</v>
      </c>
      <c r="M2420" t="s">
        <v>91</v>
      </c>
      <c r="N2420" t="s">
        <v>1063</v>
      </c>
      <c r="O2420" t="s">
        <v>82</v>
      </c>
      <c r="P2420" t="str">
        <f>"2170722103                    "</f>
        <v xml:space="preserve">2170722103                    </v>
      </c>
      <c r="Q2420">
        <v>0</v>
      </c>
      <c r="R2420">
        <v>0</v>
      </c>
      <c r="S2420">
        <v>0</v>
      </c>
      <c r="T2420">
        <v>0</v>
      </c>
      <c r="U2420">
        <v>0</v>
      </c>
      <c r="V2420">
        <v>0</v>
      </c>
      <c r="W2420">
        <v>0</v>
      </c>
      <c r="X2420">
        <v>0</v>
      </c>
      <c r="Y2420">
        <v>0</v>
      </c>
      <c r="Z2420">
        <v>0</v>
      </c>
      <c r="AA2420">
        <v>0</v>
      </c>
      <c r="AB2420">
        <v>0</v>
      </c>
      <c r="AC2420">
        <v>0</v>
      </c>
      <c r="AD2420">
        <v>0</v>
      </c>
      <c r="AE2420">
        <v>0</v>
      </c>
      <c r="AF2420">
        <v>0</v>
      </c>
      <c r="AG2420">
        <v>0</v>
      </c>
      <c r="AH2420">
        <v>0</v>
      </c>
      <c r="AI2420">
        <v>0</v>
      </c>
      <c r="AJ2420">
        <v>0</v>
      </c>
      <c r="AK2420">
        <v>0</v>
      </c>
      <c r="AL2420">
        <v>0</v>
      </c>
      <c r="AM2420">
        <v>10.73</v>
      </c>
      <c r="AN2420">
        <v>0</v>
      </c>
      <c r="AO2420">
        <v>0</v>
      </c>
      <c r="AP2420">
        <v>0</v>
      </c>
      <c r="AQ2420">
        <v>0</v>
      </c>
      <c r="AR2420">
        <v>0</v>
      </c>
      <c r="AS2420">
        <v>0</v>
      </c>
      <c r="AT2420">
        <v>0</v>
      </c>
      <c r="AU2420">
        <v>0</v>
      </c>
      <c r="AV2420">
        <v>0</v>
      </c>
      <c r="AW2420">
        <v>0</v>
      </c>
      <c r="AX2420">
        <v>0</v>
      </c>
      <c r="AY2420">
        <v>0</v>
      </c>
      <c r="AZ2420">
        <v>0</v>
      </c>
      <c r="BA2420">
        <v>0</v>
      </c>
      <c r="BB2420">
        <v>0</v>
      </c>
      <c r="BC2420">
        <v>0</v>
      </c>
      <c r="BD2420">
        <v>0</v>
      </c>
      <c r="BE2420">
        <v>0</v>
      </c>
      <c r="BF2420">
        <v>0</v>
      </c>
      <c r="BG2420">
        <v>0</v>
      </c>
      <c r="BH2420">
        <v>1</v>
      </c>
      <c r="BI2420">
        <v>1.3</v>
      </c>
      <c r="BJ2420">
        <v>2.5</v>
      </c>
      <c r="BK2420">
        <v>2.5</v>
      </c>
      <c r="BL2420" s="4">
        <v>63.06</v>
      </c>
      <c r="BM2420" s="4">
        <v>9.4600000000000009</v>
      </c>
      <c r="BN2420" s="4">
        <v>72.52</v>
      </c>
      <c r="BO2420" s="4">
        <v>72.52</v>
      </c>
      <c r="BR2420" t="s">
        <v>84</v>
      </c>
      <c r="BS2420" s="3">
        <v>43823</v>
      </c>
      <c r="BT2420" s="5">
        <v>0.36944444444444446</v>
      </c>
      <c r="BU2420" t="s">
        <v>2574</v>
      </c>
      <c r="BV2420" t="s">
        <v>86</v>
      </c>
      <c r="BY2420">
        <v>12476.9</v>
      </c>
      <c r="CA2420" t="s">
        <v>2575</v>
      </c>
      <c r="CC2420" t="s">
        <v>91</v>
      </c>
      <c r="CD2420">
        <v>7460</v>
      </c>
      <c r="CE2420" t="s">
        <v>116</v>
      </c>
      <c r="CF2420" s="3">
        <v>43826</v>
      </c>
      <c r="CI2420">
        <v>1</v>
      </c>
      <c r="CJ2420">
        <v>1</v>
      </c>
      <c r="CK2420">
        <v>21</v>
      </c>
      <c r="CL2420" t="s">
        <v>89</v>
      </c>
    </row>
    <row r="2421" spans="1:90">
      <c r="A2421" t="s">
        <v>72</v>
      </c>
      <c r="B2421" t="s">
        <v>73</v>
      </c>
      <c r="C2421" t="s">
        <v>74</v>
      </c>
      <c r="E2421" t="str">
        <f>"FES1162729484"</f>
        <v>FES1162729484</v>
      </c>
      <c r="F2421" s="3">
        <v>43822</v>
      </c>
      <c r="G2421">
        <v>202006</v>
      </c>
      <c r="H2421" t="s">
        <v>75</v>
      </c>
      <c r="I2421" t="s">
        <v>76</v>
      </c>
      <c r="J2421" t="s">
        <v>77</v>
      </c>
      <c r="K2421" t="s">
        <v>78</v>
      </c>
      <c r="L2421" t="s">
        <v>90</v>
      </c>
      <c r="M2421" t="s">
        <v>91</v>
      </c>
      <c r="N2421" t="s">
        <v>219</v>
      </c>
      <c r="O2421" t="s">
        <v>82</v>
      </c>
      <c r="P2421" t="str">
        <f>"2170722200                    "</f>
        <v xml:space="preserve">2170722200                    </v>
      </c>
      <c r="Q2421">
        <v>0</v>
      </c>
      <c r="R2421">
        <v>0</v>
      </c>
      <c r="S2421">
        <v>0</v>
      </c>
      <c r="T2421">
        <v>0</v>
      </c>
      <c r="U2421">
        <v>0</v>
      </c>
      <c r="V2421">
        <v>0</v>
      </c>
      <c r="W2421">
        <v>0</v>
      </c>
      <c r="X2421">
        <v>0</v>
      </c>
      <c r="Y2421">
        <v>0</v>
      </c>
      <c r="Z2421">
        <v>0</v>
      </c>
      <c r="AA2421">
        <v>0</v>
      </c>
      <c r="AB2421">
        <v>0</v>
      </c>
      <c r="AC2421">
        <v>0</v>
      </c>
      <c r="AD2421">
        <v>0</v>
      </c>
      <c r="AE2421">
        <v>0</v>
      </c>
      <c r="AF2421">
        <v>0</v>
      </c>
      <c r="AG2421">
        <v>0</v>
      </c>
      <c r="AH2421">
        <v>0</v>
      </c>
      <c r="AI2421">
        <v>0</v>
      </c>
      <c r="AJ2421">
        <v>0</v>
      </c>
      <c r="AK2421">
        <v>0</v>
      </c>
      <c r="AL2421">
        <v>0</v>
      </c>
      <c r="AM2421">
        <v>36.46</v>
      </c>
      <c r="AN2421">
        <v>0</v>
      </c>
      <c r="AO2421">
        <v>0</v>
      </c>
      <c r="AP2421">
        <v>0</v>
      </c>
      <c r="AQ2421">
        <v>0</v>
      </c>
      <c r="AR2421">
        <v>0</v>
      </c>
      <c r="AS2421">
        <v>0</v>
      </c>
      <c r="AT2421">
        <v>0</v>
      </c>
      <c r="AU2421">
        <v>0</v>
      </c>
      <c r="AV2421">
        <v>0</v>
      </c>
      <c r="AW2421">
        <v>0</v>
      </c>
      <c r="AX2421">
        <v>0</v>
      </c>
      <c r="AY2421">
        <v>0</v>
      </c>
      <c r="AZ2421">
        <v>0</v>
      </c>
      <c r="BA2421">
        <v>0</v>
      </c>
      <c r="BB2421">
        <v>0</v>
      </c>
      <c r="BC2421">
        <v>0</v>
      </c>
      <c r="BD2421">
        <v>0</v>
      </c>
      <c r="BE2421">
        <v>0</v>
      </c>
      <c r="BF2421">
        <v>0</v>
      </c>
      <c r="BG2421">
        <v>0</v>
      </c>
      <c r="BH2421">
        <v>1</v>
      </c>
      <c r="BI2421">
        <v>4.9000000000000004</v>
      </c>
      <c r="BJ2421">
        <v>8.4</v>
      </c>
      <c r="BK2421">
        <v>8.5</v>
      </c>
      <c r="BL2421" s="4">
        <v>214.31</v>
      </c>
      <c r="BM2421" s="4">
        <v>32.15</v>
      </c>
      <c r="BN2421" s="4">
        <v>246.46</v>
      </c>
      <c r="BO2421" s="4">
        <v>246.46</v>
      </c>
      <c r="BQ2421" t="s">
        <v>147</v>
      </c>
      <c r="BR2421" t="s">
        <v>84</v>
      </c>
      <c r="BS2421" s="3">
        <v>43823</v>
      </c>
      <c r="BT2421" s="5">
        <v>0.3263888888888889</v>
      </c>
      <c r="BU2421" t="s">
        <v>2576</v>
      </c>
      <c r="BV2421" t="s">
        <v>86</v>
      </c>
      <c r="BY2421">
        <v>42049.58</v>
      </c>
      <c r="CA2421" t="s">
        <v>112</v>
      </c>
      <c r="CC2421" t="s">
        <v>91</v>
      </c>
      <c r="CD2421">
        <v>7441</v>
      </c>
      <c r="CE2421" t="s">
        <v>96</v>
      </c>
      <c r="CF2421" s="3">
        <v>43826</v>
      </c>
      <c r="CI2421">
        <v>1</v>
      </c>
      <c r="CJ2421">
        <v>1</v>
      </c>
      <c r="CK2421">
        <v>21</v>
      </c>
      <c r="CL2421" t="s">
        <v>89</v>
      </c>
    </row>
    <row r="2422" spans="1:90">
      <c r="A2422" t="s">
        <v>72</v>
      </c>
      <c r="B2422" t="s">
        <v>73</v>
      </c>
      <c r="C2422" t="s">
        <v>74</v>
      </c>
      <c r="E2422" t="str">
        <f>"FES1162729460"</f>
        <v>FES1162729460</v>
      </c>
      <c r="F2422" s="3">
        <v>43822</v>
      </c>
      <c r="G2422">
        <v>202006</v>
      </c>
      <c r="H2422" t="s">
        <v>75</v>
      </c>
      <c r="I2422" t="s">
        <v>76</v>
      </c>
      <c r="J2422" t="s">
        <v>77</v>
      </c>
      <c r="K2422" t="s">
        <v>78</v>
      </c>
      <c r="L2422" t="s">
        <v>90</v>
      </c>
      <c r="M2422" t="s">
        <v>91</v>
      </c>
      <c r="N2422" t="s">
        <v>219</v>
      </c>
      <c r="O2422" t="s">
        <v>82</v>
      </c>
      <c r="P2422" t="str">
        <f>"2170721862                    "</f>
        <v xml:space="preserve">2170721862                    </v>
      </c>
      <c r="Q2422">
        <v>0</v>
      </c>
      <c r="R2422">
        <v>0</v>
      </c>
      <c r="S2422">
        <v>0</v>
      </c>
      <c r="T2422">
        <v>0</v>
      </c>
      <c r="U2422">
        <v>0</v>
      </c>
      <c r="V2422">
        <v>0</v>
      </c>
      <c r="W2422">
        <v>0</v>
      </c>
      <c r="X2422">
        <v>0</v>
      </c>
      <c r="Y2422">
        <v>0</v>
      </c>
      <c r="Z2422">
        <v>0</v>
      </c>
      <c r="AA2422">
        <v>0</v>
      </c>
      <c r="AB2422">
        <v>0</v>
      </c>
      <c r="AC2422">
        <v>0</v>
      </c>
      <c r="AD2422">
        <v>0</v>
      </c>
      <c r="AE2422">
        <v>0</v>
      </c>
      <c r="AF2422">
        <v>0</v>
      </c>
      <c r="AG2422">
        <v>0</v>
      </c>
      <c r="AH2422">
        <v>0</v>
      </c>
      <c r="AI2422">
        <v>0</v>
      </c>
      <c r="AJ2422">
        <v>0</v>
      </c>
      <c r="AK2422">
        <v>0</v>
      </c>
      <c r="AL2422">
        <v>0</v>
      </c>
      <c r="AM2422">
        <v>19.3</v>
      </c>
      <c r="AN2422">
        <v>0</v>
      </c>
      <c r="AO2422">
        <v>0</v>
      </c>
      <c r="AP2422">
        <v>0</v>
      </c>
      <c r="AQ2422">
        <v>0</v>
      </c>
      <c r="AR2422">
        <v>0</v>
      </c>
      <c r="AS2422">
        <v>0</v>
      </c>
      <c r="AT2422">
        <v>0</v>
      </c>
      <c r="AU2422">
        <v>0</v>
      </c>
      <c r="AV2422">
        <v>0</v>
      </c>
      <c r="AW2422">
        <v>0</v>
      </c>
      <c r="AX2422">
        <v>0</v>
      </c>
      <c r="AY2422">
        <v>0</v>
      </c>
      <c r="AZ2422">
        <v>0</v>
      </c>
      <c r="BA2422">
        <v>0</v>
      </c>
      <c r="BB2422">
        <v>0</v>
      </c>
      <c r="BC2422">
        <v>0</v>
      </c>
      <c r="BD2422">
        <v>0</v>
      </c>
      <c r="BE2422">
        <v>0</v>
      </c>
      <c r="BF2422">
        <v>0</v>
      </c>
      <c r="BG2422">
        <v>0</v>
      </c>
      <c r="BH2422">
        <v>1</v>
      </c>
      <c r="BI2422">
        <v>2.5</v>
      </c>
      <c r="BJ2422">
        <v>4.0999999999999996</v>
      </c>
      <c r="BK2422">
        <v>4.5</v>
      </c>
      <c r="BL2422" s="4">
        <v>113.47</v>
      </c>
      <c r="BM2422" s="4">
        <v>17.02</v>
      </c>
      <c r="BN2422" s="4">
        <v>130.49</v>
      </c>
      <c r="BO2422" s="4">
        <v>130.49</v>
      </c>
      <c r="BQ2422" t="s">
        <v>147</v>
      </c>
      <c r="BR2422" t="s">
        <v>84</v>
      </c>
      <c r="BS2422" s="3">
        <v>43823</v>
      </c>
      <c r="BT2422" s="5">
        <v>0.3263888888888889</v>
      </c>
      <c r="BU2422" t="s">
        <v>2576</v>
      </c>
      <c r="BV2422" t="s">
        <v>86</v>
      </c>
      <c r="BY2422">
        <v>20484.830000000002</v>
      </c>
      <c r="CA2422" t="s">
        <v>112</v>
      </c>
      <c r="CC2422" t="s">
        <v>91</v>
      </c>
      <c r="CD2422">
        <v>7441</v>
      </c>
      <c r="CE2422" t="s">
        <v>116</v>
      </c>
      <c r="CF2422" s="3">
        <v>43826</v>
      </c>
      <c r="CI2422">
        <v>1</v>
      </c>
      <c r="CJ2422">
        <v>1</v>
      </c>
      <c r="CK2422">
        <v>21</v>
      </c>
      <c r="CL2422" t="s">
        <v>89</v>
      </c>
    </row>
    <row r="2423" spans="1:90">
      <c r="A2423" t="s">
        <v>72</v>
      </c>
      <c r="B2423" t="s">
        <v>73</v>
      </c>
      <c r="C2423" t="s">
        <v>74</v>
      </c>
      <c r="E2423" t="str">
        <f>"FES1162729461"</f>
        <v>FES1162729461</v>
      </c>
      <c r="F2423" s="3">
        <v>43822</v>
      </c>
      <c r="G2423">
        <v>202006</v>
      </c>
      <c r="H2423" t="s">
        <v>75</v>
      </c>
      <c r="I2423" t="s">
        <v>76</v>
      </c>
      <c r="J2423" t="s">
        <v>77</v>
      </c>
      <c r="K2423" t="s">
        <v>78</v>
      </c>
      <c r="L2423" t="s">
        <v>332</v>
      </c>
      <c r="M2423" t="s">
        <v>333</v>
      </c>
      <c r="N2423" t="s">
        <v>701</v>
      </c>
      <c r="O2423" t="s">
        <v>82</v>
      </c>
      <c r="P2423" t="str">
        <f>"2170721896                    "</f>
        <v xml:space="preserve">2170721896                    </v>
      </c>
      <c r="Q2423">
        <v>0</v>
      </c>
      <c r="R2423">
        <v>0</v>
      </c>
      <c r="S2423">
        <v>0</v>
      </c>
      <c r="T2423">
        <v>0</v>
      </c>
      <c r="U2423">
        <v>0</v>
      </c>
      <c r="V2423">
        <v>0</v>
      </c>
      <c r="W2423">
        <v>0</v>
      </c>
      <c r="X2423">
        <v>0</v>
      </c>
      <c r="Y2423">
        <v>0</v>
      </c>
      <c r="Z2423">
        <v>0</v>
      </c>
      <c r="AA2423">
        <v>0</v>
      </c>
      <c r="AB2423">
        <v>0</v>
      </c>
      <c r="AC2423">
        <v>0</v>
      </c>
      <c r="AD2423">
        <v>0</v>
      </c>
      <c r="AE2423">
        <v>0</v>
      </c>
      <c r="AF2423">
        <v>0</v>
      </c>
      <c r="AG2423">
        <v>0</v>
      </c>
      <c r="AH2423">
        <v>0</v>
      </c>
      <c r="AI2423">
        <v>0</v>
      </c>
      <c r="AJ2423">
        <v>0</v>
      </c>
      <c r="AK2423">
        <v>0</v>
      </c>
      <c r="AL2423">
        <v>0</v>
      </c>
      <c r="AM2423">
        <v>6.71</v>
      </c>
      <c r="AN2423">
        <v>0</v>
      </c>
      <c r="AO2423">
        <v>0</v>
      </c>
      <c r="AP2423">
        <v>0</v>
      </c>
      <c r="AQ2423">
        <v>0</v>
      </c>
      <c r="AR2423">
        <v>0</v>
      </c>
      <c r="AS2423">
        <v>0</v>
      </c>
      <c r="AT2423">
        <v>0</v>
      </c>
      <c r="AU2423">
        <v>0</v>
      </c>
      <c r="AV2423">
        <v>0</v>
      </c>
      <c r="AW2423">
        <v>0</v>
      </c>
      <c r="AX2423">
        <v>0</v>
      </c>
      <c r="AY2423">
        <v>0</v>
      </c>
      <c r="AZ2423">
        <v>0</v>
      </c>
      <c r="BA2423">
        <v>0</v>
      </c>
      <c r="BB2423">
        <v>0</v>
      </c>
      <c r="BC2423">
        <v>0</v>
      </c>
      <c r="BD2423">
        <v>0</v>
      </c>
      <c r="BE2423">
        <v>0</v>
      </c>
      <c r="BF2423">
        <v>0</v>
      </c>
      <c r="BG2423">
        <v>0</v>
      </c>
      <c r="BH2423">
        <v>1</v>
      </c>
      <c r="BI2423">
        <v>1.1000000000000001</v>
      </c>
      <c r="BJ2423">
        <v>1.7</v>
      </c>
      <c r="BK2423">
        <v>2</v>
      </c>
      <c r="BL2423" s="4">
        <v>39.42</v>
      </c>
      <c r="BM2423" s="4">
        <v>5.91</v>
      </c>
      <c r="BN2423" s="4">
        <v>45.33</v>
      </c>
      <c r="BO2423" s="4">
        <v>45.33</v>
      </c>
      <c r="BQ2423" t="s">
        <v>93</v>
      </c>
      <c r="BR2423" t="s">
        <v>84</v>
      </c>
      <c r="BS2423" s="3">
        <v>43823</v>
      </c>
      <c r="BT2423" s="5">
        <v>0.33611111111111108</v>
      </c>
      <c r="BU2423" t="s">
        <v>625</v>
      </c>
      <c r="BV2423" t="s">
        <v>86</v>
      </c>
      <c r="BY2423">
        <v>8607.5499999999993</v>
      </c>
      <c r="CC2423" t="s">
        <v>333</v>
      </c>
      <c r="CD2423">
        <v>2094</v>
      </c>
      <c r="CE2423" t="s">
        <v>96</v>
      </c>
      <c r="CF2423" s="3">
        <v>43826</v>
      </c>
      <c r="CI2423">
        <v>1</v>
      </c>
      <c r="CJ2423">
        <v>1</v>
      </c>
      <c r="CK2423">
        <v>22</v>
      </c>
      <c r="CL2423" t="s">
        <v>89</v>
      </c>
    </row>
    <row r="2424" spans="1:90">
      <c r="A2424" t="s">
        <v>72</v>
      </c>
      <c r="B2424" t="s">
        <v>73</v>
      </c>
      <c r="C2424" t="s">
        <v>74</v>
      </c>
      <c r="E2424" t="str">
        <f>"080002512114"</f>
        <v>080002512114</v>
      </c>
      <c r="F2424" s="3">
        <v>43819</v>
      </c>
      <c r="G2424">
        <v>202006</v>
      </c>
      <c r="H2424" t="s">
        <v>626</v>
      </c>
      <c r="I2424" t="s">
        <v>627</v>
      </c>
      <c r="J2424" t="s">
        <v>2577</v>
      </c>
      <c r="K2424" t="s">
        <v>78</v>
      </c>
      <c r="L2424" t="s">
        <v>75</v>
      </c>
      <c r="M2424" t="s">
        <v>76</v>
      </c>
      <c r="N2424" t="s">
        <v>100</v>
      </c>
      <c r="O2424" t="s">
        <v>82</v>
      </c>
      <c r="P2424" t="str">
        <f>"009935712109                  "</f>
        <v xml:space="preserve">009935712109                  </v>
      </c>
      <c r="Q2424">
        <v>0</v>
      </c>
      <c r="R2424">
        <v>0</v>
      </c>
      <c r="S2424">
        <v>0</v>
      </c>
      <c r="T2424">
        <v>0</v>
      </c>
      <c r="U2424">
        <v>0</v>
      </c>
      <c r="V2424">
        <v>0</v>
      </c>
      <c r="W2424">
        <v>0</v>
      </c>
      <c r="X2424">
        <v>0</v>
      </c>
      <c r="Y2424">
        <v>0</v>
      </c>
      <c r="Z2424">
        <v>0</v>
      </c>
      <c r="AA2424">
        <v>0</v>
      </c>
      <c r="AB2424">
        <v>0</v>
      </c>
      <c r="AC2424">
        <v>0</v>
      </c>
      <c r="AD2424">
        <v>0</v>
      </c>
      <c r="AE2424">
        <v>0</v>
      </c>
      <c r="AF2424">
        <v>0</v>
      </c>
      <c r="AG2424">
        <v>0</v>
      </c>
      <c r="AH2424">
        <v>0</v>
      </c>
      <c r="AI2424">
        <v>0</v>
      </c>
      <c r="AJ2424">
        <v>0</v>
      </c>
      <c r="AK2424">
        <v>0</v>
      </c>
      <c r="AL2424">
        <v>0</v>
      </c>
      <c r="AM2424">
        <v>15.02</v>
      </c>
      <c r="AN2424">
        <v>0</v>
      </c>
      <c r="AO2424">
        <v>0</v>
      </c>
      <c r="AP2424">
        <v>0</v>
      </c>
      <c r="AQ2424">
        <v>0</v>
      </c>
      <c r="AR2424">
        <v>0</v>
      </c>
      <c r="AS2424">
        <v>0</v>
      </c>
      <c r="AT2424">
        <v>0</v>
      </c>
      <c r="AU2424">
        <v>0</v>
      </c>
      <c r="AV2424">
        <v>0</v>
      </c>
      <c r="AW2424">
        <v>0</v>
      </c>
      <c r="AX2424">
        <v>0</v>
      </c>
      <c r="AY2424">
        <v>0</v>
      </c>
      <c r="AZ2424">
        <v>0</v>
      </c>
      <c r="BA2424">
        <v>0</v>
      </c>
      <c r="BB2424">
        <v>0</v>
      </c>
      <c r="BC2424">
        <v>0</v>
      </c>
      <c r="BD2424">
        <v>0</v>
      </c>
      <c r="BE2424">
        <v>0</v>
      </c>
      <c r="BF2424">
        <v>0</v>
      </c>
      <c r="BG2424">
        <v>0</v>
      </c>
      <c r="BH2424">
        <v>1</v>
      </c>
      <c r="BI2424">
        <v>3.5</v>
      </c>
      <c r="BJ2424">
        <v>1.1000000000000001</v>
      </c>
      <c r="BK2424">
        <v>3.5</v>
      </c>
      <c r="BL2424" s="4">
        <v>88.27</v>
      </c>
      <c r="BM2424" s="4">
        <v>13.24</v>
      </c>
      <c r="BN2424" s="4">
        <v>101.51</v>
      </c>
      <c r="BO2424" s="4">
        <v>101.51</v>
      </c>
      <c r="BP2424" t="s">
        <v>2578</v>
      </c>
      <c r="BQ2424" t="s">
        <v>2579</v>
      </c>
      <c r="BR2424" t="s">
        <v>2580</v>
      </c>
      <c r="BS2424" s="3">
        <v>43822</v>
      </c>
      <c r="BT2424" s="5">
        <v>0.4069444444444445</v>
      </c>
      <c r="BU2424" t="s">
        <v>154</v>
      </c>
      <c r="BV2424" t="s">
        <v>86</v>
      </c>
      <c r="BY2424">
        <v>5520</v>
      </c>
      <c r="BZ2424" t="s">
        <v>27</v>
      </c>
      <c r="CA2424" t="s">
        <v>155</v>
      </c>
      <c r="CC2424" t="s">
        <v>76</v>
      </c>
      <c r="CD2424">
        <v>1619</v>
      </c>
      <c r="CE2424" t="s">
        <v>556</v>
      </c>
      <c r="CF2424" s="3">
        <v>43823</v>
      </c>
      <c r="CI2424">
        <v>1</v>
      </c>
      <c r="CJ2424">
        <v>1</v>
      </c>
      <c r="CK2424">
        <v>21</v>
      </c>
      <c r="CL2424" t="s">
        <v>89</v>
      </c>
    </row>
    <row r="2425" spans="1:90">
      <c r="A2425" t="s">
        <v>72</v>
      </c>
      <c r="B2425" t="s">
        <v>73</v>
      </c>
      <c r="C2425" t="s">
        <v>74</v>
      </c>
      <c r="E2425" t="str">
        <f>"FES1162729499"</f>
        <v>FES1162729499</v>
      </c>
      <c r="F2425" s="3">
        <v>43822</v>
      </c>
      <c r="G2425">
        <v>202006</v>
      </c>
      <c r="H2425" t="s">
        <v>75</v>
      </c>
      <c r="I2425" t="s">
        <v>76</v>
      </c>
      <c r="J2425" t="s">
        <v>77</v>
      </c>
      <c r="K2425" t="s">
        <v>78</v>
      </c>
      <c r="L2425" t="s">
        <v>75</v>
      </c>
      <c r="M2425" t="s">
        <v>76</v>
      </c>
      <c r="N2425" t="s">
        <v>2581</v>
      </c>
      <c r="O2425" t="s">
        <v>82</v>
      </c>
      <c r="P2425" t="str">
        <f>"2170719007                    "</f>
        <v xml:space="preserve">2170719007                    </v>
      </c>
      <c r="Q2425">
        <v>0</v>
      </c>
      <c r="R2425">
        <v>0</v>
      </c>
      <c r="S2425">
        <v>0</v>
      </c>
      <c r="T2425">
        <v>0</v>
      </c>
      <c r="U2425">
        <v>0</v>
      </c>
      <c r="V2425">
        <v>0</v>
      </c>
      <c r="W2425">
        <v>0</v>
      </c>
      <c r="X2425">
        <v>0</v>
      </c>
      <c r="Y2425">
        <v>0</v>
      </c>
      <c r="Z2425">
        <v>0</v>
      </c>
      <c r="AA2425">
        <v>0</v>
      </c>
      <c r="AB2425">
        <v>0</v>
      </c>
      <c r="AC2425">
        <v>0</v>
      </c>
      <c r="AD2425">
        <v>0</v>
      </c>
      <c r="AE2425">
        <v>0</v>
      </c>
      <c r="AF2425">
        <v>0</v>
      </c>
      <c r="AG2425">
        <v>0</v>
      </c>
      <c r="AH2425">
        <v>0</v>
      </c>
      <c r="AI2425">
        <v>0</v>
      </c>
      <c r="AJ2425">
        <v>0</v>
      </c>
      <c r="AK2425">
        <v>0</v>
      </c>
      <c r="AL2425">
        <v>0</v>
      </c>
      <c r="AM2425">
        <v>8.31</v>
      </c>
      <c r="AN2425">
        <v>0</v>
      </c>
      <c r="AO2425">
        <v>0</v>
      </c>
      <c r="AP2425">
        <v>0</v>
      </c>
      <c r="AQ2425">
        <v>0</v>
      </c>
      <c r="AR2425">
        <v>0</v>
      </c>
      <c r="AS2425">
        <v>0</v>
      </c>
      <c r="AT2425">
        <v>0</v>
      </c>
      <c r="AU2425">
        <v>0</v>
      </c>
      <c r="AV2425">
        <v>0</v>
      </c>
      <c r="AW2425">
        <v>0</v>
      </c>
      <c r="AX2425">
        <v>0</v>
      </c>
      <c r="AY2425">
        <v>0</v>
      </c>
      <c r="AZ2425">
        <v>0</v>
      </c>
      <c r="BA2425">
        <v>0</v>
      </c>
      <c r="BB2425">
        <v>0</v>
      </c>
      <c r="BC2425">
        <v>0</v>
      </c>
      <c r="BD2425">
        <v>0</v>
      </c>
      <c r="BE2425">
        <v>0</v>
      </c>
      <c r="BF2425">
        <v>0</v>
      </c>
      <c r="BG2425">
        <v>0</v>
      </c>
      <c r="BH2425">
        <v>1</v>
      </c>
      <c r="BI2425">
        <v>2.5</v>
      </c>
      <c r="BJ2425">
        <v>2.8</v>
      </c>
      <c r="BK2425">
        <v>3</v>
      </c>
      <c r="BL2425" s="4">
        <v>48.86</v>
      </c>
      <c r="BM2425" s="4">
        <v>7.33</v>
      </c>
      <c r="BN2425" s="4">
        <v>56.19</v>
      </c>
      <c r="BO2425" s="4">
        <v>56.19</v>
      </c>
      <c r="BQ2425" t="s">
        <v>147</v>
      </c>
      <c r="BR2425" t="s">
        <v>84</v>
      </c>
      <c r="BS2425" t="s">
        <v>717</v>
      </c>
      <c r="BY2425">
        <v>13856.19</v>
      </c>
      <c r="CC2425" t="s">
        <v>76</v>
      </c>
      <c r="CD2425">
        <v>1619</v>
      </c>
      <c r="CE2425" t="s">
        <v>116</v>
      </c>
      <c r="CI2425">
        <v>1</v>
      </c>
      <c r="CJ2425" t="s">
        <v>717</v>
      </c>
      <c r="CK2425">
        <v>22</v>
      </c>
      <c r="CL2425" t="s">
        <v>89</v>
      </c>
    </row>
    <row r="2426" spans="1:90">
      <c r="A2426" t="s">
        <v>72</v>
      </c>
      <c r="B2426" t="s">
        <v>73</v>
      </c>
      <c r="C2426" t="s">
        <v>74</v>
      </c>
      <c r="E2426" t="str">
        <f>"FES1162729375"</f>
        <v>FES1162729375</v>
      </c>
      <c r="F2426" s="3">
        <v>43822</v>
      </c>
      <c r="G2426">
        <v>202006</v>
      </c>
      <c r="H2426" t="s">
        <v>75</v>
      </c>
      <c r="I2426" t="s">
        <v>76</v>
      </c>
      <c r="J2426" t="s">
        <v>77</v>
      </c>
      <c r="K2426" t="s">
        <v>78</v>
      </c>
      <c r="L2426" t="s">
        <v>75</v>
      </c>
      <c r="M2426" t="s">
        <v>76</v>
      </c>
      <c r="N2426" t="s">
        <v>2420</v>
      </c>
      <c r="O2426" t="s">
        <v>82</v>
      </c>
      <c r="P2426" t="str">
        <f>"2170722373                    "</f>
        <v xml:space="preserve">2170722373                    </v>
      </c>
      <c r="Q2426">
        <v>0</v>
      </c>
      <c r="R2426">
        <v>0</v>
      </c>
      <c r="S2426">
        <v>0</v>
      </c>
      <c r="T2426">
        <v>0</v>
      </c>
      <c r="U2426">
        <v>0</v>
      </c>
      <c r="V2426">
        <v>0</v>
      </c>
      <c r="W2426">
        <v>0</v>
      </c>
      <c r="X2426">
        <v>0</v>
      </c>
      <c r="Y2426">
        <v>0</v>
      </c>
      <c r="Z2426">
        <v>0</v>
      </c>
      <c r="AA2426">
        <v>0</v>
      </c>
      <c r="AB2426">
        <v>0</v>
      </c>
      <c r="AC2426">
        <v>0</v>
      </c>
      <c r="AD2426">
        <v>0</v>
      </c>
      <c r="AE2426">
        <v>0</v>
      </c>
      <c r="AF2426">
        <v>0</v>
      </c>
      <c r="AG2426">
        <v>0</v>
      </c>
      <c r="AH2426">
        <v>0</v>
      </c>
      <c r="AI2426">
        <v>0</v>
      </c>
      <c r="AJ2426">
        <v>0</v>
      </c>
      <c r="AK2426">
        <v>0</v>
      </c>
      <c r="AL2426">
        <v>0</v>
      </c>
      <c r="AM2426">
        <v>7.51</v>
      </c>
      <c r="AN2426">
        <v>0</v>
      </c>
      <c r="AO2426">
        <v>0</v>
      </c>
      <c r="AP2426">
        <v>0</v>
      </c>
      <c r="AQ2426">
        <v>0</v>
      </c>
      <c r="AR2426">
        <v>0</v>
      </c>
      <c r="AS2426">
        <v>0</v>
      </c>
      <c r="AT2426">
        <v>0</v>
      </c>
      <c r="AU2426">
        <v>0</v>
      </c>
      <c r="AV2426">
        <v>0</v>
      </c>
      <c r="AW2426">
        <v>0</v>
      </c>
      <c r="AX2426">
        <v>0</v>
      </c>
      <c r="AY2426">
        <v>0</v>
      </c>
      <c r="AZ2426">
        <v>0</v>
      </c>
      <c r="BA2426">
        <v>0</v>
      </c>
      <c r="BB2426">
        <v>0</v>
      </c>
      <c r="BC2426">
        <v>0</v>
      </c>
      <c r="BD2426">
        <v>0</v>
      </c>
      <c r="BE2426">
        <v>0</v>
      </c>
      <c r="BF2426">
        <v>0</v>
      </c>
      <c r="BG2426">
        <v>0</v>
      </c>
      <c r="BH2426">
        <v>1</v>
      </c>
      <c r="BI2426">
        <v>0.8</v>
      </c>
      <c r="BJ2426">
        <v>2.1</v>
      </c>
      <c r="BK2426">
        <v>2.5</v>
      </c>
      <c r="BL2426" s="4">
        <v>44.14</v>
      </c>
      <c r="BM2426" s="4">
        <v>6.62</v>
      </c>
      <c r="BN2426" s="4">
        <v>50.76</v>
      </c>
      <c r="BO2426" s="4">
        <v>50.76</v>
      </c>
      <c r="BQ2426" t="s">
        <v>93</v>
      </c>
      <c r="BR2426" t="s">
        <v>84</v>
      </c>
      <c r="BS2426" s="3">
        <v>43823</v>
      </c>
      <c r="BT2426" s="5">
        <v>0.33333333333333331</v>
      </c>
      <c r="BU2426" t="s">
        <v>2582</v>
      </c>
      <c r="BV2426" t="s">
        <v>86</v>
      </c>
      <c r="BY2426">
        <v>10555.78</v>
      </c>
      <c r="CA2426" t="s">
        <v>320</v>
      </c>
      <c r="CC2426" t="s">
        <v>76</v>
      </c>
      <c r="CD2426">
        <v>1666</v>
      </c>
      <c r="CE2426" t="s">
        <v>88</v>
      </c>
      <c r="CF2426" s="3">
        <v>43826</v>
      </c>
      <c r="CI2426">
        <v>1</v>
      </c>
      <c r="CJ2426">
        <v>1</v>
      </c>
      <c r="CK2426">
        <v>22</v>
      </c>
      <c r="CL2426" t="s">
        <v>89</v>
      </c>
    </row>
    <row r="2427" spans="1:90">
      <c r="A2427" t="s">
        <v>72</v>
      </c>
      <c r="B2427" t="s">
        <v>73</v>
      </c>
      <c r="C2427" t="s">
        <v>74</v>
      </c>
      <c r="E2427" t="str">
        <f>"FES1162729294"</f>
        <v>FES1162729294</v>
      </c>
      <c r="F2427" s="3">
        <v>43822</v>
      </c>
      <c r="G2427">
        <v>202006</v>
      </c>
      <c r="H2427" t="s">
        <v>75</v>
      </c>
      <c r="I2427" t="s">
        <v>76</v>
      </c>
      <c r="J2427" t="s">
        <v>77</v>
      </c>
      <c r="K2427" t="s">
        <v>78</v>
      </c>
      <c r="L2427" t="s">
        <v>714</v>
      </c>
      <c r="M2427" t="s">
        <v>715</v>
      </c>
      <c r="N2427" t="s">
        <v>1018</v>
      </c>
      <c r="O2427" t="s">
        <v>82</v>
      </c>
      <c r="P2427" t="str">
        <f>"2170720874                    "</f>
        <v xml:space="preserve">2170720874                    </v>
      </c>
      <c r="Q2427">
        <v>0</v>
      </c>
      <c r="R2427">
        <v>0</v>
      </c>
      <c r="S2427">
        <v>0</v>
      </c>
      <c r="T2427">
        <v>0</v>
      </c>
      <c r="U2427">
        <v>0</v>
      </c>
      <c r="V2427">
        <v>0</v>
      </c>
      <c r="W2427">
        <v>0</v>
      </c>
      <c r="X2427">
        <v>0</v>
      </c>
      <c r="Y2427">
        <v>0</v>
      </c>
      <c r="Z2427">
        <v>0</v>
      </c>
      <c r="AA2427">
        <v>0</v>
      </c>
      <c r="AB2427">
        <v>0</v>
      </c>
      <c r="AC2427">
        <v>0</v>
      </c>
      <c r="AD2427">
        <v>0</v>
      </c>
      <c r="AE2427">
        <v>0</v>
      </c>
      <c r="AF2427">
        <v>0</v>
      </c>
      <c r="AG2427">
        <v>0</v>
      </c>
      <c r="AH2427">
        <v>0</v>
      </c>
      <c r="AI2427">
        <v>0</v>
      </c>
      <c r="AJ2427">
        <v>0</v>
      </c>
      <c r="AK2427">
        <v>0</v>
      </c>
      <c r="AL2427">
        <v>0</v>
      </c>
      <c r="AM2427">
        <v>6.71</v>
      </c>
      <c r="AN2427">
        <v>0</v>
      </c>
      <c r="AO2427">
        <v>0</v>
      </c>
      <c r="AP2427">
        <v>0</v>
      </c>
      <c r="AQ2427">
        <v>0</v>
      </c>
      <c r="AR2427">
        <v>0</v>
      </c>
      <c r="AS2427">
        <v>0</v>
      </c>
      <c r="AT2427">
        <v>0</v>
      </c>
      <c r="AU2427">
        <v>0</v>
      </c>
      <c r="AV2427">
        <v>0</v>
      </c>
      <c r="AW2427">
        <v>0</v>
      </c>
      <c r="AX2427">
        <v>0</v>
      </c>
      <c r="AY2427">
        <v>0</v>
      </c>
      <c r="AZ2427">
        <v>0</v>
      </c>
      <c r="BA2427">
        <v>0</v>
      </c>
      <c r="BB2427">
        <v>0</v>
      </c>
      <c r="BC2427">
        <v>0</v>
      </c>
      <c r="BD2427">
        <v>0</v>
      </c>
      <c r="BE2427">
        <v>0</v>
      </c>
      <c r="BF2427">
        <v>0</v>
      </c>
      <c r="BG2427">
        <v>0</v>
      </c>
      <c r="BH2427">
        <v>1</v>
      </c>
      <c r="BI2427">
        <v>1</v>
      </c>
      <c r="BJ2427">
        <v>0.2</v>
      </c>
      <c r="BK2427">
        <v>1</v>
      </c>
      <c r="BL2427" s="4">
        <v>39.42</v>
      </c>
      <c r="BM2427" s="4">
        <v>5.91</v>
      </c>
      <c r="BN2427" s="4">
        <v>45.33</v>
      </c>
      <c r="BO2427" s="4">
        <v>45.33</v>
      </c>
      <c r="BQ2427" t="s">
        <v>147</v>
      </c>
      <c r="BR2427" t="s">
        <v>84</v>
      </c>
      <c r="BS2427" s="3">
        <v>43823</v>
      </c>
      <c r="BT2427" s="5">
        <v>0.33333333333333331</v>
      </c>
      <c r="BU2427" t="s">
        <v>2583</v>
      </c>
      <c r="BV2427" t="s">
        <v>86</v>
      </c>
      <c r="BY2427">
        <v>1200</v>
      </c>
      <c r="CC2427" t="s">
        <v>715</v>
      </c>
      <c r="CD2427">
        <v>1559</v>
      </c>
      <c r="CE2427" t="s">
        <v>88</v>
      </c>
      <c r="CF2427" s="3">
        <v>43826</v>
      </c>
      <c r="CI2427">
        <v>1</v>
      </c>
      <c r="CJ2427">
        <v>1</v>
      </c>
      <c r="CK2427">
        <v>22</v>
      </c>
      <c r="CL2427" t="s">
        <v>89</v>
      </c>
    </row>
    <row r="2428" spans="1:90">
      <c r="A2428" t="s">
        <v>72</v>
      </c>
      <c r="B2428" t="s">
        <v>73</v>
      </c>
      <c r="C2428" t="s">
        <v>74</v>
      </c>
      <c r="E2428" t="str">
        <f>"FES1162728575"</f>
        <v>FES1162728575</v>
      </c>
      <c r="F2428" s="3">
        <v>43822</v>
      </c>
      <c r="G2428">
        <v>202006</v>
      </c>
      <c r="H2428" t="s">
        <v>75</v>
      </c>
      <c r="I2428" t="s">
        <v>76</v>
      </c>
      <c r="J2428" t="s">
        <v>77</v>
      </c>
      <c r="K2428" t="s">
        <v>78</v>
      </c>
      <c r="L2428" t="s">
        <v>75</v>
      </c>
      <c r="M2428" t="s">
        <v>76</v>
      </c>
      <c r="N2428" t="s">
        <v>703</v>
      </c>
      <c r="O2428" t="s">
        <v>82</v>
      </c>
      <c r="P2428" t="str">
        <f>"2170721356                    "</f>
        <v xml:space="preserve">2170721356                    </v>
      </c>
      <c r="Q2428">
        <v>0</v>
      </c>
      <c r="R2428">
        <v>0</v>
      </c>
      <c r="S2428">
        <v>0</v>
      </c>
      <c r="T2428">
        <v>0</v>
      </c>
      <c r="U2428">
        <v>0</v>
      </c>
      <c r="V2428">
        <v>0</v>
      </c>
      <c r="W2428">
        <v>0</v>
      </c>
      <c r="X2428">
        <v>0</v>
      </c>
      <c r="Y2428">
        <v>0</v>
      </c>
      <c r="Z2428">
        <v>0</v>
      </c>
      <c r="AA2428">
        <v>0</v>
      </c>
      <c r="AB2428">
        <v>0</v>
      </c>
      <c r="AC2428">
        <v>0</v>
      </c>
      <c r="AD2428">
        <v>0</v>
      </c>
      <c r="AE2428">
        <v>0</v>
      </c>
      <c r="AF2428">
        <v>0</v>
      </c>
      <c r="AG2428">
        <v>0</v>
      </c>
      <c r="AH2428">
        <v>0</v>
      </c>
      <c r="AI2428">
        <v>0</v>
      </c>
      <c r="AJ2428">
        <v>0</v>
      </c>
      <c r="AK2428">
        <v>0</v>
      </c>
      <c r="AL2428">
        <v>0</v>
      </c>
      <c r="AM2428">
        <v>6.71</v>
      </c>
      <c r="AN2428">
        <v>0</v>
      </c>
      <c r="AO2428">
        <v>0</v>
      </c>
      <c r="AP2428">
        <v>0</v>
      </c>
      <c r="AQ2428">
        <v>0</v>
      </c>
      <c r="AR2428">
        <v>0</v>
      </c>
      <c r="AS2428">
        <v>0</v>
      </c>
      <c r="AT2428">
        <v>0</v>
      </c>
      <c r="AU2428">
        <v>0</v>
      </c>
      <c r="AV2428">
        <v>0</v>
      </c>
      <c r="AW2428">
        <v>0</v>
      </c>
      <c r="AX2428">
        <v>0</v>
      </c>
      <c r="AY2428">
        <v>0</v>
      </c>
      <c r="AZ2428">
        <v>0</v>
      </c>
      <c r="BA2428">
        <v>0</v>
      </c>
      <c r="BB2428">
        <v>0</v>
      </c>
      <c r="BC2428">
        <v>0</v>
      </c>
      <c r="BD2428">
        <v>0</v>
      </c>
      <c r="BE2428">
        <v>0</v>
      </c>
      <c r="BF2428">
        <v>0</v>
      </c>
      <c r="BG2428">
        <v>0</v>
      </c>
      <c r="BH2428">
        <v>1</v>
      </c>
      <c r="BI2428">
        <v>2</v>
      </c>
      <c r="BJ2428">
        <v>1.8</v>
      </c>
      <c r="BK2428">
        <v>2</v>
      </c>
      <c r="BL2428" s="4">
        <v>39.42</v>
      </c>
      <c r="BM2428" s="4">
        <v>5.91</v>
      </c>
      <c r="BN2428" s="4">
        <v>45.33</v>
      </c>
      <c r="BO2428" s="4">
        <v>45.33</v>
      </c>
      <c r="BQ2428" t="s">
        <v>93</v>
      </c>
      <c r="BR2428" t="s">
        <v>84</v>
      </c>
      <c r="BS2428" s="3">
        <v>43823</v>
      </c>
      <c r="BT2428" s="5">
        <v>0.32430555555555557</v>
      </c>
      <c r="BU2428" t="s">
        <v>645</v>
      </c>
      <c r="BV2428" t="s">
        <v>86</v>
      </c>
      <c r="BY2428">
        <v>9034.0300000000007</v>
      </c>
      <c r="CA2428" t="s">
        <v>320</v>
      </c>
      <c r="CC2428" t="s">
        <v>76</v>
      </c>
      <c r="CD2428">
        <v>1665</v>
      </c>
      <c r="CE2428" t="s">
        <v>88</v>
      </c>
      <c r="CF2428" s="3">
        <v>43826</v>
      </c>
      <c r="CI2428">
        <v>1</v>
      </c>
      <c r="CJ2428">
        <v>1</v>
      </c>
      <c r="CK2428">
        <v>22</v>
      </c>
      <c r="CL2428" t="s">
        <v>89</v>
      </c>
    </row>
    <row r="2429" spans="1:90">
      <c r="A2429" t="s">
        <v>72</v>
      </c>
      <c r="B2429" t="s">
        <v>73</v>
      </c>
      <c r="C2429" t="s">
        <v>74</v>
      </c>
      <c r="E2429" t="str">
        <f>"FES1162729509"</f>
        <v>FES1162729509</v>
      </c>
      <c r="F2429" s="3">
        <v>43822</v>
      </c>
      <c r="G2429">
        <v>202006</v>
      </c>
      <c r="H2429" t="s">
        <v>75</v>
      </c>
      <c r="I2429" t="s">
        <v>76</v>
      </c>
      <c r="J2429" t="s">
        <v>77</v>
      </c>
      <c r="K2429" t="s">
        <v>78</v>
      </c>
      <c r="L2429" t="s">
        <v>221</v>
      </c>
      <c r="M2429" t="s">
        <v>222</v>
      </c>
      <c r="N2429" t="s">
        <v>1149</v>
      </c>
      <c r="O2429" t="s">
        <v>82</v>
      </c>
      <c r="P2429" t="str">
        <f>"2170722466                    "</f>
        <v xml:space="preserve">2170722466                    </v>
      </c>
      <c r="Q2429">
        <v>0</v>
      </c>
      <c r="R2429">
        <v>0</v>
      </c>
      <c r="S2429">
        <v>0</v>
      </c>
      <c r="T2429">
        <v>0</v>
      </c>
      <c r="U2429">
        <v>0</v>
      </c>
      <c r="V2429">
        <v>0</v>
      </c>
      <c r="W2429">
        <v>0</v>
      </c>
      <c r="X2429">
        <v>0</v>
      </c>
      <c r="Y2429">
        <v>0</v>
      </c>
      <c r="Z2429">
        <v>0</v>
      </c>
      <c r="AA2429">
        <v>0</v>
      </c>
      <c r="AB2429">
        <v>0</v>
      </c>
      <c r="AC2429">
        <v>0</v>
      </c>
      <c r="AD2429">
        <v>0</v>
      </c>
      <c r="AE2429">
        <v>0</v>
      </c>
      <c r="AF2429">
        <v>0</v>
      </c>
      <c r="AG2429">
        <v>0</v>
      </c>
      <c r="AH2429">
        <v>0</v>
      </c>
      <c r="AI2429">
        <v>0</v>
      </c>
      <c r="AJ2429">
        <v>0</v>
      </c>
      <c r="AK2429">
        <v>0</v>
      </c>
      <c r="AL2429">
        <v>0</v>
      </c>
      <c r="AM2429">
        <v>10.73</v>
      </c>
      <c r="AN2429">
        <v>0</v>
      </c>
      <c r="AO2429">
        <v>0</v>
      </c>
      <c r="AP2429">
        <v>0</v>
      </c>
      <c r="AQ2429">
        <v>0</v>
      </c>
      <c r="AR2429">
        <v>0</v>
      </c>
      <c r="AS2429">
        <v>0</v>
      </c>
      <c r="AT2429">
        <v>0</v>
      </c>
      <c r="AU2429">
        <v>0</v>
      </c>
      <c r="AV2429">
        <v>0</v>
      </c>
      <c r="AW2429">
        <v>0</v>
      </c>
      <c r="AX2429">
        <v>0</v>
      </c>
      <c r="AY2429">
        <v>0</v>
      </c>
      <c r="AZ2429">
        <v>0</v>
      </c>
      <c r="BA2429">
        <v>0</v>
      </c>
      <c r="BB2429">
        <v>0</v>
      </c>
      <c r="BC2429">
        <v>0</v>
      </c>
      <c r="BD2429">
        <v>0</v>
      </c>
      <c r="BE2429">
        <v>0</v>
      </c>
      <c r="BF2429">
        <v>0</v>
      </c>
      <c r="BG2429">
        <v>0</v>
      </c>
      <c r="BH2429">
        <v>1</v>
      </c>
      <c r="BI2429">
        <v>2.2000000000000002</v>
      </c>
      <c r="BJ2429">
        <v>1.6</v>
      </c>
      <c r="BK2429">
        <v>2.5</v>
      </c>
      <c r="BL2429" s="4">
        <v>63.06</v>
      </c>
      <c r="BM2429" s="4">
        <v>9.4600000000000009</v>
      </c>
      <c r="BN2429" s="4">
        <v>72.52</v>
      </c>
      <c r="BO2429" s="4">
        <v>72.52</v>
      </c>
      <c r="BQ2429" t="s">
        <v>436</v>
      </c>
      <c r="BR2429" t="s">
        <v>84</v>
      </c>
      <c r="BS2429" s="3">
        <v>43823</v>
      </c>
      <c r="BT2429" s="5">
        <v>0.38541666666666669</v>
      </c>
      <c r="BU2429" t="s">
        <v>2584</v>
      </c>
      <c r="BV2429" t="s">
        <v>86</v>
      </c>
      <c r="BY2429">
        <v>7957.38</v>
      </c>
      <c r="CA2429" t="s">
        <v>1609</v>
      </c>
      <c r="CC2429" t="s">
        <v>222</v>
      </c>
      <c r="CD2429">
        <v>3201</v>
      </c>
      <c r="CE2429" t="s">
        <v>88</v>
      </c>
      <c r="CF2429" s="3">
        <v>43826</v>
      </c>
      <c r="CI2429">
        <v>1</v>
      </c>
      <c r="CJ2429">
        <v>1</v>
      </c>
      <c r="CK2429">
        <v>21</v>
      </c>
      <c r="CL2429" t="s">
        <v>89</v>
      </c>
    </row>
    <row r="2430" spans="1:90">
      <c r="A2430" t="s">
        <v>72</v>
      </c>
      <c r="B2430" t="s">
        <v>73</v>
      </c>
      <c r="C2430" t="s">
        <v>74</v>
      </c>
      <c r="E2430" t="str">
        <f>"FES1162729359"</f>
        <v>FES1162729359</v>
      </c>
      <c r="F2430" s="3">
        <v>43822</v>
      </c>
      <c r="G2430">
        <v>202006</v>
      </c>
      <c r="H2430" t="s">
        <v>75</v>
      </c>
      <c r="I2430" t="s">
        <v>76</v>
      </c>
      <c r="J2430" t="s">
        <v>77</v>
      </c>
      <c r="K2430" t="s">
        <v>78</v>
      </c>
      <c r="L2430" t="s">
        <v>75</v>
      </c>
      <c r="M2430" t="s">
        <v>76</v>
      </c>
      <c r="N2430" t="s">
        <v>1819</v>
      </c>
      <c r="O2430" t="s">
        <v>82</v>
      </c>
      <c r="P2430" t="str">
        <f>"2170722354                    "</f>
        <v xml:space="preserve">2170722354                    </v>
      </c>
      <c r="Q2430">
        <v>0</v>
      </c>
      <c r="R2430">
        <v>0</v>
      </c>
      <c r="S2430">
        <v>0</v>
      </c>
      <c r="T2430">
        <v>0</v>
      </c>
      <c r="U2430">
        <v>0</v>
      </c>
      <c r="V2430">
        <v>0</v>
      </c>
      <c r="W2430">
        <v>0</v>
      </c>
      <c r="X2430">
        <v>0</v>
      </c>
      <c r="Y2430">
        <v>0</v>
      </c>
      <c r="Z2430">
        <v>0</v>
      </c>
      <c r="AA2430">
        <v>0</v>
      </c>
      <c r="AB2430">
        <v>0</v>
      </c>
      <c r="AC2430">
        <v>0</v>
      </c>
      <c r="AD2430">
        <v>0</v>
      </c>
      <c r="AE2430">
        <v>0</v>
      </c>
      <c r="AF2430">
        <v>0</v>
      </c>
      <c r="AG2430">
        <v>0</v>
      </c>
      <c r="AH2430">
        <v>0</v>
      </c>
      <c r="AI2430">
        <v>0</v>
      </c>
      <c r="AJ2430">
        <v>0</v>
      </c>
      <c r="AK2430">
        <v>0</v>
      </c>
      <c r="AL2430">
        <v>0</v>
      </c>
      <c r="AM2430">
        <v>6.71</v>
      </c>
      <c r="AN2430">
        <v>0</v>
      </c>
      <c r="AO2430">
        <v>0</v>
      </c>
      <c r="AP2430">
        <v>0</v>
      </c>
      <c r="AQ2430">
        <v>0</v>
      </c>
      <c r="AR2430">
        <v>0</v>
      </c>
      <c r="AS2430">
        <v>0</v>
      </c>
      <c r="AT2430">
        <v>0</v>
      </c>
      <c r="AU2430">
        <v>0</v>
      </c>
      <c r="AV2430">
        <v>0</v>
      </c>
      <c r="AW2430">
        <v>0</v>
      </c>
      <c r="AX2430">
        <v>0</v>
      </c>
      <c r="AY2430">
        <v>0</v>
      </c>
      <c r="AZ2430">
        <v>0</v>
      </c>
      <c r="BA2430">
        <v>0</v>
      </c>
      <c r="BB2430">
        <v>0</v>
      </c>
      <c r="BC2430">
        <v>0</v>
      </c>
      <c r="BD2430">
        <v>0</v>
      </c>
      <c r="BE2430">
        <v>0</v>
      </c>
      <c r="BF2430">
        <v>0</v>
      </c>
      <c r="BG2430">
        <v>0</v>
      </c>
      <c r="BH2430">
        <v>1</v>
      </c>
      <c r="BI2430">
        <v>1.3</v>
      </c>
      <c r="BJ2430">
        <v>1.4</v>
      </c>
      <c r="BK2430">
        <v>1.5</v>
      </c>
      <c r="BL2430" s="4">
        <v>39.42</v>
      </c>
      <c r="BM2430" s="4">
        <v>5.91</v>
      </c>
      <c r="BN2430" s="4">
        <v>45.33</v>
      </c>
      <c r="BO2430" s="4">
        <v>45.33</v>
      </c>
      <c r="BR2430" t="s">
        <v>84</v>
      </c>
      <c r="BS2430" s="3">
        <v>43823</v>
      </c>
      <c r="BT2430" s="5">
        <v>0.35416666666666669</v>
      </c>
      <c r="BU2430" t="s">
        <v>1838</v>
      </c>
      <c r="BV2430" t="s">
        <v>86</v>
      </c>
      <c r="BY2430">
        <v>6750.68</v>
      </c>
      <c r="CA2430" t="s">
        <v>588</v>
      </c>
      <c r="CC2430" t="s">
        <v>76</v>
      </c>
      <c r="CD2430">
        <v>1624</v>
      </c>
      <c r="CE2430" t="s">
        <v>116</v>
      </c>
      <c r="CF2430" s="3">
        <v>43826</v>
      </c>
      <c r="CI2430">
        <v>1</v>
      </c>
      <c r="CJ2430">
        <v>1</v>
      </c>
      <c r="CK2430">
        <v>22</v>
      </c>
      <c r="CL2430" t="s">
        <v>89</v>
      </c>
    </row>
    <row r="2431" spans="1:90">
      <c r="A2431" t="s">
        <v>72</v>
      </c>
      <c r="B2431" t="s">
        <v>73</v>
      </c>
      <c r="C2431" t="s">
        <v>74</v>
      </c>
      <c r="E2431" t="str">
        <f>"FES1162729510"</f>
        <v>FES1162729510</v>
      </c>
      <c r="F2431" s="3">
        <v>43822</v>
      </c>
      <c r="G2431">
        <v>202006</v>
      </c>
      <c r="H2431" t="s">
        <v>75</v>
      </c>
      <c r="I2431" t="s">
        <v>76</v>
      </c>
      <c r="J2431" t="s">
        <v>77</v>
      </c>
      <c r="K2431" t="s">
        <v>78</v>
      </c>
      <c r="L2431" t="s">
        <v>849</v>
      </c>
      <c r="M2431" t="s">
        <v>850</v>
      </c>
      <c r="N2431" t="s">
        <v>851</v>
      </c>
      <c r="O2431" t="s">
        <v>82</v>
      </c>
      <c r="P2431" t="str">
        <f>"2170722467                    "</f>
        <v xml:space="preserve">2170722467                    </v>
      </c>
      <c r="Q2431">
        <v>0</v>
      </c>
      <c r="R2431">
        <v>0</v>
      </c>
      <c r="S2431">
        <v>0</v>
      </c>
      <c r="T2431">
        <v>0</v>
      </c>
      <c r="U2431">
        <v>0</v>
      </c>
      <c r="V2431">
        <v>0</v>
      </c>
      <c r="W2431">
        <v>0</v>
      </c>
      <c r="X2431">
        <v>0</v>
      </c>
      <c r="Y2431">
        <v>0</v>
      </c>
      <c r="Z2431">
        <v>0</v>
      </c>
      <c r="AA2431">
        <v>0</v>
      </c>
      <c r="AB2431">
        <v>0</v>
      </c>
      <c r="AC2431">
        <v>0</v>
      </c>
      <c r="AD2431">
        <v>0</v>
      </c>
      <c r="AE2431">
        <v>0</v>
      </c>
      <c r="AF2431">
        <v>0</v>
      </c>
      <c r="AG2431">
        <v>0</v>
      </c>
      <c r="AH2431">
        <v>0</v>
      </c>
      <c r="AI2431">
        <v>0</v>
      </c>
      <c r="AJ2431">
        <v>0</v>
      </c>
      <c r="AK2431">
        <v>0</v>
      </c>
      <c r="AL2431">
        <v>0</v>
      </c>
      <c r="AM2431">
        <v>8.58</v>
      </c>
      <c r="AN2431">
        <v>0</v>
      </c>
      <c r="AO2431">
        <v>0</v>
      </c>
      <c r="AP2431">
        <v>0</v>
      </c>
      <c r="AQ2431">
        <v>0</v>
      </c>
      <c r="AR2431">
        <v>0</v>
      </c>
      <c r="AS2431">
        <v>0</v>
      </c>
      <c r="AT2431">
        <v>0</v>
      </c>
      <c r="AU2431">
        <v>0</v>
      </c>
      <c r="AV2431">
        <v>0</v>
      </c>
      <c r="AW2431">
        <v>0</v>
      </c>
      <c r="AX2431">
        <v>0</v>
      </c>
      <c r="AY2431">
        <v>0</v>
      </c>
      <c r="AZ2431">
        <v>0</v>
      </c>
      <c r="BA2431">
        <v>0</v>
      </c>
      <c r="BB2431">
        <v>0</v>
      </c>
      <c r="BC2431">
        <v>0</v>
      </c>
      <c r="BD2431">
        <v>0</v>
      </c>
      <c r="BE2431">
        <v>0</v>
      </c>
      <c r="BF2431">
        <v>0</v>
      </c>
      <c r="BG2431">
        <v>0</v>
      </c>
      <c r="BH2431">
        <v>1</v>
      </c>
      <c r="BI2431">
        <v>1</v>
      </c>
      <c r="BJ2431">
        <v>0.2</v>
      </c>
      <c r="BK2431">
        <v>1</v>
      </c>
      <c r="BL2431" s="4">
        <v>50.45</v>
      </c>
      <c r="BM2431" s="4">
        <v>7.57</v>
      </c>
      <c r="BN2431" s="4">
        <v>58.02</v>
      </c>
      <c r="BO2431" s="4">
        <v>58.02</v>
      </c>
      <c r="BQ2431" t="s">
        <v>147</v>
      </c>
      <c r="BR2431" t="s">
        <v>84</v>
      </c>
      <c r="BS2431" s="3">
        <v>43823</v>
      </c>
      <c r="BT2431" s="5">
        <v>0.41875000000000001</v>
      </c>
      <c r="BU2431" t="s">
        <v>528</v>
      </c>
      <c r="BV2431" t="s">
        <v>86</v>
      </c>
      <c r="BY2431">
        <v>1200</v>
      </c>
      <c r="CA2431" t="s">
        <v>1026</v>
      </c>
      <c r="CC2431" t="s">
        <v>850</v>
      </c>
      <c r="CD2431">
        <v>3290</v>
      </c>
      <c r="CE2431" t="s">
        <v>88</v>
      </c>
      <c r="CF2431" s="3">
        <v>43826</v>
      </c>
      <c r="CI2431">
        <v>1</v>
      </c>
      <c r="CJ2431">
        <v>1</v>
      </c>
      <c r="CK2431">
        <v>21</v>
      </c>
      <c r="CL2431" t="s">
        <v>89</v>
      </c>
    </row>
    <row r="2432" spans="1:90">
      <c r="A2432" t="s">
        <v>72</v>
      </c>
      <c r="B2432" t="s">
        <v>73</v>
      </c>
      <c r="C2432" t="s">
        <v>74</v>
      </c>
      <c r="E2432" t="str">
        <f>"FES1162729371"</f>
        <v>FES1162729371</v>
      </c>
      <c r="F2432" s="3">
        <v>43822</v>
      </c>
      <c r="G2432">
        <v>202006</v>
      </c>
      <c r="H2432" t="s">
        <v>75</v>
      </c>
      <c r="I2432" t="s">
        <v>76</v>
      </c>
      <c r="J2432" t="s">
        <v>77</v>
      </c>
      <c r="K2432" t="s">
        <v>78</v>
      </c>
      <c r="L2432" t="s">
        <v>79</v>
      </c>
      <c r="M2432" t="s">
        <v>80</v>
      </c>
      <c r="N2432" t="s">
        <v>129</v>
      </c>
      <c r="O2432" t="s">
        <v>82</v>
      </c>
      <c r="P2432" t="str">
        <f>"2170722251                    "</f>
        <v xml:space="preserve">2170722251                    </v>
      </c>
      <c r="Q2432">
        <v>0</v>
      </c>
      <c r="R2432">
        <v>0</v>
      </c>
      <c r="S2432">
        <v>0</v>
      </c>
      <c r="T2432">
        <v>0</v>
      </c>
      <c r="U2432">
        <v>0</v>
      </c>
      <c r="V2432">
        <v>0</v>
      </c>
      <c r="W2432">
        <v>0</v>
      </c>
      <c r="X2432">
        <v>0</v>
      </c>
      <c r="Y2432">
        <v>0</v>
      </c>
      <c r="Z2432">
        <v>0</v>
      </c>
      <c r="AA2432">
        <v>0</v>
      </c>
      <c r="AB2432">
        <v>0</v>
      </c>
      <c r="AC2432">
        <v>0</v>
      </c>
      <c r="AD2432">
        <v>0</v>
      </c>
      <c r="AE2432">
        <v>0</v>
      </c>
      <c r="AF2432">
        <v>0</v>
      </c>
      <c r="AG2432">
        <v>0</v>
      </c>
      <c r="AH2432">
        <v>0</v>
      </c>
      <c r="AI2432">
        <v>0</v>
      </c>
      <c r="AJ2432">
        <v>0</v>
      </c>
      <c r="AK2432">
        <v>0</v>
      </c>
      <c r="AL2432">
        <v>0</v>
      </c>
      <c r="AM2432">
        <v>10.73</v>
      </c>
      <c r="AN2432">
        <v>0</v>
      </c>
      <c r="AO2432">
        <v>0</v>
      </c>
      <c r="AP2432">
        <v>0</v>
      </c>
      <c r="AQ2432">
        <v>0</v>
      </c>
      <c r="AR2432">
        <v>0</v>
      </c>
      <c r="AS2432">
        <v>0</v>
      </c>
      <c r="AT2432">
        <v>0</v>
      </c>
      <c r="AU2432">
        <v>0</v>
      </c>
      <c r="AV2432">
        <v>0</v>
      </c>
      <c r="AW2432">
        <v>0</v>
      </c>
      <c r="AX2432">
        <v>0</v>
      </c>
      <c r="AY2432">
        <v>0</v>
      </c>
      <c r="AZ2432">
        <v>0</v>
      </c>
      <c r="BA2432">
        <v>0</v>
      </c>
      <c r="BB2432">
        <v>0</v>
      </c>
      <c r="BC2432">
        <v>0</v>
      </c>
      <c r="BD2432">
        <v>0</v>
      </c>
      <c r="BE2432">
        <v>0</v>
      </c>
      <c r="BF2432">
        <v>0</v>
      </c>
      <c r="BG2432">
        <v>0</v>
      </c>
      <c r="BH2432">
        <v>1</v>
      </c>
      <c r="BI2432">
        <v>2.5</v>
      </c>
      <c r="BJ2432">
        <v>1</v>
      </c>
      <c r="BK2432">
        <v>2.5</v>
      </c>
      <c r="BL2432" s="4">
        <v>63.06</v>
      </c>
      <c r="BM2432" s="4">
        <v>9.4600000000000009</v>
      </c>
      <c r="BN2432" s="4">
        <v>72.52</v>
      </c>
      <c r="BO2432" s="4">
        <v>72.52</v>
      </c>
      <c r="BQ2432" t="s">
        <v>147</v>
      </c>
      <c r="BR2432" t="s">
        <v>84</v>
      </c>
      <c r="BS2432" s="3">
        <v>43836</v>
      </c>
      <c r="BT2432" s="5">
        <v>0.34097222222222223</v>
      </c>
      <c r="BU2432" t="s">
        <v>1848</v>
      </c>
      <c r="BV2432" t="s">
        <v>89</v>
      </c>
      <c r="BY2432">
        <v>5127.3599999999997</v>
      </c>
      <c r="CA2432" t="s">
        <v>1156</v>
      </c>
      <c r="CC2432" t="s">
        <v>80</v>
      </c>
      <c r="CD2432">
        <v>6001</v>
      </c>
      <c r="CE2432" t="s">
        <v>116</v>
      </c>
      <c r="CI2432">
        <v>1</v>
      </c>
      <c r="CJ2432">
        <v>10</v>
      </c>
      <c r="CK2432">
        <v>21</v>
      </c>
      <c r="CL2432" t="s">
        <v>89</v>
      </c>
    </row>
    <row r="2433" spans="1:90">
      <c r="A2433" t="s">
        <v>72</v>
      </c>
      <c r="B2433" t="s">
        <v>73</v>
      </c>
      <c r="C2433" t="s">
        <v>74</v>
      </c>
      <c r="E2433" t="str">
        <f>"FES1162729387"</f>
        <v>FES1162729387</v>
      </c>
      <c r="F2433" s="3">
        <v>43822</v>
      </c>
      <c r="G2433">
        <v>202006</v>
      </c>
      <c r="H2433" t="s">
        <v>75</v>
      </c>
      <c r="I2433" t="s">
        <v>76</v>
      </c>
      <c r="J2433" t="s">
        <v>77</v>
      </c>
      <c r="K2433" t="s">
        <v>78</v>
      </c>
      <c r="L2433" t="s">
        <v>198</v>
      </c>
      <c r="M2433" t="s">
        <v>199</v>
      </c>
      <c r="N2433" t="s">
        <v>557</v>
      </c>
      <c r="O2433" t="s">
        <v>82</v>
      </c>
      <c r="P2433" t="str">
        <f>"2170722389                    "</f>
        <v xml:space="preserve">2170722389                    </v>
      </c>
      <c r="Q2433">
        <v>0</v>
      </c>
      <c r="R2433">
        <v>0</v>
      </c>
      <c r="S2433">
        <v>0</v>
      </c>
      <c r="T2433">
        <v>0</v>
      </c>
      <c r="U2433">
        <v>0</v>
      </c>
      <c r="V2433">
        <v>0</v>
      </c>
      <c r="W2433">
        <v>0</v>
      </c>
      <c r="X2433">
        <v>0</v>
      </c>
      <c r="Y2433">
        <v>0</v>
      </c>
      <c r="Z2433">
        <v>0</v>
      </c>
      <c r="AA2433">
        <v>0</v>
      </c>
      <c r="AB2433">
        <v>0</v>
      </c>
      <c r="AC2433">
        <v>0</v>
      </c>
      <c r="AD2433">
        <v>0</v>
      </c>
      <c r="AE2433">
        <v>0</v>
      </c>
      <c r="AF2433">
        <v>0</v>
      </c>
      <c r="AG2433">
        <v>0</v>
      </c>
      <c r="AH2433">
        <v>0</v>
      </c>
      <c r="AI2433">
        <v>0</v>
      </c>
      <c r="AJ2433">
        <v>0</v>
      </c>
      <c r="AK2433">
        <v>0</v>
      </c>
      <c r="AL2433">
        <v>0</v>
      </c>
      <c r="AM2433">
        <v>19.3</v>
      </c>
      <c r="AN2433">
        <v>0</v>
      </c>
      <c r="AO2433">
        <v>0</v>
      </c>
      <c r="AP2433">
        <v>0</v>
      </c>
      <c r="AQ2433">
        <v>0</v>
      </c>
      <c r="AR2433">
        <v>0</v>
      </c>
      <c r="AS2433">
        <v>0</v>
      </c>
      <c r="AT2433">
        <v>0</v>
      </c>
      <c r="AU2433">
        <v>0</v>
      </c>
      <c r="AV2433">
        <v>0</v>
      </c>
      <c r="AW2433">
        <v>0</v>
      </c>
      <c r="AX2433">
        <v>0</v>
      </c>
      <c r="AY2433">
        <v>0</v>
      </c>
      <c r="AZ2433">
        <v>0</v>
      </c>
      <c r="BA2433">
        <v>0</v>
      </c>
      <c r="BB2433">
        <v>0</v>
      </c>
      <c r="BC2433">
        <v>0</v>
      </c>
      <c r="BD2433">
        <v>0</v>
      </c>
      <c r="BE2433">
        <v>0</v>
      </c>
      <c r="BF2433">
        <v>0</v>
      </c>
      <c r="BG2433">
        <v>0</v>
      </c>
      <c r="BH2433">
        <v>1</v>
      </c>
      <c r="BI2433">
        <v>2.9</v>
      </c>
      <c r="BJ2433">
        <v>4.0999999999999996</v>
      </c>
      <c r="BK2433">
        <v>4.5</v>
      </c>
      <c r="BL2433" s="4">
        <v>113.47</v>
      </c>
      <c r="BM2433" s="4">
        <v>17.02</v>
      </c>
      <c r="BN2433" s="4">
        <v>130.49</v>
      </c>
      <c r="BO2433" s="4">
        <v>130.49</v>
      </c>
      <c r="BQ2433" t="s">
        <v>93</v>
      </c>
      <c r="BR2433" t="s">
        <v>84</v>
      </c>
      <c r="BS2433" s="3">
        <v>43823</v>
      </c>
      <c r="BT2433" s="5">
        <v>0.3263888888888889</v>
      </c>
      <c r="BU2433" t="s">
        <v>1784</v>
      </c>
      <c r="BV2433" t="s">
        <v>86</v>
      </c>
      <c r="BY2433">
        <v>20331.189999999999</v>
      </c>
      <c r="CA2433" t="s">
        <v>212</v>
      </c>
      <c r="CC2433" t="s">
        <v>199</v>
      </c>
      <c r="CD2433">
        <v>4052</v>
      </c>
      <c r="CE2433" t="s">
        <v>116</v>
      </c>
      <c r="CF2433" s="3">
        <v>43826</v>
      </c>
      <c r="CI2433">
        <v>1</v>
      </c>
      <c r="CJ2433">
        <v>1</v>
      </c>
      <c r="CK2433">
        <v>21</v>
      </c>
      <c r="CL2433" t="s">
        <v>89</v>
      </c>
    </row>
    <row r="2434" spans="1:90">
      <c r="A2434" t="s">
        <v>72</v>
      </c>
      <c r="B2434" t="s">
        <v>73</v>
      </c>
      <c r="C2434" t="s">
        <v>74</v>
      </c>
      <c r="E2434" t="str">
        <f>"FES1162729314"</f>
        <v>FES1162729314</v>
      </c>
      <c r="F2434" s="3">
        <v>43822</v>
      </c>
      <c r="G2434">
        <v>202006</v>
      </c>
      <c r="H2434" t="s">
        <v>75</v>
      </c>
      <c r="I2434" t="s">
        <v>76</v>
      </c>
      <c r="J2434" t="s">
        <v>77</v>
      </c>
      <c r="K2434" t="s">
        <v>78</v>
      </c>
      <c r="L2434" t="s">
        <v>75</v>
      </c>
      <c r="M2434" t="s">
        <v>76</v>
      </c>
      <c r="N2434" t="s">
        <v>1905</v>
      </c>
      <c r="O2434" t="s">
        <v>82</v>
      </c>
      <c r="P2434" t="str">
        <f>"2170722298                    "</f>
        <v xml:space="preserve">2170722298                    </v>
      </c>
      <c r="Q2434">
        <v>0</v>
      </c>
      <c r="R2434">
        <v>0</v>
      </c>
      <c r="S2434">
        <v>0</v>
      </c>
      <c r="T2434">
        <v>0</v>
      </c>
      <c r="U2434">
        <v>0</v>
      </c>
      <c r="V2434">
        <v>0</v>
      </c>
      <c r="W2434">
        <v>0</v>
      </c>
      <c r="X2434">
        <v>0</v>
      </c>
      <c r="Y2434">
        <v>0</v>
      </c>
      <c r="Z2434">
        <v>0</v>
      </c>
      <c r="AA2434">
        <v>0</v>
      </c>
      <c r="AB2434">
        <v>0</v>
      </c>
      <c r="AC2434">
        <v>0</v>
      </c>
      <c r="AD2434">
        <v>0</v>
      </c>
      <c r="AE2434">
        <v>0</v>
      </c>
      <c r="AF2434">
        <v>0</v>
      </c>
      <c r="AG2434">
        <v>0</v>
      </c>
      <c r="AH2434">
        <v>0</v>
      </c>
      <c r="AI2434">
        <v>0</v>
      </c>
      <c r="AJ2434">
        <v>0</v>
      </c>
      <c r="AK2434">
        <v>0</v>
      </c>
      <c r="AL2434">
        <v>0</v>
      </c>
      <c r="AM2434">
        <v>7.51</v>
      </c>
      <c r="AN2434">
        <v>0</v>
      </c>
      <c r="AO2434">
        <v>0</v>
      </c>
      <c r="AP2434">
        <v>0</v>
      </c>
      <c r="AQ2434">
        <v>0</v>
      </c>
      <c r="AR2434">
        <v>0</v>
      </c>
      <c r="AS2434">
        <v>0</v>
      </c>
      <c r="AT2434">
        <v>0</v>
      </c>
      <c r="AU2434">
        <v>0</v>
      </c>
      <c r="AV2434">
        <v>0</v>
      </c>
      <c r="AW2434">
        <v>0</v>
      </c>
      <c r="AX2434">
        <v>0</v>
      </c>
      <c r="AY2434">
        <v>0</v>
      </c>
      <c r="AZ2434">
        <v>0</v>
      </c>
      <c r="BA2434">
        <v>0</v>
      </c>
      <c r="BB2434">
        <v>0</v>
      </c>
      <c r="BC2434">
        <v>0</v>
      </c>
      <c r="BD2434">
        <v>0</v>
      </c>
      <c r="BE2434">
        <v>0</v>
      </c>
      <c r="BF2434">
        <v>0</v>
      </c>
      <c r="BG2434">
        <v>0</v>
      </c>
      <c r="BH2434">
        <v>1</v>
      </c>
      <c r="BI2434">
        <v>1</v>
      </c>
      <c r="BJ2434">
        <v>2.2999999999999998</v>
      </c>
      <c r="BK2434">
        <v>2.5</v>
      </c>
      <c r="BL2434" s="4">
        <v>44.14</v>
      </c>
      <c r="BM2434" s="4">
        <v>6.62</v>
      </c>
      <c r="BN2434" s="4">
        <v>50.76</v>
      </c>
      <c r="BO2434" s="4">
        <v>50.76</v>
      </c>
      <c r="BQ2434" t="s">
        <v>135</v>
      </c>
      <c r="BR2434" t="s">
        <v>84</v>
      </c>
      <c r="BS2434" s="3">
        <v>43823</v>
      </c>
      <c r="BT2434" s="5">
        <v>0.32708333333333334</v>
      </c>
      <c r="BU2434" t="s">
        <v>2585</v>
      </c>
      <c r="BV2434" t="s">
        <v>86</v>
      </c>
      <c r="BY2434">
        <v>11308.25</v>
      </c>
      <c r="CC2434" t="s">
        <v>76</v>
      </c>
      <c r="CD2434">
        <v>1610</v>
      </c>
      <c r="CE2434" t="s">
        <v>88</v>
      </c>
      <c r="CF2434" s="3">
        <v>43826</v>
      </c>
      <c r="CI2434">
        <v>1</v>
      </c>
      <c r="CJ2434">
        <v>1</v>
      </c>
      <c r="CK2434">
        <v>22</v>
      </c>
      <c r="CL2434" t="s">
        <v>89</v>
      </c>
    </row>
    <row r="2435" spans="1:90">
      <c r="A2435" t="s">
        <v>72</v>
      </c>
      <c r="B2435" t="s">
        <v>73</v>
      </c>
      <c r="C2435" t="s">
        <v>74</v>
      </c>
      <c r="E2435" t="str">
        <f>"FES1162729492"</f>
        <v>FES1162729492</v>
      </c>
      <c r="F2435" s="3">
        <v>43822</v>
      </c>
      <c r="G2435">
        <v>202006</v>
      </c>
      <c r="H2435" t="s">
        <v>75</v>
      </c>
      <c r="I2435" t="s">
        <v>76</v>
      </c>
      <c r="J2435" t="s">
        <v>77</v>
      </c>
      <c r="K2435" t="s">
        <v>78</v>
      </c>
      <c r="L2435" t="s">
        <v>198</v>
      </c>
      <c r="M2435" t="s">
        <v>199</v>
      </c>
      <c r="N2435" t="s">
        <v>1031</v>
      </c>
      <c r="O2435" t="s">
        <v>82</v>
      </c>
      <c r="P2435" t="str">
        <f>"2170720454                    "</f>
        <v xml:space="preserve">2170720454                    </v>
      </c>
      <c r="Q2435">
        <v>0</v>
      </c>
      <c r="R2435">
        <v>0</v>
      </c>
      <c r="S2435">
        <v>0</v>
      </c>
      <c r="T2435">
        <v>0</v>
      </c>
      <c r="U2435">
        <v>0</v>
      </c>
      <c r="V2435">
        <v>0</v>
      </c>
      <c r="W2435">
        <v>0</v>
      </c>
      <c r="X2435">
        <v>0</v>
      </c>
      <c r="Y2435">
        <v>0</v>
      </c>
      <c r="Z2435">
        <v>0</v>
      </c>
      <c r="AA2435">
        <v>0</v>
      </c>
      <c r="AB2435">
        <v>0</v>
      </c>
      <c r="AC2435">
        <v>0</v>
      </c>
      <c r="AD2435">
        <v>0</v>
      </c>
      <c r="AE2435">
        <v>0</v>
      </c>
      <c r="AF2435">
        <v>0</v>
      </c>
      <c r="AG2435">
        <v>0</v>
      </c>
      <c r="AH2435">
        <v>0</v>
      </c>
      <c r="AI2435">
        <v>0</v>
      </c>
      <c r="AJ2435">
        <v>0</v>
      </c>
      <c r="AK2435">
        <v>0</v>
      </c>
      <c r="AL2435">
        <v>0</v>
      </c>
      <c r="AM2435">
        <v>12.87</v>
      </c>
      <c r="AN2435">
        <v>0</v>
      </c>
      <c r="AO2435">
        <v>0</v>
      </c>
      <c r="AP2435">
        <v>0</v>
      </c>
      <c r="AQ2435">
        <v>0</v>
      </c>
      <c r="AR2435">
        <v>0</v>
      </c>
      <c r="AS2435">
        <v>0</v>
      </c>
      <c r="AT2435">
        <v>0</v>
      </c>
      <c r="AU2435">
        <v>0</v>
      </c>
      <c r="AV2435">
        <v>0</v>
      </c>
      <c r="AW2435">
        <v>0</v>
      </c>
      <c r="AX2435">
        <v>0</v>
      </c>
      <c r="AY2435">
        <v>0</v>
      </c>
      <c r="AZ2435">
        <v>0</v>
      </c>
      <c r="BA2435">
        <v>0</v>
      </c>
      <c r="BB2435">
        <v>0</v>
      </c>
      <c r="BC2435">
        <v>0</v>
      </c>
      <c r="BD2435">
        <v>0</v>
      </c>
      <c r="BE2435">
        <v>0</v>
      </c>
      <c r="BF2435">
        <v>0</v>
      </c>
      <c r="BG2435">
        <v>0</v>
      </c>
      <c r="BH2435">
        <v>1</v>
      </c>
      <c r="BI2435">
        <v>1.7</v>
      </c>
      <c r="BJ2435">
        <v>2.9</v>
      </c>
      <c r="BK2435">
        <v>3</v>
      </c>
      <c r="BL2435" s="4">
        <v>75.66</v>
      </c>
      <c r="BM2435" s="4">
        <v>11.35</v>
      </c>
      <c r="BN2435" s="4">
        <v>87.01</v>
      </c>
      <c r="BO2435" s="4">
        <v>87.01</v>
      </c>
      <c r="BQ2435" t="s">
        <v>93</v>
      </c>
      <c r="BR2435" t="s">
        <v>84</v>
      </c>
      <c r="BS2435" s="3">
        <v>43823</v>
      </c>
      <c r="BT2435" s="5">
        <v>0.42708333333333331</v>
      </c>
      <c r="BU2435" t="s">
        <v>2586</v>
      </c>
      <c r="BV2435" t="s">
        <v>86</v>
      </c>
      <c r="BY2435">
        <v>14523.6</v>
      </c>
      <c r="CA2435" t="s">
        <v>288</v>
      </c>
      <c r="CC2435" t="s">
        <v>199</v>
      </c>
      <c r="CD2435">
        <v>4001</v>
      </c>
      <c r="CE2435" t="s">
        <v>116</v>
      </c>
      <c r="CF2435" s="3">
        <v>43826</v>
      </c>
      <c r="CI2435">
        <v>1</v>
      </c>
      <c r="CJ2435">
        <v>1</v>
      </c>
      <c r="CK2435">
        <v>21</v>
      </c>
      <c r="CL2435" t="s">
        <v>89</v>
      </c>
    </row>
    <row r="2436" spans="1:90">
      <c r="A2436" t="s">
        <v>72</v>
      </c>
      <c r="B2436" t="s">
        <v>73</v>
      </c>
      <c r="C2436" t="s">
        <v>74</v>
      </c>
      <c r="E2436" t="str">
        <f>"FES1162729016"</f>
        <v>FES1162729016</v>
      </c>
      <c r="F2436" s="3">
        <v>43822</v>
      </c>
      <c r="G2436">
        <v>202006</v>
      </c>
      <c r="H2436" t="s">
        <v>75</v>
      </c>
      <c r="I2436" t="s">
        <v>76</v>
      </c>
      <c r="J2436" t="s">
        <v>77</v>
      </c>
      <c r="K2436" t="s">
        <v>78</v>
      </c>
      <c r="L2436" t="s">
        <v>138</v>
      </c>
      <c r="M2436" t="s">
        <v>139</v>
      </c>
      <c r="N2436" t="s">
        <v>146</v>
      </c>
      <c r="O2436" t="s">
        <v>82</v>
      </c>
      <c r="P2436" t="str">
        <f>"2170722120                    "</f>
        <v xml:space="preserve">2170722120                    </v>
      </c>
      <c r="Q2436">
        <v>0</v>
      </c>
      <c r="R2436">
        <v>0</v>
      </c>
      <c r="S2436">
        <v>0</v>
      </c>
      <c r="T2436">
        <v>0</v>
      </c>
      <c r="U2436">
        <v>0</v>
      </c>
      <c r="V2436">
        <v>0</v>
      </c>
      <c r="W2436">
        <v>0</v>
      </c>
      <c r="X2436">
        <v>0</v>
      </c>
      <c r="Y2436">
        <v>0</v>
      </c>
      <c r="Z2436">
        <v>0</v>
      </c>
      <c r="AA2436">
        <v>0</v>
      </c>
      <c r="AB2436">
        <v>0</v>
      </c>
      <c r="AC2436">
        <v>0</v>
      </c>
      <c r="AD2436">
        <v>0</v>
      </c>
      <c r="AE2436">
        <v>0</v>
      </c>
      <c r="AF2436">
        <v>0</v>
      </c>
      <c r="AG2436">
        <v>0</v>
      </c>
      <c r="AH2436">
        <v>0</v>
      </c>
      <c r="AI2436">
        <v>0</v>
      </c>
      <c r="AJ2436">
        <v>0</v>
      </c>
      <c r="AK2436">
        <v>0</v>
      </c>
      <c r="AL2436">
        <v>0</v>
      </c>
      <c r="AM2436">
        <v>6.71</v>
      </c>
      <c r="AN2436">
        <v>0</v>
      </c>
      <c r="AO2436">
        <v>0</v>
      </c>
      <c r="AP2436">
        <v>0</v>
      </c>
      <c r="AQ2436">
        <v>0</v>
      </c>
      <c r="AR2436">
        <v>0</v>
      </c>
      <c r="AS2436">
        <v>0</v>
      </c>
      <c r="AT2436">
        <v>0</v>
      </c>
      <c r="AU2436">
        <v>0</v>
      </c>
      <c r="AV2436">
        <v>0</v>
      </c>
      <c r="AW2436">
        <v>0</v>
      </c>
      <c r="AX2436">
        <v>0</v>
      </c>
      <c r="AY2436">
        <v>0</v>
      </c>
      <c r="AZ2436">
        <v>0</v>
      </c>
      <c r="BA2436">
        <v>0</v>
      </c>
      <c r="BB2436">
        <v>0</v>
      </c>
      <c r="BC2436">
        <v>0</v>
      </c>
      <c r="BD2436">
        <v>0</v>
      </c>
      <c r="BE2436">
        <v>0</v>
      </c>
      <c r="BF2436">
        <v>0</v>
      </c>
      <c r="BG2436">
        <v>0</v>
      </c>
      <c r="BH2436">
        <v>1</v>
      </c>
      <c r="BI2436">
        <v>1</v>
      </c>
      <c r="BJ2436">
        <v>0.2</v>
      </c>
      <c r="BK2436">
        <v>1</v>
      </c>
      <c r="BL2436" s="4">
        <v>39.42</v>
      </c>
      <c r="BM2436" s="4">
        <v>5.91</v>
      </c>
      <c r="BN2436" s="4">
        <v>45.33</v>
      </c>
      <c r="BO2436" s="4">
        <v>45.33</v>
      </c>
      <c r="BQ2436" t="s">
        <v>147</v>
      </c>
      <c r="BR2436" t="s">
        <v>84</v>
      </c>
      <c r="BS2436" s="3">
        <v>43823</v>
      </c>
      <c r="BT2436" s="5">
        <v>0.375</v>
      </c>
      <c r="BU2436" t="s">
        <v>728</v>
      </c>
      <c r="BV2436" t="s">
        <v>86</v>
      </c>
      <c r="BY2436">
        <v>1200</v>
      </c>
      <c r="CC2436" t="s">
        <v>139</v>
      </c>
      <c r="CD2436">
        <v>1428</v>
      </c>
      <c r="CE2436" t="s">
        <v>88</v>
      </c>
      <c r="CF2436" s="3">
        <v>43826</v>
      </c>
      <c r="CI2436">
        <v>1</v>
      </c>
      <c r="CJ2436">
        <v>1</v>
      </c>
      <c r="CK2436">
        <v>22</v>
      </c>
      <c r="CL2436" t="s">
        <v>89</v>
      </c>
    </row>
    <row r="2437" spans="1:90">
      <c r="A2437" t="s">
        <v>72</v>
      </c>
      <c r="B2437" t="s">
        <v>73</v>
      </c>
      <c r="C2437" t="s">
        <v>74</v>
      </c>
      <c r="E2437" t="str">
        <f>"FES1162729472"</f>
        <v>FES1162729472</v>
      </c>
      <c r="F2437" s="3">
        <v>43822</v>
      </c>
      <c r="G2437">
        <v>202006</v>
      </c>
      <c r="H2437" t="s">
        <v>75</v>
      </c>
      <c r="I2437" t="s">
        <v>76</v>
      </c>
      <c r="J2437" t="s">
        <v>77</v>
      </c>
      <c r="K2437" t="s">
        <v>78</v>
      </c>
      <c r="L2437" t="s">
        <v>308</v>
      </c>
      <c r="M2437" t="s">
        <v>308</v>
      </c>
      <c r="N2437" t="s">
        <v>974</v>
      </c>
      <c r="O2437" t="s">
        <v>82</v>
      </c>
      <c r="P2437" t="str">
        <f>"2170718760                    "</f>
        <v xml:space="preserve">2170718760                    </v>
      </c>
      <c r="Q2437">
        <v>0</v>
      </c>
      <c r="R2437">
        <v>0</v>
      </c>
      <c r="S2437">
        <v>0</v>
      </c>
      <c r="T2437">
        <v>0</v>
      </c>
      <c r="U2437">
        <v>0</v>
      </c>
      <c r="V2437">
        <v>0</v>
      </c>
      <c r="W2437">
        <v>0</v>
      </c>
      <c r="X2437">
        <v>0</v>
      </c>
      <c r="Y2437">
        <v>0</v>
      </c>
      <c r="Z2437">
        <v>0</v>
      </c>
      <c r="AA2437">
        <v>0</v>
      </c>
      <c r="AB2437">
        <v>0</v>
      </c>
      <c r="AC2437">
        <v>0</v>
      </c>
      <c r="AD2437">
        <v>0</v>
      </c>
      <c r="AE2437">
        <v>0</v>
      </c>
      <c r="AF2437">
        <v>0</v>
      </c>
      <c r="AG2437">
        <v>0</v>
      </c>
      <c r="AH2437">
        <v>0</v>
      </c>
      <c r="AI2437">
        <v>0</v>
      </c>
      <c r="AJ2437">
        <v>0</v>
      </c>
      <c r="AK2437">
        <v>0</v>
      </c>
      <c r="AL2437">
        <v>0</v>
      </c>
      <c r="AM2437">
        <v>50.43</v>
      </c>
      <c r="AN2437">
        <v>0</v>
      </c>
      <c r="AO2437">
        <v>0</v>
      </c>
      <c r="AP2437">
        <v>0</v>
      </c>
      <c r="AQ2437">
        <v>0</v>
      </c>
      <c r="AR2437">
        <v>0</v>
      </c>
      <c r="AS2437">
        <v>0</v>
      </c>
      <c r="AT2437">
        <v>0</v>
      </c>
      <c r="AU2437">
        <v>0</v>
      </c>
      <c r="AV2437">
        <v>0</v>
      </c>
      <c r="AW2437">
        <v>0</v>
      </c>
      <c r="AX2437">
        <v>0</v>
      </c>
      <c r="AY2437">
        <v>0</v>
      </c>
      <c r="AZ2437">
        <v>0</v>
      </c>
      <c r="BA2437">
        <v>0</v>
      </c>
      <c r="BB2437">
        <v>0</v>
      </c>
      <c r="BC2437">
        <v>0</v>
      </c>
      <c r="BD2437">
        <v>0</v>
      </c>
      <c r="BE2437">
        <v>0</v>
      </c>
      <c r="BF2437">
        <v>0</v>
      </c>
      <c r="BG2437">
        <v>0</v>
      </c>
      <c r="BH2437">
        <v>1</v>
      </c>
      <c r="BI2437">
        <v>6.3</v>
      </c>
      <c r="BJ2437">
        <v>4.0999999999999996</v>
      </c>
      <c r="BK2437">
        <v>6.5</v>
      </c>
      <c r="BL2437" s="4">
        <v>296.43</v>
      </c>
      <c r="BM2437" s="4">
        <v>44.46</v>
      </c>
      <c r="BN2437" s="4">
        <v>340.89</v>
      </c>
      <c r="BO2437" s="4">
        <v>340.89</v>
      </c>
      <c r="BQ2437" t="s">
        <v>93</v>
      </c>
      <c r="BR2437" t="s">
        <v>84</v>
      </c>
      <c r="BS2437" t="s">
        <v>717</v>
      </c>
      <c r="BW2437" t="s">
        <v>1335</v>
      </c>
      <c r="BX2437" t="s">
        <v>619</v>
      </c>
      <c r="BY2437">
        <v>20708.330000000002</v>
      </c>
      <c r="CC2437" t="s">
        <v>308</v>
      </c>
      <c r="CD2437">
        <v>7646</v>
      </c>
      <c r="CE2437" t="s">
        <v>116</v>
      </c>
      <c r="CI2437">
        <v>1</v>
      </c>
      <c r="CJ2437" t="s">
        <v>717</v>
      </c>
      <c r="CK2437">
        <v>23</v>
      </c>
      <c r="CL2437" t="s">
        <v>89</v>
      </c>
    </row>
    <row r="2438" spans="1:90">
      <c r="A2438" t="s">
        <v>72</v>
      </c>
      <c r="B2438" t="s">
        <v>73</v>
      </c>
      <c r="C2438" t="s">
        <v>74</v>
      </c>
      <c r="E2438" t="str">
        <f>"FES1162729389"</f>
        <v>FES1162729389</v>
      </c>
      <c r="F2438" s="3">
        <v>43822</v>
      </c>
      <c r="G2438">
        <v>202006</v>
      </c>
      <c r="H2438" t="s">
        <v>75</v>
      </c>
      <c r="I2438" t="s">
        <v>76</v>
      </c>
      <c r="J2438" t="s">
        <v>77</v>
      </c>
      <c r="K2438" t="s">
        <v>78</v>
      </c>
      <c r="L2438" t="s">
        <v>138</v>
      </c>
      <c r="M2438" t="s">
        <v>139</v>
      </c>
      <c r="N2438" t="s">
        <v>146</v>
      </c>
      <c r="O2438" t="s">
        <v>82</v>
      </c>
      <c r="P2438" t="str">
        <f>"2170722391                    "</f>
        <v xml:space="preserve">2170722391                    </v>
      </c>
      <c r="Q2438">
        <v>0</v>
      </c>
      <c r="R2438">
        <v>0</v>
      </c>
      <c r="S2438">
        <v>0</v>
      </c>
      <c r="T2438">
        <v>0</v>
      </c>
      <c r="U2438">
        <v>0</v>
      </c>
      <c r="V2438">
        <v>0</v>
      </c>
      <c r="W2438">
        <v>0</v>
      </c>
      <c r="X2438">
        <v>0</v>
      </c>
      <c r="Y2438">
        <v>0</v>
      </c>
      <c r="Z2438">
        <v>0</v>
      </c>
      <c r="AA2438">
        <v>0</v>
      </c>
      <c r="AB2438">
        <v>0</v>
      </c>
      <c r="AC2438">
        <v>0</v>
      </c>
      <c r="AD2438">
        <v>0</v>
      </c>
      <c r="AE2438">
        <v>0</v>
      </c>
      <c r="AF2438">
        <v>0</v>
      </c>
      <c r="AG2438">
        <v>0</v>
      </c>
      <c r="AH2438">
        <v>0</v>
      </c>
      <c r="AI2438">
        <v>0</v>
      </c>
      <c r="AJ2438">
        <v>0</v>
      </c>
      <c r="AK2438">
        <v>0</v>
      </c>
      <c r="AL2438">
        <v>0</v>
      </c>
      <c r="AM2438">
        <v>6.71</v>
      </c>
      <c r="AN2438">
        <v>0</v>
      </c>
      <c r="AO2438">
        <v>0</v>
      </c>
      <c r="AP2438">
        <v>0</v>
      </c>
      <c r="AQ2438">
        <v>0</v>
      </c>
      <c r="AR2438">
        <v>0</v>
      </c>
      <c r="AS2438">
        <v>0</v>
      </c>
      <c r="AT2438">
        <v>0</v>
      </c>
      <c r="AU2438">
        <v>0</v>
      </c>
      <c r="AV2438">
        <v>0</v>
      </c>
      <c r="AW2438">
        <v>0</v>
      </c>
      <c r="AX2438">
        <v>0</v>
      </c>
      <c r="AY2438">
        <v>0</v>
      </c>
      <c r="AZ2438">
        <v>0</v>
      </c>
      <c r="BA2438">
        <v>0</v>
      </c>
      <c r="BB2438">
        <v>0</v>
      </c>
      <c r="BC2438">
        <v>0</v>
      </c>
      <c r="BD2438">
        <v>0</v>
      </c>
      <c r="BE2438">
        <v>0</v>
      </c>
      <c r="BF2438">
        <v>0</v>
      </c>
      <c r="BG2438">
        <v>0</v>
      </c>
      <c r="BH2438">
        <v>1</v>
      </c>
      <c r="BI2438">
        <v>1</v>
      </c>
      <c r="BJ2438">
        <v>0.2</v>
      </c>
      <c r="BK2438">
        <v>1</v>
      </c>
      <c r="BL2438" s="4">
        <v>39.42</v>
      </c>
      <c r="BM2438" s="4">
        <v>5.91</v>
      </c>
      <c r="BN2438" s="4">
        <v>45.33</v>
      </c>
      <c r="BO2438" s="4">
        <v>45.33</v>
      </c>
      <c r="BQ2438" t="s">
        <v>147</v>
      </c>
      <c r="BR2438" t="s">
        <v>84</v>
      </c>
      <c r="BS2438" s="3">
        <v>43823</v>
      </c>
      <c r="BT2438" s="5">
        <v>0.33333333333333331</v>
      </c>
      <c r="BU2438" t="s">
        <v>728</v>
      </c>
      <c r="BV2438" t="s">
        <v>86</v>
      </c>
      <c r="BY2438">
        <v>1200</v>
      </c>
      <c r="CC2438" t="s">
        <v>139</v>
      </c>
      <c r="CD2438">
        <v>1428</v>
      </c>
      <c r="CE2438" t="s">
        <v>88</v>
      </c>
      <c r="CF2438" s="3">
        <v>43826</v>
      </c>
      <c r="CI2438">
        <v>1</v>
      </c>
      <c r="CJ2438">
        <v>1</v>
      </c>
      <c r="CK2438">
        <v>22</v>
      </c>
      <c r="CL2438" t="s">
        <v>89</v>
      </c>
    </row>
    <row r="2439" spans="1:90">
      <c r="A2439" t="s">
        <v>72</v>
      </c>
      <c r="B2439" t="s">
        <v>73</v>
      </c>
      <c r="C2439" t="s">
        <v>74</v>
      </c>
      <c r="E2439" t="str">
        <f>"FES1162729378"</f>
        <v>FES1162729378</v>
      </c>
      <c r="F2439" s="3">
        <v>43822</v>
      </c>
      <c r="G2439">
        <v>202006</v>
      </c>
      <c r="H2439" t="s">
        <v>75</v>
      </c>
      <c r="I2439" t="s">
        <v>76</v>
      </c>
      <c r="J2439" t="s">
        <v>77</v>
      </c>
      <c r="K2439" t="s">
        <v>78</v>
      </c>
      <c r="L2439" t="s">
        <v>138</v>
      </c>
      <c r="M2439" t="s">
        <v>139</v>
      </c>
      <c r="N2439" t="s">
        <v>703</v>
      </c>
      <c r="O2439" t="s">
        <v>82</v>
      </c>
      <c r="P2439" t="str">
        <f>"2170722226                    "</f>
        <v xml:space="preserve">2170722226                    </v>
      </c>
      <c r="Q2439">
        <v>0</v>
      </c>
      <c r="R2439">
        <v>0</v>
      </c>
      <c r="S2439">
        <v>0</v>
      </c>
      <c r="T2439">
        <v>0</v>
      </c>
      <c r="U2439">
        <v>0</v>
      </c>
      <c r="V2439">
        <v>0</v>
      </c>
      <c r="W2439">
        <v>0</v>
      </c>
      <c r="X2439">
        <v>0</v>
      </c>
      <c r="Y2439">
        <v>0</v>
      </c>
      <c r="Z2439">
        <v>0</v>
      </c>
      <c r="AA2439">
        <v>0</v>
      </c>
      <c r="AB2439">
        <v>0</v>
      </c>
      <c r="AC2439">
        <v>0</v>
      </c>
      <c r="AD2439">
        <v>0</v>
      </c>
      <c r="AE2439">
        <v>0</v>
      </c>
      <c r="AF2439">
        <v>0</v>
      </c>
      <c r="AG2439">
        <v>0</v>
      </c>
      <c r="AH2439">
        <v>0</v>
      </c>
      <c r="AI2439">
        <v>0</v>
      </c>
      <c r="AJ2439">
        <v>0</v>
      </c>
      <c r="AK2439">
        <v>0</v>
      </c>
      <c r="AL2439">
        <v>0</v>
      </c>
      <c r="AM2439">
        <v>16.350000000000001</v>
      </c>
      <c r="AN2439">
        <v>0</v>
      </c>
      <c r="AO2439">
        <v>0</v>
      </c>
      <c r="AP2439">
        <v>0</v>
      </c>
      <c r="AQ2439">
        <v>0</v>
      </c>
      <c r="AR2439">
        <v>0</v>
      </c>
      <c r="AS2439">
        <v>0</v>
      </c>
      <c r="AT2439">
        <v>0</v>
      </c>
      <c r="AU2439">
        <v>0</v>
      </c>
      <c r="AV2439">
        <v>0</v>
      </c>
      <c r="AW2439">
        <v>0</v>
      </c>
      <c r="AX2439">
        <v>0</v>
      </c>
      <c r="AY2439">
        <v>0</v>
      </c>
      <c r="AZ2439">
        <v>0</v>
      </c>
      <c r="BA2439">
        <v>0</v>
      </c>
      <c r="BB2439">
        <v>0</v>
      </c>
      <c r="BC2439">
        <v>0</v>
      </c>
      <c r="BD2439">
        <v>0</v>
      </c>
      <c r="BE2439">
        <v>0</v>
      </c>
      <c r="BF2439">
        <v>0</v>
      </c>
      <c r="BG2439">
        <v>0</v>
      </c>
      <c r="BH2439">
        <v>1</v>
      </c>
      <c r="BI2439">
        <v>7.9</v>
      </c>
      <c r="BJ2439">
        <v>3.2</v>
      </c>
      <c r="BK2439">
        <v>8</v>
      </c>
      <c r="BL2439" s="4">
        <v>96.1</v>
      </c>
      <c r="BM2439" s="4">
        <v>14.42</v>
      </c>
      <c r="BN2439" s="4">
        <v>110.52</v>
      </c>
      <c r="BO2439" s="4">
        <v>110.52</v>
      </c>
      <c r="BQ2439" t="s">
        <v>1840</v>
      </c>
      <c r="BR2439" t="s">
        <v>84</v>
      </c>
      <c r="BS2439" s="3">
        <v>43823</v>
      </c>
      <c r="BT2439" s="5">
        <v>0.33333333333333331</v>
      </c>
      <c r="BU2439" t="s">
        <v>2587</v>
      </c>
      <c r="BV2439" t="s">
        <v>86</v>
      </c>
      <c r="BY2439">
        <v>16189.63</v>
      </c>
      <c r="CC2439" t="s">
        <v>139</v>
      </c>
      <c r="CD2439">
        <v>1422</v>
      </c>
      <c r="CE2439" t="s">
        <v>96</v>
      </c>
      <c r="CF2439" s="3">
        <v>43826</v>
      </c>
      <c r="CI2439">
        <v>1</v>
      </c>
      <c r="CJ2439">
        <v>1</v>
      </c>
      <c r="CK2439">
        <v>22</v>
      </c>
      <c r="CL2439" t="s">
        <v>89</v>
      </c>
    </row>
    <row r="2440" spans="1:90">
      <c r="A2440" t="s">
        <v>72</v>
      </c>
      <c r="B2440" t="s">
        <v>73</v>
      </c>
      <c r="C2440" t="s">
        <v>74</v>
      </c>
      <c r="E2440" t="str">
        <f>"FES1162729515"</f>
        <v>FES1162729515</v>
      </c>
      <c r="F2440" s="3">
        <v>43822</v>
      </c>
      <c r="G2440">
        <v>202006</v>
      </c>
      <c r="H2440" t="s">
        <v>75</v>
      </c>
      <c r="I2440" t="s">
        <v>76</v>
      </c>
      <c r="J2440" t="s">
        <v>77</v>
      </c>
      <c r="K2440" t="s">
        <v>78</v>
      </c>
      <c r="L2440" t="s">
        <v>164</v>
      </c>
      <c r="M2440" t="s">
        <v>165</v>
      </c>
      <c r="N2440" t="s">
        <v>369</v>
      </c>
      <c r="O2440" t="s">
        <v>82</v>
      </c>
      <c r="P2440" t="str">
        <f>"217071898                     "</f>
        <v xml:space="preserve">217071898                     </v>
      </c>
      <c r="Q2440">
        <v>0</v>
      </c>
      <c r="R2440">
        <v>0</v>
      </c>
      <c r="S2440">
        <v>0</v>
      </c>
      <c r="T2440">
        <v>0</v>
      </c>
      <c r="U2440">
        <v>0</v>
      </c>
      <c r="V2440">
        <v>0</v>
      </c>
      <c r="W2440">
        <v>0</v>
      </c>
      <c r="X2440">
        <v>0</v>
      </c>
      <c r="Y2440">
        <v>0</v>
      </c>
      <c r="Z2440">
        <v>0</v>
      </c>
      <c r="AA2440">
        <v>0</v>
      </c>
      <c r="AB2440">
        <v>0</v>
      </c>
      <c r="AC2440">
        <v>0</v>
      </c>
      <c r="AD2440">
        <v>0</v>
      </c>
      <c r="AE2440">
        <v>0</v>
      </c>
      <c r="AF2440">
        <v>0</v>
      </c>
      <c r="AG2440">
        <v>0</v>
      </c>
      <c r="AH2440">
        <v>0</v>
      </c>
      <c r="AI2440">
        <v>0</v>
      </c>
      <c r="AJ2440">
        <v>0</v>
      </c>
      <c r="AK2440">
        <v>0</v>
      </c>
      <c r="AL2440">
        <v>0</v>
      </c>
      <c r="AM2440">
        <v>32.17</v>
      </c>
      <c r="AN2440">
        <v>0</v>
      </c>
      <c r="AO2440">
        <v>0</v>
      </c>
      <c r="AP2440">
        <v>0</v>
      </c>
      <c r="AQ2440">
        <v>0</v>
      </c>
      <c r="AR2440">
        <v>0</v>
      </c>
      <c r="AS2440">
        <v>0</v>
      </c>
      <c r="AT2440">
        <v>0</v>
      </c>
      <c r="AU2440">
        <v>0</v>
      </c>
      <c r="AV2440">
        <v>0</v>
      </c>
      <c r="AW2440">
        <v>0</v>
      </c>
      <c r="AX2440">
        <v>0</v>
      </c>
      <c r="AY2440">
        <v>0</v>
      </c>
      <c r="AZ2440">
        <v>0</v>
      </c>
      <c r="BA2440">
        <v>0</v>
      </c>
      <c r="BB2440">
        <v>0</v>
      </c>
      <c r="BC2440">
        <v>0</v>
      </c>
      <c r="BD2440">
        <v>0</v>
      </c>
      <c r="BE2440">
        <v>0</v>
      </c>
      <c r="BF2440">
        <v>0</v>
      </c>
      <c r="BG2440">
        <v>0</v>
      </c>
      <c r="BH2440">
        <v>1</v>
      </c>
      <c r="BI2440">
        <v>3.6</v>
      </c>
      <c r="BJ2440">
        <v>7.4</v>
      </c>
      <c r="BK2440">
        <v>7.5</v>
      </c>
      <c r="BL2440" s="4">
        <v>189.1</v>
      </c>
      <c r="BM2440" s="4">
        <v>28.37</v>
      </c>
      <c r="BN2440" s="4">
        <v>217.47</v>
      </c>
      <c r="BO2440" s="4">
        <v>217.47</v>
      </c>
      <c r="BQ2440" t="s">
        <v>93</v>
      </c>
      <c r="BR2440" t="s">
        <v>84</v>
      </c>
      <c r="BS2440" t="s">
        <v>717</v>
      </c>
      <c r="BW2440" t="s">
        <v>1335</v>
      </c>
      <c r="BX2440" t="s">
        <v>619</v>
      </c>
      <c r="BY2440">
        <v>37087.199999999997</v>
      </c>
      <c r="CC2440" t="s">
        <v>165</v>
      </c>
      <c r="CD2440">
        <v>5201</v>
      </c>
      <c r="CE2440" t="s">
        <v>116</v>
      </c>
      <c r="CI2440">
        <v>1</v>
      </c>
      <c r="CJ2440" t="s">
        <v>717</v>
      </c>
      <c r="CK2440">
        <v>21</v>
      </c>
      <c r="CL2440" t="s">
        <v>89</v>
      </c>
    </row>
    <row r="2441" spans="1:90">
      <c r="A2441" t="s">
        <v>72</v>
      </c>
      <c r="B2441" t="s">
        <v>73</v>
      </c>
      <c r="C2441" t="s">
        <v>74</v>
      </c>
      <c r="E2441" t="str">
        <f>"FES1162729301"</f>
        <v>FES1162729301</v>
      </c>
      <c r="F2441" s="3">
        <v>43822</v>
      </c>
      <c r="G2441">
        <v>202006</v>
      </c>
      <c r="H2441" t="s">
        <v>75</v>
      </c>
      <c r="I2441" t="s">
        <v>76</v>
      </c>
      <c r="J2441" t="s">
        <v>77</v>
      </c>
      <c r="K2441" t="s">
        <v>78</v>
      </c>
      <c r="L2441" t="s">
        <v>1679</v>
      </c>
      <c r="M2441" t="s">
        <v>1680</v>
      </c>
      <c r="N2441" t="s">
        <v>1681</v>
      </c>
      <c r="O2441" t="s">
        <v>82</v>
      </c>
      <c r="P2441" t="str">
        <f>"2170721596                    "</f>
        <v xml:space="preserve">2170721596                    </v>
      </c>
      <c r="Q2441">
        <v>0</v>
      </c>
      <c r="R2441">
        <v>0</v>
      </c>
      <c r="S2441">
        <v>0</v>
      </c>
      <c r="T2441">
        <v>0</v>
      </c>
      <c r="U2441">
        <v>0</v>
      </c>
      <c r="V2441">
        <v>0</v>
      </c>
      <c r="W2441">
        <v>0</v>
      </c>
      <c r="X2441">
        <v>0</v>
      </c>
      <c r="Y2441">
        <v>0</v>
      </c>
      <c r="Z2441">
        <v>0</v>
      </c>
      <c r="AA2441">
        <v>0</v>
      </c>
      <c r="AB2441">
        <v>0</v>
      </c>
      <c r="AC2441">
        <v>0</v>
      </c>
      <c r="AD2441">
        <v>0</v>
      </c>
      <c r="AE2441">
        <v>0</v>
      </c>
      <c r="AF2441">
        <v>0</v>
      </c>
      <c r="AG2441">
        <v>0</v>
      </c>
      <c r="AH2441">
        <v>0</v>
      </c>
      <c r="AI2441">
        <v>0</v>
      </c>
      <c r="AJ2441">
        <v>0</v>
      </c>
      <c r="AK2441">
        <v>0</v>
      </c>
      <c r="AL2441">
        <v>0</v>
      </c>
      <c r="AM2441">
        <v>12.07</v>
      </c>
      <c r="AN2441">
        <v>0</v>
      </c>
      <c r="AO2441">
        <v>0</v>
      </c>
      <c r="AP2441">
        <v>0</v>
      </c>
      <c r="AQ2441">
        <v>0</v>
      </c>
      <c r="AR2441">
        <v>0</v>
      </c>
      <c r="AS2441">
        <v>0</v>
      </c>
      <c r="AT2441">
        <v>0</v>
      </c>
      <c r="AU2441">
        <v>0</v>
      </c>
      <c r="AV2441">
        <v>0</v>
      </c>
      <c r="AW2441">
        <v>0</v>
      </c>
      <c r="AX2441">
        <v>0</v>
      </c>
      <c r="AY2441">
        <v>0</v>
      </c>
      <c r="AZ2441">
        <v>0</v>
      </c>
      <c r="BA2441">
        <v>0</v>
      </c>
      <c r="BB2441">
        <v>0</v>
      </c>
      <c r="BC2441">
        <v>0</v>
      </c>
      <c r="BD2441">
        <v>0</v>
      </c>
      <c r="BE2441">
        <v>0</v>
      </c>
      <c r="BF2441">
        <v>0</v>
      </c>
      <c r="BG2441">
        <v>0</v>
      </c>
      <c r="BH2441">
        <v>1</v>
      </c>
      <c r="BI2441">
        <v>1.3</v>
      </c>
      <c r="BJ2441">
        <v>0.9</v>
      </c>
      <c r="BK2441">
        <v>1.5</v>
      </c>
      <c r="BL2441" s="4">
        <v>70.95</v>
      </c>
      <c r="BM2441" s="4">
        <v>10.64</v>
      </c>
      <c r="BN2441" s="4">
        <v>81.59</v>
      </c>
      <c r="BO2441" s="4">
        <v>81.59</v>
      </c>
      <c r="BQ2441" t="s">
        <v>147</v>
      </c>
      <c r="BR2441" t="s">
        <v>84</v>
      </c>
      <c r="BS2441" s="3">
        <v>43823</v>
      </c>
      <c r="BT2441" s="5">
        <v>0.33333333333333331</v>
      </c>
      <c r="BU2441" t="s">
        <v>2588</v>
      </c>
      <c r="BV2441" t="s">
        <v>86</v>
      </c>
      <c r="BY2441">
        <v>4447.2</v>
      </c>
      <c r="CC2441" t="s">
        <v>1680</v>
      </c>
      <c r="CD2441">
        <v>2210</v>
      </c>
      <c r="CE2441" t="s">
        <v>116</v>
      </c>
      <c r="CF2441" s="3">
        <v>43826</v>
      </c>
      <c r="CI2441">
        <v>1</v>
      </c>
      <c r="CJ2441">
        <v>1</v>
      </c>
      <c r="CK2441">
        <v>24</v>
      </c>
      <c r="CL2441" t="s">
        <v>89</v>
      </c>
    </row>
    <row r="2442" spans="1:90">
      <c r="A2442" t="s">
        <v>72</v>
      </c>
      <c r="B2442" t="s">
        <v>73</v>
      </c>
      <c r="C2442" t="s">
        <v>74</v>
      </c>
      <c r="E2442" t="str">
        <f>"FES1162729517"</f>
        <v>FES1162729517</v>
      </c>
      <c r="F2442" s="3">
        <v>43822</v>
      </c>
      <c r="G2442">
        <v>202006</v>
      </c>
      <c r="H2442" t="s">
        <v>75</v>
      </c>
      <c r="I2442" t="s">
        <v>76</v>
      </c>
      <c r="J2442" t="s">
        <v>77</v>
      </c>
      <c r="K2442" t="s">
        <v>78</v>
      </c>
      <c r="L2442" t="s">
        <v>332</v>
      </c>
      <c r="M2442" t="s">
        <v>333</v>
      </c>
      <c r="N2442" t="s">
        <v>701</v>
      </c>
      <c r="O2442" t="s">
        <v>82</v>
      </c>
      <c r="P2442" t="str">
        <f>"2170722472                    "</f>
        <v xml:space="preserve">2170722472                    </v>
      </c>
      <c r="Q2442">
        <v>0</v>
      </c>
      <c r="R2442">
        <v>0</v>
      </c>
      <c r="S2442">
        <v>0</v>
      </c>
      <c r="T2442">
        <v>0</v>
      </c>
      <c r="U2442">
        <v>0</v>
      </c>
      <c r="V2442">
        <v>0</v>
      </c>
      <c r="W2442">
        <v>0</v>
      </c>
      <c r="X2442">
        <v>0</v>
      </c>
      <c r="Y2442">
        <v>0</v>
      </c>
      <c r="Z2442">
        <v>0</v>
      </c>
      <c r="AA2442">
        <v>0</v>
      </c>
      <c r="AB2442">
        <v>0</v>
      </c>
      <c r="AC2442">
        <v>0</v>
      </c>
      <c r="AD2442">
        <v>0</v>
      </c>
      <c r="AE2442">
        <v>0</v>
      </c>
      <c r="AF2442">
        <v>0</v>
      </c>
      <c r="AG2442">
        <v>0</v>
      </c>
      <c r="AH2442">
        <v>0</v>
      </c>
      <c r="AI2442">
        <v>0</v>
      </c>
      <c r="AJ2442">
        <v>0</v>
      </c>
      <c r="AK2442">
        <v>0</v>
      </c>
      <c r="AL2442">
        <v>0</v>
      </c>
      <c r="AM2442">
        <v>6.71</v>
      </c>
      <c r="AN2442">
        <v>0</v>
      </c>
      <c r="AO2442">
        <v>0</v>
      </c>
      <c r="AP2442">
        <v>0</v>
      </c>
      <c r="AQ2442">
        <v>0</v>
      </c>
      <c r="AR2442">
        <v>0</v>
      </c>
      <c r="AS2442">
        <v>0</v>
      </c>
      <c r="AT2442">
        <v>0</v>
      </c>
      <c r="AU2442">
        <v>0</v>
      </c>
      <c r="AV2442">
        <v>0</v>
      </c>
      <c r="AW2442">
        <v>0</v>
      </c>
      <c r="AX2442">
        <v>0</v>
      </c>
      <c r="AY2442">
        <v>0</v>
      </c>
      <c r="AZ2442">
        <v>0</v>
      </c>
      <c r="BA2442">
        <v>0</v>
      </c>
      <c r="BB2442">
        <v>0</v>
      </c>
      <c r="BC2442">
        <v>0</v>
      </c>
      <c r="BD2442">
        <v>0</v>
      </c>
      <c r="BE2442">
        <v>0</v>
      </c>
      <c r="BF2442">
        <v>0</v>
      </c>
      <c r="BG2442">
        <v>0</v>
      </c>
      <c r="BH2442">
        <v>1</v>
      </c>
      <c r="BI2442">
        <v>1</v>
      </c>
      <c r="BJ2442">
        <v>0.2</v>
      </c>
      <c r="BK2442">
        <v>1</v>
      </c>
      <c r="BL2442" s="4">
        <v>39.42</v>
      </c>
      <c r="BM2442" s="4">
        <v>5.91</v>
      </c>
      <c r="BN2442" s="4">
        <v>45.33</v>
      </c>
      <c r="BO2442" s="4">
        <v>45.33</v>
      </c>
      <c r="BQ2442" t="s">
        <v>93</v>
      </c>
      <c r="BR2442" t="s">
        <v>84</v>
      </c>
      <c r="BS2442" s="3">
        <v>43823</v>
      </c>
      <c r="BT2442" s="5">
        <v>0.33333333333333331</v>
      </c>
      <c r="BU2442" t="s">
        <v>625</v>
      </c>
      <c r="BV2442" t="s">
        <v>86</v>
      </c>
      <c r="BY2442">
        <v>1200</v>
      </c>
      <c r="CC2442" t="s">
        <v>333</v>
      </c>
      <c r="CD2442">
        <v>2094</v>
      </c>
      <c r="CE2442" t="s">
        <v>88</v>
      </c>
      <c r="CF2442" s="3">
        <v>43826</v>
      </c>
      <c r="CI2442">
        <v>1</v>
      </c>
      <c r="CJ2442">
        <v>1</v>
      </c>
      <c r="CK2442">
        <v>22</v>
      </c>
      <c r="CL2442" t="s">
        <v>89</v>
      </c>
    </row>
    <row r="2443" spans="1:90">
      <c r="A2443" t="s">
        <v>72</v>
      </c>
      <c r="B2443" t="s">
        <v>73</v>
      </c>
      <c r="C2443" t="s">
        <v>74</v>
      </c>
      <c r="E2443" t="str">
        <f>"FES1162729512"</f>
        <v>FES1162729512</v>
      </c>
      <c r="F2443" s="3">
        <v>43822</v>
      </c>
      <c r="G2443">
        <v>202006</v>
      </c>
      <c r="H2443" t="s">
        <v>75</v>
      </c>
      <c r="I2443" t="s">
        <v>76</v>
      </c>
      <c r="J2443" t="s">
        <v>77</v>
      </c>
      <c r="K2443" t="s">
        <v>78</v>
      </c>
      <c r="L2443" t="s">
        <v>151</v>
      </c>
      <c r="M2443" t="s">
        <v>102</v>
      </c>
      <c r="N2443" t="s">
        <v>2589</v>
      </c>
      <c r="O2443" t="s">
        <v>82</v>
      </c>
      <c r="P2443" t="str">
        <f>"2170722470                    "</f>
        <v xml:space="preserve">2170722470                    </v>
      </c>
      <c r="Q2443">
        <v>0</v>
      </c>
      <c r="R2443">
        <v>0</v>
      </c>
      <c r="S2443">
        <v>0</v>
      </c>
      <c r="T2443">
        <v>0</v>
      </c>
      <c r="U2443">
        <v>0</v>
      </c>
      <c r="V2443">
        <v>0</v>
      </c>
      <c r="W2443">
        <v>0</v>
      </c>
      <c r="X2443">
        <v>0</v>
      </c>
      <c r="Y2443">
        <v>0</v>
      </c>
      <c r="Z2443">
        <v>0</v>
      </c>
      <c r="AA2443">
        <v>0</v>
      </c>
      <c r="AB2443">
        <v>0</v>
      </c>
      <c r="AC2443">
        <v>0</v>
      </c>
      <c r="AD2443">
        <v>0</v>
      </c>
      <c r="AE2443">
        <v>0</v>
      </c>
      <c r="AF2443">
        <v>0</v>
      </c>
      <c r="AG2443">
        <v>0</v>
      </c>
      <c r="AH2443">
        <v>0</v>
      </c>
      <c r="AI2443">
        <v>0</v>
      </c>
      <c r="AJ2443">
        <v>0</v>
      </c>
      <c r="AK2443">
        <v>0</v>
      </c>
      <c r="AL2443">
        <v>0</v>
      </c>
      <c r="AM2443">
        <v>8.58</v>
      </c>
      <c r="AN2443">
        <v>0</v>
      </c>
      <c r="AO2443">
        <v>0</v>
      </c>
      <c r="AP2443">
        <v>0</v>
      </c>
      <c r="AQ2443">
        <v>0</v>
      </c>
      <c r="AR2443">
        <v>0</v>
      </c>
      <c r="AS2443">
        <v>0</v>
      </c>
      <c r="AT2443">
        <v>0</v>
      </c>
      <c r="AU2443">
        <v>0</v>
      </c>
      <c r="AV2443">
        <v>0</v>
      </c>
      <c r="AW2443">
        <v>0</v>
      </c>
      <c r="AX2443">
        <v>0</v>
      </c>
      <c r="AY2443">
        <v>0</v>
      </c>
      <c r="AZ2443">
        <v>0</v>
      </c>
      <c r="BA2443">
        <v>0</v>
      </c>
      <c r="BB2443">
        <v>0</v>
      </c>
      <c r="BC2443">
        <v>0</v>
      </c>
      <c r="BD2443">
        <v>0</v>
      </c>
      <c r="BE2443">
        <v>0</v>
      </c>
      <c r="BF2443">
        <v>0</v>
      </c>
      <c r="BG2443">
        <v>0</v>
      </c>
      <c r="BH2443">
        <v>1</v>
      </c>
      <c r="BI2443">
        <v>0.2</v>
      </c>
      <c r="BJ2443">
        <v>1.2</v>
      </c>
      <c r="BK2443">
        <v>1.5</v>
      </c>
      <c r="BL2443" s="4">
        <v>50.45</v>
      </c>
      <c r="BM2443" s="4">
        <v>7.57</v>
      </c>
      <c r="BN2443" s="4">
        <v>58.02</v>
      </c>
      <c r="BO2443" s="4">
        <v>58.02</v>
      </c>
      <c r="BR2443" t="s">
        <v>84</v>
      </c>
      <c r="BS2443" s="3">
        <v>43823</v>
      </c>
      <c r="BT2443" s="5">
        <v>0.47916666666666669</v>
      </c>
      <c r="BU2443" t="s">
        <v>2590</v>
      </c>
      <c r="BV2443" t="s">
        <v>86</v>
      </c>
      <c r="BY2443">
        <v>6124.61</v>
      </c>
      <c r="CA2443" t="s">
        <v>1363</v>
      </c>
      <c r="CC2443" t="s">
        <v>102</v>
      </c>
      <c r="CD2443">
        <v>8</v>
      </c>
      <c r="CE2443" t="s">
        <v>88</v>
      </c>
      <c r="CF2443" s="3">
        <v>43826</v>
      </c>
      <c r="CI2443">
        <v>1</v>
      </c>
      <c r="CJ2443">
        <v>1</v>
      </c>
      <c r="CK2443">
        <v>21</v>
      </c>
      <c r="CL2443" t="s">
        <v>89</v>
      </c>
    </row>
    <row r="2444" spans="1:90">
      <c r="A2444" t="s">
        <v>72</v>
      </c>
      <c r="B2444" t="s">
        <v>73</v>
      </c>
      <c r="C2444" t="s">
        <v>74</v>
      </c>
      <c r="E2444" t="str">
        <f>"FES1162729497"</f>
        <v>FES1162729497</v>
      </c>
      <c r="F2444" s="3">
        <v>43822</v>
      </c>
      <c r="G2444">
        <v>202006</v>
      </c>
      <c r="H2444" t="s">
        <v>75</v>
      </c>
      <c r="I2444" t="s">
        <v>76</v>
      </c>
      <c r="J2444" t="s">
        <v>77</v>
      </c>
      <c r="K2444" t="s">
        <v>78</v>
      </c>
      <c r="L2444" t="s">
        <v>75</v>
      </c>
      <c r="M2444" t="s">
        <v>76</v>
      </c>
      <c r="N2444" t="s">
        <v>321</v>
      </c>
      <c r="O2444" t="s">
        <v>82</v>
      </c>
      <c r="P2444" t="str">
        <f>"2170717594                    "</f>
        <v xml:space="preserve">2170717594                    </v>
      </c>
      <c r="Q2444">
        <v>0</v>
      </c>
      <c r="R2444">
        <v>0</v>
      </c>
      <c r="S2444">
        <v>0</v>
      </c>
      <c r="T2444">
        <v>0</v>
      </c>
      <c r="U2444">
        <v>0</v>
      </c>
      <c r="V2444">
        <v>0</v>
      </c>
      <c r="W2444">
        <v>0</v>
      </c>
      <c r="X2444">
        <v>0</v>
      </c>
      <c r="Y2444">
        <v>0</v>
      </c>
      <c r="Z2444">
        <v>0</v>
      </c>
      <c r="AA2444">
        <v>0</v>
      </c>
      <c r="AB2444">
        <v>0</v>
      </c>
      <c r="AC2444">
        <v>0</v>
      </c>
      <c r="AD2444">
        <v>0</v>
      </c>
      <c r="AE2444">
        <v>0</v>
      </c>
      <c r="AF2444">
        <v>0</v>
      </c>
      <c r="AG2444">
        <v>0</v>
      </c>
      <c r="AH2444">
        <v>0</v>
      </c>
      <c r="AI2444">
        <v>0</v>
      </c>
      <c r="AJ2444">
        <v>0</v>
      </c>
      <c r="AK2444">
        <v>0</v>
      </c>
      <c r="AL2444">
        <v>0</v>
      </c>
      <c r="AM2444">
        <v>12.33</v>
      </c>
      <c r="AN2444">
        <v>0</v>
      </c>
      <c r="AO2444">
        <v>0</v>
      </c>
      <c r="AP2444">
        <v>0</v>
      </c>
      <c r="AQ2444">
        <v>0</v>
      </c>
      <c r="AR2444">
        <v>0</v>
      </c>
      <c r="AS2444">
        <v>0</v>
      </c>
      <c r="AT2444">
        <v>0</v>
      </c>
      <c r="AU2444">
        <v>0</v>
      </c>
      <c r="AV2444">
        <v>0</v>
      </c>
      <c r="AW2444">
        <v>0</v>
      </c>
      <c r="AX2444">
        <v>0</v>
      </c>
      <c r="AY2444">
        <v>0</v>
      </c>
      <c r="AZ2444">
        <v>0</v>
      </c>
      <c r="BA2444">
        <v>0</v>
      </c>
      <c r="BB2444">
        <v>0</v>
      </c>
      <c r="BC2444">
        <v>0</v>
      </c>
      <c r="BD2444">
        <v>0</v>
      </c>
      <c r="BE2444">
        <v>0</v>
      </c>
      <c r="BF2444">
        <v>0</v>
      </c>
      <c r="BG2444">
        <v>0</v>
      </c>
      <c r="BH2444">
        <v>1</v>
      </c>
      <c r="BI2444">
        <v>3.1</v>
      </c>
      <c r="BJ2444">
        <v>5.3</v>
      </c>
      <c r="BK2444">
        <v>5.5</v>
      </c>
      <c r="BL2444" s="4">
        <v>72.48</v>
      </c>
      <c r="BM2444" s="4">
        <v>10.87</v>
      </c>
      <c r="BN2444" s="4">
        <v>83.35</v>
      </c>
      <c r="BO2444" s="4">
        <v>83.35</v>
      </c>
      <c r="BQ2444" t="s">
        <v>322</v>
      </c>
      <c r="BR2444" t="s">
        <v>84</v>
      </c>
      <c r="BS2444" t="s">
        <v>717</v>
      </c>
      <c r="BY2444">
        <v>26468.03</v>
      </c>
      <c r="CC2444" t="s">
        <v>76</v>
      </c>
      <c r="CD2444">
        <v>1619</v>
      </c>
      <c r="CE2444" t="s">
        <v>96</v>
      </c>
      <c r="CI2444">
        <v>1</v>
      </c>
      <c r="CJ2444" t="s">
        <v>717</v>
      </c>
      <c r="CK2444">
        <v>22</v>
      </c>
      <c r="CL2444" t="s">
        <v>89</v>
      </c>
    </row>
    <row r="2445" spans="1:90">
      <c r="A2445" t="s">
        <v>72</v>
      </c>
      <c r="B2445" t="s">
        <v>73</v>
      </c>
      <c r="C2445" t="s">
        <v>74</v>
      </c>
      <c r="E2445" t="str">
        <f>"FES1162729380"</f>
        <v>FES1162729380</v>
      </c>
      <c r="F2445" s="3">
        <v>43822</v>
      </c>
      <c r="G2445">
        <v>202006</v>
      </c>
      <c r="H2445" t="s">
        <v>75</v>
      </c>
      <c r="I2445" t="s">
        <v>76</v>
      </c>
      <c r="J2445" t="s">
        <v>77</v>
      </c>
      <c r="K2445" t="s">
        <v>78</v>
      </c>
      <c r="L2445" t="s">
        <v>198</v>
      </c>
      <c r="M2445" t="s">
        <v>199</v>
      </c>
      <c r="N2445" t="s">
        <v>280</v>
      </c>
      <c r="O2445" t="s">
        <v>82</v>
      </c>
      <c r="P2445" t="str">
        <f>"2170722282                    "</f>
        <v xml:space="preserve">2170722282                    </v>
      </c>
      <c r="Q2445">
        <v>0</v>
      </c>
      <c r="R2445">
        <v>0</v>
      </c>
      <c r="S2445">
        <v>0</v>
      </c>
      <c r="T2445">
        <v>0</v>
      </c>
      <c r="U2445">
        <v>0</v>
      </c>
      <c r="V2445">
        <v>0</v>
      </c>
      <c r="W2445">
        <v>0</v>
      </c>
      <c r="X2445">
        <v>0</v>
      </c>
      <c r="Y2445">
        <v>0</v>
      </c>
      <c r="Z2445">
        <v>0</v>
      </c>
      <c r="AA2445">
        <v>0</v>
      </c>
      <c r="AB2445">
        <v>0</v>
      </c>
      <c r="AC2445">
        <v>0</v>
      </c>
      <c r="AD2445">
        <v>0</v>
      </c>
      <c r="AE2445">
        <v>0</v>
      </c>
      <c r="AF2445">
        <v>0</v>
      </c>
      <c r="AG2445">
        <v>0</v>
      </c>
      <c r="AH2445">
        <v>0</v>
      </c>
      <c r="AI2445">
        <v>0</v>
      </c>
      <c r="AJ2445">
        <v>0</v>
      </c>
      <c r="AK2445">
        <v>0</v>
      </c>
      <c r="AL2445">
        <v>0</v>
      </c>
      <c r="AM2445">
        <v>21.45</v>
      </c>
      <c r="AN2445">
        <v>0</v>
      </c>
      <c r="AO2445">
        <v>0</v>
      </c>
      <c r="AP2445">
        <v>0</v>
      </c>
      <c r="AQ2445">
        <v>0</v>
      </c>
      <c r="AR2445">
        <v>0</v>
      </c>
      <c r="AS2445">
        <v>0</v>
      </c>
      <c r="AT2445">
        <v>0</v>
      </c>
      <c r="AU2445">
        <v>0</v>
      </c>
      <c r="AV2445">
        <v>0</v>
      </c>
      <c r="AW2445">
        <v>0</v>
      </c>
      <c r="AX2445">
        <v>0</v>
      </c>
      <c r="AY2445">
        <v>0</v>
      </c>
      <c r="AZ2445">
        <v>0</v>
      </c>
      <c r="BA2445">
        <v>0</v>
      </c>
      <c r="BB2445">
        <v>0</v>
      </c>
      <c r="BC2445">
        <v>0</v>
      </c>
      <c r="BD2445">
        <v>0</v>
      </c>
      <c r="BE2445">
        <v>0</v>
      </c>
      <c r="BF2445">
        <v>0</v>
      </c>
      <c r="BG2445">
        <v>0</v>
      </c>
      <c r="BH2445">
        <v>1</v>
      </c>
      <c r="BI2445">
        <v>4.7</v>
      </c>
      <c r="BJ2445">
        <v>2.6</v>
      </c>
      <c r="BK2445">
        <v>5</v>
      </c>
      <c r="BL2445" s="4">
        <v>126.08</v>
      </c>
      <c r="BM2445" s="4">
        <v>18.91</v>
      </c>
      <c r="BN2445" s="4">
        <v>144.99</v>
      </c>
      <c r="BO2445" s="4">
        <v>144.99</v>
      </c>
      <c r="BQ2445" t="s">
        <v>147</v>
      </c>
      <c r="BR2445" t="s">
        <v>84</v>
      </c>
      <c r="BS2445" s="3">
        <v>43823</v>
      </c>
      <c r="BT2445" s="5">
        <v>0.39027777777777778</v>
      </c>
      <c r="BU2445" t="s">
        <v>2397</v>
      </c>
      <c r="BV2445" t="s">
        <v>86</v>
      </c>
      <c r="BY2445">
        <v>13232.35</v>
      </c>
      <c r="CA2445" t="s">
        <v>281</v>
      </c>
      <c r="CC2445" t="s">
        <v>199</v>
      </c>
      <c r="CD2445">
        <v>4001</v>
      </c>
      <c r="CE2445" t="s">
        <v>116</v>
      </c>
      <c r="CF2445" s="3">
        <v>43826</v>
      </c>
      <c r="CI2445">
        <v>1</v>
      </c>
      <c r="CJ2445">
        <v>1</v>
      </c>
      <c r="CK2445">
        <v>21</v>
      </c>
      <c r="CL2445" t="s">
        <v>89</v>
      </c>
    </row>
    <row r="2446" spans="1:90">
      <c r="A2446" t="s">
        <v>72</v>
      </c>
      <c r="B2446" t="s">
        <v>73</v>
      </c>
      <c r="C2446" t="s">
        <v>74</v>
      </c>
      <c r="E2446" t="str">
        <f>"FES1162729229"</f>
        <v>FES1162729229</v>
      </c>
      <c r="F2446" s="3">
        <v>43822</v>
      </c>
      <c r="G2446">
        <v>202006</v>
      </c>
      <c r="H2446" t="s">
        <v>75</v>
      </c>
      <c r="I2446" t="s">
        <v>76</v>
      </c>
      <c r="J2446" t="s">
        <v>77</v>
      </c>
      <c r="K2446" t="s">
        <v>78</v>
      </c>
      <c r="L2446" t="s">
        <v>332</v>
      </c>
      <c r="M2446" t="s">
        <v>333</v>
      </c>
      <c r="N2446" t="s">
        <v>701</v>
      </c>
      <c r="O2446" t="s">
        <v>82</v>
      </c>
      <c r="P2446" t="str">
        <f>"2170722219                    "</f>
        <v xml:space="preserve">2170722219                    </v>
      </c>
      <c r="Q2446">
        <v>0</v>
      </c>
      <c r="R2446">
        <v>0</v>
      </c>
      <c r="S2446">
        <v>0</v>
      </c>
      <c r="T2446">
        <v>0</v>
      </c>
      <c r="U2446">
        <v>0</v>
      </c>
      <c r="V2446">
        <v>0</v>
      </c>
      <c r="W2446">
        <v>0</v>
      </c>
      <c r="X2446">
        <v>0</v>
      </c>
      <c r="Y2446">
        <v>0</v>
      </c>
      <c r="Z2446">
        <v>0</v>
      </c>
      <c r="AA2446">
        <v>0</v>
      </c>
      <c r="AB2446">
        <v>0</v>
      </c>
      <c r="AC2446">
        <v>0</v>
      </c>
      <c r="AD2446">
        <v>0</v>
      </c>
      <c r="AE2446">
        <v>0</v>
      </c>
      <c r="AF2446">
        <v>0</v>
      </c>
      <c r="AG2446">
        <v>0</v>
      </c>
      <c r="AH2446">
        <v>0</v>
      </c>
      <c r="AI2446">
        <v>0</v>
      </c>
      <c r="AJ2446">
        <v>0</v>
      </c>
      <c r="AK2446">
        <v>0</v>
      </c>
      <c r="AL2446">
        <v>0</v>
      </c>
      <c r="AM2446">
        <v>6.71</v>
      </c>
      <c r="AN2446">
        <v>0</v>
      </c>
      <c r="AO2446">
        <v>0</v>
      </c>
      <c r="AP2446">
        <v>0</v>
      </c>
      <c r="AQ2446">
        <v>0</v>
      </c>
      <c r="AR2446">
        <v>0</v>
      </c>
      <c r="AS2446">
        <v>0</v>
      </c>
      <c r="AT2446">
        <v>0</v>
      </c>
      <c r="AU2446">
        <v>0</v>
      </c>
      <c r="AV2446">
        <v>0</v>
      </c>
      <c r="AW2446">
        <v>0</v>
      </c>
      <c r="AX2446">
        <v>0</v>
      </c>
      <c r="AY2446">
        <v>0</v>
      </c>
      <c r="AZ2446">
        <v>0</v>
      </c>
      <c r="BA2446">
        <v>0</v>
      </c>
      <c r="BB2446">
        <v>0</v>
      </c>
      <c r="BC2446">
        <v>0</v>
      </c>
      <c r="BD2446">
        <v>0</v>
      </c>
      <c r="BE2446">
        <v>0</v>
      </c>
      <c r="BF2446">
        <v>0</v>
      </c>
      <c r="BG2446">
        <v>0</v>
      </c>
      <c r="BH2446">
        <v>1</v>
      </c>
      <c r="BI2446">
        <v>1</v>
      </c>
      <c r="BJ2446">
        <v>0.2</v>
      </c>
      <c r="BK2446">
        <v>1</v>
      </c>
      <c r="BL2446" s="4">
        <v>39.42</v>
      </c>
      <c r="BM2446" s="4">
        <v>5.91</v>
      </c>
      <c r="BN2446" s="4">
        <v>45.33</v>
      </c>
      <c r="BO2446" s="4">
        <v>45.33</v>
      </c>
      <c r="BQ2446" t="s">
        <v>93</v>
      </c>
      <c r="BR2446" t="s">
        <v>84</v>
      </c>
      <c r="BS2446" s="3">
        <v>43823</v>
      </c>
      <c r="BT2446" s="5">
        <v>0.33402777777777781</v>
      </c>
      <c r="BU2446" t="s">
        <v>625</v>
      </c>
      <c r="BV2446" t="s">
        <v>86</v>
      </c>
      <c r="BY2446">
        <v>1200</v>
      </c>
      <c r="CC2446" t="s">
        <v>333</v>
      </c>
      <c r="CD2446">
        <v>2094</v>
      </c>
      <c r="CE2446" t="s">
        <v>88</v>
      </c>
      <c r="CF2446" s="3">
        <v>43826</v>
      </c>
      <c r="CI2446">
        <v>1</v>
      </c>
      <c r="CJ2446">
        <v>1</v>
      </c>
      <c r="CK2446">
        <v>22</v>
      </c>
      <c r="CL2446" t="s">
        <v>89</v>
      </c>
    </row>
    <row r="2447" spans="1:90">
      <c r="A2447" t="s">
        <v>72</v>
      </c>
      <c r="B2447" t="s">
        <v>73</v>
      </c>
      <c r="C2447" t="s">
        <v>74</v>
      </c>
      <c r="E2447" t="str">
        <f>"FES1162729379"</f>
        <v>FES1162729379</v>
      </c>
      <c r="F2447" s="3">
        <v>43822</v>
      </c>
      <c r="G2447">
        <v>202006</v>
      </c>
      <c r="H2447" t="s">
        <v>75</v>
      </c>
      <c r="I2447" t="s">
        <v>76</v>
      </c>
      <c r="J2447" t="s">
        <v>77</v>
      </c>
      <c r="K2447" t="s">
        <v>78</v>
      </c>
      <c r="L2447" t="s">
        <v>198</v>
      </c>
      <c r="M2447" t="s">
        <v>199</v>
      </c>
      <c r="N2447" t="s">
        <v>280</v>
      </c>
      <c r="O2447" t="s">
        <v>82</v>
      </c>
      <c r="P2447" t="str">
        <f>"2170722277                    "</f>
        <v xml:space="preserve">2170722277                    </v>
      </c>
      <c r="Q2447">
        <v>0</v>
      </c>
      <c r="R2447">
        <v>0</v>
      </c>
      <c r="S2447">
        <v>0</v>
      </c>
      <c r="T2447">
        <v>0</v>
      </c>
      <c r="U2447">
        <v>0</v>
      </c>
      <c r="V2447">
        <v>0</v>
      </c>
      <c r="W2447">
        <v>0</v>
      </c>
      <c r="X2447">
        <v>0</v>
      </c>
      <c r="Y2447">
        <v>0</v>
      </c>
      <c r="Z2447">
        <v>0</v>
      </c>
      <c r="AA2447">
        <v>0</v>
      </c>
      <c r="AB2447">
        <v>0</v>
      </c>
      <c r="AC2447">
        <v>0</v>
      </c>
      <c r="AD2447">
        <v>0</v>
      </c>
      <c r="AE2447">
        <v>0</v>
      </c>
      <c r="AF2447">
        <v>0</v>
      </c>
      <c r="AG2447">
        <v>0</v>
      </c>
      <c r="AH2447">
        <v>0</v>
      </c>
      <c r="AI2447">
        <v>0</v>
      </c>
      <c r="AJ2447">
        <v>0</v>
      </c>
      <c r="AK2447">
        <v>0</v>
      </c>
      <c r="AL2447">
        <v>0</v>
      </c>
      <c r="AM2447">
        <v>19.3</v>
      </c>
      <c r="AN2447">
        <v>0</v>
      </c>
      <c r="AO2447">
        <v>0</v>
      </c>
      <c r="AP2447">
        <v>0</v>
      </c>
      <c r="AQ2447">
        <v>0</v>
      </c>
      <c r="AR2447">
        <v>0</v>
      </c>
      <c r="AS2447">
        <v>0</v>
      </c>
      <c r="AT2447">
        <v>0</v>
      </c>
      <c r="AU2447">
        <v>0</v>
      </c>
      <c r="AV2447">
        <v>0</v>
      </c>
      <c r="AW2447">
        <v>0</v>
      </c>
      <c r="AX2447">
        <v>0</v>
      </c>
      <c r="AY2447">
        <v>0</v>
      </c>
      <c r="AZ2447">
        <v>0</v>
      </c>
      <c r="BA2447">
        <v>0</v>
      </c>
      <c r="BB2447">
        <v>0</v>
      </c>
      <c r="BC2447">
        <v>0</v>
      </c>
      <c r="BD2447">
        <v>0</v>
      </c>
      <c r="BE2447">
        <v>0</v>
      </c>
      <c r="BF2447">
        <v>0</v>
      </c>
      <c r="BG2447">
        <v>0</v>
      </c>
      <c r="BH2447">
        <v>1</v>
      </c>
      <c r="BI2447">
        <v>4.2</v>
      </c>
      <c r="BJ2447">
        <v>2</v>
      </c>
      <c r="BK2447">
        <v>4.5</v>
      </c>
      <c r="BL2447" s="4">
        <v>113.47</v>
      </c>
      <c r="BM2447" s="4">
        <v>17.02</v>
      </c>
      <c r="BN2447" s="4">
        <v>130.49</v>
      </c>
      <c r="BO2447" s="4">
        <v>130.49</v>
      </c>
      <c r="BQ2447" t="s">
        <v>147</v>
      </c>
      <c r="BR2447" t="s">
        <v>84</v>
      </c>
      <c r="BS2447" s="3">
        <v>43823</v>
      </c>
      <c r="BT2447" s="5">
        <v>0.39097222222222222</v>
      </c>
      <c r="BU2447" t="s">
        <v>2397</v>
      </c>
      <c r="BV2447" t="s">
        <v>86</v>
      </c>
      <c r="BY2447">
        <v>9920.83</v>
      </c>
      <c r="CA2447" t="s">
        <v>281</v>
      </c>
      <c r="CC2447" t="s">
        <v>199</v>
      </c>
      <c r="CD2447">
        <v>4001</v>
      </c>
      <c r="CE2447" t="s">
        <v>96</v>
      </c>
      <c r="CF2447" s="3">
        <v>43826</v>
      </c>
      <c r="CI2447">
        <v>1</v>
      </c>
      <c r="CJ2447">
        <v>1</v>
      </c>
      <c r="CK2447">
        <v>21</v>
      </c>
      <c r="CL2447" t="s">
        <v>89</v>
      </c>
    </row>
    <row r="2448" spans="1:90">
      <c r="A2448" t="s">
        <v>72</v>
      </c>
      <c r="B2448" t="s">
        <v>73</v>
      </c>
      <c r="C2448" t="s">
        <v>74</v>
      </c>
      <c r="E2448" t="str">
        <f>"FES1162729516"</f>
        <v>FES1162729516</v>
      </c>
      <c r="F2448" s="3">
        <v>43822</v>
      </c>
      <c r="G2448">
        <v>202006</v>
      </c>
      <c r="H2448" t="s">
        <v>75</v>
      </c>
      <c r="I2448" t="s">
        <v>76</v>
      </c>
      <c r="J2448" t="s">
        <v>77</v>
      </c>
      <c r="K2448" t="s">
        <v>78</v>
      </c>
      <c r="L2448" t="s">
        <v>169</v>
      </c>
      <c r="M2448" t="s">
        <v>170</v>
      </c>
      <c r="N2448" t="s">
        <v>248</v>
      </c>
      <c r="O2448" t="s">
        <v>82</v>
      </c>
      <c r="P2448" t="str">
        <f>"21707224171                   "</f>
        <v xml:space="preserve">21707224171                   </v>
      </c>
      <c r="Q2448">
        <v>0</v>
      </c>
      <c r="R2448">
        <v>0</v>
      </c>
      <c r="S2448">
        <v>0</v>
      </c>
      <c r="T2448">
        <v>0</v>
      </c>
      <c r="U2448">
        <v>0</v>
      </c>
      <c r="V2448">
        <v>0</v>
      </c>
      <c r="W2448">
        <v>0</v>
      </c>
      <c r="X2448">
        <v>0</v>
      </c>
      <c r="Y2448">
        <v>0</v>
      </c>
      <c r="Z2448">
        <v>0</v>
      </c>
      <c r="AA2448">
        <v>0</v>
      </c>
      <c r="AB2448">
        <v>0</v>
      </c>
      <c r="AC2448">
        <v>0</v>
      </c>
      <c r="AD2448">
        <v>0</v>
      </c>
      <c r="AE2448">
        <v>0</v>
      </c>
      <c r="AF2448">
        <v>0</v>
      </c>
      <c r="AG2448">
        <v>0</v>
      </c>
      <c r="AH2448">
        <v>0</v>
      </c>
      <c r="AI2448">
        <v>0</v>
      </c>
      <c r="AJ2448">
        <v>0</v>
      </c>
      <c r="AK2448">
        <v>0</v>
      </c>
      <c r="AL2448">
        <v>0</v>
      </c>
      <c r="AM2448">
        <v>6.71</v>
      </c>
      <c r="AN2448">
        <v>0</v>
      </c>
      <c r="AO2448">
        <v>0</v>
      </c>
      <c r="AP2448">
        <v>0</v>
      </c>
      <c r="AQ2448">
        <v>0</v>
      </c>
      <c r="AR2448">
        <v>0</v>
      </c>
      <c r="AS2448">
        <v>0</v>
      </c>
      <c r="AT2448">
        <v>0</v>
      </c>
      <c r="AU2448">
        <v>0</v>
      </c>
      <c r="AV2448">
        <v>0</v>
      </c>
      <c r="AW2448">
        <v>0</v>
      </c>
      <c r="AX2448">
        <v>0</v>
      </c>
      <c r="AY2448">
        <v>0</v>
      </c>
      <c r="AZ2448">
        <v>0</v>
      </c>
      <c r="BA2448">
        <v>0</v>
      </c>
      <c r="BB2448">
        <v>0</v>
      </c>
      <c r="BC2448">
        <v>0</v>
      </c>
      <c r="BD2448">
        <v>0</v>
      </c>
      <c r="BE2448">
        <v>0</v>
      </c>
      <c r="BF2448">
        <v>0</v>
      </c>
      <c r="BG2448">
        <v>0</v>
      </c>
      <c r="BH2448">
        <v>1</v>
      </c>
      <c r="BI2448">
        <v>0.2</v>
      </c>
      <c r="BJ2448">
        <v>1.6</v>
      </c>
      <c r="BK2448">
        <v>2</v>
      </c>
      <c r="BL2448" s="4">
        <v>39.42</v>
      </c>
      <c r="BM2448" s="4">
        <v>5.91</v>
      </c>
      <c r="BN2448" s="4">
        <v>45.33</v>
      </c>
      <c r="BO2448" s="4">
        <v>45.33</v>
      </c>
      <c r="BQ2448" t="s">
        <v>147</v>
      </c>
      <c r="BR2448" t="s">
        <v>84</v>
      </c>
      <c r="BS2448" s="3">
        <v>43836</v>
      </c>
      <c r="BT2448" s="5">
        <v>0.33194444444444443</v>
      </c>
      <c r="BU2448" t="s">
        <v>1089</v>
      </c>
      <c r="BV2448" t="s">
        <v>89</v>
      </c>
      <c r="BY2448">
        <v>8124.98</v>
      </c>
      <c r="CA2448" t="s">
        <v>250</v>
      </c>
      <c r="CC2448" t="s">
        <v>170</v>
      </c>
      <c r="CD2448">
        <v>1459</v>
      </c>
      <c r="CE2448" t="s">
        <v>88</v>
      </c>
      <c r="CI2448">
        <v>1</v>
      </c>
      <c r="CJ2448">
        <v>10</v>
      </c>
      <c r="CK2448">
        <v>22</v>
      </c>
      <c r="CL2448" t="s">
        <v>89</v>
      </c>
    </row>
    <row r="2449" spans="1:90">
      <c r="A2449" t="s">
        <v>72</v>
      </c>
      <c r="B2449" t="s">
        <v>73</v>
      </c>
      <c r="C2449" t="s">
        <v>74</v>
      </c>
      <c r="E2449" t="str">
        <f>"FES1162729474"</f>
        <v>FES1162729474</v>
      </c>
      <c r="F2449" s="3">
        <v>43822</v>
      </c>
      <c r="G2449">
        <v>202006</v>
      </c>
      <c r="H2449" t="s">
        <v>75</v>
      </c>
      <c r="I2449" t="s">
        <v>76</v>
      </c>
      <c r="J2449" t="s">
        <v>77</v>
      </c>
      <c r="K2449" t="s">
        <v>78</v>
      </c>
      <c r="L2449" t="s">
        <v>274</v>
      </c>
      <c r="M2449" t="s">
        <v>275</v>
      </c>
      <c r="N2449" t="s">
        <v>276</v>
      </c>
      <c r="O2449" t="s">
        <v>82</v>
      </c>
      <c r="P2449" t="str">
        <f>"2170721983                    "</f>
        <v xml:space="preserve">2170721983                    </v>
      </c>
      <c r="Q2449">
        <v>0</v>
      </c>
      <c r="R2449">
        <v>0</v>
      </c>
      <c r="S2449">
        <v>0</v>
      </c>
      <c r="T2449">
        <v>0</v>
      </c>
      <c r="U2449">
        <v>0</v>
      </c>
      <c r="V2449">
        <v>0</v>
      </c>
      <c r="W2449">
        <v>0</v>
      </c>
      <c r="X2449">
        <v>0</v>
      </c>
      <c r="Y2449">
        <v>0</v>
      </c>
      <c r="Z2449">
        <v>0</v>
      </c>
      <c r="AA2449">
        <v>0</v>
      </c>
      <c r="AB2449">
        <v>0</v>
      </c>
      <c r="AC2449">
        <v>0</v>
      </c>
      <c r="AD2449">
        <v>0</v>
      </c>
      <c r="AE2449">
        <v>0</v>
      </c>
      <c r="AF2449">
        <v>0</v>
      </c>
      <c r="AG2449">
        <v>0</v>
      </c>
      <c r="AH2449">
        <v>0</v>
      </c>
      <c r="AI2449">
        <v>0</v>
      </c>
      <c r="AJ2449">
        <v>0</v>
      </c>
      <c r="AK2449">
        <v>0</v>
      </c>
      <c r="AL2449">
        <v>0</v>
      </c>
      <c r="AM2449">
        <v>16.63</v>
      </c>
      <c r="AN2449">
        <v>0</v>
      </c>
      <c r="AO2449">
        <v>0</v>
      </c>
      <c r="AP2449">
        <v>0</v>
      </c>
      <c r="AQ2449">
        <v>0</v>
      </c>
      <c r="AR2449">
        <v>0</v>
      </c>
      <c r="AS2449">
        <v>0</v>
      </c>
      <c r="AT2449">
        <v>0</v>
      </c>
      <c r="AU2449">
        <v>0</v>
      </c>
      <c r="AV2449">
        <v>0</v>
      </c>
      <c r="AW2449">
        <v>0</v>
      </c>
      <c r="AX2449">
        <v>0</v>
      </c>
      <c r="AY2449">
        <v>0</v>
      </c>
      <c r="AZ2449">
        <v>0</v>
      </c>
      <c r="BA2449">
        <v>0</v>
      </c>
      <c r="BB2449">
        <v>0</v>
      </c>
      <c r="BC2449">
        <v>0</v>
      </c>
      <c r="BD2449">
        <v>0</v>
      </c>
      <c r="BE2449">
        <v>0</v>
      </c>
      <c r="BF2449">
        <v>0</v>
      </c>
      <c r="BG2449">
        <v>0</v>
      </c>
      <c r="BH2449">
        <v>1</v>
      </c>
      <c r="BI2449">
        <v>1.1000000000000001</v>
      </c>
      <c r="BJ2449">
        <v>1.6</v>
      </c>
      <c r="BK2449">
        <v>2</v>
      </c>
      <c r="BL2449" s="4">
        <v>97.75</v>
      </c>
      <c r="BM2449" s="4">
        <v>14.66</v>
      </c>
      <c r="BN2449" s="4">
        <v>112.41</v>
      </c>
      <c r="BO2449" s="4">
        <v>112.41</v>
      </c>
      <c r="BQ2449" t="s">
        <v>277</v>
      </c>
      <c r="BR2449" t="s">
        <v>84</v>
      </c>
      <c r="BS2449" s="3">
        <v>43823</v>
      </c>
      <c r="BT2449" s="5">
        <v>0.47569444444444442</v>
      </c>
      <c r="BU2449" t="s">
        <v>278</v>
      </c>
      <c r="BV2449" t="s">
        <v>86</v>
      </c>
      <c r="BY2449">
        <v>8235.7000000000007</v>
      </c>
      <c r="CC2449" t="s">
        <v>275</v>
      </c>
      <c r="CD2449">
        <v>4449</v>
      </c>
      <c r="CE2449" t="s">
        <v>96</v>
      </c>
      <c r="CF2449" s="3">
        <v>43826</v>
      </c>
      <c r="CI2449">
        <v>1</v>
      </c>
      <c r="CJ2449">
        <v>1</v>
      </c>
      <c r="CK2449">
        <v>23</v>
      </c>
      <c r="CL2449" t="s">
        <v>89</v>
      </c>
    </row>
    <row r="2450" spans="1:90">
      <c r="A2450" t="s">
        <v>72</v>
      </c>
      <c r="B2450" t="s">
        <v>73</v>
      </c>
      <c r="C2450" t="s">
        <v>74</v>
      </c>
      <c r="E2450" t="str">
        <f>"FES1162729453"</f>
        <v>FES1162729453</v>
      </c>
      <c r="F2450" s="3">
        <v>43822</v>
      </c>
      <c r="G2450">
        <v>202006</v>
      </c>
      <c r="H2450" t="s">
        <v>75</v>
      </c>
      <c r="I2450" t="s">
        <v>76</v>
      </c>
      <c r="J2450" t="s">
        <v>77</v>
      </c>
      <c r="K2450" t="s">
        <v>78</v>
      </c>
      <c r="L2450" t="s">
        <v>177</v>
      </c>
      <c r="M2450" t="s">
        <v>178</v>
      </c>
      <c r="N2450" t="s">
        <v>2229</v>
      </c>
      <c r="O2450" t="s">
        <v>82</v>
      </c>
      <c r="P2450" t="str">
        <f>"2170721132                    "</f>
        <v xml:space="preserve">2170721132                    </v>
      </c>
      <c r="Q2450">
        <v>0</v>
      </c>
      <c r="R2450">
        <v>0</v>
      </c>
      <c r="S2450">
        <v>0</v>
      </c>
      <c r="T2450">
        <v>0</v>
      </c>
      <c r="U2450">
        <v>0</v>
      </c>
      <c r="V2450">
        <v>0</v>
      </c>
      <c r="W2450">
        <v>0</v>
      </c>
      <c r="X2450">
        <v>0</v>
      </c>
      <c r="Y2450">
        <v>0</v>
      </c>
      <c r="Z2450">
        <v>0</v>
      </c>
      <c r="AA2450">
        <v>0</v>
      </c>
      <c r="AB2450">
        <v>0</v>
      </c>
      <c r="AC2450">
        <v>0</v>
      </c>
      <c r="AD2450">
        <v>0</v>
      </c>
      <c r="AE2450">
        <v>0</v>
      </c>
      <c r="AF2450">
        <v>0</v>
      </c>
      <c r="AG2450">
        <v>0</v>
      </c>
      <c r="AH2450">
        <v>0</v>
      </c>
      <c r="AI2450">
        <v>0</v>
      </c>
      <c r="AJ2450">
        <v>0</v>
      </c>
      <c r="AK2450">
        <v>0</v>
      </c>
      <c r="AL2450">
        <v>0</v>
      </c>
      <c r="AM2450">
        <v>12.07</v>
      </c>
      <c r="AN2450">
        <v>0</v>
      </c>
      <c r="AO2450">
        <v>0</v>
      </c>
      <c r="AP2450">
        <v>0</v>
      </c>
      <c r="AQ2450">
        <v>0</v>
      </c>
      <c r="AR2450">
        <v>0</v>
      </c>
      <c r="AS2450">
        <v>0</v>
      </c>
      <c r="AT2450">
        <v>0</v>
      </c>
      <c r="AU2450">
        <v>0</v>
      </c>
      <c r="AV2450">
        <v>0</v>
      </c>
      <c r="AW2450">
        <v>0</v>
      </c>
      <c r="AX2450">
        <v>0</v>
      </c>
      <c r="AY2450">
        <v>0</v>
      </c>
      <c r="AZ2450">
        <v>0</v>
      </c>
      <c r="BA2450">
        <v>0</v>
      </c>
      <c r="BB2450">
        <v>0</v>
      </c>
      <c r="BC2450">
        <v>0</v>
      </c>
      <c r="BD2450">
        <v>0</v>
      </c>
      <c r="BE2450">
        <v>0</v>
      </c>
      <c r="BF2450">
        <v>0</v>
      </c>
      <c r="BG2450">
        <v>0</v>
      </c>
      <c r="BH2450">
        <v>1</v>
      </c>
      <c r="BI2450">
        <v>1.1000000000000001</v>
      </c>
      <c r="BJ2450">
        <v>1.7</v>
      </c>
      <c r="BK2450">
        <v>2</v>
      </c>
      <c r="BL2450" s="4">
        <v>70.95</v>
      </c>
      <c r="BM2450" s="4">
        <v>10.64</v>
      </c>
      <c r="BN2450" s="4">
        <v>81.59</v>
      </c>
      <c r="BO2450" s="4">
        <v>81.59</v>
      </c>
      <c r="BQ2450" t="s">
        <v>2230</v>
      </c>
      <c r="BR2450" t="s">
        <v>84</v>
      </c>
      <c r="BS2450" t="s">
        <v>717</v>
      </c>
      <c r="BW2450" t="s">
        <v>1335</v>
      </c>
      <c r="BX2450" t="s">
        <v>619</v>
      </c>
      <c r="BY2450">
        <v>8645.2800000000007</v>
      </c>
      <c r="CC2450" t="s">
        <v>178</v>
      </c>
      <c r="CD2450">
        <v>1020</v>
      </c>
      <c r="CE2450" t="s">
        <v>88</v>
      </c>
      <c r="CI2450">
        <v>1</v>
      </c>
      <c r="CJ2450" t="s">
        <v>717</v>
      </c>
      <c r="CK2450">
        <v>24</v>
      </c>
      <c r="CL2450" t="s">
        <v>89</v>
      </c>
    </row>
    <row r="2451" spans="1:90">
      <c r="A2451" t="s">
        <v>72</v>
      </c>
      <c r="B2451" t="s">
        <v>73</v>
      </c>
      <c r="C2451" t="s">
        <v>74</v>
      </c>
      <c r="E2451" t="str">
        <f>"FES1162729418"</f>
        <v>FES1162729418</v>
      </c>
      <c r="F2451" s="3">
        <v>43822</v>
      </c>
      <c r="G2451">
        <v>202006</v>
      </c>
      <c r="H2451" t="s">
        <v>75</v>
      </c>
      <c r="I2451" t="s">
        <v>76</v>
      </c>
      <c r="J2451" t="s">
        <v>77</v>
      </c>
      <c r="K2451" t="s">
        <v>78</v>
      </c>
      <c r="L2451" t="s">
        <v>430</v>
      </c>
      <c r="M2451" t="s">
        <v>431</v>
      </c>
      <c r="N2451" t="s">
        <v>2227</v>
      </c>
      <c r="O2451" t="s">
        <v>82</v>
      </c>
      <c r="P2451" t="str">
        <f>"2170721773                    "</f>
        <v xml:space="preserve">2170721773                    </v>
      </c>
      <c r="Q2451">
        <v>0</v>
      </c>
      <c r="R2451">
        <v>0</v>
      </c>
      <c r="S2451">
        <v>0</v>
      </c>
      <c r="T2451">
        <v>0</v>
      </c>
      <c r="U2451">
        <v>0</v>
      </c>
      <c r="V2451">
        <v>0</v>
      </c>
      <c r="W2451">
        <v>0</v>
      </c>
      <c r="X2451">
        <v>0</v>
      </c>
      <c r="Y2451">
        <v>0</v>
      </c>
      <c r="Z2451">
        <v>0</v>
      </c>
      <c r="AA2451">
        <v>0</v>
      </c>
      <c r="AB2451">
        <v>0</v>
      </c>
      <c r="AC2451">
        <v>0</v>
      </c>
      <c r="AD2451">
        <v>0</v>
      </c>
      <c r="AE2451">
        <v>0</v>
      </c>
      <c r="AF2451">
        <v>0</v>
      </c>
      <c r="AG2451">
        <v>0</v>
      </c>
      <c r="AH2451">
        <v>0</v>
      </c>
      <c r="AI2451">
        <v>0</v>
      </c>
      <c r="AJ2451">
        <v>0</v>
      </c>
      <c r="AK2451">
        <v>0</v>
      </c>
      <c r="AL2451">
        <v>0</v>
      </c>
      <c r="AM2451">
        <v>12.07</v>
      </c>
      <c r="AN2451">
        <v>0</v>
      </c>
      <c r="AO2451">
        <v>0</v>
      </c>
      <c r="AP2451">
        <v>0</v>
      </c>
      <c r="AQ2451">
        <v>0</v>
      </c>
      <c r="AR2451">
        <v>0</v>
      </c>
      <c r="AS2451">
        <v>0</v>
      </c>
      <c r="AT2451">
        <v>0</v>
      </c>
      <c r="AU2451">
        <v>0</v>
      </c>
      <c r="AV2451">
        <v>0</v>
      </c>
      <c r="AW2451">
        <v>0</v>
      </c>
      <c r="AX2451">
        <v>0</v>
      </c>
      <c r="AY2451">
        <v>0</v>
      </c>
      <c r="AZ2451">
        <v>0</v>
      </c>
      <c r="BA2451">
        <v>0</v>
      </c>
      <c r="BB2451">
        <v>0</v>
      </c>
      <c r="BC2451">
        <v>0</v>
      </c>
      <c r="BD2451">
        <v>0</v>
      </c>
      <c r="BE2451">
        <v>0</v>
      </c>
      <c r="BF2451">
        <v>0</v>
      </c>
      <c r="BG2451">
        <v>0</v>
      </c>
      <c r="BH2451">
        <v>1</v>
      </c>
      <c r="BI2451">
        <v>1.7</v>
      </c>
      <c r="BJ2451">
        <v>1.4</v>
      </c>
      <c r="BK2451">
        <v>2</v>
      </c>
      <c r="BL2451" s="4">
        <v>70.95</v>
      </c>
      <c r="BM2451" s="4">
        <v>10.64</v>
      </c>
      <c r="BN2451" s="4">
        <v>81.59</v>
      </c>
      <c r="BO2451" s="4">
        <v>81.59</v>
      </c>
      <c r="BQ2451" t="s">
        <v>2228</v>
      </c>
      <c r="BR2451" t="s">
        <v>84</v>
      </c>
      <c r="BS2451" t="s">
        <v>717</v>
      </c>
      <c r="BY2451">
        <v>7115.12</v>
      </c>
      <c r="CC2451" t="s">
        <v>431</v>
      </c>
      <c r="CD2451">
        <v>250</v>
      </c>
      <c r="CE2451" t="s">
        <v>96</v>
      </c>
      <c r="CI2451">
        <v>1</v>
      </c>
      <c r="CJ2451" t="s">
        <v>717</v>
      </c>
      <c r="CK2451">
        <v>24</v>
      </c>
      <c r="CL2451" t="s">
        <v>89</v>
      </c>
    </row>
    <row r="2452" spans="1:90">
      <c r="A2452" t="s">
        <v>72</v>
      </c>
      <c r="B2452" t="s">
        <v>73</v>
      </c>
      <c r="C2452" t="s">
        <v>74</v>
      </c>
      <c r="E2452" t="str">
        <f>"FES1162729487"</f>
        <v>FES1162729487</v>
      </c>
      <c r="F2452" s="3">
        <v>43822</v>
      </c>
      <c r="G2452">
        <v>202006</v>
      </c>
      <c r="H2452" t="s">
        <v>75</v>
      </c>
      <c r="I2452" t="s">
        <v>76</v>
      </c>
      <c r="J2452" t="s">
        <v>77</v>
      </c>
      <c r="K2452" t="s">
        <v>78</v>
      </c>
      <c r="L2452" t="s">
        <v>201</v>
      </c>
      <c r="M2452" t="s">
        <v>202</v>
      </c>
      <c r="N2452" t="s">
        <v>335</v>
      </c>
      <c r="O2452" t="s">
        <v>82</v>
      </c>
      <c r="P2452" t="str">
        <f>"2170722448                    "</f>
        <v xml:space="preserve">2170722448                    </v>
      </c>
      <c r="Q2452">
        <v>0</v>
      </c>
      <c r="R2452">
        <v>0</v>
      </c>
      <c r="S2452">
        <v>0</v>
      </c>
      <c r="T2452">
        <v>0</v>
      </c>
      <c r="U2452">
        <v>0</v>
      </c>
      <c r="V2452">
        <v>0</v>
      </c>
      <c r="W2452">
        <v>0</v>
      </c>
      <c r="X2452">
        <v>0</v>
      </c>
      <c r="Y2452">
        <v>0</v>
      </c>
      <c r="Z2452">
        <v>0</v>
      </c>
      <c r="AA2452">
        <v>0</v>
      </c>
      <c r="AB2452">
        <v>0</v>
      </c>
      <c r="AC2452">
        <v>0</v>
      </c>
      <c r="AD2452">
        <v>0</v>
      </c>
      <c r="AE2452">
        <v>0</v>
      </c>
      <c r="AF2452">
        <v>0</v>
      </c>
      <c r="AG2452">
        <v>0</v>
      </c>
      <c r="AH2452">
        <v>0</v>
      </c>
      <c r="AI2452">
        <v>0</v>
      </c>
      <c r="AJ2452">
        <v>0</v>
      </c>
      <c r="AK2452">
        <v>0</v>
      </c>
      <c r="AL2452">
        <v>0</v>
      </c>
      <c r="AM2452">
        <v>8.58</v>
      </c>
      <c r="AN2452">
        <v>0</v>
      </c>
      <c r="AO2452">
        <v>0</v>
      </c>
      <c r="AP2452">
        <v>0</v>
      </c>
      <c r="AQ2452">
        <v>0</v>
      </c>
      <c r="AR2452">
        <v>0</v>
      </c>
      <c r="AS2452">
        <v>0</v>
      </c>
      <c r="AT2452">
        <v>0</v>
      </c>
      <c r="AU2452">
        <v>0</v>
      </c>
      <c r="AV2452">
        <v>0</v>
      </c>
      <c r="AW2452">
        <v>0</v>
      </c>
      <c r="AX2452">
        <v>0</v>
      </c>
      <c r="AY2452">
        <v>0</v>
      </c>
      <c r="AZ2452">
        <v>0</v>
      </c>
      <c r="BA2452">
        <v>0</v>
      </c>
      <c r="BB2452">
        <v>0</v>
      </c>
      <c r="BC2452">
        <v>0</v>
      </c>
      <c r="BD2452">
        <v>0</v>
      </c>
      <c r="BE2452">
        <v>0</v>
      </c>
      <c r="BF2452">
        <v>0</v>
      </c>
      <c r="BG2452">
        <v>0</v>
      </c>
      <c r="BH2452">
        <v>1</v>
      </c>
      <c r="BI2452">
        <v>1</v>
      </c>
      <c r="BJ2452">
        <v>0.2</v>
      </c>
      <c r="BK2452">
        <v>1</v>
      </c>
      <c r="BL2452" s="4">
        <v>50.45</v>
      </c>
      <c r="BM2452" s="4">
        <v>7.57</v>
      </c>
      <c r="BN2452" s="4">
        <v>58.02</v>
      </c>
      <c r="BO2452" s="4">
        <v>58.02</v>
      </c>
      <c r="BQ2452" t="s">
        <v>147</v>
      </c>
      <c r="BR2452" t="s">
        <v>84</v>
      </c>
      <c r="BS2452" s="3">
        <v>43826</v>
      </c>
      <c r="BT2452" s="5">
        <v>0.34027777777777773</v>
      </c>
      <c r="BU2452" t="s">
        <v>2591</v>
      </c>
      <c r="BV2452" t="s">
        <v>89</v>
      </c>
      <c r="BW2452" t="s">
        <v>506</v>
      </c>
      <c r="BX2452" t="s">
        <v>1163</v>
      </c>
      <c r="BY2452">
        <v>1200</v>
      </c>
      <c r="CC2452" t="s">
        <v>202</v>
      </c>
      <c r="CD2452">
        <v>3600</v>
      </c>
      <c r="CE2452" t="s">
        <v>88</v>
      </c>
      <c r="CF2452" s="3">
        <v>43829</v>
      </c>
      <c r="CI2452">
        <v>1</v>
      </c>
      <c r="CJ2452">
        <v>4</v>
      </c>
      <c r="CK2452">
        <v>21</v>
      </c>
      <c r="CL2452" t="s">
        <v>89</v>
      </c>
    </row>
    <row r="2453" spans="1:90">
      <c r="A2453" t="s">
        <v>72</v>
      </c>
      <c r="B2453" t="s">
        <v>73</v>
      </c>
      <c r="C2453" t="s">
        <v>74</v>
      </c>
      <c r="E2453" t="str">
        <f>"FES1162729494"</f>
        <v>FES1162729494</v>
      </c>
      <c r="F2453" s="3">
        <v>43822</v>
      </c>
      <c r="G2453">
        <v>202006</v>
      </c>
      <c r="H2453" t="s">
        <v>75</v>
      </c>
      <c r="I2453" t="s">
        <v>76</v>
      </c>
      <c r="J2453" t="s">
        <v>77</v>
      </c>
      <c r="K2453" t="s">
        <v>78</v>
      </c>
      <c r="L2453" t="s">
        <v>332</v>
      </c>
      <c r="M2453" t="s">
        <v>333</v>
      </c>
      <c r="N2453" t="s">
        <v>701</v>
      </c>
      <c r="O2453" t="s">
        <v>82</v>
      </c>
      <c r="P2453" t="str">
        <f>"2170720419                    "</f>
        <v xml:space="preserve">2170720419                    </v>
      </c>
      <c r="Q2453">
        <v>0</v>
      </c>
      <c r="R2453">
        <v>0</v>
      </c>
      <c r="S2453">
        <v>0</v>
      </c>
      <c r="T2453">
        <v>0</v>
      </c>
      <c r="U2453">
        <v>0</v>
      </c>
      <c r="V2453">
        <v>0</v>
      </c>
      <c r="W2453">
        <v>0</v>
      </c>
      <c r="X2453">
        <v>0</v>
      </c>
      <c r="Y2453">
        <v>0</v>
      </c>
      <c r="Z2453">
        <v>0</v>
      </c>
      <c r="AA2453">
        <v>0</v>
      </c>
      <c r="AB2453">
        <v>0</v>
      </c>
      <c r="AC2453">
        <v>0</v>
      </c>
      <c r="AD2453">
        <v>0</v>
      </c>
      <c r="AE2453">
        <v>0</v>
      </c>
      <c r="AF2453">
        <v>0</v>
      </c>
      <c r="AG2453">
        <v>0</v>
      </c>
      <c r="AH2453">
        <v>0</v>
      </c>
      <c r="AI2453">
        <v>0</v>
      </c>
      <c r="AJ2453">
        <v>0</v>
      </c>
      <c r="AK2453">
        <v>0</v>
      </c>
      <c r="AL2453">
        <v>0</v>
      </c>
      <c r="AM2453">
        <v>12.33</v>
      </c>
      <c r="AN2453">
        <v>0</v>
      </c>
      <c r="AO2453">
        <v>0</v>
      </c>
      <c r="AP2453">
        <v>0</v>
      </c>
      <c r="AQ2453">
        <v>0</v>
      </c>
      <c r="AR2453">
        <v>0</v>
      </c>
      <c r="AS2453">
        <v>0</v>
      </c>
      <c r="AT2453">
        <v>0</v>
      </c>
      <c r="AU2453">
        <v>0</v>
      </c>
      <c r="AV2453">
        <v>0</v>
      </c>
      <c r="AW2453">
        <v>0</v>
      </c>
      <c r="AX2453">
        <v>0</v>
      </c>
      <c r="AY2453">
        <v>0</v>
      </c>
      <c r="AZ2453">
        <v>0</v>
      </c>
      <c r="BA2453">
        <v>0</v>
      </c>
      <c r="BB2453">
        <v>0</v>
      </c>
      <c r="BC2453">
        <v>0</v>
      </c>
      <c r="BD2453">
        <v>0</v>
      </c>
      <c r="BE2453">
        <v>0</v>
      </c>
      <c r="BF2453">
        <v>0</v>
      </c>
      <c r="BG2453">
        <v>0</v>
      </c>
      <c r="BH2453">
        <v>1</v>
      </c>
      <c r="BI2453">
        <v>5.0999999999999996</v>
      </c>
      <c r="BJ2453">
        <v>3.5</v>
      </c>
      <c r="BK2453">
        <v>5.5</v>
      </c>
      <c r="BL2453" s="4">
        <v>72.48</v>
      </c>
      <c r="BM2453" s="4">
        <v>10.87</v>
      </c>
      <c r="BN2453" s="4">
        <v>83.35</v>
      </c>
      <c r="BO2453" s="4">
        <v>83.35</v>
      </c>
      <c r="BQ2453" t="s">
        <v>93</v>
      </c>
      <c r="BR2453" t="s">
        <v>84</v>
      </c>
      <c r="BS2453" s="3">
        <v>43823</v>
      </c>
      <c r="BT2453" s="5">
        <v>0.3354166666666667</v>
      </c>
      <c r="BU2453" t="s">
        <v>625</v>
      </c>
      <c r="BV2453" t="s">
        <v>86</v>
      </c>
      <c r="BY2453">
        <v>17317.150000000001</v>
      </c>
      <c r="CC2453" t="s">
        <v>333</v>
      </c>
      <c r="CD2453">
        <v>2094</v>
      </c>
      <c r="CE2453" t="s">
        <v>96</v>
      </c>
      <c r="CF2453" s="3">
        <v>43826</v>
      </c>
      <c r="CI2453">
        <v>1</v>
      </c>
      <c r="CJ2453">
        <v>1</v>
      </c>
      <c r="CK2453">
        <v>22</v>
      </c>
      <c r="CL2453" t="s">
        <v>89</v>
      </c>
    </row>
    <row r="2454" spans="1:90">
      <c r="A2454" t="s">
        <v>72</v>
      </c>
      <c r="B2454" t="s">
        <v>73</v>
      </c>
      <c r="C2454" t="s">
        <v>74</v>
      </c>
      <c r="E2454" t="str">
        <f>"FES1162729467"</f>
        <v>FES1162729467</v>
      </c>
      <c r="F2454" s="3">
        <v>43822</v>
      </c>
      <c r="G2454">
        <v>202006</v>
      </c>
      <c r="H2454" t="s">
        <v>75</v>
      </c>
      <c r="I2454" t="s">
        <v>76</v>
      </c>
      <c r="J2454" t="s">
        <v>77</v>
      </c>
      <c r="K2454" t="s">
        <v>78</v>
      </c>
      <c r="L2454" t="s">
        <v>258</v>
      </c>
      <c r="M2454" t="s">
        <v>259</v>
      </c>
      <c r="N2454" t="s">
        <v>689</v>
      </c>
      <c r="O2454" t="s">
        <v>82</v>
      </c>
      <c r="P2454" t="str">
        <f>"2170722397                    "</f>
        <v xml:space="preserve">2170722397                    </v>
      </c>
      <c r="Q2454">
        <v>0</v>
      </c>
      <c r="R2454">
        <v>0</v>
      </c>
      <c r="S2454">
        <v>0</v>
      </c>
      <c r="T2454">
        <v>0</v>
      </c>
      <c r="U2454">
        <v>0</v>
      </c>
      <c r="V2454">
        <v>0</v>
      </c>
      <c r="W2454">
        <v>0</v>
      </c>
      <c r="X2454">
        <v>0</v>
      </c>
      <c r="Y2454">
        <v>0</v>
      </c>
      <c r="Z2454">
        <v>0</v>
      </c>
      <c r="AA2454">
        <v>0</v>
      </c>
      <c r="AB2454">
        <v>0</v>
      </c>
      <c r="AC2454">
        <v>0</v>
      </c>
      <c r="AD2454">
        <v>0</v>
      </c>
      <c r="AE2454">
        <v>0</v>
      </c>
      <c r="AF2454">
        <v>0</v>
      </c>
      <c r="AG2454">
        <v>0</v>
      </c>
      <c r="AH2454">
        <v>0</v>
      </c>
      <c r="AI2454">
        <v>0</v>
      </c>
      <c r="AJ2454">
        <v>0</v>
      </c>
      <c r="AK2454">
        <v>0</v>
      </c>
      <c r="AL2454">
        <v>0</v>
      </c>
      <c r="AM2454">
        <v>8.58</v>
      </c>
      <c r="AN2454">
        <v>0</v>
      </c>
      <c r="AO2454">
        <v>0</v>
      </c>
      <c r="AP2454">
        <v>0</v>
      </c>
      <c r="AQ2454">
        <v>0</v>
      </c>
      <c r="AR2454">
        <v>0</v>
      </c>
      <c r="AS2454">
        <v>0</v>
      </c>
      <c r="AT2454">
        <v>0</v>
      </c>
      <c r="AU2454">
        <v>0</v>
      </c>
      <c r="AV2454">
        <v>0</v>
      </c>
      <c r="AW2454">
        <v>0</v>
      </c>
      <c r="AX2454">
        <v>0</v>
      </c>
      <c r="AY2454">
        <v>0</v>
      </c>
      <c r="AZ2454">
        <v>0</v>
      </c>
      <c r="BA2454">
        <v>0</v>
      </c>
      <c r="BB2454">
        <v>0</v>
      </c>
      <c r="BC2454">
        <v>0</v>
      </c>
      <c r="BD2454">
        <v>0</v>
      </c>
      <c r="BE2454">
        <v>0</v>
      </c>
      <c r="BF2454">
        <v>0</v>
      </c>
      <c r="BG2454">
        <v>0</v>
      </c>
      <c r="BH2454">
        <v>1</v>
      </c>
      <c r="BI2454">
        <v>0.8</v>
      </c>
      <c r="BJ2454">
        <v>1.6</v>
      </c>
      <c r="BK2454">
        <v>2</v>
      </c>
      <c r="BL2454" s="4">
        <v>50.45</v>
      </c>
      <c r="BM2454" s="4">
        <v>7.57</v>
      </c>
      <c r="BN2454" s="4">
        <v>58.02</v>
      </c>
      <c r="BO2454" s="4">
        <v>58.02</v>
      </c>
      <c r="BQ2454" t="s">
        <v>690</v>
      </c>
      <c r="BR2454" t="s">
        <v>84</v>
      </c>
      <c r="BS2454" s="3">
        <v>43826</v>
      </c>
      <c r="BT2454" s="5">
        <v>0.39513888888888887</v>
      </c>
      <c r="BU2454" t="s">
        <v>2592</v>
      </c>
      <c r="BV2454" t="s">
        <v>89</v>
      </c>
      <c r="BW2454" t="s">
        <v>1335</v>
      </c>
      <c r="BX2454" t="s">
        <v>692</v>
      </c>
      <c r="BY2454">
        <v>7995.17</v>
      </c>
      <c r="CA2454" t="s">
        <v>2593</v>
      </c>
      <c r="CC2454" t="s">
        <v>259</v>
      </c>
      <c r="CD2454">
        <v>7599</v>
      </c>
      <c r="CE2454" t="s">
        <v>96</v>
      </c>
      <c r="CF2454" s="3">
        <v>43829</v>
      </c>
      <c r="CI2454">
        <v>1</v>
      </c>
      <c r="CJ2454">
        <v>4</v>
      </c>
      <c r="CK2454">
        <v>21</v>
      </c>
      <c r="CL2454" t="s">
        <v>89</v>
      </c>
    </row>
    <row r="2455" spans="1:90">
      <c r="A2455" t="s">
        <v>72</v>
      </c>
      <c r="B2455" t="s">
        <v>73</v>
      </c>
      <c r="C2455" t="s">
        <v>74</v>
      </c>
      <c r="E2455" t="str">
        <f>"FES1162729473"</f>
        <v>FES1162729473</v>
      </c>
      <c r="F2455" s="3">
        <v>43822</v>
      </c>
      <c r="G2455">
        <v>202006</v>
      </c>
      <c r="H2455" t="s">
        <v>75</v>
      </c>
      <c r="I2455" t="s">
        <v>76</v>
      </c>
      <c r="J2455" t="s">
        <v>77</v>
      </c>
      <c r="K2455" t="s">
        <v>78</v>
      </c>
      <c r="L2455" t="s">
        <v>332</v>
      </c>
      <c r="M2455" t="s">
        <v>333</v>
      </c>
      <c r="N2455" t="s">
        <v>701</v>
      </c>
      <c r="O2455" t="s">
        <v>82</v>
      </c>
      <c r="P2455" t="str">
        <f>"217070675                     "</f>
        <v xml:space="preserve">217070675                     </v>
      </c>
      <c r="Q2455">
        <v>0</v>
      </c>
      <c r="R2455">
        <v>0</v>
      </c>
      <c r="S2455">
        <v>0</v>
      </c>
      <c r="T2455">
        <v>0</v>
      </c>
      <c r="U2455">
        <v>0</v>
      </c>
      <c r="V2455">
        <v>0</v>
      </c>
      <c r="W2455">
        <v>0</v>
      </c>
      <c r="X2455">
        <v>0</v>
      </c>
      <c r="Y2455">
        <v>0</v>
      </c>
      <c r="Z2455">
        <v>0</v>
      </c>
      <c r="AA2455">
        <v>0</v>
      </c>
      <c r="AB2455">
        <v>0</v>
      </c>
      <c r="AC2455">
        <v>0</v>
      </c>
      <c r="AD2455">
        <v>0</v>
      </c>
      <c r="AE2455">
        <v>0</v>
      </c>
      <c r="AF2455">
        <v>0</v>
      </c>
      <c r="AG2455">
        <v>0</v>
      </c>
      <c r="AH2455">
        <v>0</v>
      </c>
      <c r="AI2455">
        <v>0</v>
      </c>
      <c r="AJ2455">
        <v>0</v>
      </c>
      <c r="AK2455">
        <v>0</v>
      </c>
      <c r="AL2455">
        <v>0</v>
      </c>
      <c r="AM2455">
        <v>11.53</v>
      </c>
      <c r="AN2455">
        <v>0</v>
      </c>
      <c r="AO2455">
        <v>0</v>
      </c>
      <c r="AP2455">
        <v>0</v>
      </c>
      <c r="AQ2455">
        <v>0</v>
      </c>
      <c r="AR2455">
        <v>0</v>
      </c>
      <c r="AS2455">
        <v>0</v>
      </c>
      <c r="AT2455">
        <v>0</v>
      </c>
      <c r="AU2455">
        <v>0</v>
      </c>
      <c r="AV2455">
        <v>0</v>
      </c>
      <c r="AW2455">
        <v>0</v>
      </c>
      <c r="AX2455">
        <v>0</v>
      </c>
      <c r="AY2455">
        <v>0</v>
      </c>
      <c r="AZ2455">
        <v>0</v>
      </c>
      <c r="BA2455">
        <v>0</v>
      </c>
      <c r="BB2455">
        <v>0</v>
      </c>
      <c r="BC2455">
        <v>0</v>
      </c>
      <c r="BD2455">
        <v>0</v>
      </c>
      <c r="BE2455">
        <v>0</v>
      </c>
      <c r="BF2455">
        <v>0</v>
      </c>
      <c r="BG2455">
        <v>0</v>
      </c>
      <c r="BH2455">
        <v>1</v>
      </c>
      <c r="BI2455">
        <v>4.7</v>
      </c>
      <c r="BJ2455">
        <v>3.3</v>
      </c>
      <c r="BK2455">
        <v>5</v>
      </c>
      <c r="BL2455" s="4">
        <v>67.760000000000005</v>
      </c>
      <c r="BM2455" s="4">
        <v>10.16</v>
      </c>
      <c r="BN2455" s="4">
        <v>77.92</v>
      </c>
      <c r="BO2455" s="4">
        <v>77.92</v>
      </c>
      <c r="BQ2455" t="s">
        <v>93</v>
      </c>
      <c r="BR2455" t="s">
        <v>84</v>
      </c>
      <c r="BS2455" s="3">
        <v>43823</v>
      </c>
      <c r="BT2455" s="5">
        <v>0.33333333333333331</v>
      </c>
      <c r="BU2455" t="s">
        <v>810</v>
      </c>
      <c r="BV2455" t="s">
        <v>86</v>
      </c>
      <c r="BY2455">
        <v>16447.32</v>
      </c>
      <c r="CC2455" t="s">
        <v>333</v>
      </c>
      <c r="CD2455">
        <v>2094</v>
      </c>
      <c r="CE2455" t="s">
        <v>116</v>
      </c>
      <c r="CF2455" s="3">
        <v>43826</v>
      </c>
      <c r="CI2455">
        <v>1</v>
      </c>
      <c r="CJ2455">
        <v>1</v>
      </c>
      <c r="CK2455">
        <v>22</v>
      </c>
      <c r="CL2455" t="s">
        <v>89</v>
      </c>
    </row>
    <row r="2456" spans="1:90">
      <c r="A2456" t="s">
        <v>72</v>
      </c>
      <c r="B2456" t="s">
        <v>73</v>
      </c>
      <c r="C2456" t="s">
        <v>74</v>
      </c>
      <c r="E2456" t="str">
        <f>"FES1162729478"</f>
        <v>FES1162729478</v>
      </c>
      <c r="F2456" s="3">
        <v>43822</v>
      </c>
      <c r="G2456">
        <v>202006</v>
      </c>
      <c r="H2456" t="s">
        <v>75</v>
      </c>
      <c r="I2456" t="s">
        <v>76</v>
      </c>
      <c r="J2456" t="s">
        <v>77</v>
      </c>
      <c r="K2456" t="s">
        <v>78</v>
      </c>
      <c r="L2456" t="s">
        <v>151</v>
      </c>
      <c r="M2456" t="s">
        <v>102</v>
      </c>
      <c r="N2456" t="s">
        <v>706</v>
      </c>
      <c r="O2456" t="s">
        <v>82</v>
      </c>
      <c r="P2456" t="str">
        <f>"2170722386                    "</f>
        <v xml:space="preserve">2170722386                    </v>
      </c>
      <c r="Q2456">
        <v>0</v>
      </c>
      <c r="R2456">
        <v>0</v>
      </c>
      <c r="S2456">
        <v>0</v>
      </c>
      <c r="T2456">
        <v>0</v>
      </c>
      <c r="U2456">
        <v>0</v>
      </c>
      <c r="V2456">
        <v>0</v>
      </c>
      <c r="W2456">
        <v>0</v>
      </c>
      <c r="X2456">
        <v>0</v>
      </c>
      <c r="Y2456">
        <v>0</v>
      </c>
      <c r="Z2456">
        <v>0</v>
      </c>
      <c r="AA2456">
        <v>0</v>
      </c>
      <c r="AB2456">
        <v>0</v>
      </c>
      <c r="AC2456">
        <v>0</v>
      </c>
      <c r="AD2456">
        <v>0</v>
      </c>
      <c r="AE2456">
        <v>0</v>
      </c>
      <c r="AF2456">
        <v>0</v>
      </c>
      <c r="AG2456">
        <v>0</v>
      </c>
      <c r="AH2456">
        <v>0</v>
      </c>
      <c r="AI2456">
        <v>0</v>
      </c>
      <c r="AJ2456">
        <v>0</v>
      </c>
      <c r="AK2456">
        <v>0</v>
      </c>
      <c r="AL2456">
        <v>0</v>
      </c>
      <c r="AM2456">
        <v>8.58</v>
      </c>
      <c r="AN2456">
        <v>0</v>
      </c>
      <c r="AO2456">
        <v>0</v>
      </c>
      <c r="AP2456">
        <v>0</v>
      </c>
      <c r="AQ2456">
        <v>0</v>
      </c>
      <c r="AR2456">
        <v>0</v>
      </c>
      <c r="AS2456">
        <v>0</v>
      </c>
      <c r="AT2456">
        <v>0</v>
      </c>
      <c r="AU2456">
        <v>0</v>
      </c>
      <c r="AV2456">
        <v>0</v>
      </c>
      <c r="AW2456">
        <v>0</v>
      </c>
      <c r="AX2456">
        <v>0</v>
      </c>
      <c r="AY2456">
        <v>0</v>
      </c>
      <c r="AZ2456">
        <v>0</v>
      </c>
      <c r="BA2456">
        <v>0</v>
      </c>
      <c r="BB2456">
        <v>0</v>
      </c>
      <c r="BC2456">
        <v>0</v>
      </c>
      <c r="BD2456">
        <v>0</v>
      </c>
      <c r="BE2456">
        <v>0</v>
      </c>
      <c r="BF2456">
        <v>0</v>
      </c>
      <c r="BG2456">
        <v>0</v>
      </c>
      <c r="BH2456">
        <v>1</v>
      </c>
      <c r="BI2456">
        <v>0.7</v>
      </c>
      <c r="BJ2456">
        <v>1.9</v>
      </c>
      <c r="BK2456">
        <v>2</v>
      </c>
      <c r="BL2456" s="4">
        <v>50.45</v>
      </c>
      <c r="BM2456" s="4">
        <v>7.57</v>
      </c>
      <c r="BN2456" s="4">
        <v>58.02</v>
      </c>
      <c r="BO2456" s="4">
        <v>58.02</v>
      </c>
      <c r="BQ2456" t="s">
        <v>147</v>
      </c>
      <c r="BR2456" t="s">
        <v>84</v>
      </c>
      <c r="BS2456" s="3">
        <v>43823</v>
      </c>
      <c r="BT2456" s="5">
        <v>0.33819444444444446</v>
      </c>
      <c r="BU2456" t="s">
        <v>2594</v>
      </c>
      <c r="BV2456" t="s">
        <v>86</v>
      </c>
      <c r="BY2456">
        <v>9542.61</v>
      </c>
      <c r="CA2456" t="s">
        <v>2238</v>
      </c>
      <c r="CC2456" t="s">
        <v>102</v>
      </c>
      <c r="CD2456">
        <v>1</v>
      </c>
      <c r="CE2456" t="s">
        <v>88</v>
      </c>
      <c r="CF2456" s="3">
        <v>43830</v>
      </c>
      <c r="CI2456">
        <v>1</v>
      </c>
      <c r="CJ2456">
        <v>1</v>
      </c>
      <c r="CK2456">
        <v>21</v>
      </c>
      <c r="CL2456" t="s">
        <v>89</v>
      </c>
    </row>
    <row r="2457" spans="1:90">
      <c r="A2457" t="s">
        <v>72</v>
      </c>
      <c r="B2457" t="s">
        <v>73</v>
      </c>
      <c r="C2457" t="s">
        <v>74</v>
      </c>
      <c r="E2457" t="str">
        <f>"FES1162729475"</f>
        <v>FES1162729475</v>
      </c>
      <c r="F2457" s="3">
        <v>43822</v>
      </c>
      <c r="G2457">
        <v>202006</v>
      </c>
      <c r="H2457" t="s">
        <v>75</v>
      </c>
      <c r="I2457" t="s">
        <v>76</v>
      </c>
      <c r="J2457" t="s">
        <v>77</v>
      </c>
      <c r="K2457" t="s">
        <v>78</v>
      </c>
      <c r="L2457" t="s">
        <v>198</v>
      </c>
      <c r="M2457" t="s">
        <v>199</v>
      </c>
      <c r="N2457" t="s">
        <v>2447</v>
      </c>
      <c r="O2457" t="s">
        <v>82</v>
      </c>
      <c r="P2457" t="str">
        <f>"2170722035                    "</f>
        <v xml:space="preserve">2170722035                    </v>
      </c>
      <c r="Q2457">
        <v>0</v>
      </c>
      <c r="R2457">
        <v>0</v>
      </c>
      <c r="S2457">
        <v>0</v>
      </c>
      <c r="T2457">
        <v>0</v>
      </c>
      <c r="U2457">
        <v>0</v>
      </c>
      <c r="V2457">
        <v>0</v>
      </c>
      <c r="W2457">
        <v>0</v>
      </c>
      <c r="X2457">
        <v>0</v>
      </c>
      <c r="Y2457">
        <v>0</v>
      </c>
      <c r="Z2457">
        <v>0</v>
      </c>
      <c r="AA2457">
        <v>0</v>
      </c>
      <c r="AB2457">
        <v>0</v>
      </c>
      <c r="AC2457">
        <v>0</v>
      </c>
      <c r="AD2457">
        <v>0</v>
      </c>
      <c r="AE2457">
        <v>0</v>
      </c>
      <c r="AF2457">
        <v>0</v>
      </c>
      <c r="AG2457">
        <v>0</v>
      </c>
      <c r="AH2457">
        <v>0</v>
      </c>
      <c r="AI2457">
        <v>0</v>
      </c>
      <c r="AJ2457">
        <v>0</v>
      </c>
      <c r="AK2457">
        <v>0</v>
      </c>
      <c r="AL2457">
        <v>0</v>
      </c>
      <c r="AM2457">
        <v>12.87</v>
      </c>
      <c r="AN2457">
        <v>0</v>
      </c>
      <c r="AO2457">
        <v>0</v>
      </c>
      <c r="AP2457">
        <v>0</v>
      </c>
      <c r="AQ2457">
        <v>0</v>
      </c>
      <c r="AR2457">
        <v>0</v>
      </c>
      <c r="AS2457">
        <v>0</v>
      </c>
      <c r="AT2457">
        <v>0</v>
      </c>
      <c r="AU2457">
        <v>0</v>
      </c>
      <c r="AV2457">
        <v>0</v>
      </c>
      <c r="AW2457">
        <v>0</v>
      </c>
      <c r="AX2457">
        <v>0</v>
      </c>
      <c r="AY2457">
        <v>0</v>
      </c>
      <c r="AZ2457">
        <v>0</v>
      </c>
      <c r="BA2457">
        <v>0</v>
      </c>
      <c r="BB2457">
        <v>0</v>
      </c>
      <c r="BC2457">
        <v>0</v>
      </c>
      <c r="BD2457">
        <v>0</v>
      </c>
      <c r="BE2457">
        <v>0</v>
      </c>
      <c r="BF2457">
        <v>0</v>
      </c>
      <c r="BG2457">
        <v>0</v>
      </c>
      <c r="BH2457">
        <v>1</v>
      </c>
      <c r="BI2457">
        <v>2.7</v>
      </c>
      <c r="BJ2457">
        <v>2.2999999999999998</v>
      </c>
      <c r="BK2457">
        <v>3</v>
      </c>
      <c r="BL2457" s="4">
        <v>75.66</v>
      </c>
      <c r="BM2457" s="4">
        <v>11.35</v>
      </c>
      <c r="BN2457" s="4">
        <v>87.01</v>
      </c>
      <c r="BO2457" s="4">
        <v>87.01</v>
      </c>
      <c r="BR2457" t="s">
        <v>84</v>
      </c>
      <c r="BS2457" s="3">
        <v>43823</v>
      </c>
      <c r="BT2457" s="5">
        <v>0.33749999999999997</v>
      </c>
      <c r="BU2457" t="s">
        <v>2595</v>
      </c>
      <c r="BV2457" t="s">
        <v>86</v>
      </c>
      <c r="BY2457">
        <v>11263.87</v>
      </c>
      <c r="CA2457" t="s">
        <v>281</v>
      </c>
      <c r="CC2457" t="s">
        <v>199</v>
      </c>
      <c r="CD2457">
        <v>4000</v>
      </c>
      <c r="CE2457" t="s">
        <v>88</v>
      </c>
      <c r="CF2457" s="3">
        <v>43826</v>
      </c>
      <c r="CI2457">
        <v>1</v>
      </c>
      <c r="CJ2457">
        <v>1</v>
      </c>
      <c r="CK2457">
        <v>21</v>
      </c>
      <c r="CL2457" t="s">
        <v>89</v>
      </c>
    </row>
    <row r="2458" spans="1:90">
      <c r="A2458" t="s">
        <v>72</v>
      </c>
      <c r="B2458" t="s">
        <v>73</v>
      </c>
      <c r="C2458" t="s">
        <v>74</v>
      </c>
      <c r="E2458" t="str">
        <f>"FES1162729477"</f>
        <v>FES1162729477</v>
      </c>
      <c r="F2458" s="3">
        <v>43822</v>
      </c>
      <c r="G2458">
        <v>202006</v>
      </c>
      <c r="H2458" t="s">
        <v>75</v>
      </c>
      <c r="I2458" t="s">
        <v>76</v>
      </c>
      <c r="J2458" t="s">
        <v>77</v>
      </c>
      <c r="K2458" t="s">
        <v>78</v>
      </c>
      <c r="L2458" t="s">
        <v>404</v>
      </c>
      <c r="M2458" t="s">
        <v>405</v>
      </c>
      <c r="N2458" t="s">
        <v>435</v>
      </c>
      <c r="O2458" t="s">
        <v>82</v>
      </c>
      <c r="P2458" t="str">
        <f>"2170722326                    "</f>
        <v xml:space="preserve">2170722326                    </v>
      </c>
      <c r="Q2458">
        <v>0</v>
      </c>
      <c r="R2458">
        <v>0</v>
      </c>
      <c r="S2458">
        <v>0</v>
      </c>
      <c r="T2458">
        <v>0</v>
      </c>
      <c r="U2458">
        <v>0</v>
      </c>
      <c r="V2458">
        <v>0</v>
      </c>
      <c r="W2458">
        <v>0</v>
      </c>
      <c r="X2458">
        <v>0</v>
      </c>
      <c r="Y2458">
        <v>0</v>
      </c>
      <c r="Z2458">
        <v>0</v>
      </c>
      <c r="AA2458">
        <v>0</v>
      </c>
      <c r="AB2458">
        <v>0</v>
      </c>
      <c r="AC2458">
        <v>0</v>
      </c>
      <c r="AD2458">
        <v>0</v>
      </c>
      <c r="AE2458">
        <v>0</v>
      </c>
      <c r="AF2458">
        <v>0</v>
      </c>
      <c r="AG2458">
        <v>0</v>
      </c>
      <c r="AH2458">
        <v>0</v>
      </c>
      <c r="AI2458">
        <v>0</v>
      </c>
      <c r="AJ2458">
        <v>0</v>
      </c>
      <c r="AK2458">
        <v>0</v>
      </c>
      <c r="AL2458">
        <v>0</v>
      </c>
      <c r="AM2458">
        <v>8.58</v>
      </c>
      <c r="AN2458">
        <v>0</v>
      </c>
      <c r="AO2458">
        <v>0</v>
      </c>
      <c r="AP2458">
        <v>0</v>
      </c>
      <c r="AQ2458">
        <v>0</v>
      </c>
      <c r="AR2458">
        <v>0</v>
      </c>
      <c r="AS2458">
        <v>0</v>
      </c>
      <c r="AT2458">
        <v>0</v>
      </c>
      <c r="AU2458">
        <v>0</v>
      </c>
      <c r="AV2458">
        <v>0</v>
      </c>
      <c r="AW2458">
        <v>0</v>
      </c>
      <c r="AX2458">
        <v>0</v>
      </c>
      <c r="AY2458">
        <v>0</v>
      </c>
      <c r="AZ2458">
        <v>0</v>
      </c>
      <c r="BA2458">
        <v>0</v>
      </c>
      <c r="BB2458">
        <v>0</v>
      </c>
      <c r="BC2458">
        <v>0</v>
      </c>
      <c r="BD2458">
        <v>0</v>
      </c>
      <c r="BE2458">
        <v>0</v>
      </c>
      <c r="BF2458">
        <v>0</v>
      </c>
      <c r="BG2458">
        <v>0</v>
      </c>
      <c r="BH2458">
        <v>1</v>
      </c>
      <c r="BI2458">
        <v>0.7</v>
      </c>
      <c r="BJ2458">
        <v>1.6</v>
      </c>
      <c r="BK2458">
        <v>2</v>
      </c>
      <c r="BL2458" s="4">
        <v>50.45</v>
      </c>
      <c r="BM2458" s="4">
        <v>7.57</v>
      </c>
      <c r="BN2458" s="4">
        <v>58.02</v>
      </c>
      <c r="BO2458" s="4">
        <v>58.02</v>
      </c>
      <c r="BQ2458" t="s">
        <v>436</v>
      </c>
      <c r="BR2458" t="s">
        <v>84</v>
      </c>
      <c r="BS2458" s="3">
        <v>43823</v>
      </c>
      <c r="BT2458" s="5">
        <v>0.35486111111111113</v>
      </c>
      <c r="BU2458" t="s">
        <v>2343</v>
      </c>
      <c r="BV2458" t="s">
        <v>86</v>
      </c>
      <c r="BY2458">
        <v>7876.44</v>
      </c>
      <c r="CA2458" t="s">
        <v>212</v>
      </c>
      <c r="CC2458" t="s">
        <v>405</v>
      </c>
      <c r="CD2458">
        <v>4026</v>
      </c>
      <c r="CE2458" t="s">
        <v>88</v>
      </c>
      <c r="CF2458" s="3">
        <v>43826</v>
      </c>
      <c r="CI2458">
        <v>1</v>
      </c>
      <c r="CJ2458">
        <v>1</v>
      </c>
      <c r="CK2458">
        <v>21</v>
      </c>
      <c r="CL2458" t="s">
        <v>89</v>
      </c>
    </row>
    <row r="2459" spans="1:90">
      <c r="A2459" t="s">
        <v>72</v>
      </c>
      <c r="B2459" t="s">
        <v>73</v>
      </c>
      <c r="C2459" t="s">
        <v>74</v>
      </c>
      <c r="E2459" t="str">
        <f>"FES1162729465"</f>
        <v>FES1162729465</v>
      </c>
      <c r="F2459" s="3">
        <v>43822</v>
      </c>
      <c r="G2459">
        <v>202006</v>
      </c>
      <c r="H2459" t="s">
        <v>75</v>
      </c>
      <c r="I2459" t="s">
        <v>76</v>
      </c>
      <c r="J2459" t="s">
        <v>77</v>
      </c>
      <c r="K2459" t="s">
        <v>78</v>
      </c>
      <c r="L2459" t="s">
        <v>455</v>
      </c>
      <c r="M2459" t="s">
        <v>456</v>
      </c>
      <c r="N2459" t="s">
        <v>457</v>
      </c>
      <c r="O2459" t="s">
        <v>82</v>
      </c>
      <c r="P2459" t="str">
        <f>"2170722285                    "</f>
        <v xml:space="preserve">2170722285                    </v>
      </c>
      <c r="Q2459">
        <v>0</v>
      </c>
      <c r="R2459">
        <v>0</v>
      </c>
      <c r="S2459">
        <v>0</v>
      </c>
      <c r="T2459">
        <v>0</v>
      </c>
      <c r="U2459">
        <v>0</v>
      </c>
      <c r="V2459">
        <v>0</v>
      </c>
      <c r="W2459">
        <v>0</v>
      </c>
      <c r="X2459">
        <v>0</v>
      </c>
      <c r="Y2459">
        <v>0</v>
      </c>
      <c r="Z2459">
        <v>0</v>
      </c>
      <c r="AA2459">
        <v>0</v>
      </c>
      <c r="AB2459">
        <v>0</v>
      </c>
      <c r="AC2459">
        <v>0</v>
      </c>
      <c r="AD2459">
        <v>0</v>
      </c>
      <c r="AE2459">
        <v>0</v>
      </c>
      <c r="AF2459">
        <v>0</v>
      </c>
      <c r="AG2459">
        <v>0</v>
      </c>
      <c r="AH2459">
        <v>0</v>
      </c>
      <c r="AI2459">
        <v>0</v>
      </c>
      <c r="AJ2459">
        <v>0</v>
      </c>
      <c r="AK2459">
        <v>0</v>
      </c>
      <c r="AL2459">
        <v>0</v>
      </c>
      <c r="AM2459">
        <v>8.58</v>
      </c>
      <c r="AN2459">
        <v>0</v>
      </c>
      <c r="AO2459">
        <v>0</v>
      </c>
      <c r="AP2459">
        <v>0</v>
      </c>
      <c r="AQ2459">
        <v>0</v>
      </c>
      <c r="AR2459">
        <v>0</v>
      </c>
      <c r="AS2459">
        <v>0</v>
      </c>
      <c r="AT2459">
        <v>0</v>
      </c>
      <c r="AU2459">
        <v>0</v>
      </c>
      <c r="AV2459">
        <v>0</v>
      </c>
      <c r="AW2459">
        <v>0</v>
      </c>
      <c r="AX2459">
        <v>0</v>
      </c>
      <c r="AY2459">
        <v>0</v>
      </c>
      <c r="AZ2459">
        <v>0</v>
      </c>
      <c r="BA2459">
        <v>0</v>
      </c>
      <c r="BB2459">
        <v>0</v>
      </c>
      <c r="BC2459">
        <v>0</v>
      </c>
      <c r="BD2459">
        <v>0</v>
      </c>
      <c r="BE2459">
        <v>0</v>
      </c>
      <c r="BF2459">
        <v>0</v>
      </c>
      <c r="BG2459">
        <v>0</v>
      </c>
      <c r="BH2459">
        <v>1</v>
      </c>
      <c r="BI2459">
        <v>0.5</v>
      </c>
      <c r="BJ2459">
        <v>1.5</v>
      </c>
      <c r="BK2459">
        <v>1.5</v>
      </c>
      <c r="BL2459" s="4">
        <v>50.45</v>
      </c>
      <c r="BM2459" s="4">
        <v>7.57</v>
      </c>
      <c r="BN2459" s="4">
        <v>58.02</v>
      </c>
      <c r="BO2459" s="4">
        <v>58.02</v>
      </c>
      <c r="BR2459" t="s">
        <v>84</v>
      </c>
      <c r="BS2459" s="3">
        <v>43823</v>
      </c>
      <c r="BT2459" s="5">
        <v>0.40277777777777773</v>
      </c>
      <c r="BU2459" t="s">
        <v>2071</v>
      </c>
      <c r="BV2459" t="s">
        <v>86</v>
      </c>
      <c r="BY2459">
        <v>7274.3</v>
      </c>
      <c r="CA2459" t="s">
        <v>225</v>
      </c>
      <c r="CC2459" t="s">
        <v>456</v>
      </c>
      <c r="CD2459">
        <v>3699</v>
      </c>
      <c r="CE2459" t="s">
        <v>88</v>
      </c>
      <c r="CF2459" s="3">
        <v>43826</v>
      </c>
      <c r="CI2459">
        <v>1</v>
      </c>
      <c r="CJ2459">
        <v>1</v>
      </c>
      <c r="CK2459">
        <v>21</v>
      </c>
      <c r="CL2459" t="s">
        <v>89</v>
      </c>
    </row>
    <row r="2460" spans="1:90">
      <c r="A2460" t="s">
        <v>72</v>
      </c>
      <c r="B2460" t="s">
        <v>73</v>
      </c>
      <c r="C2460" t="s">
        <v>74</v>
      </c>
      <c r="E2460" t="str">
        <f>"FES1162729502"</f>
        <v>FES1162729502</v>
      </c>
      <c r="F2460" s="3">
        <v>43822</v>
      </c>
      <c r="G2460">
        <v>202006</v>
      </c>
      <c r="H2460" t="s">
        <v>75</v>
      </c>
      <c r="I2460" t="s">
        <v>76</v>
      </c>
      <c r="J2460" t="s">
        <v>77</v>
      </c>
      <c r="K2460" t="s">
        <v>78</v>
      </c>
      <c r="L2460" t="s">
        <v>332</v>
      </c>
      <c r="M2460" t="s">
        <v>333</v>
      </c>
      <c r="N2460" t="s">
        <v>1756</v>
      </c>
      <c r="O2460" t="s">
        <v>82</v>
      </c>
      <c r="P2460" t="str">
        <f>"2170720729                    "</f>
        <v xml:space="preserve">2170720729                    </v>
      </c>
      <c r="Q2460">
        <v>0</v>
      </c>
      <c r="R2460">
        <v>0</v>
      </c>
      <c r="S2460">
        <v>0</v>
      </c>
      <c r="T2460">
        <v>0</v>
      </c>
      <c r="U2460">
        <v>0</v>
      </c>
      <c r="V2460">
        <v>0</v>
      </c>
      <c r="W2460">
        <v>0</v>
      </c>
      <c r="X2460">
        <v>0</v>
      </c>
      <c r="Y2460">
        <v>0</v>
      </c>
      <c r="Z2460">
        <v>0</v>
      </c>
      <c r="AA2460">
        <v>0</v>
      </c>
      <c r="AB2460">
        <v>0</v>
      </c>
      <c r="AC2460">
        <v>0</v>
      </c>
      <c r="AD2460">
        <v>0</v>
      </c>
      <c r="AE2460">
        <v>0</v>
      </c>
      <c r="AF2460">
        <v>0</v>
      </c>
      <c r="AG2460">
        <v>0</v>
      </c>
      <c r="AH2460">
        <v>0</v>
      </c>
      <c r="AI2460">
        <v>0</v>
      </c>
      <c r="AJ2460">
        <v>0</v>
      </c>
      <c r="AK2460">
        <v>0</v>
      </c>
      <c r="AL2460">
        <v>0</v>
      </c>
      <c r="AM2460">
        <v>10.72</v>
      </c>
      <c r="AN2460">
        <v>0</v>
      </c>
      <c r="AO2460">
        <v>0</v>
      </c>
      <c r="AP2460">
        <v>0</v>
      </c>
      <c r="AQ2460">
        <v>0</v>
      </c>
      <c r="AR2460">
        <v>0</v>
      </c>
      <c r="AS2460">
        <v>0</v>
      </c>
      <c r="AT2460">
        <v>0</v>
      </c>
      <c r="AU2460">
        <v>0</v>
      </c>
      <c r="AV2460">
        <v>0</v>
      </c>
      <c r="AW2460">
        <v>0</v>
      </c>
      <c r="AX2460">
        <v>0</v>
      </c>
      <c r="AY2460">
        <v>0</v>
      </c>
      <c r="AZ2460">
        <v>0</v>
      </c>
      <c r="BA2460">
        <v>0</v>
      </c>
      <c r="BB2460">
        <v>0</v>
      </c>
      <c r="BC2460">
        <v>0</v>
      </c>
      <c r="BD2460">
        <v>0</v>
      </c>
      <c r="BE2460">
        <v>0</v>
      </c>
      <c r="BF2460">
        <v>0</v>
      </c>
      <c r="BG2460">
        <v>0</v>
      </c>
      <c r="BH2460">
        <v>1</v>
      </c>
      <c r="BI2460">
        <v>4.2</v>
      </c>
      <c r="BJ2460">
        <v>3.3</v>
      </c>
      <c r="BK2460">
        <v>4.5</v>
      </c>
      <c r="BL2460" s="4">
        <v>63.03</v>
      </c>
      <c r="BM2460" s="4">
        <v>9.4499999999999993</v>
      </c>
      <c r="BN2460" s="4">
        <v>72.48</v>
      </c>
      <c r="BO2460" s="4">
        <v>72.48</v>
      </c>
      <c r="BQ2460" t="s">
        <v>135</v>
      </c>
      <c r="BR2460" t="s">
        <v>84</v>
      </c>
      <c r="BS2460" s="3">
        <v>43823</v>
      </c>
      <c r="BT2460" s="5">
        <v>0.3263888888888889</v>
      </c>
      <c r="BU2460" t="s">
        <v>625</v>
      </c>
      <c r="BV2460" t="s">
        <v>86</v>
      </c>
      <c r="BY2460">
        <v>16274.62</v>
      </c>
      <c r="CC2460" t="s">
        <v>333</v>
      </c>
      <c r="CD2460">
        <v>2013</v>
      </c>
      <c r="CE2460" t="s">
        <v>96</v>
      </c>
      <c r="CF2460" s="3">
        <v>43826</v>
      </c>
      <c r="CI2460">
        <v>1</v>
      </c>
      <c r="CJ2460">
        <v>1</v>
      </c>
      <c r="CK2460">
        <v>22</v>
      </c>
      <c r="CL2460" t="s">
        <v>89</v>
      </c>
    </row>
    <row r="2461" spans="1:90">
      <c r="A2461" t="s">
        <v>72</v>
      </c>
      <c r="B2461" t="s">
        <v>73</v>
      </c>
      <c r="C2461" t="s">
        <v>74</v>
      </c>
      <c r="E2461" t="str">
        <f>"FES1162729471"</f>
        <v>FES1162729471</v>
      </c>
      <c r="F2461" s="3">
        <v>43822</v>
      </c>
      <c r="G2461">
        <v>202006</v>
      </c>
      <c r="H2461" t="s">
        <v>75</v>
      </c>
      <c r="I2461" t="s">
        <v>76</v>
      </c>
      <c r="J2461" t="s">
        <v>77</v>
      </c>
      <c r="K2461" t="s">
        <v>78</v>
      </c>
      <c r="L2461" t="s">
        <v>90</v>
      </c>
      <c r="M2461" t="s">
        <v>91</v>
      </c>
      <c r="N2461" t="s">
        <v>2596</v>
      </c>
      <c r="O2461" t="s">
        <v>82</v>
      </c>
      <c r="P2461" t="str">
        <f>"2170722035                    "</f>
        <v xml:space="preserve">2170722035                    </v>
      </c>
      <c r="Q2461">
        <v>0</v>
      </c>
      <c r="R2461">
        <v>0</v>
      </c>
      <c r="S2461">
        <v>0</v>
      </c>
      <c r="T2461">
        <v>0</v>
      </c>
      <c r="U2461">
        <v>0</v>
      </c>
      <c r="V2461">
        <v>0</v>
      </c>
      <c r="W2461">
        <v>0</v>
      </c>
      <c r="X2461">
        <v>0</v>
      </c>
      <c r="Y2461">
        <v>0</v>
      </c>
      <c r="Z2461">
        <v>0</v>
      </c>
      <c r="AA2461">
        <v>0</v>
      </c>
      <c r="AB2461">
        <v>0</v>
      </c>
      <c r="AC2461">
        <v>0</v>
      </c>
      <c r="AD2461">
        <v>0</v>
      </c>
      <c r="AE2461">
        <v>0</v>
      </c>
      <c r="AF2461">
        <v>0</v>
      </c>
      <c r="AG2461">
        <v>0</v>
      </c>
      <c r="AH2461">
        <v>0</v>
      </c>
      <c r="AI2461">
        <v>0</v>
      </c>
      <c r="AJ2461">
        <v>0</v>
      </c>
      <c r="AK2461">
        <v>0</v>
      </c>
      <c r="AL2461">
        <v>0</v>
      </c>
      <c r="AM2461">
        <v>25.74</v>
      </c>
      <c r="AN2461">
        <v>0</v>
      </c>
      <c r="AO2461">
        <v>0</v>
      </c>
      <c r="AP2461">
        <v>0</v>
      </c>
      <c r="AQ2461">
        <v>0</v>
      </c>
      <c r="AR2461">
        <v>0</v>
      </c>
      <c r="AS2461">
        <v>0</v>
      </c>
      <c r="AT2461">
        <v>0</v>
      </c>
      <c r="AU2461">
        <v>0</v>
      </c>
      <c r="AV2461">
        <v>0</v>
      </c>
      <c r="AW2461">
        <v>0</v>
      </c>
      <c r="AX2461">
        <v>0</v>
      </c>
      <c r="AY2461">
        <v>0</v>
      </c>
      <c r="AZ2461">
        <v>0</v>
      </c>
      <c r="BA2461">
        <v>0</v>
      </c>
      <c r="BB2461">
        <v>0</v>
      </c>
      <c r="BC2461">
        <v>0</v>
      </c>
      <c r="BD2461">
        <v>0</v>
      </c>
      <c r="BE2461">
        <v>0</v>
      </c>
      <c r="BF2461">
        <v>0</v>
      </c>
      <c r="BG2461">
        <v>0</v>
      </c>
      <c r="BH2461">
        <v>2</v>
      </c>
      <c r="BI2461">
        <v>5.8</v>
      </c>
      <c r="BJ2461">
        <v>2.6</v>
      </c>
      <c r="BK2461">
        <v>6</v>
      </c>
      <c r="BL2461" s="4">
        <v>151.29</v>
      </c>
      <c r="BM2461" s="4">
        <v>22.69</v>
      </c>
      <c r="BN2461" s="4">
        <v>173.98</v>
      </c>
      <c r="BO2461" s="4">
        <v>173.98</v>
      </c>
      <c r="BR2461" t="s">
        <v>84</v>
      </c>
      <c r="BS2461" s="3">
        <v>43836</v>
      </c>
      <c r="BT2461" s="5">
        <v>0.35347222222222219</v>
      </c>
      <c r="BU2461" t="s">
        <v>2597</v>
      </c>
      <c r="BV2461" t="s">
        <v>89</v>
      </c>
      <c r="BW2461" t="s">
        <v>1335</v>
      </c>
      <c r="BX2461" t="s">
        <v>619</v>
      </c>
      <c r="BY2461">
        <v>12885.52</v>
      </c>
      <c r="CA2461" t="s">
        <v>563</v>
      </c>
      <c r="CC2461" t="s">
        <v>91</v>
      </c>
      <c r="CD2461">
        <v>8000</v>
      </c>
      <c r="CE2461" t="s">
        <v>413</v>
      </c>
      <c r="CI2461">
        <v>1</v>
      </c>
      <c r="CJ2461">
        <v>10</v>
      </c>
      <c r="CK2461">
        <v>21</v>
      </c>
      <c r="CL2461" t="s">
        <v>89</v>
      </c>
    </row>
    <row r="2462" spans="1:90">
      <c r="A2462" t="s">
        <v>72</v>
      </c>
      <c r="B2462" t="s">
        <v>73</v>
      </c>
      <c r="C2462" t="s">
        <v>74</v>
      </c>
      <c r="E2462" t="str">
        <f>"FES1162729402"</f>
        <v>FES1162729402</v>
      </c>
      <c r="F2462" s="3">
        <v>43822</v>
      </c>
      <c r="G2462">
        <v>202006</v>
      </c>
      <c r="H2462" t="s">
        <v>75</v>
      </c>
      <c r="I2462" t="s">
        <v>76</v>
      </c>
      <c r="J2462" t="s">
        <v>77</v>
      </c>
      <c r="K2462" t="s">
        <v>78</v>
      </c>
      <c r="L2462" t="s">
        <v>151</v>
      </c>
      <c r="M2462" t="s">
        <v>102</v>
      </c>
      <c r="N2462" t="s">
        <v>1728</v>
      </c>
      <c r="O2462" t="s">
        <v>82</v>
      </c>
      <c r="P2462" t="str">
        <f>"2170720784                    "</f>
        <v xml:space="preserve">2170720784                    </v>
      </c>
      <c r="Q2462">
        <v>0</v>
      </c>
      <c r="R2462">
        <v>0</v>
      </c>
      <c r="S2462">
        <v>0</v>
      </c>
      <c r="T2462">
        <v>0</v>
      </c>
      <c r="U2462">
        <v>0</v>
      </c>
      <c r="V2462">
        <v>0</v>
      </c>
      <c r="W2462">
        <v>0</v>
      </c>
      <c r="X2462">
        <v>0</v>
      </c>
      <c r="Y2462">
        <v>0</v>
      </c>
      <c r="Z2462">
        <v>0</v>
      </c>
      <c r="AA2462">
        <v>0</v>
      </c>
      <c r="AB2462">
        <v>0</v>
      </c>
      <c r="AC2462">
        <v>0</v>
      </c>
      <c r="AD2462">
        <v>0</v>
      </c>
      <c r="AE2462">
        <v>0</v>
      </c>
      <c r="AF2462">
        <v>0</v>
      </c>
      <c r="AG2462">
        <v>0</v>
      </c>
      <c r="AH2462">
        <v>0</v>
      </c>
      <c r="AI2462">
        <v>0</v>
      </c>
      <c r="AJ2462">
        <v>0</v>
      </c>
      <c r="AK2462">
        <v>0</v>
      </c>
      <c r="AL2462">
        <v>0</v>
      </c>
      <c r="AM2462">
        <v>8.58</v>
      </c>
      <c r="AN2462">
        <v>0</v>
      </c>
      <c r="AO2462">
        <v>0</v>
      </c>
      <c r="AP2462">
        <v>0</v>
      </c>
      <c r="AQ2462">
        <v>0</v>
      </c>
      <c r="AR2462">
        <v>0</v>
      </c>
      <c r="AS2462">
        <v>0</v>
      </c>
      <c r="AT2462">
        <v>0</v>
      </c>
      <c r="AU2462">
        <v>0</v>
      </c>
      <c r="AV2462">
        <v>0</v>
      </c>
      <c r="AW2462">
        <v>0</v>
      </c>
      <c r="AX2462">
        <v>0</v>
      </c>
      <c r="AY2462">
        <v>0</v>
      </c>
      <c r="AZ2462">
        <v>0</v>
      </c>
      <c r="BA2462">
        <v>0</v>
      </c>
      <c r="BB2462">
        <v>0</v>
      </c>
      <c r="BC2462">
        <v>0</v>
      </c>
      <c r="BD2462">
        <v>0</v>
      </c>
      <c r="BE2462">
        <v>0</v>
      </c>
      <c r="BF2462">
        <v>0</v>
      </c>
      <c r="BG2462">
        <v>0</v>
      </c>
      <c r="BH2462">
        <v>1</v>
      </c>
      <c r="BI2462">
        <v>1.5</v>
      </c>
      <c r="BJ2462">
        <v>0.9</v>
      </c>
      <c r="BK2462">
        <v>1.5</v>
      </c>
      <c r="BL2462" s="4">
        <v>50.45</v>
      </c>
      <c r="BM2462" s="4">
        <v>7.57</v>
      </c>
      <c r="BN2462" s="4">
        <v>58.02</v>
      </c>
      <c r="BO2462" s="4">
        <v>58.02</v>
      </c>
      <c r="BQ2462" t="s">
        <v>172</v>
      </c>
      <c r="BR2462" t="s">
        <v>84</v>
      </c>
      <c r="BS2462" s="3">
        <v>43823</v>
      </c>
      <c r="BT2462" s="5">
        <v>0.375</v>
      </c>
      <c r="BU2462" t="s">
        <v>2598</v>
      </c>
      <c r="BV2462" t="s">
        <v>86</v>
      </c>
      <c r="BY2462">
        <v>4684.25</v>
      </c>
      <c r="CC2462" t="s">
        <v>102</v>
      </c>
      <c r="CD2462">
        <v>200</v>
      </c>
      <c r="CE2462" t="s">
        <v>96</v>
      </c>
      <c r="CF2462" s="3">
        <v>43826</v>
      </c>
      <c r="CI2462">
        <v>1</v>
      </c>
      <c r="CJ2462">
        <v>1</v>
      </c>
      <c r="CK2462">
        <v>21</v>
      </c>
      <c r="CL2462" t="s">
        <v>89</v>
      </c>
    </row>
    <row r="2463" spans="1:90">
      <c r="A2463" t="s">
        <v>72</v>
      </c>
      <c r="B2463" t="s">
        <v>73</v>
      </c>
      <c r="C2463" t="s">
        <v>74</v>
      </c>
      <c r="E2463" t="str">
        <f>"FES1162729385"</f>
        <v>FES1162729385</v>
      </c>
      <c r="F2463" s="3">
        <v>43822</v>
      </c>
      <c r="G2463">
        <v>202006</v>
      </c>
      <c r="H2463" t="s">
        <v>75</v>
      </c>
      <c r="I2463" t="s">
        <v>76</v>
      </c>
      <c r="J2463" t="s">
        <v>77</v>
      </c>
      <c r="K2463" t="s">
        <v>78</v>
      </c>
      <c r="L2463" t="s">
        <v>151</v>
      </c>
      <c r="M2463" t="s">
        <v>102</v>
      </c>
      <c r="N2463" t="s">
        <v>706</v>
      </c>
      <c r="O2463" t="s">
        <v>82</v>
      </c>
      <c r="P2463" t="str">
        <f>"2170722386                    "</f>
        <v xml:space="preserve">2170722386                    </v>
      </c>
      <c r="Q2463">
        <v>0</v>
      </c>
      <c r="R2463">
        <v>0</v>
      </c>
      <c r="S2463">
        <v>0</v>
      </c>
      <c r="T2463">
        <v>0</v>
      </c>
      <c r="U2463">
        <v>0</v>
      </c>
      <c r="V2463">
        <v>0</v>
      </c>
      <c r="W2463">
        <v>0</v>
      </c>
      <c r="X2463">
        <v>0</v>
      </c>
      <c r="Y2463">
        <v>0</v>
      </c>
      <c r="Z2463">
        <v>0</v>
      </c>
      <c r="AA2463">
        <v>0</v>
      </c>
      <c r="AB2463">
        <v>0</v>
      </c>
      <c r="AC2463">
        <v>0</v>
      </c>
      <c r="AD2463">
        <v>0</v>
      </c>
      <c r="AE2463">
        <v>0</v>
      </c>
      <c r="AF2463">
        <v>0</v>
      </c>
      <c r="AG2463">
        <v>0</v>
      </c>
      <c r="AH2463">
        <v>0</v>
      </c>
      <c r="AI2463">
        <v>0</v>
      </c>
      <c r="AJ2463">
        <v>0</v>
      </c>
      <c r="AK2463">
        <v>0</v>
      </c>
      <c r="AL2463">
        <v>0</v>
      </c>
      <c r="AM2463">
        <v>15.02</v>
      </c>
      <c r="AN2463">
        <v>0</v>
      </c>
      <c r="AO2463">
        <v>0</v>
      </c>
      <c r="AP2463">
        <v>0</v>
      </c>
      <c r="AQ2463">
        <v>0</v>
      </c>
      <c r="AR2463">
        <v>0</v>
      </c>
      <c r="AS2463">
        <v>0</v>
      </c>
      <c r="AT2463">
        <v>0</v>
      </c>
      <c r="AU2463">
        <v>0</v>
      </c>
      <c r="AV2463">
        <v>0</v>
      </c>
      <c r="AW2463">
        <v>0</v>
      </c>
      <c r="AX2463">
        <v>0</v>
      </c>
      <c r="AY2463">
        <v>0</v>
      </c>
      <c r="AZ2463">
        <v>0</v>
      </c>
      <c r="BA2463">
        <v>0</v>
      </c>
      <c r="BB2463">
        <v>0</v>
      </c>
      <c r="BC2463">
        <v>0</v>
      </c>
      <c r="BD2463">
        <v>0</v>
      </c>
      <c r="BE2463">
        <v>0</v>
      </c>
      <c r="BF2463">
        <v>0</v>
      </c>
      <c r="BG2463">
        <v>0</v>
      </c>
      <c r="BH2463">
        <v>1</v>
      </c>
      <c r="BI2463">
        <v>2.4</v>
      </c>
      <c r="BJ2463">
        <v>3.4</v>
      </c>
      <c r="BK2463">
        <v>3.5</v>
      </c>
      <c r="BL2463" s="4">
        <v>88.27</v>
      </c>
      <c r="BM2463" s="4">
        <v>13.24</v>
      </c>
      <c r="BN2463" s="4">
        <v>101.51</v>
      </c>
      <c r="BO2463" s="4">
        <v>101.51</v>
      </c>
      <c r="BQ2463" t="s">
        <v>147</v>
      </c>
      <c r="BR2463" t="s">
        <v>84</v>
      </c>
      <c r="BS2463" s="3">
        <v>43832</v>
      </c>
      <c r="BT2463" s="5">
        <v>0.43055555555555558</v>
      </c>
      <c r="BU2463" t="s">
        <v>142</v>
      </c>
      <c r="BV2463" t="s">
        <v>89</v>
      </c>
      <c r="BY2463">
        <v>16755.349999999999</v>
      </c>
      <c r="CC2463" t="s">
        <v>102</v>
      </c>
      <c r="CD2463">
        <v>1</v>
      </c>
      <c r="CE2463" t="s">
        <v>96</v>
      </c>
      <c r="CF2463" s="3">
        <v>43833</v>
      </c>
      <c r="CI2463">
        <v>1</v>
      </c>
      <c r="CJ2463">
        <v>8</v>
      </c>
      <c r="CK2463">
        <v>21</v>
      </c>
      <c r="CL2463" t="s">
        <v>89</v>
      </c>
    </row>
    <row r="2464" spans="1:90">
      <c r="A2464" t="s">
        <v>72</v>
      </c>
      <c r="B2464" t="s">
        <v>73</v>
      </c>
      <c r="C2464" t="s">
        <v>74</v>
      </c>
      <c r="E2464" t="str">
        <f>"FES1162729414"</f>
        <v>FES1162729414</v>
      </c>
      <c r="F2464" s="3">
        <v>43822</v>
      </c>
      <c r="G2464">
        <v>202006</v>
      </c>
      <c r="H2464" t="s">
        <v>75</v>
      </c>
      <c r="I2464" t="s">
        <v>76</v>
      </c>
      <c r="J2464" t="s">
        <v>77</v>
      </c>
      <c r="K2464" t="s">
        <v>78</v>
      </c>
      <c r="L2464" t="s">
        <v>79</v>
      </c>
      <c r="M2464" t="s">
        <v>80</v>
      </c>
      <c r="N2464" t="s">
        <v>1101</v>
      </c>
      <c r="O2464" t="s">
        <v>82</v>
      </c>
      <c r="P2464" t="str">
        <f>"2170721549                    "</f>
        <v xml:space="preserve">2170721549                    </v>
      </c>
      <c r="Q2464">
        <v>0</v>
      </c>
      <c r="R2464">
        <v>0</v>
      </c>
      <c r="S2464">
        <v>0</v>
      </c>
      <c r="T2464">
        <v>0</v>
      </c>
      <c r="U2464">
        <v>0</v>
      </c>
      <c r="V2464">
        <v>0</v>
      </c>
      <c r="W2464">
        <v>0</v>
      </c>
      <c r="X2464">
        <v>0</v>
      </c>
      <c r="Y2464">
        <v>0</v>
      </c>
      <c r="Z2464">
        <v>0</v>
      </c>
      <c r="AA2464">
        <v>0</v>
      </c>
      <c r="AB2464">
        <v>0</v>
      </c>
      <c r="AC2464">
        <v>0</v>
      </c>
      <c r="AD2464">
        <v>0</v>
      </c>
      <c r="AE2464">
        <v>0</v>
      </c>
      <c r="AF2464">
        <v>0</v>
      </c>
      <c r="AG2464">
        <v>0</v>
      </c>
      <c r="AH2464">
        <v>0</v>
      </c>
      <c r="AI2464">
        <v>0</v>
      </c>
      <c r="AJ2464">
        <v>0</v>
      </c>
      <c r="AK2464">
        <v>0</v>
      </c>
      <c r="AL2464">
        <v>0</v>
      </c>
      <c r="AM2464">
        <v>8.58</v>
      </c>
      <c r="AN2464">
        <v>0</v>
      </c>
      <c r="AO2464">
        <v>0</v>
      </c>
      <c r="AP2464">
        <v>0</v>
      </c>
      <c r="AQ2464">
        <v>0</v>
      </c>
      <c r="AR2464">
        <v>0</v>
      </c>
      <c r="AS2464">
        <v>0</v>
      </c>
      <c r="AT2464">
        <v>0</v>
      </c>
      <c r="AU2464">
        <v>0</v>
      </c>
      <c r="AV2464">
        <v>0</v>
      </c>
      <c r="AW2464">
        <v>0</v>
      </c>
      <c r="AX2464">
        <v>0</v>
      </c>
      <c r="AY2464">
        <v>0</v>
      </c>
      <c r="AZ2464">
        <v>0</v>
      </c>
      <c r="BA2464">
        <v>0</v>
      </c>
      <c r="BB2464">
        <v>0</v>
      </c>
      <c r="BC2464">
        <v>0</v>
      </c>
      <c r="BD2464">
        <v>0</v>
      </c>
      <c r="BE2464">
        <v>0</v>
      </c>
      <c r="BF2464">
        <v>0</v>
      </c>
      <c r="BG2464">
        <v>0</v>
      </c>
      <c r="BH2464">
        <v>1</v>
      </c>
      <c r="BI2464">
        <v>1.3</v>
      </c>
      <c r="BJ2464">
        <v>1.5</v>
      </c>
      <c r="BK2464">
        <v>1.5</v>
      </c>
      <c r="BL2464" s="4">
        <v>50.45</v>
      </c>
      <c r="BM2464" s="4">
        <v>7.57</v>
      </c>
      <c r="BN2464" s="4">
        <v>58.02</v>
      </c>
      <c r="BO2464" s="4">
        <v>58.02</v>
      </c>
      <c r="BQ2464" t="s">
        <v>147</v>
      </c>
      <c r="BR2464" t="s">
        <v>84</v>
      </c>
      <c r="BS2464" s="3">
        <v>43823</v>
      </c>
      <c r="BT2464" s="5">
        <v>0.31875000000000003</v>
      </c>
      <c r="BU2464" t="s">
        <v>2599</v>
      </c>
      <c r="BV2464" t="s">
        <v>86</v>
      </c>
      <c r="BY2464">
        <v>7690.59</v>
      </c>
      <c r="CA2464" t="s">
        <v>1562</v>
      </c>
      <c r="CC2464" t="s">
        <v>80</v>
      </c>
      <c r="CD2464">
        <v>6001</v>
      </c>
      <c r="CE2464" t="s">
        <v>96</v>
      </c>
      <c r="CF2464" s="3">
        <v>43826</v>
      </c>
      <c r="CI2464">
        <v>1</v>
      </c>
      <c r="CJ2464">
        <v>1</v>
      </c>
      <c r="CK2464">
        <v>21</v>
      </c>
      <c r="CL2464" t="s">
        <v>89</v>
      </c>
    </row>
    <row r="2465" spans="1:90">
      <c r="A2465" t="s">
        <v>72</v>
      </c>
      <c r="B2465" t="s">
        <v>73</v>
      </c>
      <c r="C2465" t="s">
        <v>74</v>
      </c>
      <c r="E2465" t="str">
        <f>"FES1162729381"</f>
        <v>FES1162729381</v>
      </c>
      <c r="F2465" s="3">
        <v>43822</v>
      </c>
      <c r="G2465">
        <v>202006</v>
      </c>
      <c r="H2465" t="s">
        <v>75</v>
      </c>
      <c r="I2465" t="s">
        <v>76</v>
      </c>
      <c r="J2465" t="s">
        <v>77</v>
      </c>
      <c r="K2465" t="s">
        <v>78</v>
      </c>
      <c r="L2465" t="s">
        <v>491</v>
      </c>
      <c r="M2465" t="s">
        <v>492</v>
      </c>
      <c r="N2465" t="s">
        <v>2600</v>
      </c>
      <c r="O2465" t="s">
        <v>82</v>
      </c>
      <c r="P2465" t="str">
        <f>"2170722375                    "</f>
        <v xml:space="preserve">2170722375                    </v>
      </c>
      <c r="Q2465">
        <v>0</v>
      </c>
      <c r="R2465">
        <v>0</v>
      </c>
      <c r="S2465">
        <v>0</v>
      </c>
      <c r="T2465">
        <v>0</v>
      </c>
      <c r="U2465">
        <v>0</v>
      </c>
      <c r="V2465">
        <v>0</v>
      </c>
      <c r="W2465">
        <v>0</v>
      </c>
      <c r="X2465">
        <v>0</v>
      </c>
      <c r="Y2465">
        <v>0</v>
      </c>
      <c r="Z2465">
        <v>0</v>
      </c>
      <c r="AA2465">
        <v>0</v>
      </c>
      <c r="AB2465">
        <v>0</v>
      </c>
      <c r="AC2465">
        <v>0</v>
      </c>
      <c r="AD2465">
        <v>0</v>
      </c>
      <c r="AE2465">
        <v>0</v>
      </c>
      <c r="AF2465">
        <v>0</v>
      </c>
      <c r="AG2465">
        <v>0</v>
      </c>
      <c r="AH2465">
        <v>0</v>
      </c>
      <c r="AI2465">
        <v>0</v>
      </c>
      <c r="AJ2465">
        <v>0</v>
      </c>
      <c r="AK2465">
        <v>0</v>
      </c>
      <c r="AL2465">
        <v>0</v>
      </c>
      <c r="AM2465">
        <v>9.1199999999999992</v>
      </c>
      <c r="AN2465">
        <v>0</v>
      </c>
      <c r="AO2465">
        <v>0</v>
      </c>
      <c r="AP2465">
        <v>0</v>
      </c>
      <c r="AQ2465">
        <v>0</v>
      </c>
      <c r="AR2465">
        <v>0</v>
      </c>
      <c r="AS2465">
        <v>0</v>
      </c>
      <c r="AT2465">
        <v>0</v>
      </c>
      <c r="AU2465">
        <v>0</v>
      </c>
      <c r="AV2465">
        <v>0</v>
      </c>
      <c r="AW2465">
        <v>0</v>
      </c>
      <c r="AX2465">
        <v>0</v>
      </c>
      <c r="AY2465">
        <v>0</v>
      </c>
      <c r="AZ2465">
        <v>0</v>
      </c>
      <c r="BA2465">
        <v>0</v>
      </c>
      <c r="BB2465">
        <v>0</v>
      </c>
      <c r="BC2465">
        <v>0</v>
      </c>
      <c r="BD2465">
        <v>0</v>
      </c>
      <c r="BE2465">
        <v>0</v>
      </c>
      <c r="BF2465">
        <v>0</v>
      </c>
      <c r="BG2465">
        <v>0</v>
      </c>
      <c r="BH2465">
        <v>1</v>
      </c>
      <c r="BI2465">
        <v>3</v>
      </c>
      <c r="BJ2465">
        <v>3.5</v>
      </c>
      <c r="BK2465">
        <v>3.5</v>
      </c>
      <c r="BL2465" s="4">
        <v>53.59</v>
      </c>
      <c r="BM2465" s="4">
        <v>8.0399999999999991</v>
      </c>
      <c r="BN2465" s="4">
        <v>61.63</v>
      </c>
      <c r="BO2465" s="4">
        <v>61.63</v>
      </c>
      <c r="BR2465" t="s">
        <v>84</v>
      </c>
      <c r="BS2465" s="3">
        <v>43823</v>
      </c>
      <c r="BT2465" s="5">
        <v>0.34166666666666662</v>
      </c>
      <c r="BU2465" t="s">
        <v>2601</v>
      </c>
      <c r="BV2465" t="s">
        <v>86</v>
      </c>
      <c r="BY2465">
        <v>17406.96</v>
      </c>
      <c r="CA2465" t="s">
        <v>2602</v>
      </c>
      <c r="CC2465" t="s">
        <v>492</v>
      </c>
      <c r="CD2465">
        <v>1709</v>
      </c>
      <c r="CE2465" t="s">
        <v>116</v>
      </c>
      <c r="CF2465" s="3">
        <v>43826</v>
      </c>
      <c r="CI2465">
        <v>1</v>
      </c>
      <c r="CJ2465">
        <v>1</v>
      </c>
      <c r="CK2465">
        <v>22</v>
      </c>
      <c r="CL2465" t="s">
        <v>89</v>
      </c>
    </row>
    <row r="2466" spans="1:90">
      <c r="A2466" t="s">
        <v>72</v>
      </c>
      <c r="B2466" t="s">
        <v>73</v>
      </c>
      <c r="C2466" t="s">
        <v>74</v>
      </c>
      <c r="E2466" t="str">
        <f>"FES1162729493"</f>
        <v>FES1162729493</v>
      </c>
      <c r="F2466" s="3">
        <v>43822</v>
      </c>
      <c r="G2466">
        <v>202006</v>
      </c>
      <c r="H2466" t="s">
        <v>75</v>
      </c>
      <c r="I2466" t="s">
        <v>76</v>
      </c>
      <c r="J2466" t="s">
        <v>77</v>
      </c>
      <c r="K2466" t="s">
        <v>78</v>
      </c>
      <c r="L2466" t="s">
        <v>213</v>
      </c>
      <c r="M2466" t="s">
        <v>214</v>
      </c>
      <c r="N2466" t="s">
        <v>1960</v>
      </c>
      <c r="O2466" t="s">
        <v>82</v>
      </c>
      <c r="P2466" t="str">
        <f>"2170718059                    "</f>
        <v xml:space="preserve">2170718059                    </v>
      </c>
      <c r="Q2466">
        <v>0</v>
      </c>
      <c r="R2466">
        <v>0</v>
      </c>
      <c r="S2466">
        <v>0</v>
      </c>
      <c r="T2466">
        <v>0</v>
      </c>
      <c r="U2466">
        <v>0</v>
      </c>
      <c r="V2466">
        <v>0</v>
      </c>
      <c r="W2466">
        <v>0</v>
      </c>
      <c r="X2466">
        <v>0</v>
      </c>
      <c r="Y2466">
        <v>0</v>
      </c>
      <c r="Z2466">
        <v>0</v>
      </c>
      <c r="AA2466">
        <v>0</v>
      </c>
      <c r="AB2466">
        <v>0</v>
      </c>
      <c r="AC2466">
        <v>0</v>
      </c>
      <c r="AD2466">
        <v>0</v>
      </c>
      <c r="AE2466">
        <v>0</v>
      </c>
      <c r="AF2466">
        <v>0</v>
      </c>
      <c r="AG2466">
        <v>0</v>
      </c>
      <c r="AH2466">
        <v>0</v>
      </c>
      <c r="AI2466">
        <v>0</v>
      </c>
      <c r="AJ2466">
        <v>0</v>
      </c>
      <c r="AK2466">
        <v>0</v>
      </c>
      <c r="AL2466">
        <v>0</v>
      </c>
      <c r="AM2466">
        <v>32.17</v>
      </c>
      <c r="AN2466">
        <v>0</v>
      </c>
      <c r="AO2466">
        <v>0</v>
      </c>
      <c r="AP2466">
        <v>0</v>
      </c>
      <c r="AQ2466">
        <v>0</v>
      </c>
      <c r="AR2466">
        <v>0</v>
      </c>
      <c r="AS2466">
        <v>0</v>
      </c>
      <c r="AT2466">
        <v>0</v>
      </c>
      <c r="AU2466">
        <v>0</v>
      </c>
      <c r="AV2466">
        <v>0</v>
      </c>
      <c r="AW2466">
        <v>0</v>
      </c>
      <c r="AX2466">
        <v>0</v>
      </c>
      <c r="AY2466">
        <v>0</v>
      </c>
      <c r="AZ2466">
        <v>0</v>
      </c>
      <c r="BA2466">
        <v>0</v>
      </c>
      <c r="BB2466">
        <v>0</v>
      </c>
      <c r="BC2466">
        <v>0</v>
      </c>
      <c r="BD2466">
        <v>0</v>
      </c>
      <c r="BE2466">
        <v>0</v>
      </c>
      <c r="BF2466">
        <v>0</v>
      </c>
      <c r="BG2466">
        <v>0</v>
      </c>
      <c r="BH2466">
        <v>1</v>
      </c>
      <c r="BI2466">
        <v>7.2</v>
      </c>
      <c r="BJ2466">
        <v>2.7</v>
      </c>
      <c r="BK2466">
        <v>7.5</v>
      </c>
      <c r="BL2466" s="4">
        <v>189.1</v>
      </c>
      <c r="BM2466" s="4">
        <v>28.37</v>
      </c>
      <c r="BN2466" s="4">
        <v>217.47</v>
      </c>
      <c r="BO2466" s="4">
        <v>217.47</v>
      </c>
      <c r="BR2466" t="s">
        <v>84</v>
      </c>
      <c r="BS2466" s="3">
        <v>43823</v>
      </c>
      <c r="BT2466" s="5">
        <v>0.34027777777777773</v>
      </c>
      <c r="BU2466" t="s">
        <v>2603</v>
      </c>
      <c r="BV2466" t="s">
        <v>86</v>
      </c>
      <c r="BY2466">
        <v>13696.05</v>
      </c>
      <c r="CA2466" t="s">
        <v>99</v>
      </c>
      <c r="CC2466" t="s">
        <v>214</v>
      </c>
      <c r="CD2466">
        <v>6229</v>
      </c>
      <c r="CE2466" t="s">
        <v>116</v>
      </c>
      <c r="CF2466" s="3">
        <v>43826</v>
      </c>
      <c r="CI2466">
        <v>1</v>
      </c>
      <c r="CJ2466">
        <v>1</v>
      </c>
      <c r="CK2466">
        <v>21</v>
      </c>
      <c r="CL2466" t="s">
        <v>89</v>
      </c>
    </row>
    <row r="2467" spans="1:90">
      <c r="A2467" t="s">
        <v>72</v>
      </c>
      <c r="B2467" t="s">
        <v>73</v>
      </c>
      <c r="C2467" t="s">
        <v>74</v>
      </c>
      <c r="E2467" t="str">
        <f>"FES1162729404"</f>
        <v>FES1162729404</v>
      </c>
      <c r="F2467" s="3">
        <v>43822</v>
      </c>
      <c r="G2467">
        <v>202006</v>
      </c>
      <c r="H2467" t="s">
        <v>75</v>
      </c>
      <c r="I2467" t="s">
        <v>76</v>
      </c>
      <c r="J2467" t="s">
        <v>77</v>
      </c>
      <c r="K2467" t="s">
        <v>78</v>
      </c>
      <c r="L2467" t="s">
        <v>2100</v>
      </c>
      <c r="M2467" t="s">
        <v>2101</v>
      </c>
      <c r="N2467" t="s">
        <v>2102</v>
      </c>
      <c r="O2467" t="s">
        <v>82</v>
      </c>
      <c r="P2467" t="str">
        <f>"2170721008                    "</f>
        <v xml:space="preserve">2170721008                    </v>
      </c>
      <c r="Q2467">
        <v>0</v>
      </c>
      <c r="R2467">
        <v>0</v>
      </c>
      <c r="S2467">
        <v>0</v>
      </c>
      <c r="T2467">
        <v>0</v>
      </c>
      <c r="U2467">
        <v>0</v>
      </c>
      <c r="V2467">
        <v>0</v>
      </c>
      <c r="W2467">
        <v>0</v>
      </c>
      <c r="X2467">
        <v>0</v>
      </c>
      <c r="Y2467">
        <v>0</v>
      </c>
      <c r="Z2467">
        <v>0</v>
      </c>
      <c r="AA2467">
        <v>0</v>
      </c>
      <c r="AB2467">
        <v>0</v>
      </c>
      <c r="AC2467">
        <v>0</v>
      </c>
      <c r="AD2467">
        <v>0</v>
      </c>
      <c r="AE2467">
        <v>0</v>
      </c>
      <c r="AF2467">
        <v>0</v>
      </c>
      <c r="AG2467">
        <v>0</v>
      </c>
      <c r="AH2467">
        <v>0</v>
      </c>
      <c r="AI2467">
        <v>0</v>
      </c>
      <c r="AJ2467">
        <v>0</v>
      </c>
      <c r="AK2467">
        <v>0</v>
      </c>
      <c r="AL2467">
        <v>0</v>
      </c>
      <c r="AM2467">
        <v>12.07</v>
      </c>
      <c r="AN2467">
        <v>0</v>
      </c>
      <c r="AO2467">
        <v>0</v>
      </c>
      <c r="AP2467">
        <v>0</v>
      </c>
      <c r="AQ2467">
        <v>0</v>
      </c>
      <c r="AR2467">
        <v>0</v>
      </c>
      <c r="AS2467">
        <v>0</v>
      </c>
      <c r="AT2467">
        <v>0</v>
      </c>
      <c r="AU2467">
        <v>0</v>
      </c>
      <c r="AV2467">
        <v>0</v>
      </c>
      <c r="AW2467">
        <v>0</v>
      </c>
      <c r="AX2467">
        <v>0</v>
      </c>
      <c r="AY2467">
        <v>0</v>
      </c>
      <c r="AZ2467">
        <v>0</v>
      </c>
      <c r="BA2467">
        <v>0</v>
      </c>
      <c r="BB2467">
        <v>0</v>
      </c>
      <c r="BC2467">
        <v>0</v>
      </c>
      <c r="BD2467">
        <v>0</v>
      </c>
      <c r="BE2467">
        <v>0</v>
      </c>
      <c r="BF2467">
        <v>0</v>
      </c>
      <c r="BG2467">
        <v>0</v>
      </c>
      <c r="BH2467">
        <v>1</v>
      </c>
      <c r="BI2467">
        <v>0.6</v>
      </c>
      <c r="BJ2467">
        <v>1.7</v>
      </c>
      <c r="BK2467">
        <v>2</v>
      </c>
      <c r="BL2467" s="4">
        <v>70.95</v>
      </c>
      <c r="BM2467" s="4">
        <v>10.64</v>
      </c>
      <c r="BN2467" s="4">
        <v>81.59</v>
      </c>
      <c r="BO2467" s="4">
        <v>81.59</v>
      </c>
      <c r="BQ2467" t="s">
        <v>2103</v>
      </c>
      <c r="BR2467" t="s">
        <v>84</v>
      </c>
      <c r="BS2467" t="s">
        <v>717</v>
      </c>
      <c r="BY2467">
        <v>8712.9599999999991</v>
      </c>
      <c r="CC2467" t="s">
        <v>2101</v>
      </c>
      <c r="CD2467">
        <v>1441</v>
      </c>
      <c r="CE2467" t="s">
        <v>88</v>
      </c>
      <c r="CI2467">
        <v>1</v>
      </c>
      <c r="CJ2467" t="s">
        <v>717</v>
      </c>
      <c r="CK2467">
        <v>24</v>
      </c>
      <c r="CL2467" t="s">
        <v>89</v>
      </c>
    </row>
    <row r="2468" spans="1:90">
      <c r="A2468" t="s">
        <v>72</v>
      </c>
      <c r="B2468" t="s">
        <v>73</v>
      </c>
      <c r="C2468" t="s">
        <v>74</v>
      </c>
      <c r="E2468" t="str">
        <f>"FES1162729485"</f>
        <v>FES1162729485</v>
      </c>
      <c r="F2468" s="3">
        <v>43822</v>
      </c>
      <c r="G2468">
        <v>202006</v>
      </c>
      <c r="H2468" t="s">
        <v>75</v>
      </c>
      <c r="I2468" t="s">
        <v>76</v>
      </c>
      <c r="J2468" t="s">
        <v>77</v>
      </c>
      <c r="K2468" t="s">
        <v>78</v>
      </c>
      <c r="L2468" t="s">
        <v>169</v>
      </c>
      <c r="M2468" t="s">
        <v>170</v>
      </c>
      <c r="N2468" t="s">
        <v>248</v>
      </c>
      <c r="O2468" t="s">
        <v>82</v>
      </c>
      <c r="P2468" t="str">
        <f>"21707223018                   "</f>
        <v xml:space="preserve">21707223018                   </v>
      </c>
      <c r="Q2468">
        <v>0</v>
      </c>
      <c r="R2468">
        <v>0</v>
      </c>
      <c r="S2468">
        <v>0</v>
      </c>
      <c r="T2468">
        <v>0</v>
      </c>
      <c r="U2468">
        <v>0</v>
      </c>
      <c r="V2468">
        <v>0</v>
      </c>
      <c r="W2468">
        <v>0</v>
      </c>
      <c r="X2468">
        <v>0</v>
      </c>
      <c r="Y2468">
        <v>0</v>
      </c>
      <c r="Z2468">
        <v>0</v>
      </c>
      <c r="AA2468">
        <v>0</v>
      </c>
      <c r="AB2468">
        <v>0</v>
      </c>
      <c r="AC2468">
        <v>0</v>
      </c>
      <c r="AD2468">
        <v>0</v>
      </c>
      <c r="AE2468">
        <v>0</v>
      </c>
      <c r="AF2468">
        <v>0</v>
      </c>
      <c r="AG2468">
        <v>0</v>
      </c>
      <c r="AH2468">
        <v>0</v>
      </c>
      <c r="AI2468">
        <v>0</v>
      </c>
      <c r="AJ2468">
        <v>0</v>
      </c>
      <c r="AK2468">
        <v>0</v>
      </c>
      <c r="AL2468">
        <v>0</v>
      </c>
      <c r="AM2468">
        <v>6.71</v>
      </c>
      <c r="AN2468">
        <v>0</v>
      </c>
      <c r="AO2468">
        <v>0</v>
      </c>
      <c r="AP2468">
        <v>0</v>
      </c>
      <c r="AQ2468">
        <v>0</v>
      </c>
      <c r="AR2468">
        <v>0</v>
      </c>
      <c r="AS2468">
        <v>0</v>
      </c>
      <c r="AT2468">
        <v>0</v>
      </c>
      <c r="AU2468">
        <v>0</v>
      </c>
      <c r="AV2468">
        <v>0</v>
      </c>
      <c r="AW2468">
        <v>0</v>
      </c>
      <c r="AX2468">
        <v>0</v>
      </c>
      <c r="AY2468">
        <v>0</v>
      </c>
      <c r="AZ2468">
        <v>0</v>
      </c>
      <c r="BA2468">
        <v>0</v>
      </c>
      <c r="BB2468">
        <v>0</v>
      </c>
      <c r="BC2468">
        <v>0</v>
      </c>
      <c r="BD2468">
        <v>0</v>
      </c>
      <c r="BE2468">
        <v>0</v>
      </c>
      <c r="BF2468">
        <v>0</v>
      </c>
      <c r="BG2468">
        <v>0</v>
      </c>
      <c r="BH2468">
        <v>1</v>
      </c>
      <c r="BI2468">
        <v>1</v>
      </c>
      <c r="BJ2468">
        <v>0.2</v>
      </c>
      <c r="BK2468">
        <v>1</v>
      </c>
      <c r="BL2468" s="4">
        <v>39.42</v>
      </c>
      <c r="BM2468" s="4">
        <v>5.91</v>
      </c>
      <c r="BN2468" s="4">
        <v>45.33</v>
      </c>
      <c r="BO2468" s="4">
        <v>45.33</v>
      </c>
      <c r="BQ2468" t="s">
        <v>147</v>
      </c>
      <c r="BR2468" t="s">
        <v>84</v>
      </c>
      <c r="BS2468" s="3">
        <v>43836</v>
      </c>
      <c r="BT2468" s="5">
        <v>0.33194444444444443</v>
      </c>
      <c r="BU2468" t="s">
        <v>1089</v>
      </c>
      <c r="BV2468" t="s">
        <v>89</v>
      </c>
      <c r="BY2468">
        <v>1200</v>
      </c>
      <c r="CA2468" t="s">
        <v>250</v>
      </c>
      <c r="CC2468" t="s">
        <v>170</v>
      </c>
      <c r="CD2468">
        <v>1459</v>
      </c>
      <c r="CE2468" t="s">
        <v>88</v>
      </c>
      <c r="CI2468">
        <v>1</v>
      </c>
      <c r="CJ2468">
        <v>10</v>
      </c>
      <c r="CK2468">
        <v>22</v>
      </c>
      <c r="CL2468" t="s">
        <v>89</v>
      </c>
    </row>
    <row r="2469" spans="1:90">
      <c r="A2469" t="s">
        <v>72</v>
      </c>
      <c r="B2469" t="s">
        <v>73</v>
      </c>
      <c r="C2469" t="s">
        <v>74</v>
      </c>
      <c r="E2469" t="str">
        <f>"FES1162729416"</f>
        <v>FES1162729416</v>
      </c>
      <c r="F2469" s="3">
        <v>43822</v>
      </c>
      <c r="G2469">
        <v>202006</v>
      </c>
      <c r="H2469" t="s">
        <v>75</v>
      </c>
      <c r="I2469" t="s">
        <v>76</v>
      </c>
      <c r="J2469" t="s">
        <v>77</v>
      </c>
      <c r="K2469" t="s">
        <v>78</v>
      </c>
      <c r="L2469" t="s">
        <v>213</v>
      </c>
      <c r="M2469" t="s">
        <v>214</v>
      </c>
      <c r="N2469" t="s">
        <v>303</v>
      </c>
      <c r="O2469" t="s">
        <v>82</v>
      </c>
      <c r="P2469" t="str">
        <f>"21707251604                   "</f>
        <v xml:space="preserve">21707251604                   </v>
      </c>
      <c r="Q2469">
        <v>0</v>
      </c>
      <c r="R2469">
        <v>0</v>
      </c>
      <c r="S2469">
        <v>0</v>
      </c>
      <c r="T2469">
        <v>0</v>
      </c>
      <c r="U2469">
        <v>0</v>
      </c>
      <c r="V2469">
        <v>0</v>
      </c>
      <c r="W2469">
        <v>0</v>
      </c>
      <c r="X2469">
        <v>0</v>
      </c>
      <c r="Y2469">
        <v>0</v>
      </c>
      <c r="Z2469">
        <v>0</v>
      </c>
      <c r="AA2469">
        <v>0</v>
      </c>
      <c r="AB2469">
        <v>0</v>
      </c>
      <c r="AC2469">
        <v>0</v>
      </c>
      <c r="AD2469">
        <v>0</v>
      </c>
      <c r="AE2469">
        <v>0</v>
      </c>
      <c r="AF2469">
        <v>0</v>
      </c>
      <c r="AG2469">
        <v>0</v>
      </c>
      <c r="AH2469">
        <v>0</v>
      </c>
      <c r="AI2469">
        <v>0</v>
      </c>
      <c r="AJ2469">
        <v>0</v>
      </c>
      <c r="AK2469">
        <v>0</v>
      </c>
      <c r="AL2469">
        <v>0</v>
      </c>
      <c r="AM2469">
        <v>12.87</v>
      </c>
      <c r="AN2469">
        <v>0</v>
      </c>
      <c r="AO2469">
        <v>0</v>
      </c>
      <c r="AP2469">
        <v>0</v>
      </c>
      <c r="AQ2469">
        <v>0</v>
      </c>
      <c r="AR2469">
        <v>0</v>
      </c>
      <c r="AS2469">
        <v>0</v>
      </c>
      <c r="AT2469">
        <v>0</v>
      </c>
      <c r="AU2469">
        <v>0</v>
      </c>
      <c r="AV2469">
        <v>0</v>
      </c>
      <c r="AW2469">
        <v>0</v>
      </c>
      <c r="AX2469">
        <v>0</v>
      </c>
      <c r="AY2469">
        <v>0</v>
      </c>
      <c r="AZ2469">
        <v>0</v>
      </c>
      <c r="BA2469">
        <v>0</v>
      </c>
      <c r="BB2469">
        <v>0</v>
      </c>
      <c r="BC2469">
        <v>0</v>
      </c>
      <c r="BD2469">
        <v>0</v>
      </c>
      <c r="BE2469">
        <v>0</v>
      </c>
      <c r="BF2469">
        <v>0</v>
      </c>
      <c r="BG2469">
        <v>0</v>
      </c>
      <c r="BH2469">
        <v>1</v>
      </c>
      <c r="BI2469">
        <v>0.8</v>
      </c>
      <c r="BJ2469">
        <v>2.6</v>
      </c>
      <c r="BK2469">
        <v>3</v>
      </c>
      <c r="BL2469" s="4">
        <v>75.66</v>
      </c>
      <c r="BM2469" s="4">
        <v>11.35</v>
      </c>
      <c r="BN2469" s="4">
        <v>87.01</v>
      </c>
      <c r="BO2469" s="4">
        <v>87.01</v>
      </c>
      <c r="BQ2469" t="s">
        <v>147</v>
      </c>
      <c r="BR2469" t="s">
        <v>84</v>
      </c>
      <c r="BS2469" s="3">
        <v>43823</v>
      </c>
      <c r="BT2469" s="5">
        <v>0.33333333333333331</v>
      </c>
      <c r="BU2469" t="s">
        <v>1336</v>
      </c>
      <c r="BV2469" t="s">
        <v>86</v>
      </c>
      <c r="BY2469">
        <v>13100.64</v>
      </c>
      <c r="CA2469" t="s">
        <v>99</v>
      </c>
      <c r="CC2469" t="s">
        <v>214</v>
      </c>
      <c r="CD2469">
        <v>6230</v>
      </c>
      <c r="CE2469" t="s">
        <v>88</v>
      </c>
      <c r="CF2469" s="3">
        <v>43826</v>
      </c>
      <c r="CI2469">
        <v>1</v>
      </c>
      <c r="CJ2469">
        <v>1</v>
      </c>
      <c r="CK2469">
        <v>21</v>
      </c>
      <c r="CL2469" t="s">
        <v>89</v>
      </c>
    </row>
    <row r="2470" spans="1:90">
      <c r="A2470" t="s">
        <v>72</v>
      </c>
      <c r="B2470" t="s">
        <v>73</v>
      </c>
      <c r="C2470" t="s">
        <v>74</v>
      </c>
      <c r="E2470" t="str">
        <f>"FES1162729409"</f>
        <v>FES1162729409</v>
      </c>
      <c r="F2470" s="3">
        <v>43822</v>
      </c>
      <c r="G2470">
        <v>202006</v>
      </c>
      <c r="H2470" t="s">
        <v>75</v>
      </c>
      <c r="I2470" t="s">
        <v>76</v>
      </c>
      <c r="J2470" t="s">
        <v>77</v>
      </c>
      <c r="K2470" t="s">
        <v>78</v>
      </c>
      <c r="L2470" t="s">
        <v>75</v>
      </c>
      <c r="M2470" t="s">
        <v>76</v>
      </c>
      <c r="N2470" t="s">
        <v>1997</v>
      </c>
      <c r="O2470" t="s">
        <v>82</v>
      </c>
      <c r="P2470" t="str">
        <f>"217072170                     "</f>
        <v xml:space="preserve">217072170                     </v>
      </c>
      <c r="Q2470">
        <v>0</v>
      </c>
      <c r="R2470">
        <v>0</v>
      </c>
      <c r="S2470">
        <v>0</v>
      </c>
      <c r="T2470">
        <v>0</v>
      </c>
      <c r="U2470">
        <v>0</v>
      </c>
      <c r="V2470">
        <v>0</v>
      </c>
      <c r="W2470">
        <v>0</v>
      </c>
      <c r="X2470">
        <v>0</v>
      </c>
      <c r="Y2470">
        <v>0</v>
      </c>
      <c r="Z2470">
        <v>0</v>
      </c>
      <c r="AA2470">
        <v>0</v>
      </c>
      <c r="AB2470">
        <v>0</v>
      </c>
      <c r="AC2470">
        <v>0</v>
      </c>
      <c r="AD2470">
        <v>0</v>
      </c>
      <c r="AE2470">
        <v>0</v>
      </c>
      <c r="AF2470">
        <v>0</v>
      </c>
      <c r="AG2470">
        <v>0</v>
      </c>
      <c r="AH2470">
        <v>0</v>
      </c>
      <c r="AI2470">
        <v>0</v>
      </c>
      <c r="AJ2470">
        <v>0</v>
      </c>
      <c r="AK2470">
        <v>0</v>
      </c>
      <c r="AL2470">
        <v>0</v>
      </c>
      <c r="AM2470">
        <v>6.71</v>
      </c>
      <c r="AN2470">
        <v>0</v>
      </c>
      <c r="AO2470">
        <v>0</v>
      </c>
      <c r="AP2470">
        <v>0</v>
      </c>
      <c r="AQ2470">
        <v>0</v>
      </c>
      <c r="AR2470">
        <v>0</v>
      </c>
      <c r="AS2470">
        <v>0</v>
      </c>
      <c r="AT2470">
        <v>0</v>
      </c>
      <c r="AU2470">
        <v>0</v>
      </c>
      <c r="AV2470">
        <v>0</v>
      </c>
      <c r="AW2470">
        <v>0</v>
      </c>
      <c r="AX2470">
        <v>0</v>
      </c>
      <c r="AY2470">
        <v>0</v>
      </c>
      <c r="AZ2470">
        <v>0</v>
      </c>
      <c r="BA2470">
        <v>0</v>
      </c>
      <c r="BB2470">
        <v>0</v>
      </c>
      <c r="BC2470">
        <v>0</v>
      </c>
      <c r="BD2470">
        <v>0</v>
      </c>
      <c r="BE2470">
        <v>0</v>
      </c>
      <c r="BF2470">
        <v>0</v>
      </c>
      <c r="BG2470">
        <v>0</v>
      </c>
      <c r="BH2470">
        <v>1</v>
      </c>
      <c r="BI2470">
        <v>1</v>
      </c>
      <c r="BJ2470">
        <v>0.2</v>
      </c>
      <c r="BK2470">
        <v>1</v>
      </c>
      <c r="BL2470" s="4">
        <v>39.42</v>
      </c>
      <c r="BM2470" s="4">
        <v>5.91</v>
      </c>
      <c r="BN2470" s="4">
        <v>45.33</v>
      </c>
      <c r="BO2470" s="4">
        <v>45.33</v>
      </c>
      <c r="BR2470" t="s">
        <v>84</v>
      </c>
      <c r="BS2470" s="3">
        <v>43823</v>
      </c>
      <c r="BT2470" s="5">
        <v>0.2638888888888889</v>
      </c>
      <c r="BU2470" t="s">
        <v>1998</v>
      </c>
      <c r="BV2470" t="s">
        <v>86</v>
      </c>
      <c r="BY2470">
        <v>1200</v>
      </c>
      <c r="CA2470" t="s">
        <v>588</v>
      </c>
      <c r="CC2470" t="s">
        <v>76</v>
      </c>
      <c r="CD2470">
        <v>1600</v>
      </c>
      <c r="CE2470" t="s">
        <v>88</v>
      </c>
      <c r="CF2470" s="3">
        <v>43826</v>
      </c>
      <c r="CI2470">
        <v>1</v>
      </c>
      <c r="CJ2470">
        <v>1</v>
      </c>
      <c r="CK2470">
        <v>22</v>
      </c>
      <c r="CL2470" t="s">
        <v>89</v>
      </c>
    </row>
    <row r="2471" spans="1:90">
      <c r="A2471" t="s">
        <v>72</v>
      </c>
      <c r="B2471" t="s">
        <v>73</v>
      </c>
      <c r="C2471" t="s">
        <v>74</v>
      </c>
      <c r="E2471" t="str">
        <f>"FES1162729456"</f>
        <v>FES1162729456</v>
      </c>
      <c r="F2471" s="3">
        <v>43822</v>
      </c>
      <c r="G2471">
        <v>202006</v>
      </c>
      <c r="H2471" t="s">
        <v>75</v>
      </c>
      <c r="I2471" t="s">
        <v>76</v>
      </c>
      <c r="J2471" t="s">
        <v>77</v>
      </c>
      <c r="K2471" t="s">
        <v>78</v>
      </c>
      <c r="L2471" t="s">
        <v>79</v>
      </c>
      <c r="M2471" t="s">
        <v>80</v>
      </c>
      <c r="N2471" t="s">
        <v>1597</v>
      </c>
      <c r="O2471" t="s">
        <v>82</v>
      </c>
      <c r="P2471" t="str">
        <f>"2170721426                    "</f>
        <v xml:space="preserve">2170721426                    </v>
      </c>
      <c r="Q2471">
        <v>0</v>
      </c>
      <c r="R2471">
        <v>0</v>
      </c>
      <c r="S2471">
        <v>0</v>
      </c>
      <c r="T2471">
        <v>0</v>
      </c>
      <c r="U2471">
        <v>0</v>
      </c>
      <c r="V2471">
        <v>0</v>
      </c>
      <c r="W2471">
        <v>0</v>
      </c>
      <c r="X2471">
        <v>0</v>
      </c>
      <c r="Y2471">
        <v>0</v>
      </c>
      <c r="Z2471">
        <v>0</v>
      </c>
      <c r="AA2471">
        <v>0</v>
      </c>
      <c r="AB2471">
        <v>0</v>
      </c>
      <c r="AC2471">
        <v>0</v>
      </c>
      <c r="AD2471">
        <v>0</v>
      </c>
      <c r="AE2471">
        <v>0</v>
      </c>
      <c r="AF2471">
        <v>0</v>
      </c>
      <c r="AG2471">
        <v>0</v>
      </c>
      <c r="AH2471">
        <v>0</v>
      </c>
      <c r="AI2471">
        <v>0</v>
      </c>
      <c r="AJ2471">
        <v>0</v>
      </c>
      <c r="AK2471">
        <v>0</v>
      </c>
      <c r="AL2471">
        <v>0</v>
      </c>
      <c r="AM2471">
        <v>8.58</v>
      </c>
      <c r="AN2471">
        <v>0</v>
      </c>
      <c r="AO2471">
        <v>0</v>
      </c>
      <c r="AP2471">
        <v>0</v>
      </c>
      <c r="AQ2471">
        <v>0</v>
      </c>
      <c r="AR2471">
        <v>0</v>
      </c>
      <c r="AS2471">
        <v>0</v>
      </c>
      <c r="AT2471">
        <v>0</v>
      </c>
      <c r="AU2471">
        <v>0</v>
      </c>
      <c r="AV2471">
        <v>0</v>
      </c>
      <c r="AW2471">
        <v>0</v>
      </c>
      <c r="AX2471">
        <v>0</v>
      </c>
      <c r="AY2471">
        <v>0</v>
      </c>
      <c r="AZ2471">
        <v>0</v>
      </c>
      <c r="BA2471">
        <v>0</v>
      </c>
      <c r="BB2471">
        <v>0</v>
      </c>
      <c r="BC2471">
        <v>0</v>
      </c>
      <c r="BD2471">
        <v>0</v>
      </c>
      <c r="BE2471">
        <v>0</v>
      </c>
      <c r="BF2471">
        <v>0</v>
      </c>
      <c r="BG2471">
        <v>0</v>
      </c>
      <c r="BH2471">
        <v>1</v>
      </c>
      <c r="BI2471">
        <v>1</v>
      </c>
      <c r="BJ2471">
        <v>0.2</v>
      </c>
      <c r="BK2471">
        <v>1</v>
      </c>
      <c r="BL2471" s="4">
        <v>50.45</v>
      </c>
      <c r="BM2471" s="4">
        <v>7.57</v>
      </c>
      <c r="BN2471" s="4">
        <v>58.02</v>
      </c>
      <c r="BO2471" s="4">
        <v>58.02</v>
      </c>
      <c r="BQ2471" t="s">
        <v>1598</v>
      </c>
      <c r="BR2471" t="s">
        <v>84</v>
      </c>
      <c r="BS2471" s="3">
        <v>43823</v>
      </c>
      <c r="BT2471" s="5">
        <v>0.30833333333333335</v>
      </c>
      <c r="BU2471" t="s">
        <v>1222</v>
      </c>
      <c r="BV2471" t="s">
        <v>86</v>
      </c>
      <c r="BY2471">
        <v>1200</v>
      </c>
      <c r="CA2471" t="s">
        <v>131</v>
      </c>
      <c r="CC2471" t="s">
        <v>80</v>
      </c>
      <c r="CD2471">
        <v>6001</v>
      </c>
      <c r="CE2471" t="s">
        <v>88</v>
      </c>
      <c r="CF2471" s="3">
        <v>43826</v>
      </c>
      <c r="CI2471">
        <v>1</v>
      </c>
      <c r="CJ2471">
        <v>1</v>
      </c>
      <c r="CK2471">
        <v>21</v>
      </c>
      <c r="CL2471" t="s">
        <v>89</v>
      </c>
    </row>
    <row r="2472" spans="1:90">
      <c r="A2472" t="s">
        <v>72</v>
      </c>
      <c r="B2472" t="s">
        <v>73</v>
      </c>
      <c r="C2472" t="s">
        <v>74</v>
      </c>
      <c r="E2472" t="str">
        <f>"FES1162729411"</f>
        <v>FES1162729411</v>
      </c>
      <c r="F2472" s="3">
        <v>43822</v>
      </c>
      <c r="G2472">
        <v>202006</v>
      </c>
      <c r="H2472" t="s">
        <v>75</v>
      </c>
      <c r="I2472" t="s">
        <v>76</v>
      </c>
      <c r="J2472" t="s">
        <v>77</v>
      </c>
      <c r="K2472" t="s">
        <v>78</v>
      </c>
      <c r="L2472" t="s">
        <v>132</v>
      </c>
      <c r="M2472" t="s">
        <v>133</v>
      </c>
      <c r="N2472" t="s">
        <v>134</v>
      </c>
      <c r="O2472" t="s">
        <v>82</v>
      </c>
      <c r="P2472" t="str">
        <f>"2170729411                    "</f>
        <v xml:space="preserve">2170729411                    </v>
      </c>
      <c r="Q2472">
        <v>0</v>
      </c>
      <c r="R2472">
        <v>0</v>
      </c>
      <c r="S2472">
        <v>0</v>
      </c>
      <c r="T2472">
        <v>0</v>
      </c>
      <c r="U2472">
        <v>0</v>
      </c>
      <c r="V2472">
        <v>0</v>
      </c>
      <c r="W2472">
        <v>0</v>
      </c>
      <c r="X2472">
        <v>0</v>
      </c>
      <c r="Y2472">
        <v>0</v>
      </c>
      <c r="Z2472">
        <v>0</v>
      </c>
      <c r="AA2472">
        <v>0</v>
      </c>
      <c r="AB2472">
        <v>0</v>
      </c>
      <c r="AC2472">
        <v>0</v>
      </c>
      <c r="AD2472">
        <v>0</v>
      </c>
      <c r="AE2472">
        <v>0</v>
      </c>
      <c r="AF2472">
        <v>0</v>
      </c>
      <c r="AG2472">
        <v>0</v>
      </c>
      <c r="AH2472">
        <v>0</v>
      </c>
      <c r="AI2472">
        <v>0</v>
      </c>
      <c r="AJ2472">
        <v>0</v>
      </c>
      <c r="AK2472">
        <v>0</v>
      </c>
      <c r="AL2472">
        <v>0</v>
      </c>
      <c r="AM2472">
        <v>12.87</v>
      </c>
      <c r="AN2472">
        <v>0</v>
      </c>
      <c r="AO2472">
        <v>0</v>
      </c>
      <c r="AP2472">
        <v>0</v>
      </c>
      <c r="AQ2472">
        <v>0</v>
      </c>
      <c r="AR2472">
        <v>0</v>
      </c>
      <c r="AS2472">
        <v>0</v>
      </c>
      <c r="AT2472">
        <v>0</v>
      </c>
      <c r="AU2472">
        <v>0</v>
      </c>
      <c r="AV2472">
        <v>0</v>
      </c>
      <c r="AW2472">
        <v>0</v>
      </c>
      <c r="AX2472">
        <v>0</v>
      </c>
      <c r="AY2472">
        <v>0</v>
      </c>
      <c r="AZ2472">
        <v>0</v>
      </c>
      <c r="BA2472">
        <v>0</v>
      </c>
      <c r="BB2472">
        <v>0</v>
      </c>
      <c r="BC2472">
        <v>0</v>
      </c>
      <c r="BD2472">
        <v>0</v>
      </c>
      <c r="BE2472">
        <v>0</v>
      </c>
      <c r="BF2472">
        <v>0</v>
      </c>
      <c r="BG2472">
        <v>0</v>
      </c>
      <c r="BH2472">
        <v>1</v>
      </c>
      <c r="BI2472">
        <v>1.3</v>
      </c>
      <c r="BJ2472">
        <v>2.7</v>
      </c>
      <c r="BK2472">
        <v>3</v>
      </c>
      <c r="BL2472" s="4">
        <v>75.66</v>
      </c>
      <c r="BM2472" s="4">
        <v>11.35</v>
      </c>
      <c r="BN2472" s="4">
        <v>87.01</v>
      </c>
      <c r="BO2472" s="4">
        <v>87.01</v>
      </c>
      <c r="BQ2472" t="s">
        <v>172</v>
      </c>
      <c r="BR2472" t="s">
        <v>84</v>
      </c>
      <c r="BS2472" s="3">
        <v>43826</v>
      </c>
      <c r="BT2472" s="5">
        <v>0.39583333333333331</v>
      </c>
      <c r="BU2472" t="s">
        <v>2106</v>
      </c>
      <c r="BV2472" t="s">
        <v>89</v>
      </c>
      <c r="BY2472">
        <v>13316.1</v>
      </c>
      <c r="CC2472" t="s">
        <v>133</v>
      </c>
      <c r="CD2472">
        <v>157</v>
      </c>
      <c r="CE2472" t="s">
        <v>88</v>
      </c>
      <c r="CF2472" s="3">
        <v>43830</v>
      </c>
      <c r="CI2472">
        <v>1</v>
      </c>
      <c r="CJ2472">
        <v>4</v>
      </c>
      <c r="CK2472">
        <v>21</v>
      </c>
      <c r="CL2472" t="s">
        <v>89</v>
      </c>
    </row>
    <row r="2473" spans="1:90">
      <c r="A2473" t="s">
        <v>72</v>
      </c>
      <c r="B2473" t="s">
        <v>73</v>
      </c>
      <c r="C2473" t="s">
        <v>74</v>
      </c>
      <c r="E2473" t="str">
        <f>"FES1162729396"</f>
        <v>FES1162729396</v>
      </c>
      <c r="F2473" s="3">
        <v>43822</v>
      </c>
      <c r="G2473">
        <v>202006</v>
      </c>
      <c r="H2473" t="s">
        <v>75</v>
      </c>
      <c r="I2473" t="s">
        <v>76</v>
      </c>
      <c r="J2473" t="s">
        <v>77</v>
      </c>
      <c r="K2473" t="s">
        <v>78</v>
      </c>
      <c r="L2473" t="s">
        <v>1051</v>
      </c>
      <c r="M2473" t="s">
        <v>1052</v>
      </c>
      <c r="N2473" t="s">
        <v>634</v>
      </c>
      <c r="O2473" t="s">
        <v>82</v>
      </c>
      <c r="P2473" t="str">
        <f>"2170722400                    "</f>
        <v xml:space="preserve">2170722400                    </v>
      </c>
      <c r="Q2473">
        <v>0</v>
      </c>
      <c r="R2473">
        <v>0</v>
      </c>
      <c r="S2473">
        <v>0</v>
      </c>
      <c r="T2473">
        <v>0</v>
      </c>
      <c r="U2473">
        <v>0</v>
      </c>
      <c r="V2473">
        <v>0</v>
      </c>
      <c r="W2473">
        <v>0</v>
      </c>
      <c r="X2473">
        <v>0</v>
      </c>
      <c r="Y2473">
        <v>0</v>
      </c>
      <c r="Z2473">
        <v>0</v>
      </c>
      <c r="AA2473">
        <v>0</v>
      </c>
      <c r="AB2473">
        <v>0</v>
      </c>
      <c r="AC2473">
        <v>0</v>
      </c>
      <c r="AD2473">
        <v>0</v>
      </c>
      <c r="AE2473">
        <v>0</v>
      </c>
      <c r="AF2473">
        <v>0</v>
      </c>
      <c r="AG2473">
        <v>0</v>
      </c>
      <c r="AH2473">
        <v>0</v>
      </c>
      <c r="AI2473">
        <v>0</v>
      </c>
      <c r="AJ2473">
        <v>0</v>
      </c>
      <c r="AK2473">
        <v>0</v>
      </c>
      <c r="AL2473">
        <v>0</v>
      </c>
      <c r="AM2473">
        <v>12.07</v>
      </c>
      <c r="AN2473">
        <v>0</v>
      </c>
      <c r="AO2473">
        <v>0</v>
      </c>
      <c r="AP2473">
        <v>0</v>
      </c>
      <c r="AQ2473">
        <v>0</v>
      </c>
      <c r="AR2473">
        <v>0</v>
      </c>
      <c r="AS2473">
        <v>0</v>
      </c>
      <c r="AT2473">
        <v>0</v>
      </c>
      <c r="AU2473">
        <v>0</v>
      </c>
      <c r="AV2473">
        <v>0</v>
      </c>
      <c r="AW2473">
        <v>0</v>
      </c>
      <c r="AX2473">
        <v>0</v>
      </c>
      <c r="AY2473">
        <v>0</v>
      </c>
      <c r="AZ2473">
        <v>0</v>
      </c>
      <c r="BA2473">
        <v>0</v>
      </c>
      <c r="BB2473">
        <v>0</v>
      </c>
      <c r="BC2473">
        <v>0</v>
      </c>
      <c r="BD2473">
        <v>0</v>
      </c>
      <c r="BE2473">
        <v>0</v>
      </c>
      <c r="BF2473">
        <v>0</v>
      </c>
      <c r="BG2473">
        <v>0</v>
      </c>
      <c r="BH2473">
        <v>1</v>
      </c>
      <c r="BI2473">
        <v>0.2</v>
      </c>
      <c r="BJ2473">
        <v>1</v>
      </c>
      <c r="BK2473">
        <v>1</v>
      </c>
      <c r="BL2473" s="4">
        <v>70.95</v>
      </c>
      <c r="BM2473" s="4">
        <v>10.64</v>
      </c>
      <c r="BN2473" s="4">
        <v>81.59</v>
      </c>
      <c r="BO2473" s="4">
        <v>81.59</v>
      </c>
      <c r="BQ2473" t="s">
        <v>147</v>
      </c>
      <c r="BR2473" t="s">
        <v>84</v>
      </c>
      <c r="BS2473" s="3">
        <v>43823</v>
      </c>
      <c r="BT2473" s="5">
        <v>0.33333333333333331</v>
      </c>
      <c r="BU2473" t="s">
        <v>2604</v>
      </c>
      <c r="BV2473" t="s">
        <v>86</v>
      </c>
      <c r="BY2473">
        <v>4818.45</v>
      </c>
      <c r="CA2473" t="s">
        <v>344</v>
      </c>
      <c r="CC2473" t="s">
        <v>1052</v>
      </c>
      <c r="CD2473">
        <v>1754</v>
      </c>
      <c r="CE2473" t="s">
        <v>88</v>
      </c>
      <c r="CF2473" s="3">
        <v>43826</v>
      </c>
      <c r="CI2473">
        <v>1</v>
      </c>
      <c r="CJ2473">
        <v>1</v>
      </c>
      <c r="CK2473">
        <v>24</v>
      </c>
      <c r="CL2473" t="s">
        <v>89</v>
      </c>
    </row>
    <row r="2474" spans="1:90">
      <c r="A2474" t="s">
        <v>72</v>
      </c>
      <c r="B2474" t="s">
        <v>73</v>
      </c>
      <c r="C2474" t="s">
        <v>74</v>
      </c>
      <c r="E2474" t="str">
        <f>"FES1162729447"</f>
        <v>FES1162729447</v>
      </c>
      <c r="F2474" s="3">
        <v>43822</v>
      </c>
      <c r="G2474">
        <v>202006</v>
      </c>
      <c r="H2474" t="s">
        <v>75</v>
      </c>
      <c r="I2474" t="s">
        <v>76</v>
      </c>
      <c r="J2474" t="s">
        <v>77</v>
      </c>
      <c r="K2474" t="s">
        <v>78</v>
      </c>
      <c r="L2474" t="s">
        <v>164</v>
      </c>
      <c r="M2474" t="s">
        <v>165</v>
      </c>
      <c r="N2474" t="s">
        <v>369</v>
      </c>
      <c r="O2474" t="s">
        <v>82</v>
      </c>
      <c r="P2474" t="str">
        <f>"2170722439                    "</f>
        <v xml:space="preserve">2170722439                    </v>
      </c>
      <c r="Q2474">
        <v>0</v>
      </c>
      <c r="R2474">
        <v>0</v>
      </c>
      <c r="S2474">
        <v>0</v>
      </c>
      <c r="T2474">
        <v>0</v>
      </c>
      <c r="U2474">
        <v>0</v>
      </c>
      <c r="V2474">
        <v>0</v>
      </c>
      <c r="W2474">
        <v>0</v>
      </c>
      <c r="X2474">
        <v>0</v>
      </c>
      <c r="Y2474">
        <v>0</v>
      </c>
      <c r="Z2474">
        <v>0</v>
      </c>
      <c r="AA2474">
        <v>0</v>
      </c>
      <c r="AB2474">
        <v>0</v>
      </c>
      <c r="AC2474">
        <v>0</v>
      </c>
      <c r="AD2474">
        <v>0</v>
      </c>
      <c r="AE2474">
        <v>0</v>
      </c>
      <c r="AF2474">
        <v>0</v>
      </c>
      <c r="AG2474">
        <v>0</v>
      </c>
      <c r="AH2474">
        <v>0</v>
      </c>
      <c r="AI2474">
        <v>0</v>
      </c>
      <c r="AJ2474">
        <v>0</v>
      </c>
      <c r="AK2474">
        <v>0</v>
      </c>
      <c r="AL2474">
        <v>0</v>
      </c>
      <c r="AM2474">
        <v>8.58</v>
      </c>
      <c r="AN2474">
        <v>0</v>
      </c>
      <c r="AO2474">
        <v>0</v>
      </c>
      <c r="AP2474">
        <v>0</v>
      </c>
      <c r="AQ2474">
        <v>0</v>
      </c>
      <c r="AR2474">
        <v>0</v>
      </c>
      <c r="AS2474">
        <v>0</v>
      </c>
      <c r="AT2474">
        <v>0</v>
      </c>
      <c r="AU2474">
        <v>0</v>
      </c>
      <c r="AV2474">
        <v>0</v>
      </c>
      <c r="AW2474">
        <v>0</v>
      </c>
      <c r="AX2474">
        <v>0</v>
      </c>
      <c r="AY2474">
        <v>0</v>
      </c>
      <c r="AZ2474">
        <v>0</v>
      </c>
      <c r="BA2474">
        <v>0</v>
      </c>
      <c r="BB2474">
        <v>0</v>
      </c>
      <c r="BC2474">
        <v>0</v>
      </c>
      <c r="BD2474">
        <v>0</v>
      </c>
      <c r="BE2474">
        <v>0</v>
      </c>
      <c r="BF2474">
        <v>0</v>
      </c>
      <c r="BG2474">
        <v>0</v>
      </c>
      <c r="BH2474">
        <v>1</v>
      </c>
      <c r="BI2474">
        <v>1</v>
      </c>
      <c r="BJ2474">
        <v>0.2</v>
      </c>
      <c r="BK2474">
        <v>1</v>
      </c>
      <c r="BL2474" s="4">
        <v>50.45</v>
      </c>
      <c r="BM2474" s="4">
        <v>7.57</v>
      </c>
      <c r="BN2474" s="4">
        <v>58.02</v>
      </c>
      <c r="BO2474" s="4">
        <v>58.02</v>
      </c>
      <c r="BQ2474" t="s">
        <v>93</v>
      </c>
      <c r="BR2474" t="s">
        <v>84</v>
      </c>
      <c r="BS2474" s="3">
        <v>43836</v>
      </c>
      <c r="BT2474" s="5">
        <v>0.39861111111111108</v>
      </c>
      <c r="BU2474" t="s">
        <v>2605</v>
      </c>
      <c r="BV2474" t="s">
        <v>89</v>
      </c>
      <c r="BW2474" t="s">
        <v>1335</v>
      </c>
      <c r="BX2474" t="s">
        <v>619</v>
      </c>
      <c r="BY2474">
        <v>1200</v>
      </c>
      <c r="CA2474" t="s">
        <v>766</v>
      </c>
      <c r="CC2474" t="s">
        <v>165</v>
      </c>
      <c r="CD2474">
        <v>5201</v>
      </c>
      <c r="CE2474" t="s">
        <v>88</v>
      </c>
      <c r="CI2474">
        <v>1</v>
      </c>
      <c r="CJ2474">
        <v>10</v>
      </c>
      <c r="CK2474">
        <v>21</v>
      </c>
      <c r="CL2474" t="s">
        <v>89</v>
      </c>
    </row>
    <row r="2475" spans="1:90">
      <c r="A2475" t="s">
        <v>72</v>
      </c>
      <c r="B2475" t="s">
        <v>73</v>
      </c>
      <c r="C2475" t="s">
        <v>74</v>
      </c>
      <c r="E2475" t="str">
        <f>"FES1162729407"</f>
        <v>FES1162729407</v>
      </c>
      <c r="F2475" s="3">
        <v>43822</v>
      </c>
      <c r="G2475">
        <v>202006</v>
      </c>
      <c r="H2475" t="s">
        <v>75</v>
      </c>
      <c r="I2475" t="s">
        <v>76</v>
      </c>
      <c r="J2475" t="s">
        <v>77</v>
      </c>
      <c r="K2475" t="s">
        <v>78</v>
      </c>
      <c r="L2475" t="s">
        <v>75</v>
      </c>
      <c r="M2475" t="s">
        <v>76</v>
      </c>
      <c r="N2475" t="s">
        <v>756</v>
      </c>
      <c r="O2475" t="s">
        <v>82</v>
      </c>
      <c r="P2475" t="str">
        <f>"2170721211                    "</f>
        <v xml:space="preserve">2170721211                    </v>
      </c>
      <c r="Q2475">
        <v>0</v>
      </c>
      <c r="R2475">
        <v>0</v>
      </c>
      <c r="S2475">
        <v>0</v>
      </c>
      <c r="T2475">
        <v>0</v>
      </c>
      <c r="U2475">
        <v>0</v>
      </c>
      <c r="V2475">
        <v>0</v>
      </c>
      <c r="W2475">
        <v>0</v>
      </c>
      <c r="X2475">
        <v>0</v>
      </c>
      <c r="Y2475">
        <v>0</v>
      </c>
      <c r="Z2475">
        <v>0</v>
      </c>
      <c r="AA2475">
        <v>0</v>
      </c>
      <c r="AB2475">
        <v>0</v>
      </c>
      <c r="AC2475">
        <v>0</v>
      </c>
      <c r="AD2475">
        <v>0</v>
      </c>
      <c r="AE2475">
        <v>0</v>
      </c>
      <c r="AF2475">
        <v>0</v>
      </c>
      <c r="AG2475">
        <v>0</v>
      </c>
      <c r="AH2475">
        <v>0</v>
      </c>
      <c r="AI2475">
        <v>0</v>
      </c>
      <c r="AJ2475">
        <v>0</v>
      </c>
      <c r="AK2475">
        <v>0</v>
      </c>
      <c r="AL2475">
        <v>0</v>
      </c>
      <c r="AM2475">
        <v>6.71</v>
      </c>
      <c r="AN2475">
        <v>0</v>
      </c>
      <c r="AO2475">
        <v>0</v>
      </c>
      <c r="AP2475">
        <v>0</v>
      </c>
      <c r="AQ2475">
        <v>0</v>
      </c>
      <c r="AR2475">
        <v>0</v>
      </c>
      <c r="AS2475">
        <v>0</v>
      </c>
      <c r="AT2475">
        <v>0</v>
      </c>
      <c r="AU2475">
        <v>0</v>
      </c>
      <c r="AV2475">
        <v>0</v>
      </c>
      <c r="AW2475">
        <v>0</v>
      </c>
      <c r="AX2475">
        <v>0</v>
      </c>
      <c r="AY2475">
        <v>0</v>
      </c>
      <c r="AZ2475">
        <v>0</v>
      </c>
      <c r="BA2475">
        <v>0</v>
      </c>
      <c r="BB2475">
        <v>0</v>
      </c>
      <c r="BC2475">
        <v>0</v>
      </c>
      <c r="BD2475">
        <v>0</v>
      </c>
      <c r="BE2475">
        <v>0</v>
      </c>
      <c r="BF2475">
        <v>0</v>
      </c>
      <c r="BG2475">
        <v>0</v>
      </c>
      <c r="BH2475">
        <v>1</v>
      </c>
      <c r="BI2475">
        <v>1</v>
      </c>
      <c r="BJ2475">
        <v>0.2</v>
      </c>
      <c r="BK2475">
        <v>1</v>
      </c>
      <c r="BL2475" s="4">
        <v>39.42</v>
      </c>
      <c r="BM2475" s="4">
        <v>5.91</v>
      </c>
      <c r="BN2475" s="4">
        <v>45.33</v>
      </c>
      <c r="BO2475" s="4">
        <v>45.33</v>
      </c>
      <c r="BQ2475" t="s">
        <v>93</v>
      </c>
      <c r="BR2475" t="s">
        <v>84</v>
      </c>
      <c r="BS2475" t="s">
        <v>717</v>
      </c>
      <c r="BY2475">
        <v>1200</v>
      </c>
      <c r="CC2475" t="s">
        <v>76</v>
      </c>
      <c r="CD2475">
        <v>1666</v>
      </c>
      <c r="CE2475" t="s">
        <v>88</v>
      </c>
      <c r="CI2475">
        <v>1</v>
      </c>
      <c r="CJ2475" t="s">
        <v>717</v>
      </c>
      <c r="CK2475">
        <v>22</v>
      </c>
      <c r="CL2475" t="s">
        <v>89</v>
      </c>
    </row>
    <row r="2476" spans="1:90">
      <c r="A2476" t="s">
        <v>72</v>
      </c>
      <c r="B2476" t="s">
        <v>73</v>
      </c>
      <c r="C2476" t="s">
        <v>74</v>
      </c>
      <c r="E2476" t="str">
        <f>"FES1162729415"</f>
        <v>FES1162729415</v>
      </c>
      <c r="F2476" s="3">
        <v>43822</v>
      </c>
      <c r="G2476">
        <v>202006</v>
      </c>
      <c r="H2476" t="s">
        <v>75</v>
      </c>
      <c r="I2476" t="s">
        <v>76</v>
      </c>
      <c r="J2476" t="s">
        <v>77</v>
      </c>
      <c r="K2476" t="s">
        <v>78</v>
      </c>
      <c r="L2476" t="s">
        <v>164</v>
      </c>
      <c r="M2476" t="s">
        <v>165</v>
      </c>
      <c r="N2476" t="s">
        <v>369</v>
      </c>
      <c r="O2476" t="s">
        <v>82</v>
      </c>
      <c r="P2476" t="str">
        <f>"2170761602                    "</f>
        <v xml:space="preserve">2170761602                    </v>
      </c>
      <c r="Q2476">
        <v>0</v>
      </c>
      <c r="R2476">
        <v>0</v>
      </c>
      <c r="S2476">
        <v>0</v>
      </c>
      <c r="T2476">
        <v>0</v>
      </c>
      <c r="U2476">
        <v>0</v>
      </c>
      <c r="V2476">
        <v>0</v>
      </c>
      <c r="W2476">
        <v>0</v>
      </c>
      <c r="X2476">
        <v>0</v>
      </c>
      <c r="Y2476">
        <v>0</v>
      </c>
      <c r="Z2476">
        <v>0</v>
      </c>
      <c r="AA2476">
        <v>0</v>
      </c>
      <c r="AB2476">
        <v>0</v>
      </c>
      <c r="AC2476">
        <v>0</v>
      </c>
      <c r="AD2476">
        <v>0</v>
      </c>
      <c r="AE2476">
        <v>0</v>
      </c>
      <c r="AF2476">
        <v>0</v>
      </c>
      <c r="AG2476">
        <v>0</v>
      </c>
      <c r="AH2476">
        <v>0</v>
      </c>
      <c r="AI2476">
        <v>0</v>
      </c>
      <c r="AJ2476">
        <v>0</v>
      </c>
      <c r="AK2476">
        <v>0</v>
      </c>
      <c r="AL2476">
        <v>0</v>
      </c>
      <c r="AM2476">
        <v>19.3</v>
      </c>
      <c r="AN2476">
        <v>0</v>
      </c>
      <c r="AO2476">
        <v>0</v>
      </c>
      <c r="AP2476">
        <v>0</v>
      </c>
      <c r="AQ2476">
        <v>0</v>
      </c>
      <c r="AR2476">
        <v>0</v>
      </c>
      <c r="AS2476">
        <v>0</v>
      </c>
      <c r="AT2476">
        <v>0</v>
      </c>
      <c r="AU2476">
        <v>0</v>
      </c>
      <c r="AV2476">
        <v>0</v>
      </c>
      <c r="AW2476">
        <v>0</v>
      </c>
      <c r="AX2476">
        <v>0</v>
      </c>
      <c r="AY2476">
        <v>0</v>
      </c>
      <c r="AZ2476">
        <v>0</v>
      </c>
      <c r="BA2476">
        <v>0</v>
      </c>
      <c r="BB2476">
        <v>0</v>
      </c>
      <c r="BC2476">
        <v>0</v>
      </c>
      <c r="BD2476">
        <v>0</v>
      </c>
      <c r="BE2476">
        <v>0</v>
      </c>
      <c r="BF2476">
        <v>0</v>
      </c>
      <c r="BG2476">
        <v>0</v>
      </c>
      <c r="BH2476">
        <v>1</v>
      </c>
      <c r="BI2476">
        <v>4.5</v>
      </c>
      <c r="BJ2476">
        <v>1.4</v>
      </c>
      <c r="BK2476">
        <v>4.5</v>
      </c>
      <c r="BL2476" s="4">
        <v>113.47</v>
      </c>
      <c r="BM2476" s="4">
        <v>17.02</v>
      </c>
      <c r="BN2476" s="4">
        <v>130.49</v>
      </c>
      <c r="BO2476" s="4">
        <v>130.49</v>
      </c>
      <c r="BQ2476" t="s">
        <v>93</v>
      </c>
      <c r="BR2476" t="s">
        <v>84</v>
      </c>
      <c r="BS2476" s="3">
        <v>43836</v>
      </c>
      <c r="BT2476" s="5">
        <v>0.39861111111111108</v>
      </c>
      <c r="BU2476" t="s">
        <v>2605</v>
      </c>
      <c r="BV2476" t="s">
        <v>89</v>
      </c>
      <c r="BW2476" t="s">
        <v>1335</v>
      </c>
      <c r="BX2476" t="s">
        <v>619</v>
      </c>
      <c r="BY2476">
        <v>7192.64</v>
      </c>
      <c r="CA2476" t="s">
        <v>766</v>
      </c>
      <c r="CC2476" t="s">
        <v>165</v>
      </c>
      <c r="CD2476">
        <v>5201</v>
      </c>
      <c r="CE2476" t="s">
        <v>96</v>
      </c>
      <c r="CI2476">
        <v>1</v>
      </c>
      <c r="CJ2476">
        <v>10</v>
      </c>
      <c r="CK2476">
        <v>21</v>
      </c>
      <c r="CL2476" t="s">
        <v>89</v>
      </c>
    </row>
    <row r="2477" spans="1:90">
      <c r="A2477" t="s">
        <v>72</v>
      </c>
      <c r="B2477" t="s">
        <v>73</v>
      </c>
      <c r="C2477" t="s">
        <v>74</v>
      </c>
      <c r="E2477" t="str">
        <f>"FES1162729413"</f>
        <v>FES1162729413</v>
      </c>
      <c r="F2477" s="3">
        <v>43822</v>
      </c>
      <c r="G2477">
        <v>202006</v>
      </c>
      <c r="H2477" t="s">
        <v>75</v>
      </c>
      <c r="I2477" t="s">
        <v>76</v>
      </c>
      <c r="J2477" t="s">
        <v>77</v>
      </c>
      <c r="K2477" t="s">
        <v>78</v>
      </c>
      <c r="L2477" t="s">
        <v>213</v>
      </c>
      <c r="M2477" t="s">
        <v>214</v>
      </c>
      <c r="N2477" t="s">
        <v>598</v>
      </c>
      <c r="O2477" t="s">
        <v>82</v>
      </c>
      <c r="P2477" t="str">
        <f>"2170721373                    "</f>
        <v xml:space="preserve">2170721373                    </v>
      </c>
      <c r="Q2477">
        <v>0</v>
      </c>
      <c r="R2477">
        <v>0</v>
      </c>
      <c r="S2477">
        <v>0</v>
      </c>
      <c r="T2477">
        <v>0</v>
      </c>
      <c r="U2477">
        <v>0</v>
      </c>
      <c r="V2477">
        <v>0</v>
      </c>
      <c r="W2477">
        <v>0</v>
      </c>
      <c r="X2477">
        <v>0</v>
      </c>
      <c r="Y2477">
        <v>0</v>
      </c>
      <c r="Z2477">
        <v>0</v>
      </c>
      <c r="AA2477">
        <v>0</v>
      </c>
      <c r="AB2477">
        <v>0</v>
      </c>
      <c r="AC2477">
        <v>0</v>
      </c>
      <c r="AD2477">
        <v>0</v>
      </c>
      <c r="AE2477">
        <v>0</v>
      </c>
      <c r="AF2477">
        <v>0</v>
      </c>
      <c r="AG2477">
        <v>0</v>
      </c>
      <c r="AH2477">
        <v>0</v>
      </c>
      <c r="AI2477">
        <v>0</v>
      </c>
      <c r="AJ2477">
        <v>0</v>
      </c>
      <c r="AK2477">
        <v>0</v>
      </c>
      <c r="AL2477">
        <v>0</v>
      </c>
      <c r="AM2477">
        <v>12.87</v>
      </c>
      <c r="AN2477">
        <v>0</v>
      </c>
      <c r="AO2477">
        <v>0</v>
      </c>
      <c r="AP2477">
        <v>0</v>
      </c>
      <c r="AQ2477">
        <v>0</v>
      </c>
      <c r="AR2477">
        <v>0</v>
      </c>
      <c r="AS2477">
        <v>0</v>
      </c>
      <c r="AT2477">
        <v>0</v>
      </c>
      <c r="AU2477">
        <v>0</v>
      </c>
      <c r="AV2477">
        <v>0</v>
      </c>
      <c r="AW2477">
        <v>0</v>
      </c>
      <c r="AX2477">
        <v>0</v>
      </c>
      <c r="AY2477">
        <v>0</v>
      </c>
      <c r="AZ2477">
        <v>0</v>
      </c>
      <c r="BA2477">
        <v>0</v>
      </c>
      <c r="BB2477">
        <v>0</v>
      </c>
      <c r="BC2477">
        <v>0</v>
      </c>
      <c r="BD2477">
        <v>0</v>
      </c>
      <c r="BE2477">
        <v>0</v>
      </c>
      <c r="BF2477">
        <v>0</v>
      </c>
      <c r="BG2477">
        <v>0</v>
      </c>
      <c r="BH2477">
        <v>1</v>
      </c>
      <c r="BI2477">
        <v>2.6</v>
      </c>
      <c r="BJ2477">
        <v>1.6</v>
      </c>
      <c r="BK2477">
        <v>3</v>
      </c>
      <c r="BL2477" s="4">
        <v>75.66</v>
      </c>
      <c r="BM2477" s="4">
        <v>11.35</v>
      </c>
      <c r="BN2477" s="4">
        <v>87.01</v>
      </c>
      <c r="BO2477" s="4">
        <v>87.01</v>
      </c>
      <c r="BQ2477" t="s">
        <v>147</v>
      </c>
      <c r="BR2477" t="s">
        <v>84</v>
      </c>
      <c r="BS2477" s="3">
        <v>43823</v>
      </c>
      <c r="BT2477" s="5">
        <v>0.3263888888888889</v>
      </c>
      <c r="BU2477" t="s">
        <v>2456</v>
      </c>
      <c r="BV2477" t="s">
        <v>86</v>
      </c>
      <c r="BY2477">
        <v>8082.12</v>
      </c>
      <c r="CA2477" t="s">
        <v>99</v>
      </c>
      <c r="CC2477" t="s">
        <v>214</v>
      </c>
      <c r="CD2477">
        <v>6229</v>
      </c>
      <c r="CE2477" t="s">
        <v>96</v>
      </c>
      <c r="CF2477" s="3">
        <v>43826</v>
      </c>
      <c r="CI2477">
        <v>1</v>
      </c>
      <c r="CJ2477">
        <v>1</v>
      </c>
      <c r="CK2477">
        <v>21</v>
      </c>
      <c r="CL2477" t="s">
        <v>89</v>
      </c>
    </row>
    <row r="2478" spans="1:90">
      <c r="A2478" t="s">
        <v>72</v>
      </c>
      <c r="B2478" t="s">
        <v>73</v>
      </c>
      <c r="C2478" t="s">
        <v>74</v>
      </c>
      <c r="E2478" t="str">
        <f>"FES1162729400"</f>
        <v>FES1162729400</v>
      </c>
      <c r="F2478" s="3">
        <v>43822</v>
      </c>
      <c r="G2478">
        <v>202006</v>
      </c>
      <c r="H2478" t="s">
        <v>75</v>
      </c>
      <c r="I2478" t="s">
        <v>76</v>
      </c>
      <c r="J2478" t="s">
        <v>77</v>
      </c>
      <c r="K2478" t="s">
        <v>78</v>
      </c>
      <c r="L2478" t="s">
        <v>79</v>
      </c>
      <c r="M2478" t="s">
        <v>80</v>
      </c>
      <c r="N2478" t="s">
        <v>231</v>
      </c>
      <c r="O2478" t="s">
        <v>82</v>
      </c>
      <c r="P2478" t="str">
        <f>"2170722404                    "</f>
        <v xml:space="preserve">2170722404                    </v>
      </c>
      <c r="Q2478">
        <v>0</v>
      </c>
      <c r="R2478">
        <v>0</v>
      </c>
      <c r="S2478">
        <v>0</v>
      </c>
      <c r="T2478">
        <v>0</v>
      </c>
      <c r="U2478">
        <v>0</v>
      </c>
      <c r="V2478">
        <v>0</v>
      </c>
      <c r="W2478">
        <v>0</v>
      </c>
      <c r="X2478">
        <v>0</v>
      </c>
      <c r="Y2478">
        <v>0</v>
      </c>
      <c r="Z2478">
        <v>0</v>
      </c>
      <c r="AA2478">
        <v>0</v>
      </c>
      <c r="AB2478">
        <v>0</v>
      </c>
      <c r="AC2478">
        <v>0</v>
      </c>
      <c r="AD2478">
        <v>0</v>
      </c>
      <c r="AE2478">
        <v>0</v>
      </c>
      <c r="AF2478">
        <v>0</v>
      </c>
      <c r="AG2478">
        <v>0</v>
      </c>
      <c r="AH2478">
        <v>0</v>
      </c>
      <c r="AI2478">
        <v>0</v>
      </c>
      <c r="AJ2478">
        <v>0</v>
      </c>
      <c r="AK2478">
        <v>0</v>
      </c>
      <c r="AL2478">
        <v>0</v>
      </c>
      <c r="AM2478">
        <v>8.58</v>
      </c>
      <c r="AN2478">
        <v>0</v>
      </c>
      <c r="AO2478">
        <v>0</v>
      </c>
      <c r="AP2478">
        <v>0</v>
      </c>
      <c r="AQ2478">
        <v>0</v>
      </c>
      <c r="AR2478">
        <v>0</v>
      </c>
      <c r="AS2478">
        <v>0</v>
      </c>
      <c r="AT2478">
        <v>0</v>
      </c>
      <c r="AU2478">
        <v>0</v>
      </c>
      <c r="AV2478">
        <v>0</v>
      </c>
      <c r="AW2478">
        <v>0</v>
      </c>
      <c r="AX2478">
        <v>0</v>
      </c>
      <c r="AY2478">
        <v>0</v>
      </c>
      <c r="AZ2478">
        <v>0</v>
      </c>
      <c r="BA2478">
        <v>0</v>
      </c>
      <c r="BB2478">
        <v>0</v>
      </c>
      <c r="BC2478">
        <v>0</v>
      </c>
      <c r="BD2478">
        <v>0</v>
      </c>
      <c r="BE2478">
        <v>0</v>
      </c>
      <c r="BF2478">
        <v>0</v>
      </c>
      <c r="BG2478">
        <v>0</v>
      </c>
      <c r="BH2478">
        <v>1</v>
      </c>
      <c r="BI2478">
        <v>1.5</v>
      </c>
      <c r="BJ2478">
        <v>0.9</v>
      </c>
      <c r="BK2478">
        <v>1.5</v>
      </c>
      <c r="BL2478" s="4">
        <v>50.45</v>
      </c>
      <c r="BM2478" s="4">
        <v>7.57</v>
      </c>
      <c r="BN2478" s="4">
        <v>58.02</v>
      </c>
      <c r="BO2478" s="4">
        <v>58.02</v>
      </c>
      <c r="BQ2478" t="s">
        <v>232</v>
      </c>
      <c r="BR2478" t="s">
        <v>84</v>
      </c>
      <c r="BS2478" s="3">
        <v>43823</v>
      </c>
      <c r="BT2478" s="5">
        <v>0.31736111111111115</v>
      </c>
      <c r="BU2478" t="s">
        <v>233</v>
      </c>
      <c r="BV2478" t="s">
        <v>86</v>
      </c>
      <c r="BY2478">
        <v>4343.25</v>
      </c>
      <c r="CA2478" t="s">
        <v>131</v>
      </c>
      <c r="CC2478" t="s">
        <v>80</v>
      </c>
      <c r="CD2478">
        <v>6001</v>
      </c>
      <c r="CE2478" t="s">
        <v>116</v>
      </c>
      <c r="CF2478" s="3">
        <v>43826</v>
      </c>
      <c r="CI2478">
        <v>1</v>
      </c>
      <c r="CJ2478">
        <v>1</v>
      </c>
      <c r="CK2478">
        <v>21</v>
      </c>
      <c r="CL2478" t="s">
        <v>89</v>
      </c>
    </row>
    <row r="2479" spans="1:90">
      <c r="A2479" t="s">
        <v>72</v>
      </c>
      <c r="B2479" t="s">
        <v>73</v>
      </c>
      <c r="C2479" t="s">
        <v>74</v>
      </c>
      <c r="E2479" t="str">
        <f>"FES1162729482"</f>
        <v>FES1162729482</v>
      </c>
      <c r="F2479" s="3">
        <v>43822</v>
      </c>
      <c r="G2479">
        <v>202006</v>
      </c>
      <c r="H2479" t="s">
        <v>75</v>
      </c>
      <c r="I2479" t="s">
        <v>76</v>
      </c>
      <c r="J2479" t="s">
        <v>77</v>
      </c>
      <c r="K2479" t="s">
        <v>78</v>
      </c>
      <c r="L2479" t="s">
        <v>164</v>
      </c>
      <c r="M2479" t="s">
        <v>165</v>
      </c>
      <c r="N2479" t="s">
        <v>263</v>
      </c>
      <c r="O2479" t="s">
        <v>82</v>
      </c>
      <c r="P2479" t="str">
        <f>"2170722166                    "</f>
        <v xml:space="preserve">2170722166                    </v>
      </c>
      <c r="Q2479">
        <v>0</v>
      </c>
      <c r="R2479">
        <v>0</v>
      </c>
      <c r="S2479">
        <v>0</v>
      </c>
      <c r="T2479">
        <v>0</v>
      </c>
      <c r="U2479">
        <v>0</v>
      </c>
      <c r="V2479">
        <v>0</v>
      </c>
      <c r="W2479">
        <v>0</v>
      </c>
      <c r="X2479">
        <v>0</v>
      </c>
      <c r="Y2479">
        <v>0</v>
      </c>
      <c r="Z2479">
        <v>0</v>
      </c>
      <c r="AA2479">
        <v>0</v>
      </c>
      <c r="AB2479">
        <v>0</v>
      </c>
      <c r="AC2479">
        <v>0</v>
      </c>
      <c r="AD2479">
        <v>0</v>
      </c>
      <c r="AE2479">
        <v>0</v>
      </c>
      <c r="AF2479">
        <v>0</v>
      </c>
      <c r="AG2479">
        <v>0</v>
      </c>
      <c r="AH2479">
        <v>0</v>
      </c>
      <c r="AI2479">
        <v>0</v>
      </c>
      <c r="AJ2479">
        <v>0</v>
      </c>
      <c r="AK2479">
        <v>0</v>
      </c>
      <c r="AL2479">
        <v>0</v>
      </c>
      <c r="AM2479">
        <v>12.87</v>
      </c>
      <c r="AN2479">
        <v>0</v>
      </c>
      <c r="AO2479">
        <v>0</v>
      </c>
      <c r="AP2479">
        <v>0</v>
      </c>
      <c r="AQ2479">
        <v>0</v>
      </c>
      <c r="AR2479">
        <v>0</v>
      </c>
      <c r="AS2479">
        <v>0</v>
      </c>
      <c r="AT2479">
        <v>0</v>
      </c>
      <c r="AU2479">
        <v>0</v>
      </c>
      <c r="AV2479">
        <v>0</v>
      </c>
      <c r="AW2479">
        <v>0</v>
      </c>
      <c r="AX2479">
        <v>0</v>
      </c>
      <c r="AY2479">
        <v>0</v>
      </c>
      <c r="AZ2479">
        <v>0</v>
      </c>
      <c r="BA2479">
        <v>0</v>
      </c>
      <c r="BB2479">
        <v>0</v>
      </c>
      <c r="BC2479">
        <v>0</v>
      </c>
      <c r="BD2479">
        <v>0</v>
      </c>
      <c r="BE2479">
        <v>0</v>
      </c>
      <c r="BF2479">
        <v>0</v>
      </c>
      <c r="BG2479">
        <v>0</v>
      </c>
      <c r="BH2479">
        <v>1</v>
      </c>
      <c r="BI2479">
        <v>1.2</v>
      </c>
      <c r="BJ2479">
        <v>2.6</v>
      </c>
      <c r="BK2479">
        <v>3</v>
      </c>
      <c r="BL2479" s="4">
        <v>75.66</v>
      </c>
      <c r="BM2479" s="4">
        <v>11.35</v>
      </c>
      <c r="BN2479" s="4">
        <v>87.01</v>
      </c>
      <c r="BO2479" s="4">
        <v>87.01</v>
      </c>
      <c r="BQ2479" t="s">
        <v>147</v>
      </c>
      <c r="BR2479" t="s">
        <v>84</v>
      </c>
      <c r="BS2479" s="3">
        <v>43823</v>
      </c>
      <c r="BT2479" s="5">
        <v>0.37986111111111115</v>
      </c>
      <c r="BU2479" t="s">
        <v>2606</v>
      </c>
      <c r="BV2479" t="s">
        <v>86</v>
      </c>
      <c r="BY2479">
        <v>13138.22</v>
      </c>
      <c r="CA2479" t="s">
        <v>766</v>
      </c>
      <c r="CC2479" t="s">
        <v>165</v>
      </c>
      <c r="CD2479">
        <v>5201</v>
      </c>
      <c r="CE2479" t="s">
        <v>116</v>
      </c>
      <c r="CI2479">
        <v>1</v>
      </c>
      <c r="CJ2479">
        <v>1</v>
      </c>
      <c r="CK2479">
        <v>21</v>
      </c>
      <c r="CL2479" t="s">
        <v>89</v>
      </c>
    </row>
    <row r="2480" spans="1:90">
      <c r="A2480" t="s">
        <v>72</v>
      </c>
      <c r="B2480" t="s">
        <v>73</v>
      </c>
      <c r="C2480" t="s">
        <v>74</v>
      </c>
      <c r="E2480" t="str">
        <f>"FES1162729480"</f>
        <v>FES1162729480</v>
      </c>
      <c r="F2480" s="3">
        <v>43822</v>
      </c>
      <c r="G2480">
        <v>202006</v>
      </c>
      <c r="H2480" t="s">
        <v>75</v>
      </c>
      <c r="I2480" t="s">
        <v>76</v>
      </c>
      <c r="J2480" t="s">
        <v>77</v>
      </c>
      <c r="K2480" t="s">
        <v>78</v>
      </c>
      <c r="L2480" t="s">
        <v>75</v>
      </c>
      <c r="M2480" t="s">
        <v>76</v>
      </c>
      <c r="N2480" t="s">
        <v>321</v>
      </c>
      <c r="O2480" t="s">
        <v>82</v>
      </c>
      <c r="P2480" t="str">
        <f>"2170721349                    "</f>
        <v xml:space="preserve">2170721349                    </v>
      </c>
      <c r="Q2480">
        <v>0</v>
      </c>
      <c r="R2480">
        <v>0</v>
      </c>
      <c r="S2480">
        <v>0</v>
      </c>
      <c r="T2480">
        <v>0</v>
      </c>
      <c r="U2480">
        <v>0</v>
      </c>
      <c r="V2480">
        <v>0</v>
      </c>
      <c r="W2480">
        <v>0</v>
      </c>
      <c r="X2480">
        <v>0</v>
      </c>
      <c r="Y2480">
        <v>0</v>
      </c>
      <c r="Z2480">
        <v>0</v>
      </c>
      <c r="AA2480">
        <v>0</v>
      </c>
      <c r="AB2480">
        <v>0</v>
      </c>
      <c r="AC2480">
        <v>0</v>
      </c>
      <c r="AD2480">
        <v>0</v>
      </c>
      <c r="AE2480">
        <v>0</v>
      </c>
      <c r="AF2480">
        <v>0</v>
      </c>
      <c r="AG2480">
        <v>0</v>
      </c>
      <c r="AH2480">
        <v>0</v>
      </c>
      <c r="AI2480">
        <v>0</v>
      </c>
      <c r="AJ2480">
        <v>0</v>
      </c>
      <c r="AK2480">
        <v>0</v>
      </c>
      <c r="AL2480">
        <v>0</v>
      </c>
      <c r="AM2480">
        <v>13.94</v>
      </c>
      <c r="AN2480">
        <v>0</v>
      </c>
      <c r="AO2480">
        <v>0</v>
      </c>
      <c r="AP2480">
        <v>0</v>
      </c>
      <c r="AQ2480">
        <v>0</v>
      </c>
      <c r="AR2480">
        <v>0</v>
      </c>
      <c r="AS2480">
        <v>0</v>
      </c>
      <c r="AT2480">
        <v>0</v>
      </c>
      <c r="AU2480">
        <v>0</v>
      </c>
      <c r="AV2480">
        <v>0</v>
      </c>
      <c r="AW2480">
        <v>0</v>
      </c>
      <c r="AX2480">
        <v>0</v>
      </c>
      <c r="AY2480">
        <v>0</v>
      </c>
      <c r="AZ2480">
        <v>0</v>
      </c>
      <c r="BA2480">
        <v>0</v>
      </c>
      <c r="BB2480">
        <v>0</v>
      </c>
      <c r="BC2480">
        <v>0</v>
      </c>
      <c r="BD2480">
        <v>0</v>
      </c>
      <c r="BE2480">
        <v>0</v>
      </c>
      <c r="BF2480">
        <v>0</v>
      </c>
      <c r="BG2480">
        <v>0</v>
      </c>
      <c r="BH2480">
        <v>1</v>
      </c>
      <c r="BI2480">
        <v>4</v>
      </c>
      <c r="BJ2480">
        <v>6.4</v>
      </c>
      <c r="BK2480">
        <v>6.5</v>
      </c>
      <c r="BL2480" s="4">
        <v>81.93</v>
      </c>
      <c r="BM2480" s="4">
        <v>12.29</v>
      </c>
      <c r="BN2480" s="4">
        <v>94.22</v>
      </c>
      <c r="BO2480" s="4">
        <v>94.22</v>
      </c>
      <c r="BQ2480" t="s">
        <v>322</v>
      </c>
      <c r="BR2480" t="s">
        <v>84</v>
      </c>
      <c r="BS2480" t="s">
        <v>717</v>
      </c>
      <c r="BY2480">
        <v>32039.71</v>
      </c>
      <c r="CC2480" t="s">
        <v>76</v>
      </c>
      <c r="CD2480">
        <v>1619</v>
      </c>
      <c r="CE2480" t="s">
        <v>116</v>
      </c>
      <c r="CI2480">
        <v>1</v>
      </c>
      <c r="CJ2480" t="s">
        <v>717</v>
      </c>
      <c r="CK2480">
        <v>22</v>
      </c>
      <c r="CL2480" t="s">
        <v>89</v>
      </c>
    </row>
    <row r="2481" spans="1:90">
      <c r="A2481" t="s">
        <v>72</v>
      </c>
      <c r="B2481" t="s">
        <v>73</v>
      </c>
      <c r="C2481" t="s">
        <v>74</v>
      </c>
      <c r="E2481" t="str">
        <f>"FES1162729464"</f>
        <v>FES1162729464</v>
      </c>
      <c r="F2481" s="3">
        <v>43822</v>
      </c>
      <c r="G2481">
        <v>202006</v>
      </c>
      <c r="H2481" t="s">
        <v>75</v>
      </c>
      <c r="I2481" t="s">
        <v>76</v>
      </c>
      <c r="J2481" t="s">
        <v>77</v>
      </c>
      <c r="K2481" t="s">
        <v>78</v>
      </c>
      <c r="L2481" t="s">
        <v>198</v>
      </c>
      <c r="M2481" t="s">
        <v>199</v>
      </c>
      <c r="N2481" t="s">
        <v>280</v>
      </c>
      <c r="O2481" t="s">
        <v>82</v>
      </c>
      <c r="P2481" t="str">
        <f>"2170722150                    "</f>
        <v xml:space="preserve">2170722150                    </v>
      </c>
      <c r="Q2481">
        <v>0</v>
      </c>
      <c r="R2481">
        <v>0</v>
      </c>
      <c r="S2481">
        <v>0</v>
      </c>
      <c r="T2481">
        <v>0</v>
      </c>
      <c r="U2481">
        <v>0</v>
      </c>
      <c r="V2481">
        <v>0</v>
      </c>
      <c r="W2481">
        <v>0</v>
      </c>
      <c r="X2481">
        <v>0</v>
      </c>
      <c r="Y2481">
        <v>0</v>
      </c>
      <c r="Z2481">
        <v>0</v>
      </c>
      <c r="AA2481">
        <v>0</v>
      </c>
      <c r="AB2481">
        <v>0</v>
      </c>
      <c r="AC2481">
        <v>0</v>
      </c>
      <c r="AD2481">
        <v>0</v>
      </c>
      <c r="AE2481">
        <v>0</v>
      </c>
      <c r="AF2481">
        <v>0</v>
      </c>
      <c r="AG2481">
        <v>0</v>
      </c>
      <c r="AH2481">
        <v>0</v>
      </c>
      <c r="AI2481">
        <v>0</v>
      </c>
      <c r="AJ2481">
        <v>0</v>
      </c>
      <c r="AK2481">
        <v>0</v>
      </c>
      <c r="AL2481">
        <v>0</v>
      </c>
      <c r="AM2481">
        <v>8.58</v>
      </c>
      <c r="AN2481">
        <v>0</v>
      </c>
      <c r="AO2481">
        <v>0</v>
      </c>
      <c r="AP2481">
        <v>0</v>
      </c>
      <c r="AQ2481">
        <v>0</v>
      </c>
      <c r="AR2481">
        <v>0</v>
      </c>
      <c r="AS2481">
        <v>0</v>
      </c>
      <c r="AT2481">
        <v>0</v>
      </c>
      <c r="AU2481">
        <v>0</v>
      </c>
      <c r="AV2481">
        <v>0</v>
      </c>
      <c r="AW2481">
        <v>0</v>
      </c>
      <c r="AX2481">
        <v>0</v>
      </c>
      <c r="AY2481">
        <v>0</v>
      </c>
      <c r="AZ2481">
        <v>0</v>
      </c>
      <c r="BA2481">
        <v>0</v>
      </c>
      <c r="BB2481">
        <v>0</v>
      </c>
      <c r="BC2481">
        <v>0</v>
      </c>
      <c r="BD2481">
        <v>0</v>
      </c>
      <c r="BE2481">
        <v>0</v>
      </c>
      <c r="BF2481">
        <v>0</v>
      </c>
      <c r="BG2481">
        <v>0</v>
      </c>
      <c r="BH2481">
        <v>1</v>
      </c>
      <c r="BI2481">
        <v>1.2</v>
      </c>
      <c r="BJ2481">
        <v>2</v>
      </c>
      <c r="BK2481">
        <v>2</v>
      </c>
      <c r="BL2481" s="4">
        <v>50.45</v>
      </c>
      <c r="BM2481" s="4">
        <v>7.57</v>
      </c>
      <c r="BN2481" s="4">
        <v>58.02</v>
      </c>
      <c r="BO2481" s="4">
        <v>58.02</v>
      </c>
      <c r="BQ2481" t="s">
        <v>147</v>
      </c>
      <c r="BR2481" t="s">
        <v>84</v>
      </c>
      <c r="BS2481" s="3">
        <v>43823</v>
      </c>
      <c r="BT2481" s="5">
        <v>0.39097222222222222</v>
      </c>
      <c r="BU2481" t="s">
        <v>2397</v>
      </c>
      <c r="BV2481" t="s">
        <v>86</v>
      </c>
      <c r="BY2481">
        <v>9795.99</v>
      </c>
      <c r="CA2481" t="s">
        <v>281</v>
      </c>
      <c r="CC2481" t="s">
        <v>199</v>
      </c>
      <c r="CD2481">
        <v>4001</v>
      </c>
      <c r="CE2481" t="s">
        <v>116</v>
      </c>
      <c r="CF2481" s="3">
        <v>43826</v>
      </c>
      <c r="CI2481">
        <v>1</v>
      </c>
      <c r="CJ2481">
        <v>1</v>
      </c>
      <c r="CK2481">
        <v>21</v>
      </c>
      <c r="CL2481" t="s">
        <v>89</v>
      </c>
    </row>
    <row r="2482" spans="1:90">
      <c r="A2482" t="s">
        <v>72</v>
      </c>
      <c r="B2482" t="s">
        <v>73</v>
      </c>
      <c r="C2482" t="s">
        <v>74</v>
      </c>
      <c r="E2482" t="str">
        <f>"FES1162729435"</f>
        <v>FES1162729435</v>
      </c>
      <c r="F2482" s="3">
        <v>43822</v>
      </c>
      <c r="G2482">
        <v>202006</v>
      </c>
      <c r="H2482" t="s">
        <v>75</v>
      </c>
      <c r="I2482" t="s">
        <v>76</v>
      </c>
      <c r="J2482" t="s">
        <v>77</v>
      </c>
      <c r="K2482" t="s">
        <v>78</v>
      </c>
      <c r="L2482" t="s">
        <v>1183</v>
      </c>
      <c r="M2482" t="s">
        <v>1184</v>
      </c>
      <c r="N2482" t="s">
        <v>1185</v>
      </c>
      <c r="O2482" t="s">
        <v>82</v>
      </c>
      <c r="P2482" t="str">
        <f>"2170722423                    "</f>
        <v xml:space="preserve">2170722423                    </v>
      </c>
      <c r="Q2482">
        <v>0</v>
      </c>
      <c r="R2482">
        <v>0</v>
      </c>
      <c r="S2482">
        <v>0</v>
      </c>
      <c r="T2482">
        <v>0</v>
      </c>
      <c r="U2482">
        <v>0</v>
      </c>
      <c r="V2482">
        <v>0</v>
      </c>
      <c r="W2482">
        <v>0</v>
      </c>
      <c r="X2482">
        <v>0</v>
      </c>
      <c r="Y2482">
        <v>0</v>
      </c>
      <c r="Z2482">
        <v>0</v>
      </c>
      <c r="AA2482">
        <v>0</v>
      </c>
      <c r="AB2482">
        <v>0</v>
      </c>
      <c r="AC2482">
        <v>0</v>
      </c>
      <c r="AD2482">
        <v>0</v>
      </c>
      <c r="AE2482">
        <v>0</v>
      </c>
      <c r="AF2482">
        <v>0</v>
      </c>
      <c r="AG2482">
        <v>0</v>
      </c>
      <c r="AH2482">
        <v>0</v>
      </c>
      <c r="AI2482">
        <v>0</v>
      </c>
      <c r="AJ2482">
        <v>0</v>
      </c>
      <c r="AK2482">
        <v>0</v>
      </c>
      <c r="AL2482">
        <v>0</v>
      </c>
      <c r="AM2482">
        <v>24.14</v>
      </c>
      <c r="AN2482">
        <v>0</v>
      </c>
      <c r="AO2482">
        <v>0</v>
      </c>
      <c r="AP2482">
        <v>0</v>
      </c>
      <c r="AQ2482">
        <v>0</v>
      </c>
      <c r="AR2482">
        <v>0</v>
      </c>
      <c r="AS2482">
        <v>0</v>
      </c>
      <c r="AT2482">
        <v>0</v>
      </c>
      <c r="AU2482">
        <v>0</v>
      </c>
      <c r="AV2482">
        <v>0</v>
      </c>
      <c r="AW2482">
        <v>0</v>
      </c>
      <c r="AX2482">
        <v>0</v>
      </c>
      <c r="AY2482">
        <v>0</v>
      </c>
      <c r="AZ2482">
        <v>0</v>
      </c>
      <c r="BA2482">
        <v>0</v>
      </c>
      <c r="BB2482">
        <v>0</v>
      </c>
      <c r="BC2482">
        <v>0</v>
      </c>
      <c r="BD2482">
        <v>0</v>
      </c>
      <c r="BE2482">
        <v>0</v>
      </c>
      <c r="BF2482">
        <v>0</v>
      </c>
      <c r="BG2482">
        <v>0</v>
      </c>
      <c r="BH2482">
        <v>1</v>
      </c>
      <c r="BI2482">
        <v>1.9</v>
      </c>
      <c r="BJ2482">
        <v>2.9</v>
      </c>
      <c r="BK2482">
        <v>3</v>
      </c>
      <c r="BL2482" s="4">
        <v>141.9</v>
      </c>
      <c r="BM2482" s="4">
        <v>21.29</v>
      </c>
      <c r="BN2482" s="4">
        <v>163.19</v>
      </c>
      <c r="BO2482" s="4">
        <v>163.19</v>
      </c>
      <c r="BQ2482" t="s">
        <v>93</v>
      </c>
      <c r="BR2482" t="s">
        <v>84</v>
      </c>
      <c r="BS2482" s="3">
        <v>43823</v>
      </c>
      <c r="BT2482" s="5">
        <v>0.45833333333333331</v>
      </c>
      <c r="BU2482" t="s">
        <v>2607</v>
      </c>
      <c r="BV2482" t="s">
        <v>86</v>
      </c>
      <c r="BY2482">
        <v>14403.91</v>
      </c>
      <c r="CA2482" t="s">
        <v>1187</v>
      </c>
      <c r="CC2482" t="s">
        <v>1184</v>
      </c>
      <c r="CD2482">
        <v>3370</v>
      </c>
      <c r="CE2482" t="s">
        <v>116</v>
      </c>
      <c r="CF2482" s="3">
        <v>43829</v>
      </c>
      <c r="CI2482">
        <v>3</v>
      </c>
      <c r="CJ2482">
        <v>1</v>
      </c>
      <c r="CK2482">
        <v>23</v>
      </c>
      <c r="CL2482" t="s">
        <v>89</v>
      </c>
    </row>
    <row r="2483" spans="1:90">
      <c r="A2483" t="s">
        <v>72</v>
      </c>
      <c r="B2483" t="s">
        <v>73</v>
      </c>
      <c r="C2483" t="s">
        <v>74</v>
      </c>
      <c r="E2483" t="str">
        <f>"FES1162729406"</f>
        <v>FES1162729406</v>
      </c>
      <c r="F2483" s="3">
        <v>43822</v>
      </c>
      <c r="G2483">
        <v>202006</v>
      </c>
      <c r="H2483" t="s">
        <v>75</v>
      </c>
      <c r="I2483" t="s">
        <v>76</v>
      </c>
      <c r="J2483" t="s">
        <v>77</v>
      </c>
      <c r="K2483" t="s">
        <v>78</v>
      </c>
      <c r="L2483" t="s">
        <v>75</v>
      </c>
      <c r="M2483" t="s">
        <v>76</v>
      </c>
      <c r="N2483" t="s">
        <v>1570</v>
      </c>
      <c r="O2483" t="s">
        <v>82</v>
      </c>
      <c r="P2483" t="str">
        <f>"2170721162                    "</f>
        <v xml:space="preserve">2170721162                    </v>
      </c>
      <c r="Q2483">
        <v>0</v>
      </c>
      <c r="R2483">
        <v>0</v>
      </c>
      <c r="S2483">
        <v>0</v>
      </c>
      <c r="T2483">
        <v>0</v>
      </c>
      <c r="U2483">
        <v>0</v>
      </c>
      <c r="V2483">
        <v>0</v>
      </c>
      <c r="W2483">
        <v>0</v>
      </c>
      <c r="X2483">
        <v>0</v>
      </c>
      <c r="Y2483">
        <v>0</v>
      </c>
      <c r="Z2483">
        <v>0</v>
      </c>
      <c r="AA2483">
        <v>0</v>
      </c>
      <c r="AB2483">
        <v>0</v>
      </c>
      <c r="AC2483">
        <v>0</v>
      </c>
      <c r="AD2483">
        <v>0</v>
      </c>
      <c r="AE2483">
        <v>0</v>
      </c>
      <c r="AF2483">
        <v>0</v>
      </c>
      <c r="AG2483">
        <v>0</v>
      </c>
      <c r="AH2483">
        <v>0</v>
      </c>
      <c r="AI2483">
        <v>0</v>
      </c>
      <c r="AJ2483">
        <v>0</v>
      </c>
      <c r="AK2483">
        <v>0</v>
      </c>
      <c r="AL2483">
        <v>0</v>
      </c>
      <c r="AM2483">
        <v>11.53</v>
      </c>
      <c r="AN2483">
        <v>0</v>
      </c>
      <c r="AO2483">
        <v>0</v>
      </c>
      <c r="AP2483">
        <v>0</v>
      </c>
      <c r="AQ2483">
        <v>0</v>
      </c>
      <c r="AR2483">
        <v>0</v>
      </c>
      <c r="AS2483">
        <v>0</v>
      </c>
      <c r="AT2483">
        <v>0</v>
      </c>
      <c r="AU2483">
        <v>0</v>
      </c>
      <c r="AV2483">
        <v>0</v>
      </c>
      <c r="AW2483">
        <v>0</v>
      </c>
      <c r="AX2483">
        <v>0</v>
      </c>
      <c r="AY2483">
        <v>0</v>
      </c>
      <c r="AZ2483">
        <v>0</v>
      </c>
      <c r="BA2483">
        <v>0</v>
      </c>
      <c r="BB2483">
        <v>0</v>
      </c>
      <c r="BC2483">
        <v>0</v>
      </c>
      <c r="BD2483">
        <v>0</v>
      </c>
      <c r="BE2483">
        <v>0</v>
      </c>
      <c r="BF2483">
        <v>0</v>
      </c>
      <c r="BG2483">
        <v>0</v>
      </c>
      <c r="BH2483">
        <v>1</v>
      </c>
      <c r="BI2483">
        <v>2.1</v>
      </c>
      <c r="BJ2483">
        <v>5</v>
      </c>
      <c r="BK2483">
        <v>5</v>
      </c>
      <c r="BL2483" s="4">
        <v>67.760000000000005</v>
      </c>
      <c r="BM2483" s="4">
        <v>10.16</v>
      </c>
      <c r="BN2483" s="4">
        <v>77.92</v>
      </c>
      <c r="BO2483" s="4">
        <v>77.92</v>
      </c>
      <c r="BQ2483" t="s">
        <v>1571</v>
      </c>
      <c r="BR2483" t="s">
        <v>84</v>
      </c>
      <c r="BS2483" t="s">
        <v>717</v>
      </c>
      <c r="BY2483">
        <v>25146.26</v>
      </c>
      <c r="CC2483" t="s">
        <v>76</v>
      </c>
      <c r="CD2483">
        <v>1609</v>
      </c>
      <c r="CE2483" t="s">
        <v>116</v>
      </c>
      <c r="CI2483">
        <v>1</v>
      </c>
      <c r="CJ2483" t="s">
        <v>717</v>
      </c>
      <c r="CK2483">
        <v>22</v>
      </c>
      <c r="CL2483" t="s">
        <v>89</v>
      </c>
    </row>
    <row r="2484" spans="1:90">
      <c r="A2484" t="s">
        <v>72</v>
      </c>
      <c r="B2484" t="s">
        <v>73</v>
      </c>
      <c r="C2484" t="s">
        <v>74</v>
      </c>
      <c r="E2484" t="str">
        <f>"FES1162729479"</f>
        <v>FES1162729479</v>
      </c>
      <c r="F2484" s="3">
        <v>43822</v>
      </c>
      <c r="G2484">
        <v>202006</v>
      </c>
      <c r="H2484" t="s">
        <v>75</v>
      </c>
      <c r="I2484" t="s">
        <v>76</v>
      </c>
      <c r="J2484" t="s">
        <v>77</v>
      </c>
      <c r="K2484" t="s">
        <v>78</v>
      </c>
      <c r="L2484" t="s">
        <v>90</v>
      </c>
      <c r="M2484" t="s">
        <v>91</v>
      </c>
      <c r="N2484" t="s">
        <v>1400</v>
      </c>
      <c r="O2484" t="s">
        <v>82</v>
      </c>
      <c r="P2484" t="str">
        <f>"2170722449                    "</f>
        <v xml:space="preserve">2170722449                    </v>
      </c>
      <c r="Q2484">
        <v>0</v>
      </c>
      <c r="R2484">
        <v>0</v>
      </c>
      <c r="S2484">
        <v>0</v>
      </c>
      <c r="T2484">
        <v>0</v>
      </c>
      <c r="U2484">
        <v>0</v>
      </c>
      <c r="V2484">
        <v>0</v>
      </c>
      <c r="W2484">
        <v>0</v>
      </c>
      <c r="X2484">
        <v>0</v>
      </c>
      <c r="Y2484">
        <v>0</v>
      </c>
      <c r="Z2484">
        <v>0</v>
      </c>
      <c r="AA2484">
        <v>0</v>
      </c>
      <c r="AB2484">
        <v>0</v>
      </c>
      <c r="AC2484">
        <v>0</v>
      </c>
      <c r="AD2484">
        <v>0</v>
      </c>
      <c r="AE2484">
        <v>0</v>
      </c>
      <c r="AF2484">
        <v>0</v>
      </c>
      <c r="AG2484">
        <v>0</v>
      </c>
      <c r="AH2484">
        <v>0</v>
      </c>
      <c r="AI2484">
        <v>0</v>
      </c>
      <c r="AJ2484">
        <v>0</v>
      </c>
      <c r="AK2484">
        <v>0</v>
      </c>
      <c r="AL2484">
        <v>0</v>
      </c>
      <c r="AM2484">
        <v>8.58</v>
      </c>
      <c r="AN2484">
        <v>0</v>
      </c>
      <c r="AO2484">
        <v>0</v>
      </c>
      <c r="AP2484">
        <v>0</v>
      </c>
      <c r="AQ2484">
        <v>0</v>
      </c>
      <c r="AR2484">
        <v>0</v>
      </c>
      <c r="AS2484">
        <v>0</v>
      </c>
      <c r="AT2484">
        <v>0</v>
      </c>
      <c r="AU2484">
        <v>0</v>
      </c>
      <c r="AV2484">
        <v>0</v>
      </c>
      <c r="AW2484">
        <v>0</v>
      </c>
      <c r="AX2484">
        <v>0</v>
      </c>
      <c r="AY2484">
        <v>0</v>
      </c>
      <c r="AZ2484">
        <v>0</v>
      </c>
      <c r="BA2484">
        <v>0</v>
      </c>
      <c r="BB2484">
        <v>0</v>
      </c>
      <c r="BC2484">
        <v>0</v>
      </c>
      <c r="BD2484">
        <v>0</v>
      </c>
      <c r="BE2484">
        <v>0</v>
      </c>
      <c r="BF2484">
        <v>0</v>
      </c>
      <c r="BG2484">
        <v>0</v>
      </c>
      <c r="BH2484">
        <v>1</v>
      </c>
      <c r="BI2484">
        <v>1.6</v>
      </c>
      <c r="BJ2484">
        <v>1.2</v>
      </c>
      <c r="BK2484">
        <v>2</v>
      </c>
      <c r="BL2484" s="4">
        <v>50.45</v>
      </c>
      <c r="BM2484" s="4">
        <v>7.57</v>
      </c>
      <c r="BN2484" s="4">
        <v>58.02</v>
      </c>
      <c r="BO2484" s="4">
        <v>58.02</v>
      </c>
      <c r="BQ2484" t="s">
        <v>135</v>
      </c>
      <c r="BR2484" t="s">
        <v>84</v>
      </c>
      <c r="BS2484" s="3">
        <v>43823</v>
      </c>
      <c r="BT2484" s="5">
        <v>0.42986111111111108</v>
      </c>
      <c r="BU2484" t="s">
        <v>2140</v>
      </c>
      <c r="BV2484" t="s">
        <v>86</v>
      </c>
      <c r="BY2484">
        <v>6164.37</v>
      </c>
      <c r="CA2484" t="s">
        <v>273</v>
      </c>
      <c r="CC2484" t="s">
        <v>91</v>
      </c>
      <c r="CD2484">
        <v>7945</v>
      </c>
      <c r="CE2484" t="s">
        <v>96</v>
      </c>
      <c r="CF2484" s="3">
        <v>43826</v>
      </c>
      <c r="CI2484">
        <v>1</v>
      </c>
      <c r="CJ2484">
        <v>1</v>
      </c>
      <c r="CK2484">
        <v>21</v>
      </c>
      <c r="CL2484" t="s">
        <v>89</v>
      </c>
    </row>
    <row r="2485" spans="1:90">
      <c r="A2485" t="s">
        <v>72</v>
      </c>
      <c r="B2485" t="s">
        <v>73</v>
      </c>
      <c r="C2485" t="s">
        <v>74</v>
      </c>
      <c r="E2485" t="str">
        <f>"FES1162729412"</f>
        <v>FES1162729412</v>
      </c>
      <c r="F2485" s="3">
        <v>43822</v>
      </c>
      <c r="G2485">
        <v>202006</v>
      </c>
      <c r="H2485" t="s">
        <v>75</v>
      </c>
      <c r="I2485" t="s">
        <v>76</v>
      </c>
      <c r="J2485" t="s">
        <v>77</v>
      </c>
      <c r="K2485" t="s">
        <v>78</v>
      </c>
      <c r="L2485" t="s">
        <v>138</v>
      </c>
      <c r="M2485" t="s">
        <v>139</v>
      </c>
      <c r="N2485" t="s">
        <v>2537</v>
      </c>
      <c r="O2485" t="s">
        <v>82</v>
      </c>
      <c r="P2485" t="str">
        <f>"2170721346                    "</f>
        <v xml:space="preserve">2170721346                    </v>
      </c>
      <c r="Q2485">
        <v>0</v>
      </c>
      <c r="R2485">
        <v>0</v>
      </c>
      <c r="S2485">
        <v>0</v>
      </c>
      <c r="T2485">
        <v>0</v>
      </c>
      <c r="U2485">
        <v>0</v>
      </c>
      <c r="V2485">
        <v>0</v>
      </c>
      <c r="W2485">
        <v>0</v>
      </c>
      <c r="X2485">
        <v>0</v>
      </c>
      <c r="Y2485">
        <v>0</v>
      </c>
      <c r="Z2485">
        <v>0</v>
      </c>
      <c r="AA2485">
        <v>0</v>
      </c>
      <c r="AB2485">
        <v>0</v>
      </c>
      <c r="AC2485">
        <v>0</v>
      </c>
      <c r="AD2485">
        <v>0</v>
      </c>
      <c r="AE2485">
        <v>0</v>
      </c>
      <c r="AF2485">
        <v>0</v>
      </c>
      <c r="AG2485">
        <v>0</v>
      </c>
      <c r="AH2485">
        <v>0</v>
      </c>
      <c r="AI2485">
        <v>0</v>
      </c>
      <c r="AJ2485">
        <v>0</v>
      </c>
      <c r="AK2485">
        <v>0</v>
      </c>
      <c r="AL2485">
        <v>0</v>
      </c>
      <c r="AM2485">
        <v>15.55</v>
      </c>
      <c r="AN2485">
        <v>0</v>
      </c>
      <c r="AO2485">
        <v>0</v>
      </c>
      <c r="AP2485">
        <v>0</v>
      </c>
      <c r="AQ2485">
        <v>0</v>
      </c>
      <c r="AR2485">
        <v>0</v>
      </c>
      <c r="AS2485">
        <v>0</v>
      </c>
      <c r="AT2485">
        <v>0</v>
      </c>
      <c r="AU2485">
        <v>0</v>
      </c>
      <c r="AV2485">
        <v>0</v>
      </c>
      <c r="AW2485">
        <v>0</v>
      </c>
      <c r="AX2485">
        <v>0</v>
      </c>
      <c r="AY2485">
        <v>0</v>
      </c>
      <c r="AZ2485">
        <v>0</v>
      </c>
      <c r="BA2485">
        <v>0</v>
      </c>
      <c r="BB2485">
        <v>0</v>
      </c>
      <c r="BC2485">
        <v>0</v>
      </c>
      <c r="BD2485">
        <v>0</v>
      </c>
      <c r="BE2485">
        <v>0</v>
      </c>
      <c r="BF2485">
        <v>0</v>
      </c>
      <c r="BG2485">
        <v>0</v>
      </c>
      <c r="BH2485">
        <v>1</v>
      </c>
      <c r="BI2485">
        <v>2.4</v>
      </c>
      <c r="BJ2485">
        <v>7.3</v>
      </c>
      <c r="BK2485">
        <v>7.5</v>
      </c>
      <c r="BL2485" s="4">
        <v>91.38</v>
      </c>
      <c r="BM2485" s="4">
        <v>13.71</v>
      </c>
      <c r="BN2485" s="4">
        <v>105.09</v>
      </c>
      <c r="BO2485" s="4">
        <v>105.09</v>
      </c>
      <c r="BR2485" t="s">
        <v>84</v>
      </c>
      <c r="BS2485" t="s">
        <v>717</v>
      </c>
      <c r="BY2485">
        <v>36267.699999999997</v>
      </c>
      <c r="CC2485" t="s">
        <v>139</v>
      </c>
      <c r="CD2485">
        <v>1422</v>
      </c>
      <c r="CE2485" t="s">
        <v>116</v>
      </c>
      <c r="CI2485">
        <v>1</v>
      </c>
      <c r="CJ2485" t="s">
        <v>717</v>
      </c>
      <c r="CK2485">
        <v>22</v>
      </c>
      <c r="CL2485" t="s">
        <v>89</v>
      </c>
    </row>
    <row r="2486" spans="1:90">
      <c r="A2486" t="s">
        <v>72</v>
      </c>
      <c r="B2486" t="s">
        <v>73</v>
      </c>
      <c r="C2486" t="s">
        <v>74</v>
      </c>
      <c r="E2486" t="str">
        <f>"FES1162729438"</f>
        <v>FES1162729438</v>
      </c>
      <c r="F2486" s="3">
        <v>43822</v>
      </c>
      <c r="G2486">
        <v>202006</v>
      </c>
      <c r="H2486" t="s">
        <v>75</v>
      </c>
      <c r="I2486" t="s">
        <v>76</v>
      </c>
      <c r="J2486" t="s">
        <v>77</v>
      </c>
      <c r="K2486" t="s">
        <v>78</v>
      </c>
      <c r="L2486" t="s">
        <v>90</v>
      </c>
      <c r="M2486" t="s">
        <v>91</v>
      </c>
      <c r="N2486" t="s">
        <v>2074</v>
      </c>
      <c r="O2486" t="s">
        <v>82</v>
      </c>
      <c r="P2486" t="str">
        <f>"2170722147                    "</f>
        <v xml:space="preserve">2170722147                    </v>
      </c>
      <c r="Q2486">
        <v>0</v>
      </c>
      <c r="R2486">
        <v>0</v>
      </c>
      <c r="S2486">
        <v>0</v>
      </c>
      <c r="T2486">
        <v>0</v>
      </c>
      <c r="U2486">
        <v>0</v>
      </c>
      <c r="V2486">
        <v>0</v>
      </c>
      <c r="W2486">
        <v>0</v>
      </c>
      <c r="X2486">
        <v>0</v>
      </c>
      <c r="Y2486">
        <v>0</v>
      </c>
      <c r="Z2486">
        <v>0</v>
      </c>
      <c r="AA2486">
        <v>0</v>
      </c>
      <c r="AB2486">
        <v>0</v>
      </c>
      <c r="AC2486">
        <v>0</v>
      </c>
      <c r="AD2486">
        <v>0</v>
      </c>
      <c r="AE2486">
        <v>0</v>
      </c>
      <c r="AF2486">
        <v>0</v>
      </c>
      <c r="AG2486">
        <v>0</v>
      </c>
      <c r="AH2486">
        <v>0</v>
      </c>
      <c r="AI2486">
        <v>0</v>
      </c>
      <c r="AJ2486">
        <v>0</v>
      </c>
      <c r="AK2486">
        <v>0</v>
      </c>
      <c r="AL2486">
        <v>0</v>
      </c>
      <c r="AM2486">
        <v>8.58</v>
      </c>
      <c r="AN2486">
        <v>0</v>
      </c>
      <c r="AO2486">
        <v>0</v>
      </c>
      <c r="AP2486">
        <v>0</v>
      </c>
      <c r="AQ2486">
        <v>0</v>
      </c>
      <c r="AR2486">
        <v>0</v>
      </c>
      <c r="AS2486">
        <v>0</v>
      </c>
      <c r="AT2486">
        <v>0</v>
      </c>
      <c r="AU2486">
        <v>0</v>
      </c>
      <c r="AV2486">
        <v>0</v>
      </c>
      <c r="AW2486">
        <v>0</v>
      </c>
      <c r="AX2486">
        <v>0</v>
      </c>
      <c r="AY2486">
        <v>0</v>
      </c>
      <c r="AZ2486">
        <v>0</v>
      </c>
      <c r="BA2486">
        <v>0</v>
      </c>
      <c r="BB2486">
        <v>0</v>
      </c>
      <c r="BC2486">
        <v>0</v>
      </c>
      <c r="BD2486">
        <v>0</v>
      </c>
      <c r="BE2486">
        <v>0</v>
      </c>
      <c r="BF2486">
        <v>0</v>
      </c>
      <c r="BG2486">
        <v>0</v>
      </c>
      <c r="BH2486">
        <v>1</v>
      </c>
      <c r="BI2486">
        <v>1.1000000000000001</v>
      </c>
      <c r="BJ2486">
        <v>1.9</v>
      </c>
      <c r="BK2486">
        <v>2</v>
      </c>
      <c r="BL2486" s="4">
        <v>50.45</v>
      </c>
      <c r="BM2486" s="4">
        <v>7.57</v>
      </c>
      <c r="BN2486" s="4">
        <v>58.02</v>
      </c>
      <c r="BO2486" s="4">
        <v>58.02</v>
      </c>
      <c r="BQ2486" t="s">
        <v>93</v>
      </c>
      <c r="BR2486" t="s">
        <v>84</v>
      </c>
      <c r="BS2486" t="s">
        <v>717</v>
      </c>
      <c r="BW2486" t="s">
        <v>1335</v>
      </c>
      <c r="BX2486" t="s">
        <v>619</v>
      </c>
      <c r="BY2486">
        <v>9585.58</v>
      </c>
      <c r="CC2486" t="s">
        <v>91</v>
      </c>
      <c r="CD2486">
        <v>7499</v>
      </c>
      <c r="CE2486" t="s">
        <v>88</v>
      </c>
      <c r="CF2486" s="3">
        <v>43833</v>
      </c>
      <c r="CI2486">
        <v>1</v>
      </c>
      <c r="CJ2486" t="s">
        <v>717</v>
      </c>
      <c r="CK2486">
        <v>21</v>
      </c>
      <c r="CL2486" t="s">
        <v>89</v>
      </c>
    </row>
    <row r="2487" spans="1:90">
      <c r="A2487" t="s">
        <v>72</v>
      </c>
      <c r="B2487" t="s">
        <v>73</v>
      </c>
      <c r="C2487" t="s">
        <v>74</v>
      </c>
      <c r="E2487" t="str">
        <f>"FES1162729390"</f>
        <v>FES1162729390</v>
      </c>
      <c r="F2487" s="3">
        <v>43822</v>
      </c>
      <c r="G2487">
        <v>202006</v>
      </c>
      <c r="H2487" t="s">
        <v>75</v>
      </c>
      <c r="I2487" t="s">
        <v>76</v>
      </c>
      <c r="J2487" t="s">
        <v>77</v>
      </c>
      <c r="K2487" t="s">
        <v>78</v>
      </c>
      <c r="L2487" t="s">
        <v>90</v>
      </c>
      <c r="M2487" t="s">
        <v>91</v>
      </c>
      <c r="N2487" t="s">
        <v>548</v>
      </c>
      <c r="O2487" t="s">
        <v>82</v>
      </c>
      <c r="P2487" t="str">
        <f>"2170722393                    "</f>
        <v xml:space="preserve">2170722393                    </v>
      </c>
      <c r="Q2487">
        <v>0</v>
      </c>
      <c r="R2487">
        <v>0</v>
      </c>
      <c r="S2487">
        <v>0</v>
      </c>
      <c r="T2487">
        <v>0</v>
      </c>
      <c r="U2487">
        <v>0</v>
      </c>
      <c r="V2487">
        <v>0</v>
      </c>
      <c r="W2487">
        <v>0</v>
      </c>
      <c r="X2487">
        <v>0</v>
      </c>
      <c r="Y2487">
        <v>0</v>
      </c>
      <c r="Z2487">
        <v>0</v>
      </c>
      <c r="AA2487">
        <v>0</v>
      </c>
      <c r="AB2487">
        <v>0</v>
      </c>
      <c r="AC2487">
        <v>0</v>
      </c>
      <c r="AD2487">
        <v>0</v>
      </c>
      <c r="AE2487">
        <v>0</v>
      </c>
      <c r="AF2487">
        <v>0</v>
      </c>
      <c r="AG2487">
        <v>0</v>
      </c>
      <c r="AH2487">
        <v>0</v>
      </c>
      <c r="AI2487">
        <v>0</v>
      </c>
      <c r="AJ2487">
        <v>0</v>
      </c>
      <c r="AK2487">
        <v>0</v>
      </c>
      <c r="AL2487">
        <v>0</v>
      </c>
      <c r="AM2487">
        <v>8.58</v>
      </c>
      <c r="AN2487">
        <v>0</v>
      </c>
      <c r="AO2487">
        <v>0</v>
      </c>
      <c r="AP2487">
        <v>0</v>
      </c>
      <c r="AQ2487">
        <v>0</v>
      </c>
      <c r="AR2487">
        <v>0</v>
      </c>
      <c r="AS2487">
        <v>0</v>
      </c>
      <c r="AT2487">
        <v>0</v>
      </c>
      <c r="AU2487">
        <v>0</v>
      </c>
      <c r="AV2487">
        <v>0</v>
      </c>
      <c r="AW2487">
        <v>0</v>
      </c>
      <c r="AX2487">
        <v>0</v>
      </c>
      <c r="AY2487">
        <v>0</v>
      </c>
      <c r="AZ2487">
        <v>0</v>
      </c>
      <c r="BA2487">
        <v>0</v>
      </c>
      <c r="BB2487">
        <v>0</v>
      </c>
      <c r="BC2487">
        <v>0</v>
      </c>
      <c r="BD2487">
        <v>0</v>
      </c>
      <c r="BE2487">
        <v>0</v>
      </c>
      <c r="BF2487">
        <v>0</v>
      </c>
      <c r="BG2487">
        <v>0</v>
      </c>
      <c r="BH2487">
        <v>1</v>
      </c>
      <c r="BI2487">
        <v>1</v>
      </c>
      <c r="BJ2487">
        <v>0.2</v>
      </c>
      <c r="BK2487">
        <v>1</v>
      </c>
      <c r="BL2487" s="4">
        <v>50.45</v>
      </c>
      <c r="BM2487" s="4">
        <v>7.57</v>
      </c>
      <c r="BN2487" s="4">
        <v>58.02</v>
      </c>
      <c r="BO2487" s="4">
        <v>58.02</v>
      </c>
      <c r="BQ2487" t="s">
        <v>147</v>
      </c>
      <c r="BR2487" t="s">
        <v>84</v>
      </c>
      <c r="BS2487" s="3">
        <v>43823</v>
      </c>
      <c r="BT2487" s="5">
        <v>0.32291666666666669</v>
      </c>
      <c r="BU2487" t="s">
        <v>1829</v>
      </c>
      <c r="BV2487" t="s">
        <v>86</v>
      </c>
      <c r="BY2487">
        <v>1200</v>
      </c>
      <c r="CA2487" t="s">
        <v>550</v>
      </c>
      <c r="CC2487" t="s">
        <v>91</v>
      </c>
      <c r="CD2487">
        <v>7530</v>
      </c>
      <c r="CE2487" t="s">
        <v>88</v>
      </c>
      <c r="CF2487" s="3">
        <v>43826</v>
      </c>
      <c r="CI2487">
        <v>1</v>
      </c>
      <c r="CJ2487">
        <v>1</v>
      </c>
      <c r="CK2487">
        <v>21</v>
      </c>
      <c r="CL2487" t="s">
        <v>89</v>
      </c>
    </row>
    <row r="2488" spans="1:90">
      <c r="A2488" t="s">
        <v>72</v>
      </c>
      <c r="B2488" t="s">
        <v>73</v>
      </c>
      <c r="C2488" t="s">
        <v>74</v>
      </c>
      <c r="E2488" t="str">
        <f>"FES1162729392"</f>
        <v>FES1162729392</v>
      </c>
      <c r="F2488" s="3">
        <v>43822</v>
      </c>
      <c r="G2488">
        <v>202006</v>
      </c>
      <c r="H2488" t="s">
        <v>75</v>
      </c>
      <c r="I2488" t="s">
        <v>76</v>
      </c>
      <c r="J2488" t="s">
        <v>77</v>
      </c>
      <c r="K2488" t="s">
        <v>78</v>
      </c>
      <c r="L2488" t="s">
        <v>90</v>
      </c>
      <c r="M2488" t="s">
        <v>91</v>
      </c>
      <c r="N2488" t="s">
        <v>543</v>
      </c>
      <c r="O2488" t="s">
        <v>82</v>
      </c>
      <c r="P2488" t="str">
        <f>"21707223965                   "</f>
        <v xml:space="preserve">21707223965                   </v>
      </c>
      <c r="Q2488">
        <v>0</v>
      </c>
      <c r="R2488">
        <v>0</v>
      </c>
      <c r="S2488">
        <v>0</v>
      </c>
      <c r="T2488">
        <v>0</v>
      </c>
      <c r="U2488">
        <v>0</v>
      </c>
      <c r="V2488">
        <v>0</v>
      </c>
      <c r="W2488">
        <v>0</v>
      </c>
      <c r="X2488">
        <v>0</v>
      </c>
      <c r="Y2488">
        <v>0</v>
      </c>
      <c r="Z2488">
        <v>0</v>
      </c>
      <c r="AA2488">
        <v>0</v>
      </c>
      <c r="AB2488">
        <v>0</v>
      </c>
      <c r="AC2488">
        <v>0</v>
      </c>
      <c r="AD2488">
        <v>0</v>
      </c>
      <c r="AE2488">
        <v>0</v>
      </c>
      <c r="AF2488">
        <v>0</v>
      </c>
      <c r="AG2488">
        <v>0</v>
      </c>
      <c r="AH2488">
        <v>0</v>
      </c>
      <c r="AI2488">
        <v>0</v>
      </c>
      <c r="AJ2488">
        <v>0</v>
      </c>
      <c r="AK2488">
        <v>0</v>
      </c>
      <c r="AL2488">
        <v>0</v>
      </c>
      <c r="AM2488">
        <v>10.73</v>
      </c>
      <c r="AN2488">
        <v>0</v>
      </c>
      <c r="AO2488">
        <v>0</v>
      </c>
      <c r="AP2488">
        <v>0</v>
      </c>
      <c r="AQ2488">
        <v>0</v>
      </c>
      <c r="AR2488">
        <v>0</v>
      </c>
      <c r="AS2488">
        <v>0</v>
      </c>
      <c r="AT2488">
        <v>0</v>
      </c>
      <c r="AU2488">
        <v>0</v>
      </c>
      <c r="AV2488">
        <v>0</v>
      </c>
      <c r="AW2488">
        <v>0</v>
      </c>
      <c r="AX2488">
        <v>0</v>
      </c>
      <c r="AY2488">
        <v>0</v>
      </c>
      <c r="AZ2488">
        <v>0</v>
      </c>
      <c r="BA2488">
        <v>0</v>
      </c>
      <c r="BB2488">
        <v>0</v>
      </c>
      <c r="BC2488">
        <v>0</v>
      </c>
      <c r="BD2488">
        <v>0</v>
      </c>
      <c r="BE2488">
        <v>0</v>
      </c>
      <c r="BF2488">
        <v>0</v>
      </c>
      <c r="BG2488">
        <v>0</v>
      </c>
      <c r="BH2488">
        <v>1</v>
      </c>
      <c r="BI2488">
        <v>1.1000000000000001</v>
      </c>
      <c r="BJ2488">
        <v>2.1</v>
      </c>
      <c r="BK2488">
        <v>2.5</v>
      </c>
      <c r="BL2488" s="4">
        <v>63.06</v>
      </c>
      <c r="BM2488" s="4">
        <v>9.4600000000000009</v>
      </c>
      <c r="BN2488" s="4">
        <v>72.52</v>
      </c>
      <c r="BO2488" s="4">
        <v>72.52</v>
      </c>
      <c r="BQ2488" t="s">
        <v>93</v>
      </c>
      <c r="BR2488" t="s">
        <v>84</v>
      </c>
      <c r="BS2488" t="s">
        <v>717</v>
      </c>
      <c r="BY2488">
        <v>10371.42</v>
      </c>
      <c r="CC2488" t="s">
        <v>91</v>
      </c>
      <c r="CD2488">
        <v>8001</v>
      </c>
      <c r="CE2488" t="s">
        <v>88</v>
      </c>
      <c r="CI2488">
        <v>1</v>
      </c>
      <c r="CJ2488" t="s">
        <v>717</v>
      </c>
      <c r="CK2488">
        <v>21</v>
      </c>
      <c r="CL2488" t="s">
        <v>89</v>
      </c>
    </row>
    <row r="2489" spans="1:90">
      <c r="A2489" t="s">
        <v>72</v>
      </c>
      <c r="B2489" t="s">
        <v>73</v>
      </c>
      <c r="C2489" t="s">
        <v>74</v>
      </c>
      <c r="E2489" t="str">
        <f>"FES1162729393"</f>
        <v>FES1162729393</v>
      </c>
      <c r="F2489" s="3">
        <v>43822</v>
      </c>
      <c r="G2489">
        <v>202006</v>
      </c>
      <c r="H2489" t="s">
        <v>75</v>
      </c>
      <c r="I2489" t="s">
        <v>76</v>
      </c>
      <c r="J2489" t="s">
        <v>77</v>
      </c>
      <c r="K2489" t="s">
        <v>78</v>
      </c>
      <c r="L2489" t="s">
        <v>258</v>
      </c>
      <c r="M2489" t="s">
        <v>259</v>
      </c>
      <c r="N2489" t="s">
        <v>689</v>
      </c>
      <c r="O2489" t="s">
        <v>82</v>
      </c>
      <c r="P2489" t="str">
        <f>"2170722397                    "</f>
        <v xml:space="preserve">2170722397                    </v>
      </c>
      <c r="Q2489">
        <v>0</v>
      </c>
      <c r="R2489">
        <v>0</v>
      </c>
      <c r="S2489">
        <v>0</v>
      </c>
      <c r="T2489">
        <v>0</v>
      </c>
      <c r="U2489">
        <v>0</v>
      </c>
      <c r="V2489">
        <v>0</v>
      </c>
      <c r="W2489">
        <v>0</v>
      </c>
      <c r="X2489">
        <v>0</v>
      </c>
      <c r="Y2489">
        <v>0</v>
      </c>
      <c r="Z2489">
        <v>0</v>
      </c>
      <c r="AA2489">
        <v>0</v>
      </c>
      <c r="AB2489">
        <v>0</v>
      </c>
      <c r="AC2489">
        <v>0</v>
      </c>
      <c r="AD2489">
        <v>0</v>
      </c>
      <c r="AE2489">
        <v>0</v>
      </c>
      <c r="AF2489">
        <v>0</v>
      </c>
      <c r="AG2489">
        <v>0</v>
      </c>
      <c r="AH2489">
        <v>0</v>
      </c>
      <c r="AI2489">
        <v>0</v>
      </c>
      <c r="AJ2489">
        <v>0</v>
      </c>
      <c r="AK2489">
        <v>0</v>
      </c>
      <c r="AL2489">
        <v>0</v>
      </c>
      <c r="AM2489">
        <v>8.58</v>
      </c>
      <c r="AN2489">
        <v>0</v>
      </c>
      <c r="AO2489">
        <v>0</v>
      </c>
      <c r="AP2489">
        <v>0</v>
      </c>
      <c r="AQ2489">
        <v>0</v>
      </c>
      <c r="AR2489">
        <v>0</v>
      </c>
      <c r="AS2489">
        <v>0</v>
      </c>
      <c r="AT2489">
        <v>0</v>
      </c>
      <c r="AU2489">
        <v>0</v>
      </c>
      <c r="AV2489">
        <v>0</v>
      </c>
      <c r="AW2489">
        <v>0</v>
      </c>
      <c r="AX2489">
        <v>0</v>
      </c>
      <c r="AY2489">
        <v>0</v>
      </c>
      <c r="AZ2489">
        <v>0</v>
      </c>
      <c r="BA2489">
        <v>0</v>
      </c>
      <c r="BB2489">
        <v>0</v>
      </c>
      <c r="BC2489">
        <v>0</v>
      </c>
      <c r="BD2489">
        <v>0</v>
      </c>
      <c r="BE2489">
        <v>0</v>
      </c>
      <c r="BF2489">
        <v>0</v>
      </c>
      <c r="BG2489">
        <v>0</v>
      </c>
      <c r="BH2489">
        <v>1</v>
      </c>
      <c r="BI2489">
        <v>1</v>
      </c>
      <c r="BJ2489">
        <v>0.2</v>
      </c>
      <c r="BK2489">
        <v>1</v>
      </c>
      <c r="BL2489" s="4">
        <v>50.45</v>
      </c>
      <c r="BM2489" s="4">
        <v>7.57</v>
      </c>
      <c r="BN2489" s="4">
        <v>58.02</v>
      </c>
      <c r="BO2489" s="4">
        <v>58.02</v>
      </c>
      <c r="BQ2489" t="s">
        <v>690</v>
      </c>
      <c r="BR2489" t="s">
        <v>84</v>
      </c>
      <c r="BS2489" s="3">
        <v>43826</v>
      </c>
      <c r="BT2489" s="5">
        <v>0.39513888888888887</v>
      </c>
      <c r="BU2489" t="s">
        <v>2592</v>
      </c>
      <c r="BV2489" t="s">
        <v>89</v>
      </c>
      <c r="BW2489" t="s">
        <v>1335</v>
      </c>
      <c r="BX2489" t="s">
        <v>692</v>
      </c>
      <c r="BY2489">
        <v>1200</v>
      </c>
      <c r="CA2489" t="s">
        <v>2593</v>
      </c>
      <c r="CC2489" t="s">
        <v>259</v>
      </c>
      <c r="CD2489">
        <v>7599</v>
      </c>
      <c r="CE2489" t="s">
        <v>88</v>
      </c>
      <c r="CF2489" s="3">
        <v>43829</v>
      </c>
      <c r="CI2489">
        <v>1</v>
      </c>
      <c r="CJ2489">
        <v>4</v>
      </c>
      <c r="CK2489">
        <v>21</v>
      </c>
      <c r="CL2489" t="s">
        <v>89</v>
      </c>
    </row>
    <row r="2490" spans="1:90">
      <c r="A2490" t="s">
        <v>72</v>
      </c>
      <c r="B2490" t="s">
        <v>73</v>
      </c>
      <c r="C2490" t="s">
        <v>74</v>
      </c>
      <c r="E2490" t="str">
        <f>"FES1162729384"</f>
        <v>FES1162729384</v>
      </c>
      <c r="F2490" s="3">
        <v>43822</v>
      </c>
      <c r="G2490">
        <v>202006</v>
      </c>
      <c r="H2490" t="s">
        <v>75</v>
      </c>
      <c r="I2490" t="s">
        <v>76</v>
      </c>
      <c r="J2490" t="s">
        <v>77</v>
      </c>
      <c r="K2490" t="s">
        <v>78</v>
      </c>
      <c r="L2490" t="s">
        <v>90</v>
      </c>
      <c r="M2490" t="s">
        <v>91</v>
      </c>
      <c r="N2490" t="s">
        <v>110</v>
      </c>
      <c r="O2490" t="s">
        <v>82</v>
      </c>
      <c r="P2490" t="str">
        <f>"2170723387                    "</f>
        <v xml:space="preserve">2170723387                    </v>
      </c>
      <c r="Q2490">
        <v>0</v>
      </c>
      <c r="R2490">
        <v>0</v>
      </c>
      <c r="S2490">
        <v>0</v>
      </c>
      <c r="T2490">
        <v>0</v>
      </c>
      <c r="U2490">
        <v>0</v>
      </c>
      <c r="V2490">
        <v>0</v>
      </c>
      <c r="W2490">
        <v>0</v>
      </c>
      <c r="X2490">
        <v>0</v>
      </c>
      <c r="Y2490">
        <v>0</v>
      </c>
      <c r="Z2490">
        <v>0</v>
      </c>
      <c r="AA2490">
        <v>0</v>
      </c>
      <c r="AB2490">
        <v>0</v>
      </c>
      <c r="AC2490">
        <v>0</v>
      </c>
      <c r="AD2490">
        <v>0</v>
      </c>
      <c r="AE2490">
        <v>0</v>
      </c>
      <c r="AF2490">
        <v>0</v>
      </c>
      <c r="AG2490">
        <v>0</v>
      </c>
      <c r="AH2490">
        <v>0</v>
      </c>
      <c r="AI2490">
        <v>0</v>
      </c>
      <c r="AJ2490">
        <v>0</v>
      </c>
      <c r="AK2490">
        <v>0</v>
      </c>
      <c r="AL2490">
        <v>0</v>
      </c>
      <c r="AM2490">
        <v>8.58</v>
      </c>
      <c r="AN2490">
        <v>0</v>
      </c>
      <c r="AO2490">
        <v>0</v>
      </c>
      <c r="AP2490">
        <v>0</v>
      </c>
      <c r="AQ2490">
        <v>0</v>
      </c>
      <c r="AR2490">
        <v>0</v>
      </c>
      <c r="AS2490">
        <v>0</v>
      </c>
      <c r="AT2490">
        <v>0</v>
      </c>
      <c r="AU2490">
        <v>0</v>
      </c>
      <c r="AV2490">
        <v>0</v>
      </c>
      <c r="AW2490">
        <v>0</v>
      </c>
      <c r="AX2490">
        <v>0</v>
      </c>
      <c r="AY2490">
        <v>0</v>
      </c>
      <c r="AZ2490">
        <v>0</v>
      </c>
      <c r="BA2490">
        <v>0</v>
      </c>
      <c r="BB2490">
        <v>0</v>
      </c>
      <c r="BC2490">
        <v>0</v>
      </c>
      <c r="BD2490">
        <v>0</v>
      </c>
      <c r="BE2490">
        <v>0</v>
      </c>
      <c r="BF2490">
        <v>0</v>
      </c>
      <c r="BG2490">
        <v>0</v>
      </c>
      <c r="BH2490">
        <v>1</v>
      </c>
      <c r="BI2490">
        <v>0.2</v>
      </c>
      <c r="BJ2490">
        <v>1.2</v>
      </c>
      <c r="BK2490">
        <v>1.5</v>
      </c>
      <c r="BL2490" s="4">
        <v>50.45</v>
      </c>
      <c r="BM2490" s="4">
        <v>7.57</v>
      </c>
      <c r="BN2490" s="4">
        <v>58.02</v>
      </c>
      <c r="BO2490" s="4">
        <v>58.02</v>
      </c>
      <c r="BQ2490" t="s">
        <v>147</v>
      </c>
      <c r="BR2490" t="s">
        <v>84</v>
      </c>
      <c r="BS2490" s="3">
        <v>43836</v>
      </c>
      <c r="BT2490" s="5">
        <v>0.29583333333333334</v>
      </c>
      <c r="BU2490" t="s">
        <v>2608</v>
      </c>
      <c r="BV2490" t="s">
        <v>89</v>
      </c>
      <c r="BW2490" t="s">
        <v>1335</v>
      </c>
      <c r="BX2490" t="s">
        <v>619</v>
      </c>
      <c r="BY2490">
        <v>5879.41</v>
      </c>
      <c r="CA2490" t="s">
        <v>112</v>
      </c>
      <c r="CC2490" t="s">
        <v>91</v>
      </c>
      <c r="CD2490">
        <v>7405</v>
      </c>
      <c r="CE2490" t="s">
        <v>88</v>
      </c>
      <c r="CI2490">
        <v>1</v>
      </c>
      <c r="CJ2490">
        <v>10</v>
      </c>
      <c r="CK2490">
        <v>21</v>
      </c>
      <c r="CL2490" t="s">
        <v>89</v>
      </c>
    </row>
    <row r="2491" spans="1:90">
      <c r="A2491" t="s">
        <v>72</v>
      </c>
      <c r="B2491" t="s">
        <v>73</v>
      </c>
      <c r="C2491" t="s">
        <v>74</v>
      </c>
      <c r="E2491" t="str">
        <f>"FES1162729386"</f>
        <v>FES1162729386</v>
      </c>
      <c r="F2491" s="3">
        <v>43822</v>
      </c>
      <c r="G2491">
        <v>202006</v>
      </c>
      <c r="H2491" t="s">
        <v>75</v>
      </c>
      <c r="I2491" t="s">
        <v>76</v>
      </c>
      <c r="J2491" t="s">
        <v>77</v>
      </c>
      <c r="K2491" t="s">
        <v>78</v>
      </c>
      <c r="L2491" t="s">
        <v>186</v>
      </c>
      <c r="M2491" t="s">
        <v>187</v>
      </c>
      <c r="N2491" t="s">
        <v>266</v>
      </c>
      <c r="O2491" t="s">
        <v>82</v>
      </c>
      <c r="P2491" t="str">
        <f>"2170722388                    "</f>
        <v xml:space="preserve">2170722388                    </v>
      </c>
      <c r="Q2491">
        <v>0</v>
      </c>
      <c r="R2491">
        <v>0</v>
      </c>
      <c r="S2491">
        <v>0</v>
      </c>
      <c r="T2491">
        <v>0</v>
      </c>
      <c r="U2491">
        <v>0</v>
      </c>
      <c r="V2491">
        <v>0</v>
      </c>
      <c r="W2491">
        <v>0</v>
      </c>
      <c r="X2491">
        <v>0</v>
      </c>
      <c r="Y2491">
        <v>0</v>
      </c>
      <c r="Z2491">
        <v>0</v>
      </c>
      <c r="AA2491">
        <v>0</v>
      </c>
      <c r="AB2491">
        <v>0</v>
      </c>
      <c r="AC2491">
        <v>0</v>
      </c>
      <c r="AD2491">
        <v>0</v>
      </c>
      <c r="AE2491">
        <v>0</v>
      </c>
      <c r="AF2491">
        <v>0</v>
      </c>
      <c r="AG2491">
        <v>0</v>
      </c>
      <c r="AH2491">
        <v>0</v>
      </c>
      <c r="AI2491">
        <v>0</v>
      </c>
      <c r="AJ2491">
        <v>0</v>
      </c>
      <c r="AK2491">
        <v>0</v>
      </c>
      <c r="AL2491">
        <v>0</v>
      </c>
      <c r="AM2491">
        <v>20.39</v>
      </c>
      <c r="AN2491">
        <v>0</v>
      </c>
      <c r="AO2491">
        <v>0</v>
      </c>
      <c r="AP2491">
        <v>0</v>
      </c>
      <c r="AQ2491">
        <v>0</v>
      </c>
      <c r="AR2491">
        <v>0</v>
      </c>
      <c r="AS2491">
        <v>0</v>
      </c>
      <c r="AT2491">
        <v>0</v>
      </c>
      <c r="AU2491">
        <v>0</v>
      </c>
      <c r="AV2491">
        <v>0</v>
      </c>
      <c r="AW2491">
        <v>0</v>
      </c>
      <c r="AX2491">
        <v>0</v>
      </c>
      <c r="AY2491">
        <v>0</v>
      </c>
      <c r="AZ2491">
        <v>0</v>
      </c>
      <c r="BA2491">
        <v>0</v>
      </c>
      <c r="BB2491">
        <v>0</v>
      </c>
      <c r="BC2491">
        <v>0</v>
      </c>
      <c r="BD2491">
        <v>0</v>
      </c>
      <c r="BE2491">
        <v>0</v>
      </c>
      <c r="BF2491">
        <v>0</v>
      </c>
      <c r="BG2491">
        <v>0</v>
      </c>
      <c r="BH2491">
        <v>1</v>
      </c>
      <c r="BI2491">
        <v>0.9</v>
      </c>
      <c r="BJ2491">
        <v>2.2000000000000002</v>
      </c>
      <c r="BK2491">
        <v>2.5</v>
      </c>
      <c r="BL2491" s="4">
        <v>119.83</v>
      </c>
      <c r="BM2491" s="4">
        <v>17.97</v>
      </c>
      <c r="BN2491" s="4">
        <v>137.80000000000001</v>
      </c>
      <c r="BO2491" s="4">
        <v>137.80000000000001</v>
      </c>
      <c r="BQ2491" t="s">
        <v>135</v>
      </c>
      <c r="BR2491" t="s">
        <v>84</v>
      </c>
      <c r="BS2491" s="3">
        <v>43826</v>
      </c>
      <c r="BT2491" s="5">
        <v>0.66319444444444442</v>
      </c>
      <c r="BU2491" t="s">
        <v>2609</v>
      </c>
      <c r="BV2491" t="s">
        <v>86</v>
      </c>
      <c r="BY2491">
        <v>10999.33</v>
      </c>
      <c r="CA2491" t="s">
        <v>190</v>
      </c>
      <c r="CC2491" t="s">
        <v>187</v>
      </c>
      <c r="CD2491">
        <v>6850</v>
      </c>
      <c r="CE2491" t="s">
        <v>88</v>
      </c>
      <c r="CF2491" s="3">
        <v>43829</v>
      </c>
      <c r="CI2491">
        <v>3</v>
      </c>
      <c r="CJ2491">
        <v>4</v>
      </c>
      <c r="CK2491">
        <v>23</v>
      </c>
      <c r="CL2491" t="s">
        <v>89</v>
      </c>
    </row>
    <row r="2492" spans="1:90">
      <c r="A2492" t="s">
        <v>72</v>
      </c>
      <c r="B2492" t="s">
        <v>73</v>
      </c>
      <c r="C2492" t="s">
        <v>74</v>
      </c>
      <c r="E2492" t="str">
        <f>"FES1162729374"</f>
        <v>FES1162729374</v>
      </c>
      <c r="F2492" s="3">
        <v>43822</v>
      </c>
      <c r="G2492">
        <v>202006</v>
      </c>
      <c r="H2492" t="s">
        <v>75</v>
      </c>
      <c r="I2492" t="s">
        <v>76</v>
      </c>
      <c r="J2492" t="s">
        <v>77</v>
      </c>
      <c r="K2492" t="s">
        <v>78</v>
      </c>
      <c r="L2492" t="s">
        <v>75</v>
      </c>
      <c r="M2492" t="s">
        <v>76</v>
      </c>
      <c r="N2492" t="s">
        <v>2420</v>
      </c>
      <c r="O2492" t="s">
        <v>82</v>
      </c>
      <c r="P2492" t="str">
        <f>"2170722372                    "</f>
        <v xml:space="preserve">2170722372                    </v>
      </c>
      <c r="Q2492">
        <v>0</v>
      </c>
      <c r="R2492">
        <v>0</v>
      </c>
      <c r="S2492">
        <v>0</v>
      </c>
      <c r="T2492">
        <v>0</v>
      </c>
      <c r="U2492">
        <v>0</v>
      </c>
      <c r="V2492">
        <v>0</v>
      </c>
      <c r="W2492">
        <v>0</v>
      </c>
      <c r="X2492">
        <v>0</v>
      </c>
      <c r="Y2492">
        <v>0</v>
      </c>
      <c r="Z2492">
        <v>0</v>
      </c>
      <c r="AA2492">
        <v>0</v>
      </c>
      <c r="AB2492">
        <v>0</v>
      </c>
      <c r="AC2492">
        <v>0</v>
      </c>
      <c r="AD2492">
        <v>0</v>
      </c>
      <c r="AE2492">
        <v>0</v>
      </c>
      <c r="AF2492">
        <v>0</v>
      </c>
      <c r="AG2492">
        <v>0</v>
      </c>
      <c r="AH2492">
        <v>0</v>
      </c>
      <c r="AI2492">
        <v>0</v>
      </c>
      <c r="AJ2492">
        <v>0</v>
      </c>
      <c r="AK2492">
        <v>0</v>
      </c>
      <c r="AL2492">
        <v>0</v>
      </c>
      <c r="AM2492">
        <v>6.71</v>
      </c>
      <c r="AN2492">
        <v>0</v>
      </c>
      <c r="AO2492">
        <v>0</v>
      </c>
      <c r="AP2492">
        <v>0</v>
      </c>
      <c r="AQ2492">
        <v>0</v>
      </c>
      <c r="AR2492">
        <v>0</v>
      </c>
      <c r="AS2492">
        <v>0</v>
      </c>
      <c r="AT2492">
        <v>0</v>
      </c>
      <c r="AU2492">
        <v>0</v>
      </c>
      <c r="AV2492">
        <v>0</v>
      </c>
      <c r="AW2492">
        <v>0</v>
      </c>
      <c r="AX2492">
        <v>0</v>
      </c>
      <c r="AY2492">
        <v>0</v>
      </c>
      <c r="AZ2492">
        <v>0</v>
      </c>
      <c r="BA2492">
        <v>0</v>
      </c>
      <c r="BB2492">
        <v>0</v>
      </c>
      <c r="BC2492">
        <v>0</v>
      </c>
      <c r="BD2492">
        <v>0</v>
      </c>
      <c r="BE2492">
        <v>0</v>
      </c>
      <c r="BF2492">
        <v>0</v>
      </c>
      <c r="BG2492">
        <v>0</v>
      </c>
      <c r="BH2492">
        <v>1</v>
      </c>
      <c r="BI2492">
        <v>1</v>
      </c>
      <c r="BJ2492">
        <v>0.2</v>
      </c>
      <c r="BK2492">
        <v>1</v>
      </c>
      <c r="BL2492" s="4">
        <v>39.42</v>
      </c>
      <c r="BM2492" s="4">
        <v>5.91</v>
      </c>
      <c r="BN2492" s="4">
        <v>45.33</v>
      </c>
      <c r="BO2492" s="4">
        <v>45.33</v>
      </c>
      <c r="BQ2492" t="s">
        <v>93</v>
      </c>
      <c r="BR2492" t="s">
        <v>84</v>
      </c>
      <c r="BS2492" s="3">
        <v>43823</v>
      </c>
      <c r="BT2492" s="5">
        <v>0.33333333333333331</v>
      </c>
      <c r="BU2492" t="s">
        <v>2582</v>
      </c>
      <c r="BV2492" t="s">
        <v>86</v>
      </c>
      <c r="BY2492">
        <v>1200</v>
      </c>
      <c r="CA2492" t="s">
        <v>320</v>
      </c>
      <c r="CC2492" t="s">
        <v>76</v>
      </c>
      <c r="CD2492">
        <v>1666</v>
      </c>
      <c r="CE2492" t="s">
        <v>88</v>
      </c>
      <c r="CF2492" s="3">
        <v>43826</v>
      </c>
      <c r="CI2492">
        <v>1</v>
      </c>
      <c r="CJ2492">
        <v>1</v>
      </c>
      <c r="CK2492">
        <v>22</v>
      </c>
      <c r="CL2492" t="s">
        <v>89</v>
      </c>
    </row>
    <row r="2493" spans="1:90">
      <c r="A2493" t="s">
        <v>72</v>
      </c>
      <c r="B2493" t="s">
        <v>73</v>
      </c>
      <c r="C2493" t="s">
        <v>74</v>
      </c>
      <c r="E2493" t="str">
        <f>"FES1162729401"</f>
        <v>FES1162729401</v>
      </c>
      <c r="F2493" s="3">
        <v>43822</v>
      </c>
      <c r="G2493">
        <v>202006</v>
      </c>
      <c r="H2493" t="s">
        <v>75</v>
      </c>
      <c r="I2493" t="s">
        <v>76</v>
      </c>
      <c r="J2493" t="s">
        <v>77</v>
      </c>
      <c r="K2493" t="s">
        <v>78</v>
      </c>
      <c r="L2493" t="s">
        <v>75</v>
      </c>
      <c r="M2493" t="s">
        <v>76</v>
      </c>
      <c r="N2493" t="s">
        <v>1337</v>
      </c>
      <c r="O2493" t="s">
        <v>82</v>
      </c>
      <c r="P2493" t="str">
        <f>"2170717976                    "</f>
        <v xml:space="preserve">2170717976                    </v>
      </c>
      <c r="Q2493">
        <v>0</v>
      </c>
      <c r="R2493">
        <v>0</v>
      </c>
      <c r="S2493">
        <v>0</v>
      </c>
      <c r="T2493">
        <v>0</v>
      </c>
      <c r="U2493">
        <v>0</v>
      </c>
      <c r="V2493">
        <v>0</v>
      </c>
      <c r="W2493">
        <v>0</v>
      </c>
      <c r="X2493">
        <v>0</v>
      </c>
      <c r="Y2493">
        <v>0</v>
      </c>
      <c r="Z2493">
        <v>0</v>
      </c>
      <c r="AA2493">
        <v>0</v>
      </c>
      <c r="AB2493">
        <v>0</v>
      </c>
      <c r="AC2493">
        <v>0</v>
      </c>
      <c r="AD2493">
        <v>0</v>
      </c>
      <c r="AE2493">
        <v>0</v>
      </c>
      <c r="AF2493">
        <v>0</v>
      </c>
      <c r="AG2493">
        <v>0</v>
      </c>
      <c r="AH2493">
        <v>0</v>
      </c>
      <c r="AI2493">
        <v>0</v>
      </c>
      <c r="AJ2493">
        <v>0</v>
      </c>
      <c r="AK2493">
        <v>0</v>
      </c>
      <c r="AL2493">
        <v>0</v>
      </c>
      <c r="AM2493">
        <v>9.1199999999999992</v>
      </c>
      <c r="AN2493">
        <v>0</v>
      </c>
      <c r="AO2493">
        <v>0</v>
      </c>
      <c r="AP2493">
        <v>0</v>
      </c>
      <c r="AQ2493">
        <v>0</v>
      </c>
      <c r="AR2493">
        <v>0</v>
      </c>
      <c r="AS2493">
        <v>0</v>
      </c>
      <c r="AT2493">
        <v>0</v>
      </c>
      <c r="AU2493">
        <v>0</v>
      </c>
      <c r="AV2493">
        <v>0</v>
      </c>
      <c r="AW2493">
        <v>0</v>
      </c>
      <c r="AX2493">
        <v>0</v>
      </c>
      <c r="AY2493">
        <v>0</v>
      </c>
      <c r="AZ2493">
        <v>0</v>
      </c>
      <c r="BA2493">
        <v>0</v>
      </c>
      <c r="BB2493">
        <v>0</v>
      </c>
      <c r="BC2493">
        <v>0</v>
      </c>
      <c r="BD2493">
        <v>0</v>
      </c>
      <c r="BE2493">
        <v>0</v>
      </c>
      <c r="BF2493">
        <v>0</v>
      </c>
      <c r="BG2493">
        <v>0</v>
      </c>
      <c r="BH2493">
        <v>1</v>
      </c>
      <c r="BI2493">
        <v>1.7</v>
      </c>
      <c r="BJ2493">
        <v>3.3</v>
      </c>
      <c r="BK2493">
        <v>3.5</v>
      </c>
      <c r="BL2493" s="4">
        <v>53.59</v>
      </c>
      <c r="BM2493" s="4">
        <v>8.0399999999999991</v>
      </c>
      <c r="BN2493" s="4">
        <v>61.63</v>
      </c>
      <c r="BO2493" s="4">
        <v>61.63</v>
      </c>
      <c r="BQ2493" t="s">
        <v>1338</v>
      </c>
      <c r="BR2493" t="s">
        <v>84</v>
      </c>
      <c r="BS2493" s="3">
        <v>43823</v>
      </c>
      <c r="BT2493" s="5">
        <v>0.39930555555555558</v>
      </c>
      <c r="BU2493" t="s">
        <v>2610</v>
      </c>
      <c r="BV2493" t="s">
        <v>86</v>
      </c>
      <c r="BY2493">
        <v>16545.439999999999</v>
      </c>
      <c r="CA2493" t="s">
        <v>155</v>
      </c>
      <c r="CC2493" t="s">
        <v>76</v>
      </c>
      <c r="CD2493">
        <v>1601</v>
      </c>
      <c r="CE2493" t="s">
        <v>88</v>
      </c>
      <c r="CF2493" s="3">
        <v>43826</v>
      </c>
      <c r="CI2493">
        <v>1</v>
      </c>
      <c r="CJ2493">
        <v>1</v>
      </c>
      <c r="CK2493">
        <v>22</v>
      </c>
      <c r="CL2493" t="s">
        <v>89</v>
      </c>
    </row>
    <row r="2494" spans="1:90">
      <c r="A2494" t="s">
        <v>72</v>
      </c>
      <c r="B2494" t="s">
        <v>73</v>
      </c>
      <c r="C2494" t="s">
        <v>74</v>
      </c>
      <c r="E2494" t="str">
        <f>"FES1162729394"</f>
        <v>FES1162729394</v>
      </c>
      <c r="F2494" s="3">
        <v>43822</v>
      </c>
      <c r="G2494">
        <v>202006</v>
      </c>
      <c r="H2494" t="s">
        <v>75</v>
      </c>
      <c r="I2494" t="s">
        <v>76</v>
      </c>
      <c r="J2494" t="s">
        <v>77</v>
      </c>
      <c r="K2494" t="s">
        <v>78</v>
      </c>
      <c r="L2494" t="s">
        <v>213</v>
      </c>
      <c r="M2494" t="s">
        <v>214</v>
      </c>
      <c r="N2494" t="s">
        <v>1888</v>
      </c>
      <c r="O2494" t="s">
        <v>82</v>
      </c>
      <c r="P2494" t="str">
        <f>"2170722398                    "</f>
        <v xml:space="preserve">2170722398                    </v>
      </c>
      <c r="Q2494">
        <v>0</v>
      </c>
      <c r="R2494">
        <v>0</v>
      </c>
      <c r="S2494">
        <v>0</v>
      </c>
      <c r="T2494">
        <v>0</v>
      </c>
      <c r="U2494">
        <v>0</v>
      </c>
      <c r="V2494">
        <v>0</v>
      </c>
      <c r="W2494">
        <v>0</v>
      </c>
      <c r="X2494">
        <v>0</v>
      </c>
      <c r="Y2494">
        <v>0</v>
      </c>
      <c r="Z2494">
        <v>0</v>
      </c>
      <c r="AA2494">
        <v>0</v>
      </c>
      <c r="AB2494">
        <v>0</v>
      </c>
      <c r="AC2494">
        <v>0</v>
      </c>
      <c r="AD2494">
        <v>0</v>
      </c>
      <c r="AE2494">
        <v>0</v>
      </c>
      <c r="AF2494">
        <v>0</v>
      </c>
      <c r="AG2494">
        <v>0</v>
      </c>
      <c r="AH2494">
        <v>0</v>
      </c>
      <c r="AI2494">
        <v>0</v>
      </c>
      <c r="AJ2494">
        <v>0</v>
      </c>
      <c r="AK2494">
        <v>0</v>
      </c>
      <c r="AL2494">
        <v>0</v>
      </c>
      <c r="AM2494">
        <v>8.58</v>
      </c>
      <c r="AN2494">
        <v>0</v>
      </c>
      <c r="AO2494">
        <v>0</v>
      </c>
      <c r="AP2494">
        <v>0</v>
      </c>
      <c r="AQ2494">
        <v>0</v>
      </c>
      <c r="AR2494">
        <v>0</v>
      </c>
      <c r="AS2494">
        <v>0</v>
      </c>
      <c r="AT2494">
        <v>0</v>
      </c>
      <c r="AU2494">
        <v>0</v>
      </c>
      <c r="AV2494">
        <v>0</v>
      </c>
      <c r="AW2494">
        <v>0</v>
      </c>
      <c r="AX2494">
        <v>0</v>
      </c>
      <c r="AY2494">
        <v>0</v>
      </c>
      <c r="AZ2494">
        <v>0</v>
      </c>
      <c r="BA2494">
        <v>0</v>
      </c>
      <c r="BB2494">
        <v>0</v>
      </c>
      <c r="BC2494">
        <v>0</v>
      </c>
      <c r="BD2494">
        <v>0</v>
      </c>
      <c r="BE2494">
        <v>0</v>
      </c>
      <c r="BF2494">
        <v>0</v>
      </c>
      <c r="BG2494">
        <v>0</v>
      </c>
      <c r="BH2494">
        <v>1</v>
      </c>
      <c r="BI2494">
        <v>1.8</v>
      </c>
      <c r="BJ2494">
        <v>1.7</v>
      </c>
      <c r="BK2494">
        <v>2</v>
      </c>
      <c r="BL2494" s="4">
        <v>50.45</v>
      </c>
      <c r="BM2494" s="4">
        <v>7.57</v>
      </c>
      <c r="BN2494" s="4">
        <v>58.02</v>
      </c>
      <c r="BO2494" s="4">
        <v>58.02</v>
      </c>
      <c r="BQ2494" t="s">
        <v>135</v>
      </c>
      <c r="BR2494" t="s">
        <v>84</v>
      </c>
      <c r="BS2494" s="3">
        <v>43823</v>
      </c>
      <c r="BT2494" s="5">
        <v>0.375</v>
      </c>
      <c r="BU2494" t="s">
        <v>2611</v>
      </c>
      <c r="BV2494" t="s">
        <v>86</v>
      </c>
      <c r="BY2494">
        <v>8563.81</v>
      </c>
      <c r="CA2494" t="s">
        <v>99</v>
      </c>
      <c r="CC2494" t="s">
        <v>214</v>
      </c>
      <c r="CD2494">
        <v>6229</v>
      </c>
      <c r="CE2494" t="s">
        <v>96</v>
      </c>
      <c r="CF2494" s="3">
        <v>43826</v>
      </c>
      <c r="CI2494">
        <v>1</v>
      </c>
      <c r="CJ2494">
        <v>1</v>
      </c>
      <c r="CK2494">
        <v>21</v>
      </c>
      <c r="CL2494" t="s">
        <v>89</v>
      </c>
    </row>
    <row r="2495" spans="1:90">
      <c r="A2495" t="s">
        <v>72</v>
      </c>
      <c r="B2495" t="s">
        <v>73</v>
      </c>
      <c r="C2495" t="s">
        <v>74</v>
      </c>
      <c r="E2495" t="str">
        <f>"FES1162729443"</f>
        <v>FES1162729443</v>
      </c>
      <c r="F2495" s="3">
        <v>43822</v>
      </c>
      <c r="G2495">
        <v>202006</v>
      </c>
      <c r="H2495" t="s">
        <v>75</v>
      </c>
      <c r="I2495" t="s">
        <v>76</v>
      </c>
      <c r="J2495" t="s">
        <v>77</v>
      </c>
      <c r="K2495" t="s">
        <v>78</v>
      </c>
      <c r="L2495" t="s">
        <v>90</v>
      </c>
      <c r="M2495" t="s">
        <v>91</v>
      </c>
      <c r="N2495" t="s">
        <v>2074</v>
      </c>
      <c r="O2495" t="s">
        <v>82</v>
      </c>
      <c r="P2495" t="str">
        <f>"2170722146                    "</f>
        <v xml:space="preserve">2170722146                    </v>
      </c>
      <c r="Q2495">
        <v>0</v>
      </c>
      <c r="R2495">
        <v>0</v>
      </c>
      <c r="S2495">
        <v>0</v>
      </c>
      <c r="T2495">
        <v>0</v>
      </c>
      <c r="U2495">
        <v>0</v>
      </c>
      <c r="V2495">
        <v>0</v>
      </c>
      <c r="W2495">
        <v>0</v>
      </c>
      <c r="X2495">
        <v>0</v>
      </c>
      <c r="Y2495">
        <v>0</v>
      </c>
      <c r="Z2495">
        <v>0</v>
      </c>
      <c r="AA2495">
        <v>0</v>
      </c>
      <c r="AB2495">
        <v>0</v>
      </c>
      <c r="AC2495">
        <v>0</v>
      </c>
      <c r="AD2495">
        <v>0</v>
      </c>
      <c r="AE2495">
        <v>0</v>
      </c>
      <c r="AF2495">
        <v>0</v>
      </c>
      <c r="AG2495">
        <v>0</v>
      </c>
      <c r="AH2495">
        <v>0</v>
      </c>
      <c r="AI2495">
        <v>0</v>
      </c>
      <c r="AJ2495">
        <v>0</v>
      </c>
      <c r="AK2495">
        <v>0</v>
      </c>
      <c r="AL2495">
        <v>0</v>
      </c>
      <c r="AM2495">
        <v>8.58</v>
      </c>
      <c r="AN2495">
        <v>0</v>
      </c>
      <c r="AO2495">
        <v>0</v>
      </c>
      <c r="AP2495">
        <v>0</v>
      </c>
      <c r="AQ2495">
        <v>0</v>
      </c>
      <c r="AR2495">
        <v>0</v>
      </c>
      <c r="AS2495">
        <v>0</v>
      </c>
      <c r="AT2495">
        <v>0</v>
      </c>
      <c r="AU2495">
        <v>0</v>
      </c>
      <c r="AV2495">
        <v>0</v>
      </c>
      <c r="AW2495">
        <v>0</v>
      </c>
      <c r="AX2495">
        <v>0</v>
      </c>
      <c r="AY2495">
        <v>0</v>
      </c>
      <c r="AZ2495">
        <v>0</v>
      </c>
      <c r="BA2495">
        <v>0</v>
      </c>
      <c r="BB2495">
        <v>0</v>
      </c>
      <c r="BC2495">
        <v>0</v>
      </c>
      <c r="BD2495">
        <v>0</v>
      </c>
      <c r="BE2495">
        <v>0</v>
      </c>
      <c r="BF2495">
        <v>0</v>
      </c>
      <c r="BG2495">
        <v>0</v>
      </c>
      <c r="BH2495">
        <v>1</v>
      </c>
      <c r="BI2495">
        <v>0.2</v>
      </c>
      <c r="BJ2495">
        <v>1.5</v>
      </c>
      <c r="BK2495">
        <v>1.5</v>
      </c>
      <c r="BL2495" s="4">
        <v>50.45</v>
      </c>
      <c r="BM2495" s="4">
        <v>7.57</v>
      </c>
      <c r="BN2495" s="4">
        <v>58.02</v>
      </c>
      <c r="BO2495" s="4">
        <v>58.02</v>
      </c>
      <c r="BQ2495" t="s">
        <v>93</v>
      </c>
      <c r="BR2495" t="s">
        <v>84</v>
      </c>
      <c r="BS2495" s="3">
        <v>43823</v>
      </c>
      <c r="BT2495" s="5">
        <v>0.43055555555555558</v>
      </c>
      <c r="BU2495" t="s">
        <v>2612</v>
      </c>
      <c r="BV2495" t="s">
        <v>86</v>
      </c>
      <c r="BY2495">
        <v>7616.47</v>
      </c>
      <c r="CC2495" t="s">
        <v>91</v>
      </c>
      <c r="CD2495">
        <v>7499</v>
      </c>
      <c r="CE2495" t="s">
        <v>88</v>
      </c>
      <c r="CF2495" s="3">
        <v>43833</v>
      </c>
      <c r="CI2495">
        <v>1</v>
      </c>
      <c r="CJ2495">
        <v>1</v>
      </c>
      <c r="CK2495">
        <v>21</v>
      </c>
      <c r="CL2495" t="s">
        <v>89</v>
      </c>
    </row>
    <row r="2496" spans="1:90">
      <c r="A2496" t="s">
        <v>72</v>
      </c>
      <c r="B2496" t="s">
        <v>73</v>
      </c>
      <c r="C2496" t="s">
        <v>74</v>
      </c>
      <c r="E2496" t="str">
        <f>"FES1162729439"</f>
        <v>FES1162729439</v>
      </c>
      <c r="F2496" s="3">
        <v>43822</v>
      </c>
      <c r="G2496">
        <v>202006</v>
      </c>
      <c r="H2496" t="s">
        <v>75</v>
      </c>
      <c r="I2496" t="s">
        <v>76</v>
      </c>
      <c r="J2496" t="s">
        <v>77</v>
      </c>
      <c r="K2496" t="s">
        <v>78</v>
      </c>
      <c r="L2496" t="s">
        <v>90</v>
      </c>
      <c r="M2496" t="s">
        <v>91</v>
      </c>
      <c r="N2496" t="s">
        <v>548</v>
      </c>
      <c r="O2496" t="s">
        <v>82</v>
      </c>
      <c r="P2496" t="str">
        <f>"2170722437                    "</f>
        <v xml:space="preserve">2170722437                    </v>
      </c>
      <c r="Q2496">
        <v>0</v>
      </c>
      <c r="R2496">
        <v>0</v>
      </c>
      <c r="S2496">
        <v>0</v>
      </c>
      <c r="T2496">
        <v>0</v>
      </c>
      <c r="U2496">
        <v>0</v>
      </c>
      <c r="V2496">
        <v>0</v>
      </c>
      <c r="W2496">
        <v>0</v>
      </c>
      <c r="X2496">
        <v>0</v>
      </c>
      <c r="Y2496">
        <v>0</v>
      </c>
      <c r="Z2496">
        <v>0</v>
      </c>
      <c r="AA2496">
        <v>0</v>
      </c>
      <c r="AB2496">
        <v>0</v>
      </c>
      <c r="AC2496">
        <v>0</v>
      </c>
      <c r="AD2496">
        <v>0</v>
      </c>
      <c r="AE2496">
        <v>0</v>
      </c>
      <c r="AF2496">
        <v>0</v>
      </c>
      <c r="AG2496">
        <v>0</v>
      </c>
      <c r="AH2496">
        <v>0</v>
      </c>
      <c r="AI2496">
        <v>0</v>
      </c>
      <c r="AJ2496">
        <v>0</v>
      </c>
      <c r="AK2496">
        <v>0</v>
      </c>
      <c r="AL2496">
        <v>0</v>
      </c>
      <c r="AM2496">
        <v>8.58</v>
      </c>
      <c r="AN2496">
        <v>0</v>
      </c>
      <c r="AO2496">
        <v>0</v>
      </c>
      <c r="AP2496">
        <v>0</v>
      </c>
      <c r="AQ2496">
        <v>0</v>
      </c>
      <c r="AR2496">
        <v>0</v>
      </c>
      <c r="AS2496">
        <v>0</v>
      </c>
      <c r="AT2496">
        <v>0</v>
      </c>
      <c r="AU2496">
        <v>0</v>
      </c>
      <c r="AV2496">
        <v>0</v>
      </c>
      <c r="AW2496">
        <v>0</v>
      </c>
      <c r="AX2496">
        <v>0</v>
      </c>
      <c r="AY2496">
        <v>0</v>
      </c>
      <c r="AZ2496">
        <v>0</v>
      </c>
      <c r="BA2496">
        <v>0</v>
      </c>
      <c r="BB2496">
        <v>0</v>
      </c>
      <c r="BC2496">
        <v>0</v>
      </c>
      <c r="BD2496">
        <v>0</v>
      </c>
      <c r="BE2496">
        <v>0</v>
      </c>
      <c r="BF2496">
        <v>0</v>
      </c>
      <c r="BG2496">
        <v>0</v>
      </c>
      <c r="BH2496">
        <v>1</v>
      </c>
      <c r="BI2496">
        <v>1</v>
      </c>
      <c r="BJ2496">
        <v>0.2</v>
      </c>
      <c r="BK2496">
        <v>1</v>
      </c>
      <c r="BL2496" s="4">
        <v>50.45</v>
      </c>
      <c r="BM2496" s="4">
        <v>7.57</v>
      </c>
      <c r="BN2496" s="4">
        <v>58.02</v>
      </c>
      <c r="BO2496" s="4">
        <v>58.02</v>
      </c>
      <c r="BQ2496" t="s">
        <v>147</v>
      </c>
      <c r="BR2496" t="s">
        <v>84</v>
      </c>
      <c r="BS2496" s="3">
        <v>43823</v>
      </c>
      <c r="BT2496" s="5">
        <v>0.31388888888888888</v>
      </c>
      <c r="BU2496" t="s">
        <v>1829</v>
      </c>
      <c r="BV2496" t="s">
        <v>86</v>
      </c>
      <c r="BY2496">
        <v>1200</v>
      </c>
      <c r="CA2496" t="s">
        <v>550</v>
      </c>
      <c r="CC2496" t="s">
        <v>91</v>
      </c>
      <c r="CD2496">
        <v>7530</v>
      </c>
      <c r="CE2496" t="s">
        <v>88</v>
      </c>
      <c r="CF2496" s="3">
        <v>43826</v>
      </c>
      <c r="CI2496">
        <v>1</v>
      </c>
      <c r="CJ2496">
        <v>1</v>
      </c>
      <c r="CK2496">
        <v>21</v>
      </c>
      <c r="CL2496" t="s">
        <v>89</v>
      </c>
    </row>
    <row r="2497" spans="1:90">
      <c r="A2497" t="s">
        <v>72</v>
      </c>
      <c r="B2497" t="s">
        <v>73</v>
      </c>
      <c r="C2497" t="s">
        <v>74</v>
      </c>
      <c r="E2497" t="str">
        <f>"FES1162729437"</f>
        <v>FES1162729437</v>
      </c>
      <c r="F2497" s="3">
        <v>43822</v>
      </c>
      <c r="G2497">
        <v>202006</v>
      </c>
      <c r="H2497" t="s">
        <v>75</v>
      </c>
      <c r="I2497" t="s">
        <v>76</v>
      </c>
      <c r="J2497" t="s">
        <v>77</v>
      </c>
      <c r="K2497" t="s">
        <v>78</v>
      </c>
      <c r="L2497" t="s">
        <v>90</v>
      </c>
      <c r="M2497" t="s">
        <v>91</v>
      </c>
      <c r="N2497" t="s">
        <v>2074</v>
      </c>
      <c r="O2497" t="s">
        <v>82</v>
      </c>
      <c r="P2497" t="str">
        <f>"2170722145                    "</f>
        <v xml:space="preserve">2170722145                    </v>
      </c>
      <c r="Q2497">
        <v>0</v>
      </c>
      <c r="R2497">
        <v>0</v>
      </c>
      <c r="S2497">
        <v>0</v>
      </c>
      <c r="T2497">
        <v>0</v>
      </c>
      <c r="U2497">
        <v>0</v>
      </c>
      <c r="V2497">
        <v>0</v>
      </c>
      <c r="W2497">
        <v>0</v>
      </c>
      <c r="X2497">
        <v>0</v>
      </c>
      <c r="Y2497">
        <v>0</v>
      </c>
      <c r="Z2497">
        <v>0</v>
      </c>
      <c r="AA2497">
        <v>0</v>
      </c>
      <c r="AB2497">
        <v>0</v>
      </c>
      <c r="AC2497">
        <v>0</v>
      </c>
      <c r="AD2497">
        <v>0</v>
      </c>
      <c r="AE2497">
        <v>0</v>
      </c>
      <c r="AF2497">
        <v>0</v>
      </c>
      <c r="AG2497">
        <v>0</v>
      </c>
      <c r="AH2497">
        <v>0</v>
      </c>
      <c r="AI2497">
        <v>0</v>
      </c>
      <c r="AJ2497">
        <v>0</v>
      </c>
      <c r="AK2497">
        <v>0</v>
      </c>
      <c r="AL2497">
        <v>0</v>
      </c>
      <c r="AM2497">
        <v>8.58</v>
      </c>
      <c r="AN2497">
        <v>0</v>
      </c>
      <c r="AO2497">
        <v>0</v>
      </c>
      <c r="AP2497">
        <v>0</v>
      </c>
      <c r="AQ2497">
        <v>0</v>
      </c>
      <c r="AR2497">
        <v>0</v>
      </c>
      <c r="AS2497">
        <v>0</v>
      </c>
      <c r="AT2497">
        <v>0</v>
      </c>
      <c r="AU2497">
        <v>0</v>
      </c>
      <c r="AV2497">
        <v>0</v>
      </c>
      <c r="AW2497">
        <v>0</v>
      </c>
      <c r="AX2497">
        <v>0</v>
      </c>
      <c r="AY2497">
        <v>0</v>
      </c>
      <c r="AZ2497">
        <v>0</v>
      </c>
      <c r="BA2497">
        <v>0</v>
      </c>
      <c r="BB2497">
        <v>0</v>
      </c>
      <c r="BC2497">
        <v>0</v>
      </c>
      <c r="BD2497">
        <v>0</v>
      </c>
      <c r="BE2497">
        <v>0</v>
      </c>
      <c r="BF2497">
        <v>0</v>
      </c>
      <c r="BG2497">
        <v>0</v>
      </c>
      <c r="BH2497">
        <v>1</v>
      </c>
      <c r="BI2497">
        <v>0.7</v>
      </c>
      <c r="BJ2497">
        <v>1.9</v>
      </c>
      <c r="BK2497">
        <v>2</v>
      </c>
      <c r="BL2497" s="4">
        <v>50.45</v>
      </c>
      <c r="BM2497" s="4">
        <v>7.57</v>
      </c>
      <c r="BN2497" s="4">
        <v>58.02</v>
      </c>
      <c r="BO2497" s="4">
        <v>58.02</v>
      </c>
      <c r="BQ2497" t="s">
        <v>93</v>
      </c>
      <c r="BR2497" t="s">
        <v>84</v>
      </c>
      <c r="BS2497" t="s">
        <v>717</v>
      </c>
      <c r="BW2497" t="s">
        <v>1707</v>
      </c>
      <c r="BX2497" t="s">
        <v>619</v>
      </c>
      <c r="BY2497">
        <v>9314.39</v>
      </c>
      <c r="CC2497" t="s">
        <v>91</v>
      </c>
      <c r="CD2497">
        <v>7499</v>
      </c>
      <c r="CE2497" t="s">
        <v>88</v>
      </c>
      <c r="CF2497" s="3">
        <v>43833</v>
      </c>
      <c r="CI2497">
        <v>1</v>
      </c>
      <c r="CJ2497" t="s">
        <v>717</v>
      </c>
      <c r="CK2497">
        <v>21</v>
      </c>
      <c r="CL2497" t="s">
        <v>89</v>
      </c>
    </row>
    <row r="2498" spans="1:90">
      <c r="A2498" t="s">
        <v>72</v>
      </c>
      <c r="B2498" t="s">
        <v>73</v>
      </c>
      <c r="C2498" t="s">
        <v>74</v>
      </c>
      <c r="E2498" t="str">
        <f>"FES1162729455"</f>
        <v>FES1162729455</v>
      </c>
      <c r="F2498" s="3">
        <v>43822</v>
      </c>
      <c r="G2498">
        <v>202006</v>
      </c>
      <c r="H2498" t="s">
        <v>75</v>
      </c>
      <c r="I2498" t="s">
        <v>76</v>
      </c>
      <c r="J2498" t="s">
        <v>77</v>
      </c>
      <c r="K2498" t="s">
        <v>78</v>
      </c>
      <c r="L2498" t="s">
        <v>90</v>
      </c>
      <c r="M2498" t="s">
        <v>91</v>
      </c>
      <c r="N2498" t="s">
        <v>110</v>
      </c>
      <c r="O2498" t="s">
        <v>82</v>
      </c>
      <c r="P2498" t="str">
        <f>"2170721393                    "</f>
        <v xml:space="preserve">2170721393                    </v>
      </c>
      <c r="Q2498">
        <v>0</v>
      </c>
      <c r="R2498">
        <v>0</v>
      </c>
      <c r="S2498">
        <v>0</v>
      </c>
      <c r="T2498">
        <v>0</v>
      </c>
      <c r="U2498">
        <v>0</v>
      </c>
      <c r="V2498">
        <v>0</v>
      </c>
      <c r="W2498">
        <v>0</v>
      </c>
      <c r="X2498">
        <v>0</v>
      </c>
      <c r="Y2498">
        <v>0</v>
      </c>
      <c r="Z2498">
        <v>0</v>
      </c>
      <c r="AA2498">
        <v>0</v>
      </c>
      <c r="AB2498">
        <v>0</v>
      </c>
      <c r="AC2498">
        <v>0</v>
      </c>
      <c r="AD2498">
        <v>0</v>
      </c>
      <c r="AE2498">
        <v>0</v>
      </c>
      <c r="AF2498">
        <v>0</v>
      </c>
      <c r="AG2498">
        <v>0</v>
      </c>
      <c r="AH2498">
        <v>0</v>
      </c>
      <c r="AI2498">
        <v>0</v>
      </c>
      <c r="AJ2498">
        <v>0</v>
      </c>
      <c r="AK2498">
        <v>0</v>
      </c>
      <c r="AL2498">
        <v>0</v>
      </c>
      <c r="AM2498">
        <v>8.58</v>
      </c>
      <c r="AN2498">
        <v>0</v>
      </c>
      <c r="AO2498">
        <v>0</v>
      </c>
      <c r="AP2498">
        <v>0</v>
      </c>
      <c r="AQ2498">
        <v>0</v>
      </c>
      <c r="AR2498">
        <v>0</v>
      </c>
      <c r="AS2498">
        <v>0</v>
      </c>
      <c r="AT2498">
        <v>0</v>
      </c>
      <c r="AU2498">
        <v>0</v>
      </c>
      <c r="AV2498">
        <v>0</v>
      </c>
      <c r="AW2498">
        <v>0</v>
      </c>
      <c r="AX2498">
        <v>0</v>
      </c>
      <c r="AY2498">
        <v>0</v>
      </c>
      <c r="AZ2498">
        <v>0</v>
      </c>
      <c r="BA2498">
        <v>0</v>
      </c>
      <c r="BB2498">
        <v>0</v>
      </c>
      <c r="BC2498">
        <v>0</v>
      </c>
      <c r="BD2498">
        <v>0</v>
      </c>
      <c r="BE2498">
        <v>0</v>
      </c>
      <c r="BF2498">
        <v>0</v>
      </c>
      <c r="BG2498">
        <v>0</v>
      </c>
      <c r="BH2498">
        <v>1</v>
      </c>
      <c r="BI2498">
        <v>1</v>
      </c>
      <c r="BJ2498">
        <v>0.2</v>
      </c>
      <c r="BK2498">
        <v>1</v>
      </c>
      <c r="BL2498" s="4">
        <v>50.45</v>
      </c>
      <c r="BM2498" s="4">
        <v>7.57</v>
      </c>
      <c r="BN2498" s="4">
        <v>58.02</v>
      </c>
      <c r="BO2498" s="4">
        <v>58.02</v>
      </c>
      <c r="BQ2498" t="s">
        <v>147</v>
      </c>
      <c r="BR2498" t="s">
        <v>84</v>
      </c>
      <c r="BS2498" s="3">
        <v>43836</v>
      </c>
      <c r="BT2498" s="5">
        <v>0.29583333333333334</v>
      </c>
      <c r="BU2498" t="s">
        <v>2613</v>
      </c>
      <c r="BV2498" t="s">
        <v>89</v>
      </c>
      <c r="BW2498" t="s">
        <v>1335</v>
      </c>
      <c r="BX2498" t="s">
        <v>619</v>
      </c>
      <c r="BY2498">
        <v>1200</v>
      </c>
      <c r="CA2498" t="s">
        <v>112</v>
      </c>
      <c r="CC2498" t="s">
        <v>91</v>
      </c>
      <c r="CD2498">
        <v>7405</v>
      </c>
      <c r="CE2498" t="s">
        <v>88</v>
      </c>
      <c r="CI2498">
        <v>1</v>
      </c>
      <c r="CJ2498">
        <v>10</v>
      </c>
      <c r="CK2498">
        <v>21</v>
      </c>
      <c r="CL2498" t="s">
        <v>89</v>
      </c>
    </row>
    <row r="2499" spans="1:90">
      <c r="A2499" t="s">
        <v>72</v>
      </c>
      <c r="B2499" t="s">
        <v>73</v>
      </c>
      <c r="C2499" t="s">
        <v>74</v>
      </c>
      <c r="E2499" t="str">
        <f>"FES1162729486"</f>
        <v>FES1162729486</v>
      </c>
      <c r="F2499" s="3">
        <v>43822</v>
      </c>
      <c r="G2499">
        <v>202006</v>
      </c>
      <c r="H2499" t="s">
        <v>75</v>
      </c>
      <c r="I2499" t="s">
        <v>76</v>
      </c>
      <c r="J2499" t="s">
        <v>77</v>
      </c>
      <c r="K2499" t="s">
        <v>78</v>
      </c>
      <c r="L2499" t="s">
        <v>213</v>
      </c>
      <c r="M2499" t="s">
        <v>214</v>
      </c>
      <c r="N2499" t="s">
        <v>1444</v>
      </c>
      <c r="O2499" t="s">
        <v>82</v>
      </c>
      <c r="P2499" t="str">
        <f>"2170722447                    "</f>
        <v xml:space="preserve">2170722447                    </v>
      </c>
      <c r="Q2499">
        <v>0</v>
      </c>
      <c r="R2499">
        <v>0</v>
      </c>
      <c r="S2499">
        <v>0</v>
      </c>
      <c r="T2499">
        <v>0</v>
      </c>
      <c r="U2499">
        <v>0</v>
      </c>
      <c r="V2499">
        <v>0</v>
      </c>
      <c r="W2499">
        <v>0</v>
      </c>
      <c r="X2499">
        <v>0</v>
      </c>
      <c r="Y2499">
        <v>0</v>
      </c>
      <c r="Z2499">
        <v>0</v>
      </c>
      <c r="AA2499">
        <v>0</v>
      </c>
      <c r="AB2499">
        <v>0</v>
      </c>
      <c r="AC2499">
        <v>0</v>
      </c>
      <c r="AD2499">
        <v>0</v>
      </c>
      <c r="AE2499">
        <v>0</v>
      </c>
      <c r="AF2499">
        <v>0</v>
      </c>
      <c r="AG2499">
        <v>0</v>
      </c>
      <c r="AH2499">
        <v>0</v>
      </c>
      <c r="AI2499">
        <v>0</v>
      </c>
      <c r="AJ2499">
        <v>0</v>
      </c>
      <c r="AK2499">
        <v>0</v>
      </c>
      <c r="AL2499">
        <v>0</v>
      </c>
      <c r="AM2499">
        <v>8.58</v>
      </c>
      <c r="AN2499">
        <v>0</v>
      </c>
      <c r="AO2499">
        <v>0</v>
      </c>
      <c r="AP2499">
        <v>0</v>
      </c>
      <c r="AQ2499">
        <v>0</v>
      </c>
      <c r="AR2499">
        <v>0</v>
      </c>
      <c r="AS2499">
        <v>0</v>
      </c>
      <c r="AT2499">
        <v>0</v>
      </c>
      <c r="AU2499">
        <v>0</v>
      </c>
      <c r="AV2499">
        <v>0</v>
      </c>
      <c r="AW2499">
        <v>0</v>
      </c>
      <c r="AX2499">
        <v>0</v>
      </c>
      <c r="AY2499">
        <v>0</v>
      </c>
      <c r="AZ2499">
        <v>0</v>
      </c>
      <c r="BA2499">
        <v>0</v>
      </c>
      <c r="BB2499">
        <v>0</v>
      </c>
      <c r="BC2499">
        <v>0</v>
      </c>
      <c r="BD2499">
        <v>0</v>
      </c>
      <c r="BE2499">
        <v>0</v>
      </c>
      <c r="BF2499">
        <v>0</v>
      </c>
      <c r="BG2499">
        <v>0</v>
      </c>
      <c r="BH2499">
        <v>1</v>
      </c>
      <c r="BI2499">
        <v>0.2</v>
      </c>
      <c r="BJ2499">
        <v>1.3</v>
      </c>
      <c r="BK2499">
        <v>1.5</v>
      </c>
      <c r="BL2499" s="4">
        <v>50.45</v>
      </c>
      <c r="BM2499" s="4">
        <v>7.57</v>
      </c>
      <c r="BN2499" s="4">
        <v>58.02</v>
      </c>
      <c r="BO2499" s="4">
        <v>58.02</v>
      </c>
      <c r="BQ2499" t="s">
        <v>147</v>
      </c>
      <c r="BR2499" t="s">
        <v>84</v>
      </c>
      <c r="BS2499" s="3">
        <v>43823</v>
      </c>
      <c r="BT2499" s="5">
        <v>0.37152777777777773</v>
      </c>
      <c r="BU2499" t="s">
        <v>1445</v>
      </c>
      <c r="BV2499" t="s">
        <v>86</v>
      </c>
      <c r="BY2499">
        <v>6580.07</v>
      </c>
      <c r="CA2499" t="s">
        <v>99</v>
      </c>
      <c r="CC2499" t="s">
        <v>214</v>
      </c>
      <c r="CD2499">
        <v>6230</v>
      </c>
      <c r="CE2499" t="s">
        <v>88</v>
      </c>
      <c r="CF2499" s="3">
        <v>43826</v>
      </c>
      <c r="CI2499">
        <v>1</v>
      </c>
      <c r="CJ2499">
        <v>1</v>
      </c>
      <c r="CK2499">
        <v>21</v>
      </c>
      <c r="CL2499" t="s">
        <v>89</v>
      </c>
    </row>
    <row r="2500" spans="1:90">
      <c r="A2500" t="s">
        <v>72</v>
      </c>
      <c r="B2500" t="s">
        <v>73</v>
      </c>
      <c r="C2500" t="s">
        <v>74</v>
      </c>
      <c r="E2500" t="str">
        <f>"FES1162729426"</f>
        <v>FES1162729426</v>
      </c>
      <c r="F2500" s="3">
        <v>43822</v>
      </c>
      <c r="G2500">
        <v>202006</v>
      </c>
      <c r="H2500" t="s">
        <v>75</v>
      </c>
      <c r="I2500" t="s">
        <v>76</v>
      </c>
      <c r="J2500" t="s">
        <v>77</v>
      </c>
      <c r="K2500" t="s">
        <v>78</v>
      </c>
      <c r="L2500" t="s">
        <v>213</v>
      </c>
      <c r="M2500" t="s">
        <v>214</v>
      </c>
      <c r="N2500" t="s">
        <v>598</v>
      </c>
      <c r="O2500" t="s">
        <v>82</v>
      </c>
      <c r="P2500" t="str">
        <f>"2170722422                    "</f>
        <v xml:space="preserve">2170722422                    </v>
      </c>
      <c r="Q2500">
        <v>0</v>
      </c>
      <c r="R2500">
        <v>0</v>
      </c>
      <c r="S2500">
        <v>0</v>
      </c>
      <c r="T2500">
        <v>0</v>
      </c>
      <c r="U2500">
        <v>0</v>
      </c>
      <c r="V2500">
        <v>0</v>
      </c>
      <c r="W2500">
        <v>0</v>
      </c>
      <c r="X2500">
        <v>0</v>
      </c>
      <c r="Y2500">
        <v>0</v>
      </c>
      <c r="Z2500">
        <v>0</v>
      </c>
      <c r="AA2500">
        <v>0</v>
      </c>
      <c r="AB2500">
        <v>0</v>
      </c>
      <c r="AC2500">
        <v>0</v>
      </c>
      <c r="AD2500">
        <v>0</v>
      </c>
      <c r="AE2500">
        <v>0</v>
      </c>
      <c r="AF2500">
        <v>0</v>
      </c>
      <c r="AG2500">
        <v>0</v>
      </c>
      <c r="AH2500">
        <v>0</v>
      </c>
      <c r="AI2500">
        <v>0</v>
      </c>
      <c r="AJ2500">
        <v>0</v>
      </c>
      <c r="AK2500">
        <v>0</v>
      </c>
      <c r="AL2500">
        <v>0</v>
      </c>
      <c r="AM2500">
        <v>8.58</v>
      </c>
      <c r="AN2500">
        <v>0</v>
      </c>
      <c r="AO2500">
        <v>0</v>
      </c>
      <c r="AP2500">
        <v>0</v>
      </c>
      <c r="AQ2500">
        <v>0</v>
      </c>
      <c r="AR2500">
        <v>0</v>
      </c>
      <c r="AS2500">
        <v>0</v>
      </c>
      <c r="AT2500">
        <v>0</v>
      </c>
      <c r="AU2500">
        <v>0</v>
      </c>
      <c r="AV2500">
        <v>0</v>
      </c>
      <c r="AW2500">
        <v>0</v>
      </c>
      <c r="AX2500">
        <v>0</v>
      </c>
      <c r="AY2500">
        <v>0</v>
      </c>
      <c r="AZ2500">
        <v>0</v>
      </c>
      <c r="BA2500">
        <v>0</v>
      </c>
      <c r="BB2500">
        <v>0</v>
      </c>
      <c r="BC2500">
        <v>0</v>
      </c>
      <c r="BD2500">
        <v>0</v>
      </c>
      <c r="BE2500">
        <v>0</v>
      </c>
      <c r="BF2500">
        <v>0</v>
      </c>
      <c r="BG2500">
        <v>0</v>
      </c>
      <c r="BH2500">
        <v>1</v>
      </c>
      <c r="BI2500">
        <v>0.6</v>
      </c>
      <c r="BJ2500">
        <v>1.5</v>
      </c>
      <c r="BK2500">
        <v>1.5</v>
      </c>
      <c r="BL2500" s="4">
        <v>50.45</v>
      </c>
      <c r="BM2500" s="4">
        <v>7.57</v>
      </c>
      <c r="BN2500" s="4">
        <v>58.02</v>
      </c>
      <c r="BO2500" s="4">
        <v>58.02</v>
      </c>
      <c r="BQ2500" t="s">
        <v>147</v>
      </c>
      <c r="BR2500" t="s">
        <v>84</v>
      </c>
      <c r="BS2500" s="3">
        <v>43823</v>
      </c>
      <c r="BT2500" s="5">
        <v>0.3263888888888889</v>
      </c>
      <c r="BU2500" t="s">
        <v>2456</v>
      </c>
      <c r="BV2500" t="s">
        <v>86</v>
      </c>
      <c r="BY2500">
        <v>7519.15</v>
      </c>
      <c r="CA2500" t="s">
        <v>99</v>
      </c>
      <c r="CC2500" t="s">
        <v>214</v>
      </c>
      <c r="CD2500">
        <v>6229</v>
      </c>
      <c r="CE2500" t="s">
        <v>88</v>
      </c>
      <c r="CF2500" s="3">
        <v>43826</v>
      </c>
      <c r="CI2500">
        <v>1</v>
      </c>
      <c r="CJ2500">
        <v>1</v>
      </c>
      <c r="CK2500">
        <v>21</v>
      </c>
      <c r="CL2500" t="s">
        <v>89</v>
      </c>
    </row>
    <row r="2501" spans="1:90">
      <c r="A2501" t="s">
        <v>72</v>
      </c>
      <c r="B2501" t="s">
        <v>73</v>
      </c>
      <c r="C2501" t="s">
        <v>74</v>
      </c>
      <c r="E2501" t="str">
        <f>"FES1162729442"</f>
        <v>FES1162729442</v>
      </c>
      <c r="F2501" s="3">
        <v>43822</v>
      </c>
      <c r="G2501">
        <v>202006</v>
      </c>
      <c r="H2501" t="s">
        <v>75</v>
      </c>
      <c r="I2501" t="s">
        <v>76</v>
      </c>
      <c r="J2501" t="s">
        <v>77</v>
      </c>
      <c r="K2501" t="s">
        <v>78</v>
      </c>
      <c r="L2501" t="s">
        <v>90</v>
      </c>
      <c r="M2501" t="s">
        <v>91</v>
      </c>
      <c r="N2501" t="s">
        <v>2074</v>
      </c>
      <c r="O2501" t="s">
        <v>82</v>
      </c>
      <c r="P2501" t="str">
        <f>"2170722425                    "</f>
        <v xml:space="preserve">2170722425                    </v>
      </c>
      <c r="Q2501">
        <v>0</v>
      </c>
      <c r="R2501">
        <v>0</v>
      </c>
      <c r="S2501">
        <v>0</v>
      </c>
      <c r="T2501">
        <v>0</v>
      </c>
      <c r="U2501">
        <v>0</v>
      </c>
      <c r="V2501">
        <v>0</v>
      </c>
      <c r="W2501">
        <v>0</v>
      </c>
      <c r="X2501">
        <v>0</v>
      </c>
      <c r="Y2501">
        <v>0</v>
      </c>
      <c r="Z2501">
        <v>0</v>
      </c>
      <c r="AA2501">
        <v>0</v>
      </c>
      <c r="AB2501">
        <v>0</v>
      </c>
      <c r="AC2501">
        <v>0</v>
      </c>
      <c r="AD2501">
        <v>0</v>
      </c>
      <c r="AE2501">
        <v>0</v>
      </c>
      <c r="AF2501">
        <v>0</v>
      </c>
      <c r="AG2501">
        <v>0</v>
      </c>
      <c r="AH2501">
        <v>0</v>
      </c>
      <c r="AI2501">
        <v>0</v>
      </c>
      <c r="AJ2501">
        <v>0</v>
      </c>
      <c r="AK2501">
        <v>0</v>
      </c>
      <c r="AL2501">
        <v>0</v>
      </c>
      <c r="AM2501">
        <v>10.73</v>
      </c>
      <c r="AN2501">
        <v>0</v>
      </c>
      <c r="AO2501">
        <v>0</v>
      </c>
      <c r="AP2501">
        <v>0</v>
      </c>
      <c r="AQ2501">
        <v>0</v>
      </c>
      <c r="AR2501">
        <v>0</v>
      </c>
      <c r="AS2501">
        <v>0</v>
      </c>
      <c r="AT2501">
        <v>0</v>
      </c>
      <c r="AU2501">
        <v>0</v>
      </c>
      <c r="AV2501">
        <v>0</v>
      </c>
      <c r="AW2501">
        <v>0</v>
      </c>
      <c r="AX2501">
        <v>0</v>
      </c>
      <c r="AY2501">
        <v>0</v>
      </c>
      <c r="AZ2501">
        <v>0</v>
      </c>
      <c r="BA2501">
        <v>0</v>
      </c>
      <c r="BB2501">
        <v>0</v>
      </c>
      <c r="BC2501">
        <v>0</v>
      </c>
      <c r="BD2501">
        <v>0</v>
      </c>
      <c r="BE2501">
        <v>0</v>
      </c>
      <c r="BF2501">
        <v>0</v>
      </c>
      <c r="BG2501">
        <v>0</v>
      </c>
      <c r="BH2501">
        <v>1</v>
      </c>
      <c r="BI2501">
        <v>2.1</v>
      </c>
      <c r="BJ2501">
        <v>1.7</v>
      </c>
      <c r="BK2501">
        <v>2.5</v>
      </c>
      <c r="BL2501" s="4">
        <v>63.06</v>
      </c>
      <c r="BM2501" s="4">
        <v>9.4600000000000009</v>
      </c>
      <c r="BN2501" s="4">
        <v>72.52</v>
      </c>
      <c r="BO2501" s="4">
        <v>72.52</v>
      </c>
      <c r="BQ2501" t="s">
        <v>93</v>
      </c>
      <c r="BR2501" t="s">
        <v>84</v>
      </c>
      <c r="BS2501" s="3">
        <v>43836</v>
      </c>
      <c r="BT2501" s="5">
        <v>0.33124999999999999</v>
      </c>
      <c r="BU2501" t="s">
        <v>2614</v>
      </c>
      <c r="BV2501" t="s">
        <v>89</v>
      </c>
      <c r="BW2501" t="s">
        <v>1335</v>
      </c>
      <c r="BX2501" t="s">
        <v>619</v>
      </c>
      <c r="BY2501">
        <v>8490.9</v>
      </c>
      <c r="CA2501" t="s">
        <v>2076</v>
      </c>
      <c r="CC2501" t="s">
        <v>91</v>
      </c>
      <c r="CD2501">
        <v>7499</v>
      </c>
      <c r="CE2501" t="s">
        <v>88</v>
      </c>
      <c r="CI2501">
        <v>1</v>
      </c>
      <c r="CJ2501">
        <v>10</v>
      </c>
      <c r="CK2501">
        <v>21</v>
      </c>
      <c r="CL2501" t="s">
        <v>89</v>
      </c>
    </row>
    <row r="2502" spans="1:90">
      <c r="A2502" t="s">
        <v>72</v>
      </c>
      <c r="B2502" t="s">
        <v>73</v>
      </c>
      <c r="C2502" t="s">
        <v>74</v>
      </c>
      <c r="E2502" t="str">
        <f>"FES1162729420"</f>
        <v>FES1162729420</v>
      </c>
      <c r="F2502" s="3">
        <v>43822</v>
      </c>
      <c r="G2502">
        <v>202006</v>
      </c>
      <c r="H2502" t="s">
        <v>75</v>
      </c>
      <c r="I2502" t="s">
        <v>76</v>
      </c>
      <c r="J2502" t="s">
        <v>77</v>
      </c>
      <c r="K2502" t="s">
        <v>78</v>
      </c>
      <c r="L2502" t="s">
        <v>164</v>
      </c>
      <c r="M2502" t="s">
        <v>165</v>
      </c>
      <c r="N2502" t="s">
        <v>369</v>
      </c>
      <c r="O2502" t="s">
        <v>82</v>
      </c>
      <c r="P2502" t="str">
        <f>"2170722152                    "</f>
        <v xml:space="preserve">2170722152                    </v>
      </c>
      <c r="Q2502">
        <v>0</v>
      </c>
      <c r="R2502">
        <v>0</v>
      </c>
      <c r="S2502">
        <v>0</v>
      </c>
      <c r="T2502">
        <v>0</v>
      </c>
      <c r="U2502">
        <v>0</v>
      </c>
      <c r="V2502">
        <v>0</v>
      </c>
      <c r="W2502">
        <v>0</v>
      </c>
      <c r="X2502">
        <v>0</v>
      </c>
      <c r="Y2502">
        <v>0</v>
      </c>
      <c r="Z2502">
        <v>0</v>
      </c>
      <c r="AA2502">
        <v>0</v>
      </c>
      <c r="AB2502">
        <v>0</v>
      </c>
      <c r="AC2502">
        <v>0</v>
      </c>
      <c r="AD2502">
        <v>0</v>
      </c>
      <c r="AE2502">
        <v>0</v>
      </c>
      <c r="AF2502">
        <v>0</v>
      </c>
      <c r="AG2502">
        <v>0</v>
      </c>
      <c r="AH2502">
        <v>0</v>
      </c>
      <c r="AI2502">
        <v>0</v>
      </c>
      <c r="AJ2502">
        <v>0</v>
      </c>
      <c r="AK2502">
        <v>0</v>
      </c>
      <c r="AL2502">
        <v>0</v>
      </c>
      <c r="AM2502">
        <v>15.02</v>
      </c>
      <c r="AN2502">
        <v>0</v>
      </c>
      <c r="AO2502">
        <v>0</v>
      </c>
      <c r="AP2502">
        <v>0</v>
      </c>
      <c r="AQ2502">
        <v>0</v>
      </c>
      <c r="AR2502">
        <v>0</v>
      </c>
      <c r="AS2502">
        <v>0</v>
      </c>
      <c r="AT2502">
        <v>0</v>
      </c>
      <c r="AU2502">
        <v>0</v>
      </c>
      <c r="AV2502">
        <v>0</v>
      </c>
      <c r="AW2502">
        <v>0</v>
      </c>
      <c r="AX2502">
        <v>0</v>
      </c>
      <c r="AY2502">
        <v>0</v>
      </c>
      <c r="AZ2502">
        <v>0</v>
      </c>
      <c r="BA2502">
        <v>0</v>
      </c>
      <c r="BB2502">
        <v>0</v>
      </c>
      <c r="BC2502">
        <v>0</v>
      </c>
      <c r="BD2502">
        <v>0</v>
      </c>
      <c r="BE2502">
        <v>0</v>
      </c>
      <c r="BF2502">
        <v>0</v>
      </c>
      <c r="BG2502">
        <v>0</v>
      </c>
      <c r="BH2502">
        <v>1</v>
      </c>
      <c r="BI2502">
        <v>0.8</v>
      </c>
      <c r="BJ2502">
        <v>3.1</v>
      </c>
      <c r="BK2502">
        <v>3.5</v>
      </c>
      <c r="BL2502" s="4">
        <v>88.27</v>
      </c>
      <c r="BM2502" s="4">
        <v>13.24</v>
      </c>
      <c r="BN2502" s="4">
        <v>101.51</v>
      </c>
      <c r="BO2502" s="4">
        <v>101.51</v>
      </c>
      <c r="BQ2502" t="s">
        <v>93</v>
      </c>
      <c r="BR2502" t="s">
        <v>84</v>
      </c>
      <c r="BS2502" s="3">
        <v>43836</v>
      </c>
      <c r="BT2502" s="5">
        <v>0.39861111111111108</v>
      </c>
      <c r="BU2502" t="s">
        <v>2605</v>
      </c>
      <c r="BV2502" t="s">
        <v>89</v>
      </c>
      <c r="BW2502" t="s">
        <v>1335</v>
      </c>
      <c r="BX2502" t="s">
        <v>619</v>
      </c>
      <c r="BY2502">
        <v>15657.3</v>
      </c>
      <c r="CA2502" t="s">
        <v>766</v>
      </c>
      <c r="CC2502" t="s">
        <v>165</v>
      </c>
      <c r="CD2502">
        <v>5201</v>
      </c>
      <c r="CE2502" t="s">
        <v>96</v>
      </c>
      <c r="CI2502">
        <v>1</v>
      </c>
      <c r="CJ2502">
        <v>10</v>
      </c>
      <c r="CK2502">
        <v>21</v>
      </c>
      <c r="CL2502" t="s">
        <v>89</v>
      </c>
    </row>
    <row r="2503" spans="1:90">
      <c r="A2503" t="s">
        <v>72</v>
      </c>
      <c r="B2503" t="s">
        <v>73</v>
      </c>
      <c r="C2503" t="s">
        <v>74</v>
      </c>
      <c r="E2503" t="str">
        <f>"FES1162729405"</f>
        <v>FES1162729405</v>
      </c>
      <c r="F2503" s="3">
        <v>43822</v>
      </c>
      <c r="G2503">
        <v>202006</v>
      </c>
      <c r="H2503" t="s">
        <v>75</v>
      </c>
      <c r="I2503" t="s">
        <v>76</v>
      </c>
      <c r="J2503" t="s">
        <v>77</v>
      </c>
      <c r="K2503" t="s">
        <v>78</v>
      </c>
      <c r="L2503" t="s">
        <v>164</v>
      </c>
      <c r="M2503" t="s">
        <v>165</v>
      </c>
      <c r="N2503" t="s">
        <v>369</v>
      </c>
      <c r="O2503" t="s">
        <v>82</v>
      </c>
      <c r="P2503" t="str">
        <f>"2170721044                    "</f>
        <v xml:space="preserve">2170721044                    </v>
      </c>
      <c r="Q2503">
        <v>0</v>
      </c>
      <c r="R2503">
        <v>0</v>
      </c>
      <c r="S2503">
        <v>0</v>
      </c>
      <c r="T2503">
        <v>0</v>
      </c>
      <c r="U2503">
        <v>0</v>
      </c>
      <c r="V2503">
        <v>0</v>
      </c>
      <c r="W2503">
        <v>0</v>
      </c>
      <c r="X2503">
        <v>0</v>
      </c>
      <c r="Y2503">
        <v>0</v>
      </c>
      <c r="Z2503">
        <v>0</v>
      </c>
      <c r="AA2503">
        <v>0</v>
      </c>
      <c r="AB2503">
        <v>0</v>
      </c>
      <c r="AC2503">
        <v>0</v>
      </c>
      <c r="AD2503">
        <v>0</v>
      </c>
      <c r="AE2503">
        <v>0</v>
      </c>
      <c r="AF2503">
        <v>0</v>
      </c>
      <c r="AG2503">
        <v>0</v>
      </c>
      <c r="AH2503">
        <v>0</v>
      </c>
      <c r="AI2503">
        <v>0</v>
      </c>
      <c r="AJ2503">
        <v>0</v>
      </c>
      <c r="AK2503">
        <v>0</v>
      </c>
      <c r="AL2503">
        <v>0</v>
      </c>
      <c r="AM2503">
        <v>8.58</v>
      </c>
      <c r="AN2503">
        <v>0</v>
      </c>
      <c r="AO2503">
        <v>0</v>
      </c>
      <c r="AP2503">
        <v>0</v>
      </c>
      <c r="AQ2503">
        <v>0</v>
      </c>
      <c r="AR2503">
        <v>0</v>
      </c>
      <c r="AS2503">
        <v>0</v>
      </c>
      <c r="AT2503">
        <v>0</v>
      </c>
      <c r="AU2503">
        <v>0</v>
      </c>
      <c r="AV2503">
        <v>0</v>
      </c>
      <c r="AW2503">
        <v>0</v>
      </c>
      <c r="AX2503">
        <v>0</v>
      </c>
      <c r="AY2503">
        <v>0</v>
      </c>
      <c r="AZ2503">
        <v>0</v>
      </c>
      <c r="BA2503">
        <v>0</v>
      </c>
      <c r="BB2503">
        <v>0</v>
      </c>
      <c r="BC2503">
        <v>0</v>
      </c>
      <c r="BD2503">
        <v>0</v>
      </c>
      <c r="BE2503">
        <v>0</v>
      </c>
      <c r="BF2503">
        <v>0</v>
      </c>
      <c r="BG2503">
        <v>0</v>
      </c>
      <c r="BH2503">
        <v>1</v>
      </c>
      <c r="BI2503">
        <v>1.5</v>
      </c>
      <c r="BJ2503">
        <v>1.7</v>
      </c>
      <c r="BK2503">
        <v>2</v>
      </c>
      <c r="BL2503" s="4">
        <v>50.45</v>
      </c>
      <c r="BM2503" s="4">
        <v>7.57</v>
      </c>
      <c r="BN2503" s="4">
        <v>58.02</v>
      </c>
      <c r="BO2503" s="4">
        <v>58.02</v>
      </c>
      <c r="BQ2503" t="s">
        <v>93</v>
      </c>
      <c r="BR2503" t="s">
        <v>84</v>
      </c>
      <c r="BS2503" s="3">
        <v>43836</v>
      </c>
      <c r="BT2503" s="5">
        <v>0.39861111111111108</v>
      </c>
      <c r="BU2503" t="s">
        <v>2605</v>
      </c>
      <c r="BV2503" t="s">
        <v>89</v>
      </c>
      <c r="BW2503" t="s">
        <v>1335</v>
      </c>
      <c r="BX2503" t="s">
        <v>619</v>
      </c>
      <c r="BY2503">
        <v>8663.09</v>
      </c>
      <c r="CA2503" t="s">
        <v>766</v>
      </c>
      <c r="CC2503" t="s">
        <v>165</v>
      </c>
      <c r="CD2503">
        <v>5201</v>
      </c>
      <c r="CE2503" t="s">
        <v>96</v>
      </c>
      <c r="CI2503">
        <v>1</v>
      </c>
      <c r="CJ2503">
        <v>10</v>
      </c>
      <c r="CK2503">
        <v>21</v>
      </c>
      <c r="CL2503" t="s">
        <v>89</v>
      </c>
    </row>
    <row r="2504" spans="1:90">
      <c r="A2504" t="s">
        <v>72</v>
      </c>
      <c r="B2504" t="s">
        <v>73</v>
      </c>
      <c r="C2504" t="s">
        <v>74</v>
      </c>
      <c r="E2504" t="str">
        <f>"FES1162729367"</f>
        <v>FES1162729367</v>
      </c>
      <c r="F2504" s="3">
        <v>43822</v>
      </c>
      <c r="G2504">
        <v>202006</v>
      </c>
      <c r="H2504" t="s">
        <v>75</v>
      </c>
      <c r="I2504" t="s">
        <v>76</v>
      </c>
      <c r="J2504" t="s">
        <v>77</v>
      </c>
      <c r="K2504" t="s">
        <v>78</v>
      </c>
      <c r="L2504" t="s">
        <v>90</v>
      </c>
      <c r="M2504" t="s">
        <v>91</v>
      </c>
      <c r="N2504" t="s">
        <v>677</v>
      </c>
      <c r="O2504" t="s">
        <v>82</v>
      </c>
      <c r="P2504" t="str">
        <f>"2170718764                    "</f>
        <v xml:space="preserve">2170718764                    </v>
      </c>
      <c r="Q2504">
        <v>0</v>
      </c>
      <c r="R2504">
        <v>0</v>
      </c>
      <c r="S2504">
        <v>0</v>
      </c>
      <c r="T2504">
        <v>0</v>
      </c>
      <c r="U2504">
        <v>0</v>
      </c>
      <c r="V2504">
        <v>0</v>
      </c>
      <c r="W2504">
        <v>0</v>
      </c>
      <c r="X2504">
        <v>0</v>
      </c>
      <c r="Y2504">
        <v>0</v>
      </c>
      <c r="Z2504">
        <v>0</v>
      </c>
      <c r="AA2504">
        <v>0</v>
      </c>
      <c r="AB2504">
        <v>0</v>
      </c>
      <c r="AC2504">
        <v>0</v>
      </c>
      <c r="AD2504">
        <v>0</v>
      </c>
      <c r="AE2504">
        <v>0</v>
      </c>
      <c r="AF2504">
        <v>0</v>
      </c>
      <c r="AG2504">
        <v>0</v>
      </c>
      <c r="AH2504">
        <v>0</v>
      </c>
      <c r="AI2504">
        <v>0</v>
      </c>
      <c r="AJ2504">
        <v>0</v>
      </c>
      <c r="AK2504">
        <v>0</v>
      </c>
      <c r="AL2504">
        <v>0</v>
      </c>
      <c r="AM2504">
        <v>8.58</v>
      </c>
      <c r="AN2504">
        <v>0</v>
      </c>
      <c r="AO2504">
        <v>0</v>
      </c>
      <c r="AP2504">
        <v>0</v>
      </c>
      <c r="AQ2504">
        <v>0</v>
      </c>
      <c r="AR2504">
        <v>0</v>
      </c>
      <c r="AS2504">
        <v>0</v>
      </c>
      <c r="AT2504">
        <v>0</v>
      </c>
      <c r="AU2504">
        <v>0</v>
      </c>
      <c r="AV2504">
        <v>0</v>
      </c>
      <c r="AW2504">
        <v>0</v>
      </c>
      <c r="AX2504">
        <v>0</v>
      </c>
      <c r="AY2504">
        <v>0</v>
      </c>
      <c r="AZ2504">
        <v>0</v>
      </c>
      <c r="BA2504">
        <v>0</v>
      </c>
      <c r="BB2504">
        <v>0</v>
      </c>
      <c r="BC2504">
        <v>0</v>
      </c>
      <c r="BD2504">
        <v>0</v>
      </c>
      <c r="BE2504">
        <v>0</v>
      </c>
      <c r="BF2504">
        <v>0</v>
      </c>
      <c r="BG2504">
        <v>0</v>
      </c>
      <c r="BH2504">
        <v>1</v>
      </c>
      <c r="BI2504">
        <v>1</v>
      </c>
      <c r="BJ2504">
        <v>0.2</v>
      </c>
      <c r="BK2504">
        <v>1</v>
      </c>
      <c r="BL2504" s="4">
        <v>50.45</v>
      </c>
      <c r="BM2504" s="4">
        <v>7.57</v>
      </c>
      <c r="BN2504" s="4">
        <v>58.02</v>
      </c>
      <c r="BO2504" s="4">
        <v>58.02</v>
      </c>
      <c r="BR2504" t="s">
        <v>84</v>
      </c>
      <c r="BS2504" s="3">
        <v>43823</v>
      </c>
      <c r="BT2504" s="5">
        <v>0.38819444444444445</v>
      </c>
      <c r="BU2504" t="s">
        <v>2615</v>
      </c>
      <c r="BV2504" t="s">
        <v>86</v>
      </c>
      <c r="BY2504">
        <v>1200</v>
      </c>
      <c r="CA2504">
        <v>80002513072</v>
      </c>
      <c r="CC2504" t="s">
        <v>91</v>
      </c>
      <c r="CD2504">
        <v>7580</v>
      </c>
      <c r="CE2504" t="s">
        <v>88</v>
      </c>
      <c r="CF2504" s="3">
        <v>43826</v>
      </c>
      <c r="CI2504">
        <v>1</v>
      </c>
      <c r="CJ2504">
        <v>1</v>
      </c>
      <c r="CK2504">
        <v>21</v>
      </c>
      <c r="CL2504" t="s">
        <v>89</v>
      </c>
    </row>
    <row r="2505" spans="1:90">
      <c r="A2505" t="s">
        <v>72</v>
      </c>
      <c r="B2505" t="s">
        <v>73</v>
      </c>
      <c r="C2505" t="s">
        <v>74</v>
      </c>
      <c r="E2505" t="str">
        <f>"FES1162729382"</f>
        <v>FES1162729382</v>
      </c>
      <c r="F2505" s="3">
        <v>43822</v>
      </c>
      <c r="G2505">
        <v>202006</v>
      </c>
      <c r="H2505" t="s">
        <v>75</v>
      </c>
      <c r="I2505" t="s">
        <v>76</v>
      </c>
      <c r="J2505" t="s">
        <v>77</v>
      </c>
      <c r="K2505" t="s">
        <v>78</v>
      </c>
      <c r="L2505" t="s">
        <v>332</v>
      </c>
      <c r="M2505" t="s">
        <v>333</v>
      </c>
      <c r="N2505" t="s">
        <v>701</v>
      </c>
      <c r="O2505" t="s">
        <v>82</v>
      </c>
      <c r="P2505" t="str">
        <f>"2170722376                    "</f>
        <v xml:space="preserve">2170722376                    </v>
      </c>
      <c r="Q2505">
        <v>0</v>
      </c>
      <c r="R2505">
        <v>0</v>
      </c>
      <c r="S2505">
        <v>0</v>
      </c>
      <c r="T2505">
        <v>0</v>
      </c>
      <c r="U2505">
        <v>0</v>
      </c>
      <c r="V2505">
        <v>0</v>
      </c>
      <c r="W2505">
        <v>0</v>
      </c>
      <c r="X2505">
        <v>0</v>
      </c>
      <c r="Y2505">
        <v>0</v>
      </c>
      <c r="Z2505">
        <v>0</v>
      </c>
      <c r="AA2505">
        <v>0</v>
      </c>
      <c r="AB2505">
        <v>0</v>
      </c>
      <c r="AC2505">
        <v>0</v>
      </c>
      <c r="AD2505">
        <v>0</v>
      </c>
      <c r="AE2505">
        <v>0</v>
      </c>
      <c r="AF2505">
        <v>0</v>
      </c>
      <c r="AG2505">
        <v>0</v>
      </c>
      <c r="AH2505">
        <v>0</v>
      </c>
      <c r="AI2505">
        <v>0</v>
      </c>
      <c r="AJ2505">
        <v>0</v>
      </c>
      <c r="AK2505">
        <v>0</v>
      </c>
      <c r="AL2505">
        <v>0</v>
      </c>
      <c r="AM2505">
        <v>6.71</v>
      </c>
      <c r="AN2505">
        <v>0</v>
      </c>
      <c r="AO2505">
        <v>0</v>
      </c>
      <c r="AP2505">
        <v>0</v>
      </c>
      <c r="AQ2505">
        <v>0</v>
      </c>
      <c r="AR2505">
        <v>0</v>
      </c>
      <c r="AS2505">
        <v>0</v>
      </c>
      <c r="AT2505">
        <v>0</v>
      </c>
      <c r="AU2505">
        <v>0</v>
      </c>
      <c r="AV2505">
        <v>0</v>
      </c>
      <c r="AW2505">
        <v>0</v>
      </c>
      <c r="AX2505">
        <v>0</v>
      </c>
      <c r="AY2505">
        <v>0</v>
      </c>
      <c r="AZ2505">
        <v>0</v>
      </c>
      <c r="BA2505">
        <v>0</v>
      </c>
      <c r="BB2505">
        <v>0</v>
      </c>
      <c r="BC2505">
        <v>0</v>
      </c>
      <c r="BD2505">
        <v>0</v>
      </c>
      <c r="BE2505">
        <v>0</v>
      </c>
      <c r="BF2505">
        <v>0</v>
      </c>
      <c r="BG2505">
        <v>0</v>
      </c>
      <c r="BH2505">
        <v>1</v>
      </c>
      <c r="BI2505">
        <v>1</v>
      </c>
      <c r="BJ2505">
        <v>0.2</v>
      </c>
      <c r="BK2505">
        <v>1</v>
      </c>
      <c r="BL2505" s="4">
        <v>39.42</v>
      </c>
      <c r="BM2505" s="4">
        <v>5.91</v>
      </c>
      <c r="BN2505" s="4">
        <v>45.33</v>
      </c>
      <c r="BO2505" s="4">
        <v>45.33</v>
      </c>
      <c r="BQ2505" t="s">
        <v>93</v>
      </c>
      <c r="BR2505" t="s">
        <v>84</v>
      </c>
      <c r="BS2505" s="3">
        <v>43823</v>
      </c>
      <c r="BT2505" s="5">
        <v>0.3347222222222222</v>
      </c>
      <c r="BU2505" t="s">
        <v>625</v>
      </c>
      <c r="BV2505" t="s">
        <v>86</v>
      </c>
      <c r="BY2505">
        <v>1200</v>
      </c>
      <c r="CC2505" t="s">
        <v>333</v>
      </c>
      <c r="CD2505">
        <v>2094</v>
      </c>
      <c r="CE2505" t="s">
        <v>88</v>
      </c>
      <c r="CF2505" s="3">
        <v>43826</v>
      </c>
      <c r="CI2505">
        <v>1</v>
      </c>
      <c r="CJ2505">
        <v>1</v>
      </c>
      <c r="CK2505">
        <v>22</v>
      </c>
      <c r="CL2505" t="s">
        <v>89</v>
      </c>
    </row>
    <row r="2506" spans="1:90">
      <c r="A2506" t="s">
        <v>72</v>
      </c>
      <c r="B2506" t="s">
        <v>73</v>
      </c>
      <c r="C2506" t="s">
        <v>74</v>
      </c>
      <c r="E2506" t="str">
        <f>"FES1162729376"</f>
        <v>FES1162729376</v>
      </c>
      <c r="F2506" s="3">
        <v>43822</v>
      </c>
      <c r="G2506">
        <v>202006</v>
      </c>
      <c r="H2506" t="s">
        <v>75</v>
      </c>
      <c r="I2506" t="s">
        <v>76</v>
      </c>
      <c r="J2506" t="s">
        <v>77</v>
      </c>
      <c r="K2506" t="s">
        <v>78</v>
      </c>
      <c r="L2506" t="s">
        <v>332</v>
      </c>
      <c r="M2506" t="s">
        <v>333</v>
      </c>
      <c r="N2506" t="s">
        <v>701</v>
      </c>
      <c r="O2506" t="s">
        <v>82</v>
      </c>
      <c r="P2506" t="str">
        <f>"217072081                     "</f>
        <v xml:space="preserve">217072081                     </v>
      </c>
      <c r="Q2506">
        <v>0</v>
      </c>
      <c r="R2506">
        <v>0</v>
      </c>
      <c r="S2506">
        <v>0</v>
      </c>
      <c r="T2506">
        <v>0</v>
      </c>
      <c r="U2506">
        <v>0</v>
      </c>
      <c r="V2506">
        <v>0</v>
      </c>
      <c r="W2506">
        <v>0</v>
      </c>
      <c r="X2506">
        <v>0</v>
      </c>
      <c r="Y2506">
        <v>0</v>
      </c>
      <c r="Z2506">
        <v>0</v>
      </c>
      <c r="AA2506">
        <v>0</v>
      </c>
      <c r="AB2506">
        <v>0</v>
      </c>
      <c r="AC2506">
        <v>0</v>
      </c>
      <c r="AD2506">
        <v>0</v>
      </c>
      <c r="AE2506">
        <v>0</v>
      </c>
      <c r="AF2506">
        <v>0</v>
      </c>
      <c r="AG2506">
        <v>0</v>
      </c>
      <c r="AH2506">
        <v>0</v>
      </c>
      <c r="AI2506">
        <v>0</v>
      </c>
      <c r="AJ2506">
        <v>0</v>
      </c>
      <c r="AK2506">
        <v>0</v>
      </c>
      <c r="AL2506">
        <v>0</v>
      </c>
      <c r="AM2506">
        <v>6.71</v>
      </c>
      <c r="AN2506">
        <v>0</v>
      </c>
      <c r="AO2506">
        <v>0</v>
      </c>
      <c r="AP2506">
        <v>0</v>
      </c>
      <c r="AQ2506">
        <v>0</v>
      </c>
      <c r="AR2506">
        <v>0</v>
      </c>
      <c r="AS2506">
        <v>0</v>
      </c>
      <c r="AT2506">
        <v>0</v>
      </c>
      <c r="AU2506">
        <v>0</v>
      </c>
      <c r="AV2506">
        <v>0</v>
      </c>
      <c r="AW2506">
        <v>0</v>
      </c>
      <c r="AX2506">
        <v>0</v>
      </c>
      <c r="AY2506">
        <v>0</v>
      </c>
      <c r="AZ2506">
        <v>0</v>
      </c>
      <c r="BA2506">
        <v>0</v>
      </c>
      <c r="BB2506">
        <v>0</v>
      </c>
      <c r="BC2506">
        <v>0</v>
      </c>
      <c r="BD2506">
        <v>0</v>
      </c>
      <c r="BE2506">
        <v>0</v>
      </c>
      <c r="BF2506">
        <v>0</v>
      </c>
      <c r="BG2506">
        <v>0</v>
      </c>
      <c r="BH2506">
        <v>1</v>
      </c>
      <c r="BI2506">
        <v>0.6</v>
      </c>
      <c r="BJ2506">
        <v>1.4</v>
      </c>
      <c r="BK2506">
        <v>1.5</v>
      </c>
      <c r="BL2506" s="4">
        <v>39.42</v>
      </c>
      <c r="BM2506" s="4">
        <v>5.91</v>
      </c>
      <c r="BN2506" s="4">
        <v>45.33</v>
      </c>
      <c r="BO2506" s="4">
        <v>45.33</v>
      </c>
      <c r="BQ2506" t="s">
        <v>93</v>
      </c>
      <c r="BR2506" t="s">
        <v>84</v>
      </c>
      <c r="BS2506" s="3">
        <v>43823</v>
      </c>
      <c r="BT2506" s="5">
        <v>0.33680555555555558</v>
      </c>
      <c r="BU2506" t="s">
        <v>625</v>
      </c>
      <c r="BV2506" t="s">
        <v>86</v>
      </c>
      <c r="BY2506">
        <v>7052.5</v>
      </c>
      <c r="CC2506" t="s">
        <v>333</v>
      </c>
      <c r="CD2506">
        <v>2094</v>
      </c>
      <c r="CE2506" t="s">
        <v>88</v>
      </c>
      <c r="CF2506" s="3">
        <v>43826</v>
      </c>
      <c r="CI2506">
        <v>1</v>
      </c>
      <c r="CJ2506">
        <v>1</v>
      </c>
      <c r="CK2506">
        <v>22</v>
      </c>
      <c r="CL2506" t="s">
        <v>89</v>
      </c>
    </row>
    <row r="2507" spans="1:90">
      <c r="A2507" t="s">
        <v>72</v>
      </c>
      <c r="B2507" t="s">
        <v>73</v>
      </c>
      <c r="C2507" t="s">
        <v>74</v>
      </c>
      <c r="E2507" t="str">
        <f>"FES1162729368"</f>
        <v>FES1162729368</v>
      </c>
      <c r="F2507" s="3">
        <v>43822</v>
      </c>
      <c r="G2507">
        <v>202006</v>
      </c>
      <c r="H2507" t="s">
        <v>75</v>
      </c>
      <c r="I2507" t="s">
        <v>76</v>
      </c>
      <c r="J2507" t="s">
        <v>77</v>
      </c>
      <c r="K2507" t="s">
        <v>78</v>
      </c>
      <c r="L2507" t="s">
        <v>213</v>
      </c>
      <c r="M2507" t="s">
        <v>214</v>
      </c>
      <c r="N2507" t="s">
        <v>303</v>
      </c>
      <c r="O2507" t="s">
        <v>82</v>
      </c>
      <c r="P2507" t="str">
        <f>"2170719594                    "</f>
        <v xml:space="preserve">2170719594                    </v>
      </c>
      <c r="Q2507">
        <v>0</v>
      </c>
      <c r="R2507">
        <v>0</v>
      </c>
      <c r="S2507">
        <v>0</v>
      </c>
      <c r="T2507">
        <v>0</v>
      </c>
      <c r="U2507">
        <v>0</v>
      </c>
      <c r="V2507">
        <v>0</v>
      </c>
      <c r="W2507">
        <v>0</v>
      </c>
      <c r="X2507">
        <v>0</v>
      </c>
      <c r="Y2507">
        <v>0</v>
      </c>
      <c r="Z2507">
        <v>0</v>
      </c>
      <c r="AA2507">
        <v>0</v>
      </c>
      <c r="AB2507">
        <v>0</v>
      </c>
      <c r="AC2507">
        <v>0</v>
      </c>
      <c r="AD2507">
        <v>0</v>
      </c>
      <c r="AE2507">
        <v>0</v>
      </c>
      <c r="AF2507">
        <v>0</v>
      </c>
      <c r="AG2507">
        <v>0</v>
      </c>
      <c r="AH2507">
        <v>0</v>
      </c>
      <c r="AI2507">
        <v>0</v>
      </c>
      <c r="AJ2507">
        <v>0</v>
      </c>
      <c r="AK2507">
        <v>0</v>
      </c>
      <c r="AL2507">
        <v>0</v>
      </c>
      <c r="AM2507">
        <v>10.73</v>
      </c>
      <c r="AN2507">
        <v>0</v>
      </c>
      <c r="AO2507">
        <v>0</v>
      </c>
      <c r="AP2507">
        <v>0</v>
      </c>
      <c r="AQ2507">
        <v>0</v>
      </c>
      <c r="AR2507">
        <v>0</v>
      </c>
      <c r="AS2507">
        <v>0</v>
      </c>
      <c r="AT2507">
        <v>0</v>
      </c>
      <c r="AU2507">
        <v>0</v>
      </c>
      <c r="AV2507">
        <v>0</v>
      </c>
      <c r="AW2507">
        <v>0</v>
      </c>
      <c r="AX2507">
        <v>0</v>
      </c>
      <c r="AY2507">
        <v>0</v>
      </c>
      <c r="AZ2507">
        <v>0</v>
      </c>
      <c r="BA2507">
        <v>0</v>
      </c>
      <c r="BB2507">
        <v>0</v>
      </c>
      <c r="BC2507">
        <v>0</v>
      </c>
      <c r="BD2507">
        <v>0</v>
      </c>
      <c r="BE2507">
        <v>0</v>
      </c>
      <c r="BF2507">
        <v>0</v>
      </c>
      <c r="BG2507">
        <v>0</v>
      </c>
      <c r="BH2507">
        <v>1</v>
      </c>
      <c r="BI2507">
        <v>0.2</v>
      </c>
      <c r="BJ2507">
        <v>2.5</v>
      </c>
      <c r="BK2507">
        <v>2.5</v>
      </c>
      <c r="BL2507" s="4">
        <v>63.06</v>
      </c>
      <c r="BM2507" s="4">
        <v>9.4600000000000009</v>
      </c>
      <c r="BN2507" s="4">
        <v>72.52</v>
      </c>
      <c r="BO2507" s="4">
        <v>72.52</v>
      </c>
      <c r="BQ2507" t="s">
        <v>147</v>
      </c>
      <c r="BR2507" t="s">
        <v>84</v>
      </c>
      <c r="BS2507" s="3">
        <v>43823</v>
      </c>
      <c r="BT2507" s="5">
        <v>0.33333333333333331</v>
      </c>
      <c r="BU2507" t="s">
        <v>1336</v>
      </c>
      <c r="BV2507" t="s">
        <v>86</v>
      </c>
      <c r="BY2507">
        <v>12264.48</v>
      </c>
      <c r="CA2507" t="s">
        <v>99</v>
      </c>
      <c r="CC2507" t="s">
        <v>214</v>
      </c>
      <c r="CD2507">
        <v>6230</v>
      </c>
      <c r="CE2507" t="s">
        <v>88</v>
      </c>
      <c r="CF2507" s="3">
        <v>43826</v>
      </c>
      <c r="CI2507">
        <v>1</v>
      </c>
      <c r="CJ2507">
        <v>1</v>
      </c>
      <c r="CK2507">
        <v>21</v>
      </c>
      <c r="CL2507" t="s">
        <v>89</v>
      </c>
    </row>
    <row r="2508" spans="1:90">
      <c r="A2508" t="s">
        <v>72</v>
      </c>
      <c r="B2508" t="s">
        <v>73</v>
      </c>
      <c r="C2508" t="s">
        <v>74</v>
      </c>
      <c r="E2508" t="str">
        <f>"FES1162729377"</f>
        <v>FES1162729377</v>
      </c>
      <c r="F2508" s="3">
        <v>43822</v>
      </c>
      <c r="G2508">
        <v>202006</v>
      </c>
      <c r="H2508" t="s">
        <v>75</v>
      </c>
      <c r="I2508" t="s">
        <v>76</v>
      </c>
      <c r="J2508" t="s">
        <v>77</v>
      </c>
      <c r="K2508" t="s">
        <v>78</v>
      </c>
      <c r="L2508" t="s">
        <v>90</v>
      </c>
      <c r="M2508" t="s">
        <v>91</v>
      </c>
      <c r="N2508" t="s">
        <v>110</v>
      </c>
      <c r="O2508" t="s">
        <v>82</v>
      </c>
      <c r="P2508" t="str">
        <f>"217072274                     "</f>
        <v xml:space="preserve">217072274                     </v>
      </c>
      <c r="Q2508">
        <v>0</v>
      </c>
      <c r="R2508">
        <v>0</v>
      </c>
      <c r="S2508">
        <v>0</v>
      </c>
      <c r="T2508">
        <v>0</v>
      </c>
      <c r="U2508">
        <v>0</v>
      </c>
      <c r="V2508">
        <v>0</v>
      </c>
      <c r="W2508">
        <v>0</v>
      </c>
      <c r="X2508">
        <v>0</v>
      </c>
      <c r="Y2508">
        <v>0</v>
      </c>
      <c r="Z2508">
        <v>0</v>
      </c>
      <c r="AA2508">
        <v>0</v>
      </c>
      <c r="AB2508">
        <v>0</v>
      </c>
      <c r="AC2508">
        <v>0</v>
      </c>
      <c r="AD2508">
        <v>0</v>
      </c>
      <c r="AE2508">
        <v>0</v>
      </c>
      <c r="AF2508">
        <v>0</v>
      </c>
      <c r="AG2508">
        <v>0</v>
      </c>
      <c r="AH2508">
        <v>0</v>
      </c>
      <c r="AI2508">
        <v>0</v>
      </c>
      <c r="AJ2508">
        <v>0</v>
      </c>
      <c r="AK2508">
        <v>0</v>
      </c>
      <c r="AL2508">
        <v>0</v>
      </c>
      <c r="AM2508">
        <v>8.58</v>
      </c>
      <c r="AN2508">
        <v>0</v>
      </c>
      <c r="AO2508">
        <v>0</v>
      </c>
      <c r="AP2508">
        <v>0</v>
      </c>
      <c r="AQ2508">
        <v>0</v>
      </c>
      <c r="AR2508">
        <v>0</v>
      </c>
      <c r="AS2508">
        <v>0</v>
      </c>
      <c r="AT2508">
        <v>0</v>
      </c>
      <c r="AU2508">
        <v>0</v>
      </c>
      <c r="AV2508">
        <v>0</v>
      </c>
      <c r="AW2508">
        <v>0</v>
      </c>
      <c r="AX2508">
        <v>0</v>
      </c>
      <c r="AY2508">
        <v>0</v>
      </c>
      <c r="AZ2508">
        <v>0</v>
      </c>
      <c r="BA2508">
        <v>0</v>
      </c>
      <c r="BB2508">
        <v>0</v>
      </c>
      <c r="BC2508">
        <v>0</v>
      </c>
      <c r="BD2508">
        <v>0</v>
      </c>
      <c r="BE2508">
        <v>0</v>
      </c>
      <c r="BF2508">
        <v>0</v>
      </c>
      <c r="BG2508">
        <v>0</v>
      </c>
      <c r="BH2508">
        <v>1</v>
      </c>
      <c r="BI2508">
        <v>0.2</v>
      </c>
      <c r="BJ2508">
        <v>1.5</v>
      </c>
      <c r="BK2508">
        <v>1.5</v>
      </c>
      <c r="BL2508" s="4">
        <v>50.45</v>
      </c>
      <c r="BM2508" s="4">
        <v>7.57</v>
      </c>
      <c r="BN2508" s="4">
        <v>58.02</v>
      </c>
      <c r="BO2508" s="4">
        <v>58.02</v>
      </c>
      <c r="BQ2508" t="s">
        <v>147</v>
      </c>
      <c r="BR2508" t="s">
        <v>84</v>
      </c>
      <c r="BS2508" s="3">
        <v>43836</v>
      </c>
      <c r="BT2508" s="5">
        <v>0.29583333333333334</v>
      </c>
      <c r="BU2508" t="s">
        <v>2613</v>
      </c>
      <c r="BV2508" t="s">
        <v>89</v>
      </c>
      <c r="BW2508" t="s">
        <v>1335</v>
      </c>
      <c r="BX2508" t="s">
        <v>619</v>
      </c>
      <c r="BY2508">
        <v>7647.82</v>
      </c>
      <c r="CA2508" t="s">
        <v>112</v>
      </c>
      <c r="CC2508" t="s">
        <v>91</v>
      </c>
      <c r="CD2508">
        <v>7405</v>
      </c>
      <c r="CE2508" t="s">
        <v>88</v>
      </c>
      <c r="CI2508">
        <v>1</v>
      </c>
      <c r="CJ2508">
        <v>10</v>
      </c>
      <c r="CK2508">
        <v>21</v>
      </c>
      <c r="CL2508" t="s">
        <v>89</v>
      </c>
    </row>
    <row r="2509" spans="1:90">
      <c r="A2509" t="s">
        <v>72</v>
      </c>
      <c r="B2509" t="s">
        <v>73</v>
      </c>
      <c r="C2509" t="s">
        <v>74</v>
      </c>
      <c r="E2509" t="str">
        <f>"FES1162729369"</f>
        <v>FES1162729369</v>
      </c>
      <c r="F2509" s="3">
        <v>43822</v>
      </c>
      <c r="G2509">
        <v>202006</v>
      </c>
      <c r="H2509" t="s">
        <v>75</v>
      </c>
      <c r="I2509" t="s">
        <v>76</v>
      </c>
      <c r="J2509" t="s">
        <v>77</v>
      </c>
      <c r="K2509" t="s">
        <v>78</v>
      </c>
      <c r="L2509" t="s">
        <v>213</v>
      </c>
      <c r="M2509" t="s">
        <v>214</v>
      </c>
      <c r="N2509" t="s">
        <v>303</v>
      </c>
      <c r="O2509" t="s">
        <v>82</v>
      </c>
      <c r="P2509" t="str">
        <f>"2170719688                    "</f>
        <v xml:space="preserve">2170719688                    </v>
      </c>
      <c r="Q2509">
        <v>0</v>
      </c>
      <c r="R2509">
        <v>0</v>
      </c>
      <c r="S2509">
        <v>0</v>
      </c>
      <c r="T2509">
        <v>0</v>
      </c>
      <c r="U2509">
        <v>0</v>
      </c>
      <c r="V2509">
        <v>0</v>
      </c>
      <c r="W2509">
        <v>0</v>
      </c>
      <c r="X2509">
        <v>0</v>
      </c>
      <c r="Y2509">
        <v>0</v>
      </c>
      <c r="Z2509">
        <v>0</v>
      </c>
      <c r="AA2509">
        <v>0</v>
      </c>
      <c r="AB2509">
        <v>0</v>
      </c>
      <c r="AC2509">
        <v>0</v>
      </c>
      <c r="AD2509">
        <v>0</v>
      </c>
      <c r="AE2509">
        <v>0</v>
      </c>
      <c r="AF2509">
        <v>0</v>
      </c>
      <c r="AG2509">
        <v>0</v>
      </c>
      <c r="AH2509">
        <v>0</v>
      </c>
      <c r="AI2509">
        <v>0</v>
      </c>
      <c r="AJ2509">
        <v>0</v>
      </c>
      <c r="AK2509">
        <v>0</v>
      </c>
      <c r="AL2509">
        <v>0</v>
      </c>
      <c r="AM2509">
        <v>10.73</v>
      </c>
      <c r="AN2509">
        <v>0</v>
      </c>
      <c r="AO2509">
        <v>0</v>
      </c>
      <c r="AP2509">
        <v>0</v>
      </c>
      <c r="AQ2509">
        <v>0</v>
      </c>
      <c r="AR2509">
        <v>0</v>
      </c>
      <c r="AS2509">
        <v>0</v>
      </c>
      <c r="AT2509">
        <v>0</v>
      </c>
      <c r="AU2509">
        <v>0</v>
      </c>
      <c r="AV2509">
        <v>0</v>
      </c>
      <c r="AW2509">
        <v>0</v>
      </c>
      <c r="AX2509">
        <v>0</v>
      </c>
      <c r="AY2509">
        <v>0</v>
      </c>
      <c r="AZ2509">
        <v>0</v>
      </c>
      <c r="BA2509">
        <v>0</v>
      </c>
      <c r="BB2509">
        <v>0</v>
      </c>
      <c r="BC2509">
        <v>0</v>
      </c>
      <c r="BD2509">
        <v>0</v>
      </c>
      <c r="BE2509">
        <v>0</v>
      </c>
      <c r="BF2509">
        <v>0</v>
      </c>
      <c r="BG2509">
        <v>0</v>
      </c>
      <c r="BH2509">
        <v>1</v>
      </c>
      <c r="BI2509">
        <v>1</v>
      </c>
      <c r="BJ2509">
        <v>2.1</v>
      </c>
      <c r="BK2509">
        <v>2.5</v>
      </c>
      <c r="BL2509" s="4">
        <v>63.06</v>
      </c>
      <c r="BM2509" s="4">
        <v>9.4600000000000009</v>
      </c>
      <c r="BN2509" s="4">
        <v>72.52</v>
      </c>
      <c r="BO2509" s="4">
        <v>72.52</v>
      </c>
      <c r="BQ2509" t="s">
        <v>147</v>
      </c>
      <c r="BR2509" t="s">
        <v>84</v>
      </c>
      <c r="BS2509" s="3">
        <v>43823</v>
      </c>
      <c r="BT2509" s="5">
        <v>0.33333333333333331</v>
      </c>
      <c r="BU2509" t="s">
        <v>1336</v>
      </c>
      <c r="BV2509" t="s">
        <v>86</v>
      </c>
      <c r="BY2509">
        <v>10520.78</v>
      </c>
      <c r="CA2509" t="s">
        <v>99</v>
      </c>
      <c r="CC2509" t="s">
        <v>214</v>
      </c>
      <c r="CD2509">
        <v>6230</v>
      </c>
      <c r="CE2509" t="s">
        <v>88</v>
      </c>
      <c r="CF2509" s="3">
        <v>43826</v>
      </c>
      <c r="CI2509">
        <v>1</v>
      </c>
      <c r="CJ2509">
        <v>1</v>
      </c>
      <c r="CK2509">
        <v>21</v>
      </c>
      <c r="CL2509" t="s">
        <v>89</v>
      </c>
    </row>
    <row r="2510" spans="1:90">
      <c r="A2510" t="s">
        <v>72</v>
      </c>
      <c r="B2510" t="s">
        <v>73</v>
      </c>
      <c r="C2510" t="s">
        <v>74</v>
      </c>
      <c r="E2510" t="str">
        <f>"FES1162729372"</f>
        <v>FES1162729372</v>
      </c>
      <c r="F2510" s="3">
        <v>43822</v>
      </c>
      <c r="G2510">
        <v>202006</v>
      </c>
      <c r="H2510" t="s">
        <v>75</v>
      </c>
      <c r="I2510" t="s">
        <v>76</v>
      </c>
      <c r="J2510" t="s">
        <v>77</v>
      </c>
      <c r="K2510" t="s">
        <v>78</v>
      </c>
      <c r="L2510" t="s">
        <v>79</v>
      </c>
      <c r="M2510" t="s">
        <v>80</v>
      </c>
      <c r="N2510" t="s">
        <v>129</v>
      </c>
      <c r="O2510" t="s">
        <v>82</v>
      </c>
      <c r="P2510" t="str">
        <f>"2170722261                    "</f>
        <v xml:space="preserve">2170722261                    </v>
      </c>
      <c r="Q2510">
        <v>0</v>
      </c>
      <c r="R2510">
        <v>0</v>
      </c>
      <c r="S2510">
        <v>0</v>
      </c>
      <c r="T2510">
        <v>0</v>
      </c>
      <c r="U2510">
        <v>0</v>
      </c>
      <c r="V2510">
        <v>0</v>
      </c>
      <c r="W2510">
        <v>0</v>
      </c>
      <c r="X2510">
        <v>0</v>
      </c>
      <c r="Y2510">
        <v>0</v>
      </c>
      <c r="Z2510">
        <v>0</v>
      </c>
      <c r="AA2510">
        <v>0</v>
      </c>
      <c r="AB2510">
        <v>0</v>
      </c>
      <c r="AC2510">
        <v>0</v>
      </c>
      <c r="AD2510">
        <v>0</v>
      </c>
      <c r="AE2510">
        <v>0</v>
      </c>
      <c r="AF2510">
        <v>0</v>
      </c>
      <c r="AG2510">
        <v>0</v>
      </c>
      <c r="AH2510">
        <v>0</v>
      </c>
      <c r="AI2510">
        <v>0</v>
      </c>
      <c r="AJ2510">
        <v>0</v>
      </c>
      <c r="AK2510">
        <v>0</v>
      </c>
      <c r="AL2510">
        <v>0</v>
      </c>
      <c r="AM2510">
        <v>42.89</v>
      </c>
      <c r="AN2510">
        <v>0</v>
      </c>
      <c r="AO2510">
        <v>0</v>
      </c>
      <c r="AP2510">
        <v>0</v>
      </c>
      <c r="AQ2510">
        <v>0</v>
      </c>
      <c r="AR2510">
        <v>0</v>
      </c>
      <c r="AS2510">
        <v>0</v>
      </c>
      <c r="AT2510">
        <v>0</v>
      </c>
      <c r="AU2510">
        <v>0</v>
      </c>
      <c r="AV2510">
        <v>0</v>
      </c>
      <c r="AW2510">
        <v>0</v>
      </c>
      <c r="AX2510">
        <v>0</v>
      </c>
      <c r="AY2510">
        <v>0</v>
      </c>
      <c r="AZ2510">
        <v>0</v>
      </c>
      <c r="BA2510">
        <v>0</v>
      </c>
      <c r="BB2510">
        <v>0</v>
      </c>
      <c r="BC2510">
        <v>0</v>
      </c>
      <c r="BD2510">
        <v>0</v>
      </c>
      <c r="BE2510">
        <v>0</v>
      </c>
      <c r="BF2510">
        <v>0</v>
      </c>
      <c r="BG2510">
        <v>0</v>
      </c>
      <c r="BH2510">
        <v>2</v>
      </c>
      <c r="BI2510">
        <v>9.6</v>
      </c>
      <c r="BJ2510">
        <v>3.1</v>
      </c>
      <c r="BK2510">
        <v>10</v>
      </c>
      <c r="BL2510" s="4">
        <v>252.12</v>
      </c>
      <c r="BM2510" s="4">
        <v>37.82</v>
      </c>
      <c r="BN2510" s="4">
        <v>289.94</v>
      </c>
      <c r="BO2510" s="4">
        <v>289.94</v>
      </c>
      <c r="BQ2510" t="s">
        <v>147</v>
      </c>
      <c r="BR2510" t="s">
        <v>84</v>
      </c>
      <c r="BS2510" t="s">
        <v>717</v>
      </c>
      <c r="BY2510">
        <v>15443.08</v>
      </c>
      <c r="CC2510" t="s">
        <v>80</v>
      </c>
      <c r="CD2510">
        <v>6001</v>
      </c>
      <c r="CE2510" t="s">
        <v>413</v>
      </c>
      <c r="CI2510">
        <v>1</v>
      </c>
      <c r="CJ2510" t="s">
        <v>717</v>
      </c>
      <c r="CK2510">
        <v>21</v>
      </c>
      <c r="CL2510" t="s">
        <v>89</v>
      </c>
    </row>
    <row r="2511" spans="1:90">
      <c r="A2511" t="s">
        <v>72</v>
      </c>
      <c r="B2511" t="s">
        <v>73</v>
      </c>
      <c r="C2511" t="s">
        <v>74</v>
      </c>
      <c r="E2511" t="str">
        <f>"FES1162729507"</f>
        <v>FES1162729507</v>
      </c>
      <c r="F2511" s="3">
        <v>43822</v>
      </c>
      <c r="G2511">
        <v>202006</v>
      </c>
      <c r="H2511" t="s">
        <v>75</v>
      </c>
      <c r="I2511" t="s">
        <v>76</v>
      </c>
      <c r="J2511" t="s">
        <v>77</v>
      </c>
      <c r="K2511" t="s">
        <v>78</v>
      </c>
      <c r="L2511" t="s">
        <v>308</v>
      </c>
      <c r="M2511" t="s">
        <v>308</v>
      </c>
      <c r="N2511" t="s">
        <v>540</v>
      </c>
      <c r="O2511" t="s">
        <v>82</v>
      </c>
      <c r="P2511" t="str">
        <f>"2170722462                    "</f>
        <v xml:space="preserve">2170722462                    </v>
      </c>
      <c r="Q2511">
        <v>0</v>
      </c>
      <c r="R2511">
        <v>0</v>
      </c>
      <c r="S2511">
        <v>0</v>
      </c>
      <c r="T2511">
        <v>0</v>
      </c>
      <c r="U2511">
        <v>0</v>
      </c>
      <c r="V2511">
        <v>0</v>
      </c>
      <c r="W2511">
        <v>0</v>
      </c>
      <c r="X2511">
        <v>0</v>
      </c>
      <c r="Y2511">
        <v>0</v>
      </c>
      <c r="Z2511">
        <v>0</v>
      </c>
      <c r="AA2511">
        <v>0</v>
      </c>
      <c r="AB2511">
        <v>0</v>
      </c>
      <c r="AC2511">
        <v>0</v>
      </c>
      <c r="AD2511">
        <v>0</v>
      </c>
      <c r="AE2511">
        <v>0</v>
      </c>
      <c r="AF2511">
        <v>0</v>
      </c>
      <c r="AG2511">
        <v>0</v>
      </c>
      <c r="AH2511">
        <v>0</v>
      </c>
      <c r="AI2511">
        <v>0</v>
      </c>
      <c r="AJ2511">
        <v>0</v>
      </c>
      <c r="AK2511">
        <v>0</v>
      </c>
      <c r="AL2511">
        <v>0</v>
      </c>
      <c r="AM2511">
        <v>50.43</v>
      </c>
      <c r="AN2511">
        <v>0</v>
      </c>
      <c r="AO2511">
        <v>0</v>
      </c>
      <c r="AP2511">
        <v>0</v>
      </c>
      <c r="AQ2511">
        <v>0</v>
      </c>
      <c r="AR2511">
        <v>0</v>
      </c>
      <c r="AS2511">
        <v>0</v>
      </c>
      <c r="AT2511">
        <v>0</v>
      </c>
      <c r="AU2511">
        <v>0</v>
      </c>
      <c r="AV2511">
        <v>0</v>
      </c>
      <c r="AW2511">
        <v>0</v>
      </c>
      <c r="AX2511">
        <v>0</v>
      </c>
      <c r="AY2511">
        <v>0</v>
      </c>
      <c r="AZ2511">
        <v>0</v>
      </c>
      <c r="BA2511">
        <v>0</v>
      </c>
      <c r="BB2511">
        <v>0</v>
      </c>
      <c r="BC2511">
        <v>0</v>
      </c>
      <c r="BD2511">
        <v>0</v>
      </c>
      <c r="BE2511">
        <v>0</v>
      </c>
      <c r="BF2511">
        <v>0</v>
      </c>
      <c r="BG2511">
        <v>0</v>
      </c>
      <c r="BH2511">
        <v>2</v>
      </c>
      <c r="BI2511">
        <v>6.1</v>
      </c>
      <c r="BJ2511">
        <v>1.9</v>
      </c>
      <c r="BK2511">
        <v>6.5</v>
      </c>
      <c r="BL2511" s="4">
        <v>296.43</v>
      </c>
      <c r="BM2511" s="4">
        <v>44.46</v>
      </c>
      <c r="BN2511" s="4">
        <v>340.89</v>
      </c>
      <c r="BO2511" s="4">
        <v>340.89</v>
      </c>
      <c r="BQ2511" t="s">
        <v>147</v>
      </c>
      <c r="BR2511" t="s">
        <v>84</v>
      </c>
      <c r="BS2511" s="3">
        <v>43823</v>
      </c>
      <c r="BT2511" s="5">
        <v>0.4375</v>
      </c>
      <c r="BU2511" t="s">
        <v>2616</v>
      </c>
      <c r="BV2511" t="s">
        <v>86</v>
      </c>
      <c r="BY2511">
        <v>9272.06</v>
      </c>
      <c r="CA2511" t="s">
        <v>311</v>
      </c>
      <c r="CC2511" t="s">
        <v>308</v>
      </c>
      <c r="CD2511">
        <v>7646</v>
      </c>
      <c r="CE2511" t="s">
        <v>1634</v>
      </c>
      <c r="CF2511" s="3">
        <v>43826</v>
      </c>
      <c r="CI2511">
        <v>1</v>
      </c>
      <c r="CJ2511">
        <v>1</v>
      </c>
      <c r="CK2511">
        <v>23</v>
      </c>
      <c r="CL2511" t="s">
        <v>89</v>
      </c>
    </row>
    <row r="2512" spans="1:90">
      <c r="A2512" t="s">
        <v>72</v>
      </c>
      <c r="B2512" t="s">
        <v>73</v>
      </c>
      <c r="C2512" t="s">
        <v>74</v>
      </c>
      <c r="E2512" t="str">
        <f>"FES1162729508"</f>
        <v>FES1162729508</v>
      </c>
      <c r="F2512" s="3">
        <v>43822</v>
      </c>
      <c r="G2512">
        <v>202006</v>
      </c>
      <c r="H2512" t="s">
        <v>75</v>
      </c>
      <c r="I2512" t="s">
        <v>76</v>
      </c>
      <c r="J2512" t="s">
        <v>77</v>
      </c>
      <c r="K2512" t="s">
        <v>78</v>
      </c>
      <c r="L2512" t="s">
        <v>308</v>
      </c>
      <c r="M2512" t="s">
        <v>308</v>
      </c>
      <c r="N2512" t="s">
        <v>540</v>
      </c>
      <c r="O2512" t="s">
        <v>82</v>
      </c>
      <c r="P2512" t="str">
        <f>"2170722464                    "</f>
        <v xml:space="preserve">2170722464                    </v>
      </c>
      <c r="Q2512">
        <v>0</v>
      </c>
      <c r="R2512">
        <v>0</v>
      </c>
      <c r="S2512">
        <v>0</v>
      </c>
      <c r="T2512">
        <v>0</v>
      </c>
      <c r="U2512">
        <v>0</v>
      </c>
      <c r="V2512">
        <v>0</v>
      </c>
      <c r="W2512">
        <v>0</v>
      </c>
      <c r="X2512">
        <v>0</v>
      </c>
      <c r="Y2512">
        <v>0</v>
      </c>
      <c r="Z2512">
        <v>0</v>
      </c>
      <c r="AA2512">
        <v>0</v>
      </c>
      <c r="AB2512">
        <v>0</v>
      </c>
      <c r="AC2512">
        <v>0</v>
      </c>
      <c r="AD2512">
        <v>0</v>
      </c>
      <c r="AE2512">
        <v>0</v>
      </c>
      <c r="AF2512">
        <v>0</v>
      </c>
      <c r="AG2512">
        <v>0</v>
      </c>
      <c r="AH2512">
        <v>0</v>
      </c>
      <c r="AI2512">
        <v>0</v>
      </c>
      <c r="AJ2512">
        <v>0</v>
      </c>
      <c r="AK2512">
        <v>0</v>
      </c>
      <c r="AL2512">
        <v>0</v>
      </c>
      <c r="AM2512">
        <v>16.63</v>
      </c>
      <c r="AN2512">
        <v>0</v>
      </c>
      <c r="AO2512">
        <v>0</v>
      </c>
      <c r="AP2512">
        <v>0</v>
      </c>
      <c r="AQ2512">
        <v>0</v>
      </c>
      <c r="AR2512">
        <v>0</v>
      </c>
      <c r="AS2512">
        <v>0</v>
      </c>
      <c r="AT2512">
        <v>0</v>
      </c>
      <c r="AU2512">
        <v>0</v>
      </c>
      <c r="AV2512">
        <v>0</v>
      </c>
      <c r="AW2512">
        <v>0</v>
      </c>
      <c r="AX2512">
        <v>0</v>
      </c>
      <c r="AY2512">
        <v>0</v>
      </c>
      <c r="AZ2512">
        <v>0</v>
      </c>
      <c r="BA2512">
        <v>0</v>
      </c>
      <c r="BB2512">
        <v>0</v>
      </c>
      <c r="BC2512">
        <v>0</v>
      </c>
      <c r="BD2512">
        <v>0</v>
      </c>
      <c r="BE2512">
        <v>0</v>
      </c>
      <c r="BF2512">
        <v>0</v>
      </c>
      <c r="BG2512">
        <v>0</v>
      </c>
      <c r="BH2512">
        <v>1</v>
      </c>
      <c r="BI2512">
        <v>0.8</v>
      </c>
      <c r="BJ2512">
        <v>1.7</v>
      </c>
      <c r="BK2512">
        <v>2</v>
      </c>
      <c r="BL2512" s="4">
        <v>97.75</v>
      </c>
      <c r="BM2512" s="4">
        <v>14.66</v>
      </c>
      <c r="BN2512" s="4">
        <v>112.41</v>
      </c>
      <c r="BO2512" s="4">
        <v>112.41</v>
      </c>
      <c r="BQ2512" t="s">
        <v>147</v>
      </c>
      <c r="BR2512" t="s">
        <v>84</v>
      </c>
      <c r="BS2512" s="3">
        <v>43823</v>
      </c>
      <c r="BT2512" s="5">
        <v>0.4375</v>
      </c>
      <c r="BU2512" t="s">
        <v>2616</v>
      </c>
      <c r="BV2512" t="s">
        <v>86</v>
      </c>
      <c r="BY2512">
        <v>8348.6299999999992</v>
      </c>
      <c r="CA2512" t="s">
        <v>311</v>
      </c>
      <c r="CC2512" t="s">
        <v>308</v>
      </c>
      <c r="CD2512">
        <v>7646</v>
      </c>
      <c r="CE2512" t="s">
        <v>88</v>
      </c>
      <c r="CF2512" s="3">
        <v>43826</v>
      </c>
      <c r="CI2512">
        <v>1</v>
      </c>
      <c r="CJ2512">
        <v>1</v>
      </c>
      <c r="CK2512">
        <v>23</v>
      </c>
      <c r="CL2512" t="s">
        <v>89</v>
      </c>
    </row>
    <row r="2513" spans="1:90">
      <c r="A2513" t="s">
        <v>72</v>
      </c>
      <c r="B2513" t="s">
        <v>73</v>
      </c>
      <c r="C2513" t="s">
        <v>74</v>
      </c>
      <c r="E2513" t="str">
        <f>"FES1162729511"</f>
        <v>FES1162729511</v>
      </c>
      <c r="F2513" s="3">
        <v>43822</v>
      </c>
      <c r="G2513">
        <v>202006</v>
      </c>
      <c r="H2513" t="s">
        <v>75</v>
      </c>
      <c r="I2513" t="s">
        <v>76</v>
      </c>
      <c r="J2513" t="s">
        <v>77</v>
      </c>
      <c r="K2513" t="s">
        <v>78</v>
      </c>
      <c r="L2513" t="s">
        <v>361</v>
      </c>
      <c r="M2513" t="s">
        <v>362</v>
      </c>
      <c r="N2513" t="s">
        <v>837</v>
      </c>
      <c r="O2513" t="s">
        <v>82</v>
      </c>
      <c r="P2513" t="str">
        <f>"2170722468                    "</f>
        <v xml:space="preserve">2170722468                    </v>
      </c>
      <c r="Q2513">
        <v>0</v>
      </c>
      <c r="R2513">
        <v>0</v>
      </c>
      <c r="S2513">
        <v>0</v>
      </c>
      <c r="T2513">
        <v>0</v>
      </c>
      <c r="U2513">
        <v>0</v>
      </c>
      <c r="V2513">
        <v>0</v>
      </c>
      <c r="W2513">
        <v>0</v>
      </c>
      <c r="X2513">
        <v>0</v>
      </c>
      <c r="Y2513">
        <v>0</v>
      </c>
      <c r="Z2513">
        <v>0</v>
      </c>
      <c r="AA2513">
        <v>0</v>
      </c>
      <c r="AB2513">
        <v>0</v>
      </c>
      <c r="AC2513">
        <v>0</v>
      </c>
      <c r="AD2513">
        <v>0</v>
      </c>
      <c r="AE2513">
        <v>0</v>
      </c>
      <c r="AF2513">
        <v>0</v>
      </c>
      <c r="AG2513">
        <v>0</v>
      </c>
      <c r="AH2513">
        <v>0</v>
      </c>
      <c r="AI2513">
        <v>0</v>
      </c>
      <c r="AJ2513">
        <v>0</v>
      </c>
      <c r="AK2513">
        <v>0</v>
      </c>
      <c r="AL2513">
        <v>0</v>
      </c>
      <c r="AM2513">
        <v>8.58</v>
      </c>
      <c r="AN2513">
        <v>0</v>
      </c>
      <c r="AO2513">
        <v>0</v>
      </c>
      <c r="AP2513">
        <v>0</v>
      </c>
      <c r="AQ2513">
        <v>0</v>
      </c>
      <c r="AR2513">
        <v>0</v>
      </c>
      <c r="AS2513">
        <v>0</v>
      </c>
      <c r="AT2513">
        <v>0</v>
      </c>
      <c r="AU2513">
        <v>0</v>
      </c>
      <c r="AV2513">
        <v>0</v>
      </c>
      <c r="AW2513">
        <v>0</v>
      </c>
      <c r="AX2513">
        <v>0</v>
      </c>
      <c r="AY2513">
        <v>0</v>
      </c>
      <c r="AZ2513">
        <v>0</v>
      </c>
      <c r="BA2513">
        <v>0</v>
      </c>
      <c r="BB2513">
        <v>0</v>
      </c>
      <c r="BC2513">
        <v>0</v>
      </c>
      <c r="BD2513">
        <v>0</v>
      </c>
      <c r="BE2513">
        <v>0</v>
      </c>
      <c r="BF2513">
        <v>0</v>
      </c>
      <c r="BG2513">
        <v>0</v>
      </c>
      <c r="BH2513">
        <v>1</v>
      </c>
      <c r="BI2513">
        <v>1</v>
      </c>
      <c r="BJ2513">
        <v>0.2</v>
      </c>
      <c r="BK2513">
        <v>1</v>
      </c>
      <c r="BL2513" s="4">
        <v>50.45</v>
      </c>
      <c r="BM2513" s="4">
        <v>7.57</v>
      </c>
      <c r="BN2513" s="4">
        <v>58.02</v>
      </c>
      <c r="BO2513" s="4">
        <v>58.02</v>
      </c>
      <c r="BQ2513" t="s">
        <v>1087</v>
      </c>
      <c r="BR2513" t="s">
        <v>84</v>
      </c>
      <c r="BS2513" s="3">
        <v>43823</v>
      </c>
      <c r="BT2513" s="5">
        <v>0.34166666666666662</v>
      </c>
      <c r="BU2513" t="s">
        <v>2617</v>
      </c>
      <c r="BV2513" t="s">
        <v>86</v>
      </c>
      <c r="BY2513">
        <v>1200</v>
      </c>
      <c r="CA2513" t="s">
        <v>185</v>
      </c>
      <c r="CC2513" t="s">
        <v>362</v>
      </c>
      <c r="CD2513">
        <v>6220</v>
      </c>
      <c r="CE2513" t="s">
        <v>88</v>
      </c>
      <c r="CF2513" s="3">
        <v>43826</v>
      </c>
      <c r="CI2513">
        <v>1</v>
      </c>
      <c r="CJ2513">
        <v>1</v>
      </c>
      <c r="CK2513">
        <v>21</v>
      </c>
      <c r="CL2513" t="s">
        <v>89</v>
      </c>
    </row>
    <row r="2514" spans="1:90">
      <c r="A2514" t="s">
        <v>72</v>
      </c>
      <c r="B2514" t="s">
        <v>73</v>
      </c>
      <c r="C2514" t="s">
        <v>74</v>
      </c>
      <c r="E2514" t="str">
        <f>"FES1162729469"</f>
        <v>FES1162729469</v>
      </c>
      <c r="F2514" s="3">
        <v>43822</v>
      </c>
      <c r="G2514">
        <v>202006</v>
      </c>
      <c r="H2514" t="s">
        <v>75</v>
      </c>
      <c r="I2514" t="s">
        <v>76</v>
      </c>
      <c r="J2514" t="s">
        <v>77</v>
      </c>
      <c r="K2514" t="s">
        <v>78</v>
      </c>
      <c r="L2514" t="s">
        <v>151</v>
      </c>
      <c r="M2514" t="s">
        <v>102</v>
      </c>
      <c r="N2514" t="s">
        <v>324</v>
      </c>
      <c r="O2514" t="s">
        <v>82</v>
      </c>
      <c r="P2514" t="str">
        <f>"2170722445                    "</f>
        <v xml:space="preserve">2170722445                    </v>
      </c>
      <c r="Q2514">
        <v>0</v>
      </c>
      <c r="R2514">
        <v>0</v>
      </c>
      <c r="S2514">
        <v>0</v>
      </c>
      <c r="T2514">
        <v>0</v>
      </c>
      <c r="U2514">
        <v>0</v>
      </c>
      <c r="V2514">
        <v>0</v>
      </c>
      <c r="W2514">
        <v>0</v>
      </c>
      <c r="X2514">
        <v>0</v>
      </c>
      <c r="Y2514">
        <v>0</v>
      </c>
      <c r="Z2514">
        <v>0</v>
      </c>
      <c r="AA2514">
        <v>0</v>
      </c>
      <c r="AB2514">
        <v>0</v>
      </c>
      <c r="AC2514">
        <v>0</v>
      </c>
      <c r="AD2514">
        <v>0</v>
      </c>
      <c r="AE2514">
        <v>0</v>
      </c>
      <c r="AF2514">
        <v>0</v>
      </c>
      <c r="AG2514">
        <v>0</v>
      </c>
      <c r="AH2514">
        <v>0</v>
      </c>
      <c r="AI2514">
        <v>0</v>
      </c>
      <c r="AJ2514">
        <v>0</v>
      </c>
      <c r="AK2514">
        <v>0</v>
      </c>
      <c r="AL2514">
        <v>0</v>
      </c>
      <c r="AM2514">
        <v>8.58</v>
      </c>
      <c r="AN2514">
        <v>0</v>
      </c>
      <c r="AO2514">
        <v>0</v>
      </c>
      <c r="AP2514">
        <v>0</v>
      </c>
      <c r="AQ2514">
        <v>0</v>
      </c>
      <c r="AR2514">
        <v>0</v>
      </c>
      <c r="AS2514">
        <v>0</v>
      </c>
      <c r="AT2514">
        <v>0</v>
      </c>
      <c r="AU2514">
        <v>0</v>
      </c>
      <c r="AV2514">
        <v>0</v>
      </c>
      <c r="AW2514">
        <v>0</v>
      </c>
      <c r="AX2514">
        <v>0</v>
      </c>
      <c r="AY2514">
        <v>0</v>
      </c>
      <c r="AZ2514">
        <v>0</v>
      </c>
      <c r="BA2514">
        <v>0</v>
      </c>
      <c r="BB2514">
        <v>0</v>
      </c>
      <c r="BC2514">
        <v>0</v>
      </c>
      <c r="BD2514">
        <v>0</v>
      </c>
      <c r="BE2514">
        <v>0</v>
      </c>
      <c r="BF2514">
        <v>0</v>
      </c>
      <c r="BG2514">
        <v>0</v>
      </c>
      <c r="BH2514">
        <v>1</v>
      </c>
      <c r="BI2514">
        <v>1</v>
      </c>
      <c r="BJ2514">
        <v>0.2</v>
      </c>
      <c r="BK2514">
        <v>1</v>
      </c>
      <c r="BL2514" s="4">
        <v>50.45</v>
      </c>
      <c r="BM2514" s="4">
        <v>7.57</v>
      </c>
      <c r="BN2514" s="4">
        <v>58.02</v>
      </c>
      <c r="BO2514" s="4">
        <v>58.02</v>
      </c>
      <c r="BQ2514" t="s">
        <v>93</v>
      </c>
      <c r="BR2514" t="s">
        <v>84</v>
      </c>
      <c r="BS2514" t="s">
        <v>717</v>
      </c>
      <c r="BY2514">
        <v>1200</v>
      </c>
      <c r="CC2514" t="s">
        <v>102</v>
      </c>
      <c r="CD2514">
        <v>200</v>
      </c>
      <c r="CE2514" t="s">
        <v>88</v>
      </c>
      <c r="CI2514">
        <v>1</v>
      </c>
      <c r="CJ2514" t="s">
        <v>717</v>
      </c>
      <c r="CK2514">
        <v>21</v>
      </c>
      <c r="CL2514" t="s">
        <v>89</v>
      </c>
    </row>
    <row r="2515" spans="1:90">
      <c r="A2515" t="s">
        <v>72</v>
      </c>
      <c r="B2515" t="s">
        <v>73</v>
      </c>
      <c r="C2515" t="s">
        <v>74</v>
      </c>
      <c r="E2515" t="str">
        <f>"FES1162729444"</f>
        <v>FES1162729444</v>
      </c>
      <c r="F2515" s="3">
        <v>43822</v>
      </c>
      <c r="G2515">
        <v>202006</v>
      </c>
      <c r="H2515" t="s">
        <v>75</v>
      </c>
      <c r="I2515" t="s">
        <v>76</v>
      </c>
      <c r="J2515" t="s">
        <v>77</v>
      </c>
      <c r="K2515" t="s">
        <v>78</v>
      </c>
      <c r="L2515" t="s">
        <v>198</v>
      </c>
      <c r="M2515" t="s">
        <v>199</v>
      </c>
      <c r="N2515" t="s">
        <v>280</v>
      </c>
      <c r="O2515" t="s">
        <v>82</v>
      </c>
      <c r="P2515" t="str">
        <f>"2170722440                    "</f>
        <v xml:space="preserve">2170722440                    </v>
      </c>
      <c r="Q2515">
        <v>0</v>
      </c>
      <c r="R2515">
        <v>0</v>
      </c>
      <c r="S2515">
        <v>0</v>
      </c>
      <c r="T2515">
        <v>0</v>
      </c>
      <c r="U2515">
        <v>0</v>
      </c>
      <c r="V2515">
        <v>0</v>
      </c>
      <c r="W2515">
        <v>0</v>
      </c>
      <c r="X2515">
        <v>0</v>
      </c>
      <c r="Y2515">
        <v>0</v>
      </c>
      <c r="Z2515">
        <v>0</v>
      </c>
      <c r="AA2515">
        <v>0</v>
      </c>
      <c r="AB2515">
        <v>0</v>
      </c>
      <c r="AC2515">
        <v>0</v>
      </c>
      <c r="AD2515">
        <v>0</v>
      </c>
      <c r="AE2515">
        <v>0</v>
      </c>
      <c r="AF2515">
        <v>0</v>
      </c>
      <c r="AG2515">
        <v>0</v>
      </c>
      <c r="AH2515">
        <v>0</v>
      </c>
      <c r="AI2515">
        <v>0</v>
      </c>
      <c r="AJ2515">
        <v>0</v>
      </c>
      <c r="AK2515">
        <v>0</v>
      </c>
      <c r="AL2515">
        <v>0</v>
      </c>
      <c r="AM2515">
        <v>19.3</v>
      </c>
      <c r="AN2515">
        <v>0</v>
      </c>
      <c r="AO2515">
        <v>0</v>
      </c>
      <c r="AP2515">
        <v>0</v>
      </c>
      <c r="AQ2515">
        <v>0</v>
      </c>
      <c r="AR2515">
        <v>0</v>
      </c>
      <c r="AS2515">
        <v>0</v>
      </c>
      <c r="AT2515">
        <v>0</v>
      </c>
      <c r="AU2515">
        <v>0</v>
      </c>
      <c r="AV2515">
        <v>0</v>
      </c>
      <c r="AW2515">
        <v>0</v>
      </c>
      <c r="AX2515">
        <v>0</v>
      </c>
      <c r="AY2515">
        <v>0</v>
      </c>
      <c r="AZ2515">
        <v>0</v>
      </c>
      <c r="BA2515">
        <v>0</v>
      </c>
      <c r="BB2515">
        <v>0</v>
      </c>
      <c r="BC2515">
        <v>0</v>
      </c>
      <c r="BD2515">
        <v>0</v>
      </c>
      <c r="BE2515">
        <v>0</v>
      </c>
      <c r="BF2515">
        <v>0</v>
      </c>
      <c r="BG2515">
        <v>0</v>
      </c>
      <c r="BH2515">
        <v>1</v>
      </c>
      <c r="BI2515">
        <v>4.3</v>
      </c>
      <c r="BJ2515">
        <v>1.3</v>
      </c>
      <c r="BK2515">
        <v>4.5</v>
      </c>
      <c r="BL2515" s="4">
        <v>113.47</v>
      </c>
      <c r="BM2515" s="4">
        <v>17.02</v>
      </c>
      <c r="BN2515" s="4">
        <v>130.49</v>
      </c>
      <c r="BO2515" s="4">
        <v>130.49</v>
      </c>
      <c r="BQ2515" t="s">
        <v>147</v>
      </c>
      <c r="BR2515" t="s">
        <v>84</v>
      </c>
      <c r="BS2515" s="3">
        <v>43823</v>
      </c>
      <c r="BT2515" s="5">
        <v>0.39166666666666666</v>
      </c>
      <c r="BU2515" t="s">
        <v>2397</v>
      </c>
      <c r="BV2515" t="s">
        <v>86</v>
      </c>
      <c r="BY2515">
        <v>6302</v>
      </c>
      <c r="CA2515" t="s">
        <v>281</v>
      </c>
      <c r="CC2515" t="s">
        <v>199</v>
      </c>
      <c r="CD2515">
        <v>4001</v>
      </c>
      <c r="CE2515" t="s">
        <v>116</v>
      </c>
      <c r="CF2515" s="3">
        <v>43826</v>
      </c>
      <c r="CI2515">
        <v>1</v>
      </c>
      <c r="CJ2515">
        <v>1</v>
      </c>
      <c r="CK2515">
        <v>21</v>
      </c>
      <c r="CL2515" t="s">
        <v>89</v>
      </c>
    </row>
    <row r="2516" spans="1:90">
      <c r="A2516" t="s">
        <v>72</v>
      </c>
      <c r="B2516" t="s">
        <v>73</v>
      </c>
      <c r="C2516" t="s">
        <v>74</v>
      </c>
      <c r="E2516" t="str">
        <f>"FES1162729425"</f>
        <v>FES1162729425</v>
      </c>
      <c r="F2516" s="3">
        <v>43822</v>
      </c>
      <c r="G2516">
        <v>202006</v>
      </c>
      <c r="H2516" t="s">
        <v>75</v>
      </c>
      <c r="I2516" t="s">
        <v>76</v>
      </c>
      <c r="J2516" t="s">
        <v>77</v>
      </c>
      <c r="K2516" t="s">
        <v>78</v>
      </c>
      <c r="L2516" t="s">
        <v>577</v>
      </c>
      <c r="M2516" t="s">
        <v>578</v>
      </c>
      <c r="N2516" t="s">
        <v>579</v>
      </c>
      <c r="O2516" t="s">
        <v>82</v>
      </c>
      <c r="P2516" t="str">
        <f>"2170722741                    "</f>
        <v xml:space="preserve">2170722741                    </v>
      </c>
      <c r="Q2516">
        <v>0</v>
      </c>
      <c r="R2516">
        <v>0</v>
      </c>
      <c r="S2516">
        <v>0</v>
      </c>
      <c r="T2516">
        <v>0</v>
      </c>
      <c r="U2516">
        <v>0</v>
      </c>
      <c r="V2516">
        <v>0</v>
      </c>
      <c r="W2516">
        <v>0</v>
      </c>
      <c r="X2516">
        <v>0</v>
      </c>
      <c r="Y2516">
        <v>0</v>
      </c>
      <c r="Z2516">
        <v>0</v>
      </c>
      <c r="AA2516">
        <v>0</v>
      </c>
      <c r="AB2516">
        <v>0</v>
      </c>
      <c r="AC2516">
        <v>0</v>
      </c>
      <c r="AD2516">
        <v>0</v>
      </c>
      <c r="AE2516">
        <v>0</v>
      </c>
      <c r="AF2516">
        <v>0</v>
      </c>
      <c r="AG2516">
        <v>0</v>
      </c>
      <c r="AH2516">
        <v>0</v>
      </c>
      <c r="AI2516">
        <v>0</v>
      </c>
      <c r="AJ2516">
        <v>0</v>
      </c>
      <c r="AK2516">
        <v>0</v>
      </c>
      <c r="AL2516">
        <v>0</v>
      </c>
      <c r="AM2516">
        <v>8.58</v>
      </c>
      <c r="AN2516">
        <v>0</v>
      </c>
      <c r="AO2516">
        <v>0</v>
      </c>
      <c r="AP2516">
        <v>0</v>
      </c>
      <c r="AQ2516">
        <v>0</v>
      </c>
      <c r="AR2516">
        <v>0</v>
      </c>
      <c r="AS2516">
        <v>0</v>
      </c>
      <c r="AT2516">
        <v>0</v>
      </c>
      <c r="AU2516">
        <v>0</v>
      </c>
      <c r="AV2516">
        <v>0</v>
      </c>
      <c r="AW2516">
        <v>0</v>
      </c>
      <c r="AX2516">
        <v>0</v>
      </c>
      <c r="AY2516">
        <v>0</v>
      </c>
      <c r="AZ2516">
        <v>0</v>
      </c>
      <c r="BA2516">
        <v>0</v>
      </c>
      <c r="BB2516">
        <v>0</v>
      </c>
      <c r="BC2516">
        <v>0</v>
      </c>
      <c r="BD2516">
        <v>0</v>
      </c>
      <c r="BE2516">
        <v>0</v>
      </c>
      <c r="BF2516">
        <v>0</v>
      </c>
      <c r="BG2516">
        <v>0</v>
      </c>
      <c r="BH2516">
        <v>1</v>
      </c>
      <c r="BI2516">
        <v>1</v>
      </c>
      <c r="BJ2516">
        <v>0.2</v>
      </c>
      <c r="BK2516">
        <v>1</v>
      </c>
      <c r="BL2516" s="4">
        <v>50.45</v>
      </c>
      <c r="BM2516" s="4">
        <v>7.57</v>
      </c>
      <c r="BN2516" s="4">
        <v>58.02</v>
      </c>
      <c r="BO2516" s="4">
        <v>58.02</v>
      </c>
      <c r="BQ2516" t="s">
        <v>147</v>
      </c>
      <c r="BR2516" t="s">
        <v>84</v>
      </c>
      <c r="BS2516" s="3">
        <v>43823</v>
      </c>
      <c r="BT2516" s="5">
        <v>0.33333333333333331</v>
      </c>
      <c r="BU2516" t="s">
        <v>2618</v>
      </c>
      <c r="BV2516" t="s">
        <v>86</v>
      </c>
      <c r="BY2516">
        <v>1200</v>
      </c>
      <c r="CA2516" t="s">
        <v>344</v>
      </c>
      <c r="CC2516" t="s">
        <v>578</v>
      </c>
      <c r="CD2516">
        <v>6536</v>
      </c>
      <c r="CE2516" t="s">
        <v>88</v>
      </c>
      <c r="CI2516">
        <v>1</v>
      </c>
      <c r="CJ2516">
        <v>1</v>
      </c>
      <c r="CK2516">
        <v>21</v>
      </c>
      <c r="CL2516" t="s">
        <v>89</v>
      </c>
    </row>
    <row r="2517" spans="1:90">
      <c r="A2517" t="s">
        <v>72</v>
      </c>
      <c r="B2517" t="s">
        <v>73</v>
      </c>
      <c r="C2517" t="s">
        <v>74</v>
      </c>
      <c r="E2517" t="str">
        <f>"FES1162729370"</f>
        <v>FES1162729370</v>
      </c>
      <c r="F2517" s="3">
        <v>43822</v>
      </c>
      <c r="G2517">
        <v>202006</v>
      </c>
      <c r="H2517" t="s">
        <v>75</v>
      </c>
      <c r="I2517" t="s">
        <v>76</v>
      </c>
      <c r="J2517" t="s">
        <v>77</v>
      </c>
      <c r="K2517" t="s">
        <v>78</v>
      </c>
      <c r="L2517" t="s">
        <v>169</v>
      </c>
      <c r="M2517" t="s">
        <v>170</v>
      </c>
      <c r="N2517" t="s">
        <v>969</v>
      </c>
      <c r="O2517" t="s">
        <v>82</v>
      </c>
      <c r="P2517" t="str">
        <f>"2170721519                    "</f>
        <v xml:space="preserve">2170721519                    </v>
      </c>
      <c r="Q2517">
        <v>0</v>
      </c>
      <c r="R2517">
        <v>0</v>
      </c>
      <c r="S2517">
        <v>0</v>
      </c>
      <c r="T2517">
        <v>0</v>
      </c>
      <c r="U2517">
        <v>0</v>
      </c>
      <c r="V2517">
        <v>0</v>
      </c>
      <c r="W2517">
        <v>0</v>
      </c>
      <c r="X2517">
        <v>0</v>
      </c>
      <c r="Y2517">
        <v>0</v>
      </c>
      <c r="Z2517">
        <v>0</v>
      </c>
      <c r="AA2517">
        <v>0</v>
      </c>
      <c r="AB2517">
        <v>0</v>
      </c>
      <c r="AC2517">
        <v>0</v>
      </c>
      <c r="AD2517">
        <v>0</v>
      </c>
      <c r="AE2517">
        <v>0</v>
      </c>
      <c r="AF2517">
        <v>0</v>
      </c>
      <c r="AG2517">
        <v>0</v>
      </c>
      <c r="AH2517">
        <v>0</v>
      </c>
      <c r="AI2517">
        <v>0</v>
      </c>
      <c r="AJ2517">
        <v>0</v>
      </c>
      <c r="AK2517">
        <v>0</v>
      </c>
      <c r="AL2517">
        <v>0</v>
      </c>
      <c r="AM2517">
        <v>9.1199999999999992</v>
      </c>
      <c r="AN2517">
        <v>0</v>
      </c>
      <c r="AO2517">
        <v>0</v>
      </c>
      <c r="AP2517">
        <v>0</v>
      </c>
      <c r="AQ2517">
        <v>0</v>
      </c>
      <c r="AR2517">
        <v>0</v>
      </c>
      <c r="AS2517">
        <v>0</v>
      </c>
      <c r="AT2517">
        <v>0</v>
      </c>
      <c r="AU2517">
        <v>0</v>
      </c>
      <c r="AV2517">
        <v>0</v>
      </c>
      <c r="AW2517">
        <v>0</v>
      </c>
      <c r="AX2517">
        <v>0</v>
      </c>
      <c r="AY2517">
        <v>0</v>
      </c>
      <c r="AZ2517">
        <v>0</v>
      </c>
      <c r="BA2517">
        <v>0</v>
      </c>
      <c r="BB2517">
        <v>0</v>
      </c>
      <c r="BC2517">
        <v>0</v>
      </c>
      <c r="BD2517">
        <v>0</v>
      </c>
      <c r="BE2517">
        <v>0</v>
      </c>
      <c r="BF2517">
        <v>0</v>
      </c>
      <c r="BG2517">
        <v>0</v>
      </c>
      <c r="BH2517">
        <v>1</v>
      </c>
      <c r="BI2517">
        <v>3.2</v>
      </c>
      <c r="BJ2517">
        <v>3.1</v>
      </c>
      <c r="BK2517">
        <v>3.5</v>
      </c>
      <c r="BL2517" s="4">
        <v>53.59</v>
      </c>
      <c r="BM2517" s="4">
        <v>8.0399999999999991</v>
      </c>
      <c r="BN2517" s="4">
        <v>61.63</v>
      </c>
      <c r="BO2517" s="4">
        <v>61.63</v>
      </c>
      <c r="BQ2517" t="s">
        <v>93</v>
      </c>
      <c r="BR2517" t="s">
        <v>84</v>
      </c>
      <c r="BS2517" s="3">
        <v>43836</v>
      </c>
      <c r="BT2517" s="5">
        <v>0.32361111111111113</v>
      </c>
      <c r="BU2517" t="s">
        <v>970</v>
      </c>
      <c r="BV2517" t="s">
        <v>89</v>
      </c>
      <c r="BY2517">
        <v>15746.9</v>
      </c>
      <c r="CA2517" t="s">
        <v>250</v>
      </c>
      <c r="CC2517" t="s">
        <v>170</v>
      </c>
      <c r="CD2517">
        <v>1459</v>
      </c>
      <c r="CE2517" t="s">
        <v>96</v>
      </c>
      <c r="CI2517">
        <v>1</v>
      </c>
      <c r="CJ2517">
        <v>10</v>
      </c>
      <c r="CK2517">
        <v>22</v>
      </c>
      <c r="CL2517" t="s">
        <v>89</v>
      </c>
    </row>
    <row r="2518" spans="1:90">
      <c r="A2518" t="s">
        <v>72</v>
      </c>
      <c r="B2518" t="s">
        <v>73</v>
      </c>
      <c r="C2518" t="s">
        <v>74</v>
      </c>
      <c r="E2518" t="str">
        <f>"RFES1162728314"</f>
        <v>RFES1162728314</v>
      </c>
      <c r="F2518" s="3">
        <v>43822</v>
      </c>
      <c r="G2518">
        <v>202006</v>
      </c>
      <c r="H2518" t="s">
        <v>75</v>
      </c>
      <c r="I2518" t="s">
        <v>76</v>
      </c>
      <c r="J2518" t="s">
        <v>2004</v>
      </c>
      <c r="K2518" t="s">
        <v>78</v>
      </c>
      <c r="L2518" t="s">
        <v>75</v>
      </c>
      <c r="M2518" t="s">
        <v>76</v>
      </c>
      <c r="N2518" t="s">
        <v>77</v>
      </c>
      <c r="O2518" t="s">
        <v>82</v>
      </c>
      <c r="P2518" t="str">
        <f>"2170719380 CLIENT             "</f>
        <v xml:space="preserve">2170719380 CLIENT             </v>
      </c>
      <c r="Q2518">
        <v>0</v>
      </c>
      <c r="R2518">
        <v>0</v>
      </c>
      <c r="S2518">
        <v>0</v>
      </c>
      <c r="T2518">
        <v>0</v>
      </c>
      <c r="U2518">
        <v>0</v>
      </c>
      <c r="V2518">
        <v>0</v>
      </c>
      <c r="W2518">
        <v>0</v>
      </c>
      <c r="X2518">
        <v>0</v>
      </c>
      <c r="Y2518">
        <v>0</v>
      </c>
      <c r="Z2518">
        <v>0</v>
      </c>
      <c r="AA2518">
        <v>0</v>
      </c>
      <c r="AB2518">
        <v>0</v>
      </c>
      <c r="AC2518">
        <v>0</v>
      </c>
      <c r="AD2518">
        <v>0</v>
      </c>
      <c r="AE2518">
        <v>0</v>
      </c>
      <c r="AF2518">
        <v>0</v>
      </c>
      <c r="AG2518">
        <v>0</v>
      </c>
      <c r="AH2518">
        <v>0</v>
      </c>
      <c r="AI2518">
        <v>0</v>
      </c>
      <c r="AJ2518">
        <v>0</v>
      </c>
      <c r="AK2518">
        <v>0</v>
      </c>
      <c r="AL2518">
        <v>0</v>
      </c>
      <c r="AM2518">
        <v>6.71</v>
      </c>
      <c r="AN2518">
        <v>0</v>
      </c>
      <c r="AO2518">
        <v>0</v>
      </c>
      <c r="AP2518">
        <v>0</v>
      </c>
      <c r="AQ2518">
        <v>0</v>
      </c>
      <c r="AR2518">
        <v>0</v>
      </c>
      <c r="AS2518">
        <v>0</v>
      </c>
      <c r="AT2518">
        <v>0</v>
      </c>
      <c r="AU2518">
        <v>0</v>
      </c>
      <c r="AV2518">
        <v>0</v>
      </c>
      <c r="AW2518">
        <v>0</v>
      </c>
      <c r="AX2518">
        <v>0</v>
      </c>
      <c r="AY2518">
        <v>0</v>
      </c>
      <c r="AZ2518">
        <v>0</v>
      </c>
      <c r="BA2518">
        <v>0</v>
      </c>
      <c r="BB2518">
        <v>0</v>
      </c>
      <c r="BC2518">
        <v>0</v>
      </c>
      <c r="BD2518">
        <v>0</v>
      </c>
      <c r="BE2518">
        <v>0</v>
      </c>
      <c r="BF2518">
        <v>0</v>
      </c>
      <c r="BG2518">
        <v>0</v>
      </c>
      <c r="BH2518">
        <v>1</v>
      </c>
      <c r="BI2518">
        <v>1</v>
      </c>
      <c r="BJ2518">
        <v>0.2</v>
      </c>
      <c r="BK2518">
        <v>1</v>
      </c>
      <c r="BL2518" s="4">
        <v>39.42</v>
      </c>
      <c r="BM2518" s="4">
        <v>5.91</v>
      </c>
      <c r="BN2518" s="4">
        <v>45.33</v>
      </c>
      <c r="BO2518" s="4">
        <v>45.33</v>
      </c>
      <c r="BQ2518" t="s">
        <v>84</v>
      </c>
      <c r="BR2518" t="s">
        <v>93</v>
      </c>
      <c r="BS2518" s="3">
        <v>43823</v>
      </c>
      <c r="BT2518" s="5">
        <v>0.35416666666666669</v>
      </c>
      <c r="BU2518" t="s">
        <v>154</v>
      </c>
      <c r="BV2518" t="s">
        <v>86</v>
      </c>
      <c r="BY2518">
        <v>1200</v>
      </c>
      <c r="CA2518" t="s">
        <v>155</v>
      </c>
      <c r="CC2518" t="s">
        <v>76</v>
      </c>
      <c r="CD2518">
        <v>1601</v>
      </c>
      <c r="CE2518" t="s">
        <v>88</v>
      </c>
      <c r="CI2518">
        <v>1</v>
      </c>
      <c r="CJ2518">
        <v>1</v>
      </c>
      <c r="CK2518">
        <v>22</v>
      </c>
      <c r="CL2518" t="s">
        <v>89</v>
      </c>
    </row>
    <row r="2519" spans="1:90">
      <c r="A2519" t="s">
        <v>72</v>
      </c>
      <c r="B2519" t="s">
        <v>73</v>
      </c>
      <c r="C2519" t="s">
        <v>74</v>
      </c>
      <c r="E2519" t="str">
        <f>"RFES1162728768"</f>
        <v>RFES1162728768</v>
      </c>
      <c r="F2519" s="3">
        <v>43822</v>
      </c>
      <c r="G2519">
        <v>202006</v>
      </c>
      <c r="H2519" t="s">
        <v>90</v>
      </c>
      <c r="I2519" t="s">
        <v>91</v>
      </c>
      <c r="J2519" t="s">
        <v>2001</v>
      </c>
      <c r="K2519" t="s">
        <v>78</v>
      </c>
      <c r="L2519" t="s">
        <v>75</v>
      </c>
      <c r="M2519" t="s">
        <v>76</v>
      </c>
      <c r="N2519" t="s">
        <v>77</v>
      </c>
      <c r="O2519" t="s">
        <v>82</v>
      </c>
      <c r="P2519" t="str">
        <f>"217071964                     "</f>
        <v xml:space="preserve">217071964                     </v>
      </c>
      <c r="Q2519">
        <v>0</v>
      </c>
      <c r="R2519">
        <v>0</v>
      </c>
      <c r="S2519">
        <v>0</v>
      </c>
      <c r="T2519">
        <v>0</v>
      </c>
      <c r="U2519">
        <v>0</v>
      </c>
      <c r="V2519">
        <v>0</v>
      </c>
      <c r="W2519">
        <v>0</v>
      </c>
      <c r="X2519">
        <v>0</v>
      </c>
      <c r="Y2519">
        <v>0</v>
      </c>
      <c r="Z2519">
        <v>0</v>
      </c>
      <c r="AA2519">
        <v>0</v>
      </c>
      <c r="AB2519">
        <v>0</v>
      </c>
      <c r="AC2519">
        <v>0</v>
      </c>
      <c r="AD2519">
        <v>0</v>
      </c>
      <c r="AE2519">
        <v>0</v>
      </c>
      <c r="AF2519">
        <v>0</v>
      </c>
      <c r="AG2519">
        <v>0</v>
      </c>
      <c r="AH2519">
        <v>0</v>
      </c>
      <c r="AI2519">
        <v>0</v>
      </c>
      <c r="AJ2519">
        <v>0</v>
      </c>
      <c r="AK2519">
        <v>0</v>
      </c>
      <c r="AL2519">
        <v>0</v>
      </c>
      <c r="AM2519">
        <v>8.58</v>
      </c>
      <c r="AN2519">
        <v>0</v>
      </c>
      <c r="AO2519">
        <v>0</v>
      </c>
      <c r="AP2519">
        <v>0</v>
      </c>
      <c r="AQ2519">
        <v>0</v>
      </c>
      <c r="AR2519">
        <v>0</v>
      </c>
      <c r="AS2519">
        <v>0</v>
      </c>
      <c r="AT2519">
        <v>0</v>
      </c>
      <c r="AU2519">
        <v>0</v>
      </c>
      <c r="AV2519">
        <v>0</v>
      </c>
      <c r="AW2519">
        <v>0</v>
      </c>
      <c r="AX2519">
        <v>0</v>
      </c>
      <c r="AY2519">
        <v>0</v>
      </c>
      <c r="AZ2519">
        <v>0</v>
      </c>
      <c r="BA2519">
        <v>0</v>
      </c>
      <c r="BB2519">
        <v>0</v>
      </c>
      <c r="BC2519">
        <v>0</v>
      </c>
      <c r="BD2519">
        <v>0</v>
      </c>
      <c r="BE2519">
        <v>0</v>
      </c>
      <c r="BF2519">
        <v>0</v>
      </c>
      <c r="BG2519">
        <v>0</v>
      </c>
      <c r="BH2519">
        <v>1</v>
      </c>
      <c r="BI2519">
        <v>1.3</v>
      </c>
      <c r="BJ2519">
        <v>0.8</v>
      </c>
      <c r="BK2519">
        <v>1.5</v>
      </c>
      <c r="BL2519" s="4">
        <v>50.45</v>
      </c>
      <c r="BM2519" s="4">
        <v>7.57</v>
      </c>
      <c r="BN2519" s="4">
        <v>58.02</v>
      </c>
      <c r="BO2519" s="4">
        <v>58.02</v>
      </c>
      <c r="BQ2519" t="s">
        <v>84</v>
      </c>
      <c r="BR2519" t="s">
        <v>2002</v>
      </c>
      <c r="BS2519" s="3">
        <v>43836</v>
      </c>
      <c r="BT2519" s="5">
        <v>0.36944444444444446</v>
      </c>
      <c r="BU2519" t="s">
        <v>1078</v>
      </c>
      <c r="BV2519" t="s">
        <v>89</v>
      </c>
      <c r="BY2519">
        <v>4203.1400000000003</v>
      </c>
      <c r="CA2519" t="s">
        <v>746</v>
      </c>
      <c r="CC2519" t="s">
        <v>76</v>
      </c>
      <c r="CD2519">
        <v>1601</v>
      </c>
      <c r="CE2519" t="s">
        <v>116</v>
      </c>
      <c r="CI2519">
        <v>1</v>
      </c>
      <c r="CJ2519">
        <v>10</v>
      </c>
      <c r="CK2519">
        <v>21</v>
      </c>
      <c r="CL2519" t="s">
        <v>89</v>
      </c>
    </row>
    <row r="2520" spans="1:90">
      <c r="A2520" t="s">
        <v>72</v>
      </c>
      <c r="B2520" t="s">
        <v>73</v>
      </c>
      <c r="C2520" t="s">
        <v>74</v>
      </c>
      <c r="E2520" t="str">
        <f>"RFES1162728839"</f>
        <v>RFES1162728839</v>
      </c>
      <c r="F2520" s="3">
        <v>43822</v>
      </c>
      <c r="G2520">
        <v>202006</v>
      </c>
      <c r="H2520" t="s">
        <v>221</v>
      </c>
      <c r="I2520" t="s">
        <v>222</v>
      </c>
      <c r="J2520" t="s">
        <v>236</v>
      </c>
      <c r="K2520" t="s">
        <v>78</v>
      </c>
      <c r="L2520" t="s">
        <v>75</v>
      </c>
      <c r="M2520" t="s">
        <v>76</v>
      </c>
      <c r="N2520" t="s">
        <v>77</v>
      </c>
      <c r="O2520" t="s">
        <v>82</v>
      </c>
      <c r="P2520" t="str">
        <f>"21707120334                   "</f>
        <v xml:space="preserve">21707120334                   </v>
      </c>
      <c r="Q2520">
        <v>0</v>
      </c>
      <c r="R2520">
        <v>0</v>
      </c>
      <c r="S2520">
        <v>0</v>
      </c>
      <c r="T2520">
        <v>0</v>
      </c>
      <c r="U2520">
        <v>0</v>
      </c>
      <c r="V2520">
        <v>0</v>
      </c>
      <c r="W2520">
        <v>0</v>
      </c>
      <c r="X2520">
        <v>0</v>
      </c>
      <c r="Y2520">
        <v>0</v>
      </c>
      <c r="Z2520">
        <v>0</v>
      </c>
      <c r="AA2520">
        <v>0</v>
      </c>
      <c r="AB2520">
        <v>0</v>
      </c>
      <c r="AC2520">
        <v>0</v>
      </c>
      <c r="AD2520">
        <v>0</v>
      </c>
      <c r="AE2520">
        <v>0</v>
      </c>
      <c r="AF2520">
        <v>0</v>
      </c>
      <c r="AG2520">
        <v>0</v>
      </c>
      <c r="AH2520">
        <v>0</v>
      </c>
      <c r="AI2520">
        <v>0</v>
      </c>
      <c r="AJ2520">
        <v>0</v>
      </c>
      <c r="AK2520">
        <v>0</v>
      </c>
      <c r="AL2520">
        <v>0</v>
      </c>
      <c r="AM2520">
        <v>8.58</v>
      </c>
      <c r="AN2520">
        <v>0</v>
      </c>
      <c r="AO2520">
        <v>0</v>
      </c>
      <c r="AP2520">
        <v>0</v>
      </c>
      <c r="AQ2520">
        <v>0</v>
      </c>
      <c r="AR2520">
        <v>0</v>
      </c>
      <c r="AS2520">
        <v>0</v>
      </c>
      <c r="AT2520">
        <v>0</v>
      </c>
      <c r="AU2520">
        <v>0</v>
      </c>
      <c r="AV2520">
        <v>0</v>
      </c>
      <c r="AW2520">
        <v>0</v>
      </c>
      <c r="AX2520">
        <v>0</v>
      </c>
      <c r="AY2520">
        <v>0</v>
      </c>
      <c r="AZ2520">
        <v>0</v>
      </c>
      <c r="BA2520">
        <v>0</v>
      </c>
      <c r="BB2520">
        <v>0</v>
      </c>
      <c r="BC2520">
        <v>0</v>
      </c>
      <c r="BD2520">
        <v>0</v>
      </c>
      <c r="BE2520">
        <v>0</v>
      </c>
      <c r="BF2520">
        <v>0</v>
      </c>
      <c r="BG2520">
        <v>0</v>
      </c>
      <c r="BH2520">
        <v>1</v>
      </c>
      <c r="BI2520">
        <v>1</v>
      </c>
      <c r="BJ2520">
        <v>1.3</v>
      </c>
      <c r="BK2520">
        <v>1.5</v>
      </c>
      <c r="BL2520" s="4">
        <v>50.45</v>
      </c>
      <c r="BM2520" s="4">
        <v>7.57</v>
      </c>
      <c r="BN2520" s="4">
        <v>58.02</v>
      </c>
      <c r="BO2520" s="4">
        <v>58.02</v>
      </c>
      <c r="BQ2520" t="s">
        <v>84</v>
      </c>
      <c r="BR2520" t="s">
        <v>93</v>
      </c>
      <c r="BS2520" s="3">
        <v>43823</v>
      </c>
      <c r="BT2520" s="5">
        <v>0.35416666666666669</v>
      </c>
      <c r="BU2520" t="s">
        <v>154</v>
      </c>
      <c r="BV2520" t="s">
        <v>86</v>
      </c>
      <c r="BY2520">
        <v>6287.32</v>
      </c>
      <c r="BZ2520" t="s">
        <v>27</v>
      </c>
      <c r="CA2520" t="s">
        <v>155</v>
      </c>
      <c r="CC2520" t="s">
        <v>76</v>
      </c>
      <c r="CD2520">
        <v>1601</v>
      </c>
      <c r="CE2520" t="s">
        <v>96</v>
      </c>
      <c r="CF2520" s="3">
        <v>43826</v>
      </c>
      <c r="CI2520">
        <v>1</v>
      </c>
      <c r="CJ2520">
        <v>1</v>
      </c>
      <c r="CK2520">
        <v>21</v>
      </c>
      <c r="CL2520" t="s">
        <v>89</v>
      </c>
    </row>
    <row r="2521" spans="1:90">
      <c r="A2521" t="s">
        <v>72</v>
      </c>
      <c r="B2521" t="s">
        <v>73</v>
      </c>
      <c r="C2521" t="s">
        <v>74</v>
      </c>
      <c r="E2521" t="str">
        <f>"FES1162729288"</f>
        <v>FES1162729288</v>
      </c>
      <c r="F2521" s="3">
        <v>43822</v>
      </c>
      <c r="G2521">
        <v>202006</v>
      </c>
      <c r="H2521" t="s">
        <v>75</v>
      </c>
      <c r="I2521" t="s">
        <v>76</v>
      </c>
      <c r="J2521" t="s">
        <v>77</v>
      </c>
      <c r="K2521" t="s">
        <v>78</v>
      </c>
      <c r="L2521" t="s">
        <v>138</v>
      </c>
      <c r="M2521" t="s">
        <v>139</v>
      </c>
      <c r="N2521" t="s">
        <v>234</v>
      </c>
      <c r="O2521" t="s">
        <v>104</v>
      </c>
      <c r="P2521" t="str">
        <f>"2170719950                    "</f>
        <v xml:space="preserve">2170719950                    </v>
      </c>
      <c r="Q2521">
        <v>0</v>
      </c>
      <c r="R2521">
        <v>0</v>
      </c>
      <c r="S2521">
        <v>0</v>
      </c>
      <c r="T2521">
        <v>0</v>
      </c>
      <c r="U2521">
        <v>0</v>
      </c>
      <c r="V2521">
        <v>0</v>
      </c>
      <c r="W2521">
        <v>0</v>
      </c>
      <c r="X2521">
        <v>0</v>
      </c>
      <c r="Y2521">
        <v>0</v>
      </c>
      <c r="Z2521">
        <v>0</v>
      </c>
      <c r="AA2521">
        <v>0</v>
      </c>
      <c r="AB2521">
        <v>0</v>
      </c>
      <c r="AC2521">
        <v>0</v>
      </c>
      <c r="AD2521">
        <v>0</v>
      </c>
      <c r="AE2521">
        <v>0</v>
      </c>
      <c r="AF2521">
        <v>0</v>
      </c>
      <c r="AG2521">
        <v>0</v>
      </c>
      <c r="AH2521">
        <v>0</v>
      </c>
      <c r="AI2521">
        <v>0</v>
      </c>
      <c r="AJ2521">
        <v>0</v>
      </c>
      <c r="AK2521">
        <v>0</v>
      </c>
      <c r="AL2521">
        <v>0</v>
      </c>
      <c r="AM2521">
        <v>26.21</v>
      </c>
      <c r="AN2521">
        <v>0</v>
      </c>
      <c r="AO2521">
        <v>0</v>
      </c>
      <c r="AP2521">
        <v>0</v>
      </c>
      <c r="AQ2521">
        <v>0</v>
      </c>
      <c r="AR2521">
        <v>0</v>
      </c>
      <c r="AS2521">
        <v>0</v>
      </c>
      <c r="AT2521">
        <v>0</v>
      </c>
      <c r="AU2521">
        <v>0</v>
      </c>
      <c r="AV2521">
        <v>0</v>
      </c>
      <c r="AW2521">
        <v>0</v>
      </c>
      <c r="AX2521">
        <v>0</v>
      </c>
      <c r="AY2521">
        <v>0</v>
      </c>
      <c r="AZ2521">
        <v>0</v>
      </c>
      <c r="BA2521">
        <v>0</v>
      </c>
      <c r="BB2521">
        <v>0</v>
      </c>
      <c r="BC2521">
        <v>0</v>
      </c>
      <c r="BD2521">
        <v>0</v>
      </c>
      <c r="BE2521">
        <v>0</v>
      </c>
      <c r="BF2521">
        <v>0</v>
      </c>
      <c r="BG2521">
        <v>0</v>
      </c>
      <c r="BH2521">
        <v>2</v>
      </c>
      <c r="BI2521">
        <v>49.3</v>
      </c>
      <c r="BJ2521">
        <v>27.6</v>
      </c>
      <c r="BK2521">
        <v>50</v>
      </c>
      <c r="BL2521" s="4">
        <v>159.04</v>
      </c>
      <c r="BM2521" s="4">
        <v>23.86</v>
      </c>
      <c r="BN2521" s="4">
        <v>182.9</v>
      </c>
      <c r="BO2521" s="4">
        <v>182.9</v>
      </c>
      <c r="BQ2521" t="s">
        <v>147</v>
      </c>
      <c r="BR2521" t="s">
        <v>84</v>
      </c>
      <c r="BS2521" t="s">
        <v>717</v>
      </c>
      <c r="BY2521">
        <v>137964.76</v>
      </c>
      <c r="CC2521" t="s">
        <v>139</v>
      </c>
      <c r="CD2521">
        <v>1401</v>
      </c>
      <c r="CE2521" t="s">
        <v>1073</v>
      </c>
      <c r="CI2521">
        <v>1</v>
      </c>
      <c r="CJ2521" t="s">
        <v>717</v>
      </c>
      <c r="CK2521" t="s">
        <v>123</v>
      </c>
      <c r="CL2521" t="s">
        <v>89</v>
      </c>
    </row>
    <row r="2522" spans="1:90">
      <c r="A2522" t="s">
        <v>72</v>
      </c>
      <c r="B2522" t="s">
        <v>73</v>
      </c>
      <c r="C2522" t="s">
        <v>74</v>
      </c>
      <c r="E2522" t="str">
        <f>"FES1162729459"</f>
        <v>FES1162729459</v>
      </c>
      <c r="F2522" s="3">
        <v>43822</v>
      </c>
      <c r="G2522">
        <v>202006</v>
      </c>
      <c r="H2522" t="s">
        <v>75</v>
      </c>
      <c r="I2522" t="s">
        <v>76</v>
      </c>
      <c r="J2522" t="s">
        <v>77</v>
      </c>
      <c r="K2522" t="s">
        <v>78</v>
      </c>
      <c r="L2522" t="s">
        <v>201</v>
      </c>
      <c r="M2522" t="s">
        <v>202</v>
      </c>
      <c r="N2522" t="s">
        <v>1585</v>
      </c>
      <c r="O2522" t="s">
        <v>104</v>
      </c>
      <c r="P2522" t="str">
        <f>"2170721832                    "</f>
        <v xml:space="preserve">2170721832                    </v>
      </c>
      <c r="Q2522">
        <v>0</v>
      </c>
      <c r="R2522">
        <v>0</v>
      </c>
      <c r="S2522">
        <v>0</v>
      </c>
      <c r="T2522">
        <v>0</v>
      </c>
      <c r="U2522">
        <v>0</v>
      </c>
      <c r="V2522">
        <v>0</v>
      </c>
      <c r="W2522">
        <v>0</v>
      </c>
      <c r="X2522">
        <v>0</v>
      </c>
      <c r="Y2522">
        <v>0</v>
      </c>
      <c r="Z2522">
        <v>0</v>
      </c>
      <c r="AA2522">
        <v>0</v>
      </c>
      <c r="AB2522">
        <v>0</v>
      </c>
      <c r="AC2522">
        <v>0</v>
      </c>
      <c r="AD2522">
        <v>0</v>
      </c>
      <c r="AE2522">
        <v>0</v>
      </c>
      <c r="AF2522">
        <v>0</v>
      </c>
      <c r="AG2522">
        <v>0</v>
      </c>
      <c r="AH2522">
        <v>0</v>
      </c>
      <c r="AI2522">
        <v>0</v>
      </c>
      <c r="AJ2522">
        <v>0</v>
      </c>
      <c r="AK2522">
        <v>0</v>
      </c>
      <c r="AL2522">
        <v>0</v>
      </c>
      <c r="AM2522">
        <v>20.71</v>
      </c>
      <c r="AN2522">
        <v>0</v>
      </c>
      <c r="AO2522">
        <v>0</v>
      </c>
      <c r="AP2522">
        <v>0</v>
      </c>
      <c r="AQ2522">
        <v>0</v>
      </c>
      <c r="AR2522">
        <v>0</v>
      </c>
      <c r="AS2522">
        <v>0</v>
      </c>
      <c r="AT2522">
        <v>0</v>
      </c>
      <c r="AU2522">
        <v>0</v>
      </c>
      <c r="AV2522">
        <v>0</v>
      </c>
      <c r="AW2522">
        <v>0</v>
      </c>
      <c r="AX2522">
        <v>0</v>
      </c>
      <c r="AY2522">
        <v>0</v>
      </c>
      <c r="AZ2522">
        <v>0</v>
      </c>
      <c r="BA2522">
        <v>0</v>
      </c>
      <c r="BB2522">
        <v>0</v>
      </c>
      <c r="BC2522">
        <v>0</v>
      </c>
      <c r="BD2522">
        <v>0</v>
      </c>
      <c r="BE2522">
        <v>0</v>
      </c>
      <c r="BF2522">
        <v>0</v>
      </c>
      <c r="BG2522">
        <v>0</v>
      </c>
      <c r="BH2522">
        <v>1</v>
      </c>
      <c r="BI2522">
        <v>19.399999999999999</v>
      </c>
      <c r="BJ2522">
        <v>31.5</v>
      </c>
      <c r="BK2522">
        <v>32</v>
      </c>
      <c r="BL2522" s="4">
        <v>126.75</v>
      </c>
      <c r="BM2522" s="4">
        <v>19.010000000000002</v>
      </c>
      <c r="BN2522" s="4">
        <v>145.76</v>
      </c>
      <c r="BO2522" s="4">
        <v>145.76</v>
      </c>
      <c r="BQ2522" t="s">
        <v>1586</v>
      </c>
      <c r="BR2522" t="s">
        <v>84</v>
      </c>
      <c r="BS2522" s="3">
        <v>43823</v>
      </c>
      <c r="BT2522" s="5">
        <v>0.34722222222222227</v>
      </c>
      <c r="BU2522" t="s">
        <v>2398</v>
      </c>
      <c r="BV2522" t="s">
        <v>86</v>
      </c>
      <c r="BY2522">
        <v>157286.65</v>
      </c>
      <c r="CA2522" t="s">
        <v>205</v>
      </c>
      <c r="CC2522" t="s">
        <v>202</v>
      </c>
      <c r="CD2522">
        <v>3600</v>
      </c>
      <c r="CE2522" t="s">
        <v>96</v>
      </c>
      <c r="CF2522" s="3">
        <v>43826</v>
      </c>
      <c r="CI2522">
        <v>1</v>
      </c>
      <c r="CJ2522">
        <v>1</v>
      </c>
      <c r="CK2522" t="s">
        <v>1164</v>
      </c>
      <c r="CL2522" t="s">
        <v>89</v>
      </c>
    </row>
    <row r="2523" spans="1:90">
      <c r="A2523" t="s">
        <v>72</v>
      </c>
      <c r="B2523" t="s">
        <v>73</v>
      </c>
      <c r="C2523" t="s">
        <v>74</v>
      </c>
      <c r="E2523" t="str">
        <f>"FES1162729524"</f>
        <v>FES1162729524</v>
      </c>
      <c r="F2523" s="3">
        <v>43823</v>
      </c>
      <c r="G2523">
        <v>202006</v>
      </c>
      <c r="H2523" t="s">
        <v>75</v>
      </c>
      <c r="I2523" t="s">
        <v>76</v>
      </c>
      <c r="J2523" t="s">
        <v>77</v>
      </c>
      <c r="K2523" t="s">
        <v>78</v>
      </c>
      <c r="L2523" t="s">
        <v>186</v>
      </c>
      <c r="M2523" t="s">
        <v>187</v>
      </c>
      <c r="N2523" t="s">
        <v>266</v>
      </c>
      <c r="O2523" t="s">
        <v>82</v>
      </c>
      <c r="P2523" t="str">
        <f>"2170722478                    "</f>
        <v xml:space="preserve">2170722478                    </v>
      </c>
      <c r="Q2523">
        <v>0</v>
      </c>
      <c r="R2523">
        <v>0</v>
      </c>
      <c r="S2523">
        <v>0</v>
      </c>
      <c r="T2523">
        <v>0</v>
      </c>
      <c r="U2523">
        <v>0</v>
      </c>
      <c r="V2523">
        <v>0</v>
      </c>
      <c r="W2523">
        <v>0</v>
      </c>
      <c r="X2523">
        <v>0</v>
      </c>
      <c r="Y2523">
        <v>0</v>
      </c>
      <c r="Z2523">
        <v>0</v>
      </c>
      <c r="AA2523">
        <v>0</v>
      </c>
      <c r="AB2523">
        <v>0</v>
      </c>
      <c r="AC2523">
        <v>0</v>
      </c>
      <c r="AD2523">
        <v>0</v>
      </c>
      <c r="AE2523">
        <v>0</v>
      </c>
      <c r="AF2523">
        <v>0</v>
      </c>
      <c r="AG2523">
        <v>0</v>
      </c>
      <c r="AH2523">
        <v>0</v>
      </c>
      <c r="AI2523">
        <v>0</v>
      </c>
      <c r="AJ2523">
        <v>0</v>
      </c>
      <c r="AK2523">
        <v>0</v>
      </c>
      <c r="AL2523">
        <v>0</v>
      </c>
      <c r="AM2523">
        <v>16.63</v>
      </c>
      <c r="AN2523">
        <v>0</v>
      </c>
      <c r="AO2523">
        <v>0</v>
      </c>
      <c r="AP2523">
        <v>0</v>
      </c>
      <c r="AQ2523">
        <v>0</v>
      </c>
      <c r="AR2523">
        <v>0</v>
      </c>
      <c r="AS2523">
        <v>0</v>
      </c>
      <c r="AT2523">
        <v>0</v>
      </c>
      <c r="AU2523">
        <v>0</v>
      </c>
      <c r="AV2523">
        <v>0</v>
      </c>
      <c r="AW2523">
        <v>0</v>
      </c>
      <c r="AX2523">
        <v>0</v>
      </c>
      <c r="AY2523">
        <v>0</v>
      </c>
      <c r="AZ2523">
        <v>0</v>
      </c>
      <c r="BA2523">
        <v>0</v>
      </c>
      <c r="BB2523">
        <v>0</v>
      </c>
      <c r="BC2523">
        <v>0</v>
      </c>
      <c r="BD2523">
        <v>0</v>
      </c>
      <c r="BE2523">
        <v>0</v>
      </c>
      <c r="BF2523">
        <v>0</v>
      </c>
      <c r="BG2523">
        <v>0</v>
      </c>
      <c r="BH2523">
        <v>1</v>
      </c>
      <c r="BI2523">
        <v>0.2</v>
      </c>
      <c r="BJ2523">
        <v>1.4</v>
      </c>
      <c r="BK2523">
        <v>1.5</v>
      </c>
      <c r="BL2523" s="4">
        <v>97.75</v>
      </c>
      <c r="BM2523" s="4">
        <v>14.66</v>
      </c>
      <c r="BN2523" s="4">
        <v>112.41</v>
      </c>
      <c r="BO2523" s="4">
        <v>112.41</v>
      </c>
      <c r="BQ2523" t="s">
        <v>135</v>
      </c>
      <c r="BR2523" t="s">
        <v>84</v>
      </c>
      <c r="BS2523" s="3">
        <v>43836</v>
      </c>
      <c r="BT2523" s="5">
        <v>0.35000000000000003</v>
      </c>
      <c r="BU2523" t="s">
        <v>2619</v>
      </c>
      <c r="BV2523" t="s">
        <v>89</v>
      </c>
      <c r="BY2523">
        <v>7011.27</v>
      </c>
      <c r="CA2523" t="s">
        <v>2620</v>
      </c>
      <c r="CC2523" t="s">
        <v>187</v>
      </c>
      <c r="CD2523">
        <v>6850</v>
      </c>
      <c r="CE2523" t="s">
        <v>88</v>
      </c>
      <c r="CI2523">
        <v>3</v>
      </c>
      <c r="CJ2523">
        <v>2</v>
      </c>
      <c r="CK2523">
        <v>23</v>
      </c>
      <c r="CL2523" t="s">
        <v>89</v>
      </c>
    </row>
    <row r="2524" spans="1:90">
      <c r="A2524" t="s">
        <v>72</v>
      </c>
      <c r="B2524" t="s">
        <v>73</v>
      </c>
      <c r="C2524" t="s">
        <v>74</v>
      </c>
      <c r="E2524" t="str">
        <f>"FES1162729518"</f>
        <v>FES1162729518</v>
      </c>
      <c r="F2524" s="3">
        <v>43823</v>
      </c>
      <c r="G2524">
        <v>202006</v>
      </c>
      <c r="H2524" t="s">
        <v>75</v>
      </c>
      <c r="I2524" t="s">
        <v>76</v>
      </c>
      <c r="J2524" t="s">
        <v>77</v>
      </c>
      <c r="K2524" t="s">
        <v>78</v>
      </c>
      <c r="L2524" t="s">
        <v>632</v>
      </c>
      <c r="M2524" t="s">
        <v>633</v>
      </c>
      <c r="N2524" t="s">
        <v>634</v>
      </c>
      <c r="O2524" t="s">
        <v>82</v>
      </c>
      <c r="P2524" t="str">
        <f>"2170722473                    "</f>
        <v xml:space="preserve">2170722473                    </v>
      </c>
      <c r="Q2524">
        <v>0</v>
      </c>
      <c r="R2524">
        <v>0</v>
      </c>
      <c r="S2524">
        <v>0</v>
      </c>
      <c r="T2524">
        <v>0</v>
      </c>
      <c r="U2524">
        <v>0</v>
      </c>
      <c r="V2524">
        <v>0</v>
      </c>
      <c r="W2524">
        <v>0</v>
      </c>
      <c r="X2524">
        <v>0</v>
      </c>
      <c r="Y2524">
        <v>0</v>
      </c>
      <c r="Z2524">
        <v>0</v>
      </c>
      <c r="AA2524">
        <v>0</v>
      </c>
      <c r="AB2524">
        <v>0</v>
      </c>
      <c r="AC2524">
        <v>0</v>
      </c>
      <c r="AD2524">
        <v>0</v>
      </c>
      <c r="AE2524">
        <v>0</v>
      </c>
      <c r="AF2524">
        <v>0</v>
      </c>
      <c r="AG2524">
        <v>0</v>
      </c>
      <c r="AH2524">
        <v>0</v>
      </c>
      <c r="AI2524">
        <v>0</v>
      </c>
      <c r="AJ2524">
        <v>0</v>
      </c>
      <c r="AK2524">
        <v>0</v>
      </c>
      <c r="AL2524">
        <v>0</v>
      </c>
      <c r="AM2524">
        <v>6.71</v>
      </c>
      <c r="AN2524">
        <v>0</v>
      </c>
      <c r="AO2524">
        <v>0</v>
      </c>
      <c r="AP2524">
        <v>0</v>
      </c>
      <c r="AQ2524">
        <v>0</v>
      </c>
      <c r="AR2524">
        <v>0</v>
      </c>
      <c r="AS2524">
        <v>0</v>
      </c>
      <c r="AT2524">
        <v>0</v>
      </c>
      <c r="AU2524">
        <v>0</v>
      </c>
      <c r="AV2524">
        <v>0</v>
      </c>
      <c r="AW2524">
        <v>0</v>
      </c>
      <c r="AX2524">
        <v>0</v>
      </c>
      <c r="AY2524">
        <v>0</v>
      </c>
      <c r="AZ2524">
        <v>0</v>
      </c>
      <c r="BA2524">
        <v>0</v>
      </c>
      <c r="BB2524">
        <v>0</v>
      </c>
      <c r="BC2524">
        <v>0</v>
      </c>
      <c r="BD2524">
        <v>0</v>
      </c>
      <c r="BE2524">
        <v>0</v>
      </c>
      <c r="BF2524">
        <v>0</v>
      </c>
      <c r="BG2524">
        <v>0</v>
      </c>
      <c r="BH2524">
        <v>1</v>
      </c>
      <c r="BI2524">
        <v>0.2</v>
      </c>
      <c r="BJ2524">
        <v>1.6</v>
      </c>
      <c r="BK2524">
        <v>2</v>
      </c>
      <c r="BL2524" s="4">
        <v>39.42</v>
      </c>
      <c r="BM2524" s="4">
        <v>5.91</v>
      </c>
      <c r="BN2524" s="4">
        <v>45.33</v>
      </c>
      <c r="BO2524" s="4">
        <v>45.33</v>
      </c>
      <c r="BQ2524" t="s">
        <v>147</v>
      </c>
      <c r="BR2524" t="s">
        <v>84</v>
      </c>
      <c r="BS2524" s="3">
        <v>43833</v>
      </c>
      <c r="BT2524" s="5">
        <v>0.33333333333333331</v>
      </c>
      <c r="BU2524" t="s">
        <v>2621</v>
      </c>
      <c r="BV2524" t="s">
        <v>86</v>
      </c>
      <c r="BY2524">
        <v>7959.75</v>
      </c>
      <c r="CC2524" t="s">
        <v>633</v>
      </c>
      <c r="CD2524">
        <v>1451</v>
      </c>
      <c r="CE2524" t="s">
        <v>88</v>
      </c>
      <c r="CI2524">
        <v>1</v>
      </c>
      <c r="CJ2524">
        <v>1</v>
      </c>
      <c r="CK2524">
        <v>22</v>
      </c>
      <c r="CL2524" t="s">
        <v>89</v>
      </c>
    </row>
    <row r="2525" spans="1:90">
      <c r="A2525" t="s">
        <v>72</v>
      </c>
      <c r="B2525" t="s">
        <v>73</v>
      </c>
      <c r="C2525" t="s">
        <v>74</v>
      </c>
      <c r="E2525" t="str">
        <f>"FES1162729540"</f>
        <v>FES1162729540</v>
      </c>
      <c r="F2525" s="3">
        <v>43823</v>
      </c>
      <c r="G2525">
        <v>202006</v>
      </c>
      <c r="H2525" t="s">
        <v>75</v>
      </c>
      <c r="I2525" t="s">
        <v>76</v>
      </c>
      <c r="J2525" t="s">
        <v>77</v>
      </c>
      <c r="K2525" t="s">
        <v>78</v>
      </c>
      <c r="L2525" t="s">
        <v>332</v>
      </c>
      <c r="M2525" t="s">
        <v>333</v>
      </c>
      <c r="N2525" t="s">
        <v>701</v>
      </c>
      <c r="O2525" t="s">
        <v>82</v>
      </c>
      <c r="P2525" t="str">
        <f>"2170722483                    "</f>
        <v xml:space="preserve">2170722483                    </v>
      </c>
      <c r="Q2525">
        <v>0</v>
      </c>
      <c r="R2525">
        <v>0</v>
      </c>
      <c r="S2525">
        <v>0</v>
      </c>
      <c r="T2525">
        <v>0</v>
      </c>
      <c r="U2525">
        <v>0</v>
      </c>
      <c r="V2525">
        <v>0</v>
      </c>
      <c r="W2525">
        <v>0</v>
      </c>
      <c r="X2525">
        <v>0</v>
      </c>
      <c r="Y2525">
        <v>0</v>
      </c>
      <c r="Z2525">
        <v>0</v>
      </c>
      <c r="AA2525">
        <v>0</v>
      </c>
      <c r="AB2525">
        <v>0</v>
      </c>
      <c r="AC2525">
        <v>0</v>
      </c>
      <c r="AD2525">
        <v>0</v>
      </c>
      <c r="AE2525">
        <v>0</v>
      </c>
      <c r="AF2525">
        <v>0</v>
      </c>
      <c r="AG2525">
        <v>0</v>
      </c>
      <c r="AH2525">
        <v>0</v>
      </c>
      <c r="AI2525">
        <v>0</v>
      </c>
      <c r="AJ2525">
        <v>0</v>
      </c>
      <c r="AK2525">
        <v>0</v>
      </c>
      <c r="AL2525">
        <v>0</v>
      </c>
      <c r="AM2525">
        <v>9.92</v>
      </c>
      <c r="AN2525">
        <v>0</v>
      </c>
      <c r="AO2525">
        <v>0</v>
      </c>
      <c r="AP2525">
        <v>0</v>
      </c>
      <c r="AQ2525">
        <v>0</v>
      </c>
      <c r="AR2525">
        <v>0</v>
      </c>
      <c r="AS2525">
        <v>0</v>
      </c>
      <c r="AT2525">
        <v>0</v>
      </c>
      <c r="AU2525">
        <v>0</v>
      </c>
      <c r="AV2525">
        <v>0</v>
      </c>
      <c r="AW2525">
        <v>0</v>
      </c>
      <c r="AX2525">
        <v>0</v>
      </c>
      <c r="AY2525">
        <v>0</v>
      </c>
      <c r="AZ2525">
        <v>0</v>
      </c>
      <c r="BA2525">
        <v>0</v>
      </c>
      <c r="BB2525">
        <v>0</v>
      </c>
      <c r="BC2525">
        <v>0</v>
      </c>
      <c r="BD2525">
        <v>0</v>
      </c>
      <c r="BE2525">
        <v>0</v>
      </c>
      <c r="BF2525">
        <v>0</v>
      </c>
      <c r="BG2525">
        <v>0</v>
      </c>
      <c r="BH2525">
        <v>1</v>
      </c>
      <c r="BI2525">
        <v>4</v>
      </c>
      <c r="BJ2525">
        <v>1.3</v>
      </c>
      <c r="BK2525">
        <v>4</v>
      </c>
      <c r="BL2525" s="4">
        <v>58.31</v>
      </c>
      <c r="BM2525" s="4">
        <v>8.75</v>
      </c>
      <c r="BN2525" s="4">
        <v>67.06</v>
      </c>
      <c r="BO2525" s="4">
        <v>67.06</v>
      </c>
      <c r="BQ2525" t="s">
        <v>93</v>
      </c>
      <c r="BR2525" t="s">
        <v>84</v>
      </c>
      <c r="BS2525" s="3">
        <v>43833</v>
      </c>
      <c r="BT2525" s="5">
        <v>0.3611111111111111</v>
      </c>
      <c r="BU2525" t="s">
        <v>702</v>
      </c>
      <c r="BV2525" t="s">
        <v>86</v>
      </c>
      <c r="BY2525">
        <v>6727</v>
      </c>
      <c r="CC2525" t="s">
        <v>333</v>
      </c>
      <c r="CD2525">
        <v>2094</v>
      </c>
      <c r="CE2525" t="s">
        <v>116</v>
      </c>
      <c r="CI2525">
        <v>1</v>
      </c>
      <c r="CJ2525">
        <v>1</v>
      </c>
      <c r="CK2525">
        <v>22</v>
      </c>
      <c r="CL2525" t="s">
        <v>89</v>
      </c>
    </row>
    <row r="2526" spans="1:90">
      <c r="A2526" t="s">
        <v>72</v>
      </c>
      <c r="B2526" t="s">
        <v>73</v>
      </c>
      <c r="C2526" t="s">
        <v>74</v>
      </c>
      <c r="E2526" t="str">
        <f>"FES1162729521"</f>
        <v>FES1162729521</v>
      </c>
      <c r="F2526" s="3">
        <v>43823</v>
      </c>
      <c r="G2526">
        <v>202006</v>
      </c>
      <c r="H2526" t="s">
        <v>75</v>
      </c>
      <c r="I2526" t="s">
        <v>76</v>
      </c>
      <c r="J2526" t="s">
        <v>77</v>
      </c>
      <c r="K2526" t="s">
        <v>78</v>
      </c>
      <c r="L2526" t="s">
        <v>138</v>
      </c>
      <c r="M2526" t="s">
        <v>139</v>
      </c>
      <c r="N2526" t="s">
        <v>146</v>
      </c>
      <c r="O2526" t="s">
        <v>82</v>
      </c>
      <c r="P2526" t="str">
        <f>"217072475                     "</f>
        <v xml:space="preserve">217072475                     </v>
      </c>
      <c r="Q2526">
        <v>0</v>
      </c>
      <c r="R2526">
        <v>0</v>
      </c>
      <c r="S2526">
        <v>0</v>
      </c>
      <c r="T2526">
        <v>0</v>
      </c>
      <c r="U2526">
        <v>0</v>
      </c>
      <c r="V2526">
        <v>0</v>
      </c>
      <c r="W2526">
        <v>0</v>
      </c>
      <c r="X2526">
        <v>0</v>
      </c>
      <c r="Y2526">
        <v>0</v>
      </c>
      <c r="Z2526">
        <v>0</v>
      </c>
      <c r="AA2526">
        <v>0</v>
      </c>
      <c r="AB2526">
        <v>0</v>
      </c>
      <c r="AC2526">
        <v>0</v>
      </c>
      <c r="AD2526">
        <v>0</v>
      </c>
      <c r="AE2526">
        <v>0</v>
      </c>
      <c r="AF2526">
        <v>0</v>
      </c>
      <c r="AG2526">
        <v>0</v>
      </c>
      <c r="AH2526">
        <v>0</v>
      </c>
      <c r="AI2526">
        <v>0</v>
      </c>
      <c r="AJ2526">
        <v>0</v>
      </c>
      <c r="AK2526">
        <v>0</v>
      </c>
      <c r="AL2526">
        <v>0</v>
      </c>
      <c r="AM2526">
        <v>6.71</v>
      </c>
      <c r="AN2526">
        <v>0</v>
      </c>
      <c r="AO2526">
        <v>0</v>
      </c>
      <c r="AP2526">
        <v>0</v>
      </c>
      <c r="AQ2526">
        <v>0</v>
      </c>
      <c r="AR2526">
        <v>0</v>
      </c>
      <c r="AS2526">
        <v>0</v>
      </c>
      <c r="AT2526">
        <v>0</v>
      </c>
      <c r="AU2526">
        <v>0</v>
      </c>
      <c r="AV2526">
        <v>0</v>
      </c>
      <c r="AW2526">
        <v>0</v>
      </c>
      <c r="AX2526">
        <v>0</v>
      </c>
      <c r="AY2526">
        <v>0</v>
      </c>
      <c r="AZ2526">
        <v>0</v>
      </c>
      <c r="BA2526">
        <v>0</v>
      </c>
      <c r="BB2526">
        <v>0</v>
      </c>
      <c r="BC2526">
        <v>0</v>
      </c>
      <c r="BD2526">
        <v>0</v>
      </c>
      <c r="BE2526">
        <v>0</v>
      </c>
      <c r="BF2526">
        <v>0</v>
      </c>
      <c r="BG2526">
        <v>0</v>
      </c>
      <c r="BH2526">
        <v>1</v>
      </c>
      <c r="BI2526">
        <v>0.2</v>
      </c>
      <c r="BJ2526">
        <v>1.2</v>
      </c>
      <c r="BK2526">
        <v>1.5</v>
      </c>
      <c r="BL2526" s="4">
        <v>39.42</v>
      </c>
      <c r="BM2526" s="4">
        <v>5.91</v>
      </c>
      <c r="BN2526" s="4">
        <v>45.33</v>
      </c>
      <c r="BO2526" s="4">
        <v>45.33</v>
      </c>
      <c r="BQ2526" t="s">
        <v>147</v>
      </c>
      <c r="BR2526" t="s">
        <v>84</v>
      </c>
      <c r="BS2526" s="3">
        <v>43833</v>
      </c>
      <c r="BT2526" s="5">
        <v>0.34097222222222223</v>
      </c>
      <c r="BU2526" t="s">
        <v>2622</v>
      </c>
      <c r="BV2526" t="s">
        <v>86</v>
      </c>
      <c r="BY2526">
        <v>6075.83</v>
      </c>
      <c r="CA2526" t="s">
        <v>344</v>
      </c>
      <c r="CC2526" t="s">
        <v>139</v>
      </c>
      <c r="CD2526">
        <v>1428</v>
      </c>
      <c r="CE2526" t="s">
        <v>88</v>
      </c>
      <c r="CI2526">
        <v>1</v>
      </c>
      <c r="CJ2526">
        <v>1</v>
      </c>
      <c r="CK2526">
        <v>22</v>
      </c>
      <c r="CL2526" t="s">
        <v>89</v>
      </c>
    </row>
    <row r="2527" spans="1:90">
      <c r="A2527" t="s">
        <v>72</v>
      </c>
      <c r="B2527" t="s">
        <v>73</v>
      </c>
      <c r="C2527" t="s">
        <v>74</v>
      </c>
      <c r="E2527" t="str">
        <f>"FES1162729528"</f>
        <v>FES1162729528</v>
      </c>
      <c r="F2527" s="3">
        <v>43823</v>
      </c>
      <c r="G2527">
        <v>202006</v>
      </c>
      <c r="H2527" t="s">
        <v>75</v>
      </c>
      <c r="I2527" t="s">
        <v>76</v>
      </c>
      <c r="J2527" t="s">
        <v>77</v>
      </c>
      <c r="K2527" t="s">
        <v>78</v>
      </c>
      <c r="L2527" t="s">
        <v>213</v>
      </c>
      <c r="M2527" t="s">
        <v>214</v>
      </c>
      <c r="N2527" t="s">
        <v>598</v>
      </c>
      <c r="O2527" t="s">
        <v>82</v>
      </c>
      <c r="P2527" t="str">
        <f>"2170722482                    "</f>
        <v xml:space="preserve">2170722482                    </v>
      </c>
      <c r="Q2527">
        <v>0</v>
      </c>
      <c r="R2527">
        <v>0</v>
      </c>
      <c r="S2527">
        <v>0</v>
      </c>
      <c r="T2527">
        <v>0</v>
      </c>
      <c r="U2527">
        <v>0</v>
      </c>
      <c r="V2527">
        <v>0</v>
      </c>
      <c r="W2527">
        <v>0</v>
      </c>
      <c r="X2527">
        <v>0</v>
      </c>
      <c r="Y2527">
        <v>0</v>
      </c>
      <c r="Z2527">
        <v>0</v>
      </c>
      <c r="AA2527">
        <v>0</v>
      </c>
      <c r="AB2527">
        <v>0</v>
      </c>
      <c r="AC2527">
        <v>0</v>
      </c>
      <c r="AD2527">
        <v>0</v>
      </c>
      <c r="AE2527">
        <v>0</v>
      </c>
      <c r="AF2527">
        <v>0</v>
      </c>
      <c r="AG2527">
        <v>0</v>
      </c>
      <c r="AH2527">
        <v>0</v>
      </c>
      <c r="AI2527">
        <v>0</v>
      </c>
      <c r="AJ2527">
        <v>0</v>
      </c>
      <c r="AK2527">
        <v>0</v>
      </c>
      <c r="AL2527">
        <v>0</v>
      </c>
      <c r="AM2527">
        <v>64.34</v>
      </c>
      <c r="AN2527">
        <v>0</v>
      </c>
      <c r="AO2527">
        <v>0</v>
      </c>
      <c r="AP2527">
        <v>0</v>
      </c>
      <c r="AQ2527">
        <v>0</v>
      </c>
      <c r="AR2527">
        <v>0</v>
      </c>
      <c r="AS2527">
        <v>0</v>
      </c>
      <c r="AT2527">
        <v>0</v>
      </c>
      <c r="AU2527">
        <v>0</v>
      </c>
      <c r="AV2527">
        <v>0</v>
      </c>
      <c r="AW2527">
        <v>0</v>
      </c>
      <c r="AX2527">
        <v>0</v>
      </c>
      <c r="AY2527">
        <v>0</v>
      </c>
      <c r="AZ2527">
        <v>0</v>
      </c>
      <c r="BA2527">
        <v>0</v>
      </c>
      <c r="BB2527">
        <v>0</v>
      </c>
      <c r="BC2527">
        <v>0</v>
      </c>
      <c r="BD2527">
        <v>0</v>
      </c>
      <c r="BE2527">
        <v>0</v>
      </c>
      <c r="BF2527">
        <v>0</v>
      </c>
      <c r="BG2527">
        <v>0</v>
      </c>
      <c r="BH2527">
        <v>1</v>
      </c>
      <c r="BI2527">
        <v>15</v>
      </c>
      <c r="BJ2527">
        <v>9.1</v>
      </c>
      <c r="BK2527">
        <v>15</v>
      </c>
      <c r="BL2527" s="4">
        <v>378.17</v>
      </c>
      <c r="BM2527" s="4">
        <v>56.73</v>
      </c>
      <c r="BN2527" s="4">
        <v>434.9</v>
      </c>
      <c r="BO2527" s="4">
        <v>434.9</v>
      </c>
      <c r="BQ2527" t="s">
        <v>147</v>
      </c>
      <c r="BR2527" t="s">
        <v>84</v>
      </c>
      <c r="BS2527" s="3">
        <v>43833</v>
      </c>
      <c r="BT2527" s="5">
        <v>0.42430555555555555</v>
      </c>
      <c r="BU2527" t="s">
        <v>599</v>
      </c>
      <c r="BV2527" t="s">
        <v>86</v>
      </c>
      <c r="BY2527">
        <v>45632</v>
      </c>
      <c r="CA2527" t="s">
        <v>185</v>
      </c>
      <c r="CC2527" t="s">
        <v>214</v>
      </c>
      <c r="CD2527">
        <v>6229</v>
      </c>
      <c r="CE2527" t="s">
        <v>96</v>
      </c>
      <c r="CI2527">
        <v>1</v>
      </c>
      <c r="CJ2527">
        <v>1</v>
      </c>
      <c r="CK2527">
        <v>21</v>
      </c>
      <c r="CL2527" t="s">
        <v>89</v>
      </c>
    </row>
    <row r="2528" spans="1:90">
      <c r="A2528" t="s">
        <v>72</v>
      </c>
      <c r="B2528" t="s">
        <v>73</v>
      </c>
      <c r="C2528" t="s">
        <v>74</v>
      </c>
      <c r="E2528" t="str">
        <f>"FES1162729533"</f>
        <v>FES1162729533</v>
      </c>
      <c r="F2528" s="3">
        <v>43823</v>
      </c>
      <c r="G2528">
        <v>202006</v>
      </c>
      <c r="H2528" t="s">
        <v>75</v>
      </c>
      <c r="I2528" t="s">
        <v>76</v>
      </c>
      <c r="J2528" t="s">
        <v>77</v>
      </c>
      <c r="K2528" t="s">
        <v>78</v>
      </c>
      <c r="L2528" t="s">
        <v>186</v>
      </c>
      <c r="M2528" t="s">
        <v>187</v>
      </c>
      <c r="N2528" t="s">
        <v>266</v>
      </c>
      <c r="O2528" t="s">
        <v>82</v>
      </c>
      <c r="P2528" t="str">
        <f>"2170721457                    "</f>
        <v xml:space="preserve">2170721457                    </v>
      </c>
      <c r="Q2528">
        <v>0</v>
      </c>
      <c r="R2528">
        <v>0</v>
      </c>
      <c r="S2528">
        <v>0</v>
      </c>
      <c r="T2528">
        <v>0</v>
      </c>
      <c r="U2528">
        <v>0</v>
      </c>
      <c r="V2528">
        <v>0</v>
      </c>
      <c r="W2528">
        <v>0</v>
      </c>
      <c r="X2528">
        <v>0</v>
      </c>
      <c r="Y2528">
        <v>0</v>
      </c>
      <c r="Z2528">
        <v>0</v>
      </c>
      <c r="AA2528">
        <v>0</v>
      </c>
      <c r="AB2528">
        <v>0</v>
      </c>
      <c r="AC2528">
        <v>0</v>
      </c>
      <c r="AD2528">
        <v>0</v>
      </c>
      <c r="AE2528">
        <v>0</v>
      </c>
      <c r="AF2528">
        <v>0</v>
      </c>
      <c r="AG2528">
        <v>0</v>
      </c>
      <c r="AH2528">
        <v>0</v>
      </c>
      <c r="AI2528">
        <v>0</v>
      </c>
      <c r="AJ2528">
        <v>0</v>
      </c>
      <c r="AK2528">
        <v>0</v>
      </c>
      <c r="AL2528">
        <v>0</v>
      </c>
      <c r="AM2528">
        <v>39.159999999999997</v>
      </c>
      <c r="AN2528">
        <v>0</v>
      </c>
      <c r="AO2528">
        <v>0</v>
      </c>
      <c r="AP2528">
        <v>0</v>
      </c>
      <c r="AQ2528">
        <v>0</v>
      </c>
      <c r="AR2528">
        <v>0</v>
      </c>
      <c r="AS2528">
        <v>0</v>
      </c>
      <c r="AT2528">
        <v>0</v>
      </c>
      <c r="AU2528">
        <v>0</v>
      </c>
      <c r="AV2528">
        <v>0</v>
      </c>
      <c r="AW2528">
        <v>0</v>
      </c>
      <c r="AX2528">
        <v>0</v>
      </c>
      <c r="AY2528">
        <v>0</v>
      </c>
      <c r="AZ2528">
        <v>0</v>
      </c>
      <c r="BA2528">
        <v>0</v>
      </c>
      <c r="BB2528">
        <v>0</v>
      </c>
      <c r="BC2528">
        <v>0</v>
      </c>
      <c r="BD2528">
        <v>0</v>
      </c>
      <c r="BE2528">
        <v>0</v>
      </c>
      <c r="BF2528">
        <v>0</v>
      </c>
      <c r="BG2528">
        <v>0</v>
      </c>
      <c r="BH2528">
        <v>1</v>
      </c>
      <c r="BI2528">
        <v>2.8</v>
      </c>
      <c r="BJ2528">
        <v>4.5999999999999996</v>
      </c>
      <c r="BK2528">
        <v>5</v>
      </c>
      <c r="BL2528" s="4">
        <v>230.2</v>
      </c>
      <c r="BM2528" s="4">
        <v>34.53</v>
      </c>
      <c r="BN2528" s="4">
        <v>264.73</v>
      </c>
      <c r="BO2528" s="4">
        <v>264.73</v>
      </c>
      <c r="BQ2528" t="s">
        <v>135</v>
      </c>
      <c r="BR2528" t="s">
        <v>84</v>
      </c>
      <c r="BS2528" s="3">
        <v>43836</v>
      </c>
      <c r="BT2528" s="5">
        <v>0.35000000000000003</v>
      </c>
      <c r="BU2528" t="s">
        <v>2619</v>
      </c>
      <c r="BV2528" t="s">
        <v>89</v>
      </c>
      <c r="BY2528">
        <v>22838.79</v>
      </c>
      <c r="CA2528" t="s">
        <v>2620</v>
      </c>
      <c r="CC2528" t="s">
        <v>187</v>
      </c>
      <c r="CD2528">
        <v>6850</v>
      </c>
      <c r="CE2528" t="s">
        <v>116</v>
      </c>
      <c r="CI2528">
        <v>3</v>
      </c>
      <c r="CJ2528">
        <v>2</v>
      </c>
      <c r="CK2528">
        <v>23</v>
      </c>
      <c r="CL2528" t="s">
        <v>89</v>
      </c>
    </row>
    <row r="2529" spans="1:90">
      <c r="A2529" t="s">
        <v>72</v>
      </c>
      <c r="B2529" t="s">
        <v>73</v>
      </c>
      <c r="C2529" t="s">
        <v>74</v>
      </c>
      <c r="E2529" t="str">
        <f>"FES1162729534"</f>
        <v>FES1162729534</v>
      </c>
      <c r="F2529" s="3">
        <v>43823</v>
      </c>
      <c r="G2529">
        <v>202006</v>
      </c>
      <c r="H2529" t="s">
        <v>75</v>
      </c>
      <c r="I2529" t="s">
        <v>76</v>
      </c>
      <c r="J2529" t="s">
        <v>77</v>
      </c>
      <c r="K2529" t="s">
        <v>78</v>
      </c>
      <c r="L2529" t="s">
        <v>75</v>
      </c>
      <c r="M2529" t="s">
        <v>76</v>
      </c>
      <c r="N2529" t="s">
        <v>1250</v>
      </c>
      <c r="O2529" t="s">
        <v>82</v>
      </c>
      <c r="P2529" t="str">
        <f>"2170721563                    "</f>
        <v xml:space="preserve">2170721563                    </v>
      </c>
      <c r="Q2529">
        <v>0</v>
      </c>
      <c r="R2529">
        <v>0</v>
      </c>
      <c r="S2529">
        <v>0</v>
      </c>
      <c r="T2529">
        <v>0</v>
      </c>
      <c r="U2529">
        <v>0</v>
      </c>
      <c r="V2529">
        <v>0</v>
      </c>
      <c r="W2529">
        <v>0</v>
      </c>
      <c r="X2529">
        <v>0</v>
      </c>
      <c r="Y2529">
        <v>0</v>
      </c>
      <c r="Z2529">
        <v>0</v>
      </c>
      <c r="AA2529">
        <v>0</v>
      </c>
      <c r="AB2529">
        <v>0</v>
      </c>
      <c r="AC2529">
        <v>0</v>
      </c>
      <c r="AD2529">
        <v>0</v>
      </c>
      <c r="AE2529">
        <v>0</v>
      </c>
      <c r="AF2529">
        <v>0</v>
      </c>
      <c r="AG2529">
        <v>0</v>
      </c>
      <c r="AH2529">
        <v>0</v>
      </c>
      <c r="AI2529">
        <v>0</v>
      </c>
      <c r="AJ2529">
        <v>0</v>
      </c>
      <c r="AK2529">
        <v>0</v>
      </c>
      <c r="AL2529">
        <v>0</v>
      </c>
      <c r="AM2529">
        <v>8.31</v>
      </c>
      <c r="AN2529">
        <v>0</v>
      </c>
      <c r="AO2529">
        <v>0</v>
      </c>
      <c r="AP2529">
        <v>0</v>
      </c>
      <c r="AQ2529">
        <v>0</v>
      </c>
      <c r="AR2529">
        <v>0</v>
      </c>
      <c r="AS2529">
        <v>0</v>
      </c>
      <c r="AT2529">
        <v>0</v>
      </c>
      <c r="AU2529">
        <v>0</v>
      </c>
      <c r="AV2529">
        <v>0</v>
      </c>
      <c r="AW2529">
        <v>0</v>
      </c>
      <c r="AX2529">
        <v>0</v>
      </c>
      <c r="AY2529">
        <v>0</v>
      </c>
      <c r="AZ2529">
        <v>0</v>
      </c>
      <c r="BA2529">
        <v>0</v>
      </c>
      <c r="BB2529">
        <v>0</v>
      </c>
      <c r="BC2529">
        <v>0</v>
      </c>
      <c r="BD2529">
        <v>0</v>
      </c>
      <c r="BE2529">
        <v>0</v>
      </c>
      <c r="BF2529">
        <v>0</v>
      </c>
      <c r="BG2529">
        <v>0</v>
      </c>
      <c r="BH2529">
        <v>1</v>
      </c>
      <c r="BI2529">
        <v>3</v>
      </c>
      <c r="BJ2529">
        <v>1.3</v>
      </c>
      <c r="BK2529">
        <v>3</v>
      </c>
      <c r="BL2529" s="4">
        <v>48.86</v>
      </c>
      <c r="BM2529" s="4">
        <v>7.33</v>
      </c>
      <c r="BN2529" s="4">
        <v>56.19</v>
      </c>
      <c r="BO2529" s="4">
        <v>56.19</v>
      </c>
      <c r="BQ2529" t="s">
        <v>1251</v>
      </c>
      <c r="BR2529" t="s">
        <v>84</v>
      </c>
      <c r="BS2529" s="3">
        <v>43833</v>
      </c>
      <c r="BT2529" s="5">
        <v>0.4375</v>
      </c>
      <c r="BU2529" t="s">
        <v>2623</v>
      </c>
      <c r="BV2529" t="s">
        <v>86</v>
      </c>
      <c r="BY2529">
        <v>6727</v>
      </c>
      <c r="CA2529" t="s">
        <v>344</v>
      </c>
      <c r="CC2529" t="s">
        <v>76</v>
      </c>
      <c r="CD2529">
        <v>1682</v>
      </c>
      <c r="CE2529" t="s">
        <v>116</v>
      </c>
      <c r="CI2529">
        <v>1</v>
      </c>
      <c r="CJ2529">
        <v>1</v>
      </c>
      <c r="CK2529">
        <v>22</v>
      </c>
      <c r="CL2529" t="s">
        <v>89</v>
      </c>
    </row>
    <row r="2530" spans="1:90">
      <c r="A2530" t="s">
        <v>72</v>
      </c>
      <c r="B2530" t="s">
        <v>73</v>
      </c>
      <c r="C2530" t="s">
        <v>74</v>
      </c>
      <c r="E2530" t="str">
        <f>"FES1162729338"</f>
        <v>FES1162729338</v>
      </c>
      <c r="F2530" s="3">
        <v>43823</v>
      </c>
      <c r="G2530">
        <v>202006</v>
      </c>
      <c r="H2530" t="s">
        <v>75</v>
      </c>
      <c r="I2530" t="s">
        <v>76</v>
      </c>
      <c r="J2530" t="s">
        <v>77</v>
      </c>
      <c r="K2530" t="s">
        <v>78</v>
      </c>
      <c r="L2530" t="s">
        <v>75</v>
      </c>
      <c r="M2530" t="s">
        <v>76</v>
      </c>
      <c r="N2530" t="s">
        <v>305</v>
      </c>
      <c r="O2530" t="s">
        <v>104</v>
      </c>
      <c r="P2530" t="str">
        <f>"2170714984                    "</f>
        <v xml:space="preserve">2170714984                    </v>
      </c>
      <c r="Q2530">
        <v>0</v>
      </c>
      <c r="R2530">
        <v>0</v>
      </c>
      <c r="S2530">
        <v>0</v>
      </c>
      <c r="T2530">
        <v>0</v>
      </c>
      <c r="U2530">
        <v>0</v>
      </c>
      <c r="V2530">
        <v>0</v>
      </c>
      <c r="W2530">
        <v>0</v>
      </c>
      <c r="X2530">
        <v>0</v>
      </c>
      <c r="Y2530">
        <v>0</v>
      </c>
      <c r="Z2530">
        <v>0</v>
      </c>
      <c r="AA2530">
        <v>0</v>
      </c>
      <c r="AB2530">
        <v>0</v>
      </c>
      <c r="AC2530">
        <v>0</v>
      </c>
      <c r="AD2530">
        <v>0</v>
      </c>
      <c r="AE2530">
        <v>0</v>
      </c>
      <c r="AF2530">
        <v>0</v>
      </c>
      <c r="AG2530">
        <v>0</v>
      </c>
      <c r="AH2530">
        <v>0</v>
      </c>
      <c r="AI2530">
        <v>0</v>
      </c>
      <c r="AJ2530">
        <v>0</v>
      </c>
      <c r="AK2530">
        <v>0</v>
      </c>
      <c r="AL2530">
        <v>0</v>
      </c>
      <c r="AM2530">
        <v>15.3</v>
      </c>
      <c r="AN2530">
        <v>0</v>
      </c>
      <c r="AO2530">
        <v>0</v>
      </c>
      <c r="AP2530">
        <v>0</v>
      </c>
      <c r="AQ2530">
        <v>0</v>
      </c>
      <c r="AR2530">
        <v>0</v>
      </c>
      <c r="AS2530">
        <v>0</v>
      </c>
      <c r="AT2530">
        <v>0</v>
      </c>
      <c r="AU2530">
        <v>0</v>
      </c>
      <c r="AV2530">
        <v>0</v>
      </c>
      <c r="AW2530">
        <v>0</v>
      </c>
      <c r="AX2530">
        <v>0</v>
      </c>
      <c r="AY2530">
        <v>0</v>
      </c>
      <c r="AZ2530">
        <v>0</v>
      </c>
      <c r="BA2530">
        <v>0</v>
      </c>
      <c r="BB2530">
        <v>0</v>
      </c>
      <c r="BC2530">
        <v>0</v>
      </c>
      <c r="BD2530">
        <v>0</v>
      </c>
      <c r="BE2530">
        <v>0</v>
      </c>
      <c r="BF2530">
        <v>0</v>
      </c>
      <c r="BG2530">
        <v>0</v>
      </c>
      <c r="BH2530">
        <v>1</v>
      </c>
      <c r="BI2530">
        <v>23</v>
      </c>
      <c r="BJ2530">
        <v>18.3</v>
      </c>
      <c r="BK2530">
        <v>23</v>
      </c>
      <c r="BL2530" s="4">
        <v>94.94</v>
      </c>
      <c r="BM2530" s="4">
        <v>14.24</v>
      </c>
      <c r="BN2530" s="4">
        <v>109.18</v>
      </c>
      <c r="BO2530" s="4">
        <v>109.18</v>
      </c>
      <c r="BQ2530" t="s">
        <v>147</v>
      </c>
      <c r="BR2530" t="s">
        <v>84</v>
      </c>
      <c r="BS2530" t="s">
        <v>717</v>
      </c>
      <c r="BY2530">
        <v>91264</v>
      </c>
      <c r="CC2530" t="s">
        <v>76</v>
      </c>
      <c r="CD2530">
        <v>1645</v>
      </c>
      <c r="CE2530" t="s">
        <v>96</v>
      </c>
      <c r="CI2530">
        <v>1</v>
      </c>
      <c r="CJ2530" t="s">
        <v>717</v>
      </c>
      <c r="CK2530" t="s">
        <v>123</v>
      </c>
      <c r="CL2530" t="s">
        <v>89</v>
      </c>
    </row>
    <row r="2531" spans="1:90">
      <c r="A2531" t="s">
        <v>72</v>
      </c>
      <c r="B2531" t="s">
        <v>73</v>
      </c>
      <c r="C2531" t="s">
        <v>74</v>
      </c>
      <c r="E2531" t="str">
        <f>"FES1162728993"</f>
        <v>FES1162728993</v>
      </c>
      <c r="F2531" s="3">
        <v>43818</v>
      </c>
      <c r="G2531">
        <v>202006</v>
      </c>
      <c r="H2531" t="s">
        <v>75</v>
      </c>
      <c r="I2531" t="s">
        <v>76</v>
      </c>
      <c r="J2531" t="s">
        <v>100</v>
      </c>
      <c r="K2531" t="s">
        <v>78</v>
      </c>
      <c r="L2531" t="s">
        <v>332</v>
      </c>
      <c r="M2531" t="s">
        <v>333</v>
      </c>
      <c r="N2531" t="s">
        <v>701</v>
      </c>
      <c r="O2531" t="s">
        <v>104</v>
      </c>
      <c r="P2531" t="str">
        <f>"2170722105                    "</f>
        <v xml:space="preserve">2170722105                    </v>
      </c>
      <c r="Q2531">
        <v>0</v>
      </c>
      <c r="R2531">
        <v>0</v>
      </c>
      <c r="S2531">
        <v>0</v>
      </c>
      <c r="T2531">
        <v>0</v>
      </c>
      <c r="U2531">
        <v>0</v>
      </c>
      <c r="V2531">
        <v>0</v>
      </c>
      <c r="W2531">
        <v>0</v>
      </c>
      <c r="X2531">
        <v>0</v>
      </c>
      <c r="Y2531">
        <v>0</v>
      </c>
      <c r="Z2531">
        <v>0</v>
      </c>
      <c r="AA2531">
        <v>0</v>
      </c>
      <c r="AB2531">
        <v>0</v>
      </c>
      <c r="AC2531">
        <v>0</v>
      </c>
      <c r="AD2531">
        <v>0</v>
      </c>
      <c r="AE2531">
        <v>0</v>
      </c>
      <c r="AF2531">
        <v>0</v>
      </c>
      <c r="AG2531">
        <v>0</v>
      </c>
      <c r="AH2531">
        <v>0</v>
      </c>
      <c r="AI2531">
        <v>0</v>
      </c>
      <c r="AJ2531">
        <v>0</v>
      </c>
      <c r="AK2531">
        <v>0</v>
      </c>
      <c r="AL2531">
        <v>0</v>
      </c>
      <c r="AM2531">
        <v>17.72</v>
      </c>
      <c r="AN2531">
        <v>0</v>
      </c>
      <c r="AO2531">
        <v>0</v>
      </c>
      <c r="AP2531">
        <v>0</v>
      </c>
      <c r="AQ2531">
        <v>0</v>
      </c>
      <c r="AR2531">
        <v>0</v>
      </c>
      <c r="AS2531">
        <v>0</v>
      </c>
      <c r="AT2531">
        <v>0</v>
      </c>
      <c r="AU2531">
        <v>0</v>
      </c>
      <c r="AV2531">
        <v>0</v>
      </c>
      <c r="AW2531">
        <v>0</v>
      </c>
      <c r="AX2531">
        <v>0</v>
      </c>
      <c r="AY2531">
        <v>0</v>
      </c>
      <c r="AZ2531">
        <v>0</v>
      </c>
      <c r="BA2531">
        <v>0</v>
      </c>
      <c r="BB2531">
        <v>0</v>
      </c>
      <c r="BC2531">
        <v>0</v>
      </c>
      <c r="BD2531">
        <v>0</v>
      </c>
      <c r="BE2531">
        <v>0</v>
      </c>
      <c r="BF2531">
        <v>0</v>
      </c>
      <c r="BG2531">
        <v>0</v>
      </c>
      <c r="BH2531">
        <v>1</v>
      </c>
      <c r="BI2531">
        <v>17.100000000000001</v>
      </c>
      <c r="BJ2531">
        <v>28.7</v>
      </c>
      <c r="BK2531">
        <v>29</v>
      </c>
      <c r="BL2531" s="4">
        <v>109.18</v>
      </c>
      <c r="BM2531" s="4">
        <v>16.38</v>
      </c>
      <c r="BN2531" s="4">
        <v>125.56</v>
      </c>
      <c r="BO2531" s="4">
        <v>125.56</v>
      </c>
      <c r="BQ2531" t="s">
        <v>93</v>
      </c>
      <c r="BR2531" t="s">
        <v>105</v>
      </c>
      <c r="BS2531" s="3">
        <v>43819</v>
      </c>
      <c r="BT2531" s="5">
        <v>0.3444444444444445</v>
      </c>
      <c r="BU2531" t="s">
        <v>2333</v>
      </c>
      <c r="BV2531" t="s">
        <v>86</v>
      </c>
      <c r="BY2531">
        <v>143682.60999999999</v>
      </c>
      <c r="CA2531" t="s">
        <v>700</v>
      </c>
      <c r="CC2531" t="s">
        <v>333</v>
      </c>
      <c r="CD2531">
        <v>2094</v>
      </c>
      <c r="CE2531" t="s">
        <v>116</v>
      </c>
      <c r="CF2531" s="3">
        <v>43822</v>
      </c>
      <c r="CI2531">
        <v>1</v>
      </c>
      <c r="CJ2531">
        <v>1</v>
      </c>
      <c r="CK2531" t="s">
        <v>123</v>
      </c>
      <c r="CL2531" t="s">
        <v>89</v>
      </c>
    </row>
    <row r="2532" spans="1:90">
      <c r="A2532" t="s">
        <v>72</v>
      </c>
      <c r="B2532" t="s">
        <v>73</v>
      </c>
      <c r="C2532" t="s">
        <v>74</v>
      </c>
      <c r="E2532" t="str">
        <f>"FES1162729500"</f>
        <v>FES1162729500</v>
      </c>
      <c r="F2532" s="3">
        <v>43822</v>
      </c>
      <c r="G2532">
        <v>202006</v>
      </c>
      <c r="H2532" t="s">
        <v>75</v>
      </c>
      <c r="I2532" t="s">
        <v>76</v>
      </c>
      <c r="J2532" t="s">
        <v>100</v>
      </c>
      <c r="K2532" t="s">
        <v>78</v>
      </c>
      <c r="L2532" t="s">
        <v>101</v>
      </c>
      <c r="M2532" t="s">
        <v>102</v>
      </c>
      <c r="N2532" t="s">
        <v>103</v>
      </c>
      <c r="O2532" t="s">
        <v>104</v>
      </c>
      <c r="P2532" t="str">
        <f>"2170719956                    "</f>
        <v xml:space="preserve">2170719956                    </v>
      </c>
      <c r="Q2532">
        <v>0</v>
      </c>
      <c r="R2532">
        <v>0</v>
      </c>
      <c r="S2532">
        <v>0</v>
      </c>
      <c r="T2532">
        <v>0</v>
      </c>
      <c r="U2532">
        <v>0</v>
      </c>
      <c r="V2532">
        <v>0</v>
      </c>
      <c r="W2532">
        <v>0</v>
      </c>
      <c r="X2532">
        <v>0</v>
      </c>
      <c r="Y2532">
        <v>0</v>
      </c>
      <c r="Z2532">
        <v>0</v>
      </c>
      <c r="AA2532">
        <v>0</v>
      </c>
      <c r="AB2532">
        <v>0</v>
      </c>
      <c r="AC2532">
        <v>0</v>
      </c>
      <c r="AD2532">
        <v>0</v>
      </c>
      <c r="AE2532">
        <v>0</v>
      </c>
      <c r="AF2532">
        <v>0</v>
      </c>
      <c r="AG2532">
        <v>0</v>
      </c>
      <c r="AH2532">
        <v>0</v>
      </c>
      <c r="AI2532">
        <v>0</v>
      </c>
      <c r="AJ2532">
        <v>0</v>
      </c>
      <c r="AK2532">
        <v>0</v>
      </c>
      <c r="AL2532">
        <v>0</v>
      </c>
      <c r="AM2532">
        <v>15.21</v>
      </c>
      <c r="AN2532">
        <v>0</v>
      </c>
      <c r="AO2532">
        <v>0</v>
      </c>
      <c r="AP2532">
        <v>0</v>
      </c>
      <c r="AQ2532">
        <v>0</v>
      </c>
      <c r="AR2532">
        <v>0</v>
      </c>
      <c r="AS2532">
        <v>0</v>
      </c>
      <c r="AT2532">
        <v>0</v>
      </c>
      <c r="AU2532">
        <v>0</v>
      </c>
      <c r="AV2532">
        <v>0</v>
      </c>
      <c r="AW2532">
        <v>0</v>
      </c>
      <c r="AX2532">
        <v>0</v>
      </c>
      <c r="AY2532">
        <v>0</v>
      </c>
      <c r="AZ2532">
        <v>0</v>
      </c>
      <c r="BA2532">
        <v>0</v>
      </c>
      <c r="BB2532">
        <v>0</v>
      </c>
      <c r="BC2532">
        <v>0</v>
      </c>
      <c r="BD2532">
        <v>0</v>
      </c>
      <c r="BE2532">
        <v>0</v>
      </c>
      <c r="BF2532">
        <v>0</v>
      </c>
      <c r="BG2532">
        <v>0</v>
      </c>
      <c r="BH2532">
        <v>1</v>
      </c>
      <c r="BI2532">
        <v>5.3</v>
      </c>
      <c r="BJ2532">
        <v>15.7</v>
      </c>
      <c r="BK2532">
        <v>16</v>
      </c>
      <c r="BL2532" s="4">
        <v>94.4</v>
      </c>
      <c r="BM2532" s="4">
        <v>14.16</v>
      </c>
      <c r="BN2532" s="4">
        <v>108.56</v>
      </c>
      <c r="BO2532" s="4">
        <v>108.56</v>
      </c>
      <c r="BQ2532" t="s">
        <v>93</v>
      </c>
      <c r="BR2532" t="s">
        <v>105</v>
      </c>
      <c r="BS2532" t="s">
        <v>717</v>
      </c>
      <c r="BY2532">
        <v>78523.199999999997</v>
      </c>
      <c r="CC2532" t="s">
        <v>102</v>
      </c>
      <c r="CD2532">
        <v>1</v>
      </c>
      <c r="CE2532" t="s">
        <v>116</v>
      </c>
      <c r="CI2532">
        <v>0</v>
      </c>
      <c r="CJ2532">
        <v>0</v>
      </c>
      <c r="CK2532" t="s">
        <v>108</v>
      </c>
      <c r="CL2532" t="s">
        <v>89</v>
      </c>
    </row>
    <row r="2533" spans="1:90">
      <c r="A2533" t="s">
        <v>72</v>
      </c>
      <c r="B2533" t="s">
        <v>73</v>
      </c>
      <c r="C2533" t="s">
        <v>74</v>
      </c>
      <c r="E2533" t="str">
        <f>"FES1162726913"</f>
        <v>FES1162726913</v>
      </c>
      <c r="F2533" s="3">
        <v>43804</v>
      </c>
      <c r="G2533">
        <v>202006</v>
      </c>
      <c r="H2533" t="s">
        <v>75</v>
      </c>
      <c r="I2533" t="s">
        <v>76</v>
      </c>
      <c r="J2533" t="s">
        <v>100</v>
      </c>
      <c r="K2533" t="s">
        <v>78</v>
      </c>
      <c r="L2533" t="s">
        <v>2624</v>
      </c>
      <c r="M2533" t="s">
        <v>2625</v>
      </c>
      <c r="N2533" t="s">
        <v>2626</v>
      </c>
      <c r="O2533" t="s">
        <v>104</v>
      </c>
      <c r="P2533" t="str">
        <f>"21707120311                   "</f>
        <v xml:space="preserve">21707120311                   </v>
      </c>
      <c r="Q2533">
        <v>0</v>
      </c>
      <c r="R2533">
        <v>0</v>
      </c>
      <c r="S2533">
        <v>0</v>
      </c>
      <c r="T2533">
        <v>0</v>
      </c>
      <c r="U2533">
        <v>0</v>
      </c>
      <c r="V2533">
        <v>0</v>
      </c>
      <c r="W2533">
        <v>0</v>
      </c>
      <c r="X2533">
        <v>0</v>
      </c>
      <c r="Y2533">
        <v>0</v>
      </c>
      <c r="Z2533">
        <v>0</v>
      </c>
      <c r="AA2533">
        <v>0</v>
      </c>
      <c r="AB2533">
        <v>0</v>
      </c>
      <c r="AC2533">
        <v>0</v>
      </c>
      <c r="AD2533">
        <v>0</v>
      </c>
      <c r="AE2533">
        <v>0</v>
      </c>
      <c r="AF2533">
        <v>0</v>
      </c>
      <c r="AG2533">
        <v>0</v>
      </c>
      <c r="AH2533">
        <v>0</v>
      </c>
      <c r="AI2533">
        <v>0</v>
      </c>
      <c r="AJ2533">
        <v>0</v>
      </c>
      <c r="AK2533">
        <v>0</v>
      </c>
      <c r="AL2533">
        <v>0</v>
      </c>
      <c r="AM2533">
        <v>17.57</v>
      </c>
      <c r="AN2533">
        <v>0</v>
      </c>
      <c r="AO2533">
        <v>0</v>
      </c>
      <c r="AP2533">
        <v>0</v>
      </c>
      <c r="AQ2533">
        <v>0</v>
      </c>
      <c r="AR2533">
        <v>0</v>
      </c>
      <c r="AS2533">
        <v>0</v>
      </c>
      <c r="AT2533">
        <v>0</v>
      </c>
      <c r="AU2533">
        <v>0</v>
      </c>
      <c r="AV2533">
        <v>0</v>
      </c>
      <c r="AW2533">
        <v>0</v>
      </c>
      <c r="AX2533">
        <v>0</v>
      </c>
      <c r="AY2533">
        <v>0</v>
      </c>
      <c r="AZ2533">
        <v>0</v>
      </c>
      <c r="BA2533">
        <v>0</v>
      </c>
      <c r="BB2533">
        <v>0</v>
      </c>
      <c r="BC2533">
        <v>0</v>
      </c>
      <c r="BD2533">
        <v>0</v>
      </c>
      <c r="BE2533">
        <v>0</v>
      </c>
      <c r="BF2533">
        <v>0</v>
      </c>
      <c r="BG2533">
        <v>0</v>
      </c>
      <c r="BH2533">
        <v>1</v>
      </c>
      <c r="BI2533">
        <v>6.7</v>
      </c>
      <c r="BJ2533">
        <v>5.4</v>
      </c>
      <c r="BK2533">
        <v>7</v>
      </c>
      <c r="BL2533" s="4">
        <v>108.28</v>
      </c>
      <c r="BM2533" s="4">
        <v>16.239999999999998</v>
      </c>
      <c r="BN2533" s="4">
        <v>124.52</v>
      </c>
      <c r="BO2533" s="4">
        <v>124.52</v>
      </c>
      <c r="BQ2533" t="s">
        <v>2627</v>
      </c>
      <c r="BR2533" t="s">
        <v>105</v>
      </c>
      <c r="BS2533" s="3">
        <v>43811</v>
      </c>
      <c r="BT2533" s="5">
        <v>0.36458333333333331</v>
      </c>
      <c r="BU2533" t="s">
        <v>2628</v>
      </c>
      <c r="BV2533" t="s">
        <v>86</v>
      </c>
      <c r="BY2533">
        <v>26919.200000000001</v>
      </c>
      <c r="CA2533" t="s">
        <v>2629</v>
      </c>
      <c r="CC2533" t="s">
        <v>2625</v>
      </c>
      <c r="CD2533">
        <v>2370</v>
      </c>
      <c r="CE2533" t="s">
        <v>96</v>
      </c>
      <c r="CF2533" s="3">
        <v>43816</v>
      </c>
      <c r="CI2533">
        <v>3</v>
      </c>
      <c r="CJ2533">
        <v>5</v>
      </c>
      <c r="CK2533" t="s">
        <v>113</v>
      </c>
      <c r="CL2533" t="s">
        <v>89</v>
      </c>
    </row>
    <row r="2534" spans="1:90">
      <c r="A2534" t="s">
        <v>72</v>
      </c>
      <c r="B2534" t="s">
        <v>73</v>
      </c>
      <c r="C2534" t="s">
        <v>74</v>
      </c>
      <c r="E2534" t="str">
        <f>"FES1162728995"</f>
        <v>FES1162728995</v>
      </c>
      <c r="F2534" s="3">
        <v>43817</v>
      </c>
      <c r="G2534">
        <v>202006</v>
      </c>
      <c r="H2534" t="s">
        <v>75</v>
      </c>
      <c r="I2534" t="s">
        <v>76</v>
      </c>
      <c r="J2534" t="s">
        <v>100</v>
      </c>
      <c r="K2534" t="s">
        <v>78</v>
      </c>
      <c r="L2534" t="s">
        <v>1271</v>
      </c>
      <c r="M2534" t="s">
        <v>1272</v>
      </c>
      <c r="N2534" t="s">
        <v>2630</v>
      </c>
      <c r="O2534" t="s">
        <v>104</v>
      </c>
      <c r="P2534" t="str">
        <f>"2170722107                    "</f>
        <v xml:space="preserve">2170722107                    </v>
      </c>
      <c r="Q2534">
        <v>0</v>
      </c>
      <c r="R2534">
        <v>0</v>
      </c>
      <c r="S2534">
        <v>0</v>
      </c>
      <c r="T2534">
        <v>0</v>
      </c>
      <c r="U2534">
        <v>0</v>
      </c>
      <c r="V2534">
        <v>0</v>
      </c>
      <c r="W2534">
        <v>0</v>
      </c>
      <c r="X2534">
        <v>0</v>
      </c>
      <c r="Y2534">
        <v>0</v>
      </c>
      <c r="Z2534">
        <v>0</v>
      </c>
      <c r="AA2534">
        <v>0</v>
      </c>
      <c r="AB2534">
        <v>0</v>
      </c>
      <c r="AC2534">
        <v>0</v>
      </c>
      <c r="AD2534">
        <v>0</v>
      </c>
      <c r="AE2534">
        <v>0</v>
      </c>
      <c r="AF2534">
        <v>0</v>
      </c>
      <c r="AG2534">
        <v>0</v>
      </c>
      <c r="AH2534">
        <v>0</v>
      </c>
      <c r="AI2534">
        <v>0</v>
      </c>
      <c r="AJ2534">
        <v>0</v>
      </c>
      <c r="AK2534">
        <v>0</v>
      </c>
      <c r="AL2534">
        <v>0</v>
      </c>
      <c r="AM2534">
        <v>17.32</v>
      </c>
      <c r="AN2534">
        <v>0</v>
      </c>
      <c r="AO2534">
        <v>0</v>
      </c>
      <c r="AP2534">
        <v>0</v>
      </c>
      <c r="AQ2534">
        <v>0</v>
      </c>
      <c r="AR2534">
        <v>0</v>
      </c>
      <c r="AS2534">
        <v>0</v>
      </c>
      <c r="AT2534">
        <v>0</v>
      </c>
      <c r="AU2534">
        <v>0</v>
      </c>
      <c r="AV2534">
        <v>0</v>
      </c>
      <c r="AW2534">
        <v>0</v>
      </c>
      <c r="AX2534">
        <v>0</v>
      </c>
      <c r="AY2534">
        <v>0</v>
      </c>
      <c r="AZ2534">
        <v>0</v>
      </c>
      <c r="BA2534">
        <v>0</v>
      </c>
      <c r="BB2534">
        <v>0</v>
      </c>
      <c r="BC2534">
        <v>0</v>
      </c>
      <c r="BD2534">
        <v>0</v>
      </c>
      <c r="BE2534">
        <v>0</v>
      </c>
      <c r="BF2534">
        <v>0</v>
      </c>
      <c r="BG2534">
        <v>0</v>
      </c>
      <c r="BH2534">
        <v>1</v>
      </c>
      <c r="BI2534">
        <v>17.7</v>
      </c>
      <c r="BJ2534">
        <v>27.4</v>
      </c>
      <c r="BK2534">
        <v>28</v>
      </c>
      <c r="BL2534" s="4">
        <v>106.81</v>
      </c>
      <c r="BM2534" s="4">
        <v>16.02</v>
      </c>
      <c r="BN2534" s="4">
        <v>122.83</v>
      </c>
      <c r="BO2534" s="4">
        <v>122.83</v>
      </c>
      <c r="BQ2534" t="s">
        <v>93</v>
      </c>
      <c r="BR2534" t="s">
        <v>105</v>
      </c>
      <c r="BS2534" s="3">
        <v>43818</v>
      </c>
      <c r="BT2534" s="5">
        <v>0.3611111111111111</v>
      </c>
      <c r="BU2534" t="s">
        <v>2631</v>
      </c>
      <c r="BV2534" t="s">
        <v>86</v>
      </c>
      <c r="BY2534">
        <v>136911.63</v>
      </c>
      <c r="CA2534" t="s">
        <v>320</v>
      </c>
      <c r="CC2534" t="s">
        <v>1272</v>
      </c>
      <c r="CD2534">
        <v>1685</v>
      </c>
      <c r="CE2534" t="s">
        <v>116</v>
      </c>
      <c r="CF2534" s="3">
        <v>43819</v>
      </c>
      <c r="CI2534">
        <v>1</v>
      </c>
      <c r="CJ2534">
        <v>1</v>
      </c>
      <c r="CK2534" t="s">
        <v>123</v>
      </c>
      <c r="CL2534" t="s">
        <v>89</v>
      </c>
    </row>
    <row r="2535" spans="1:90">
      <c r="A2535" t="s">
        <v>72</v>
      </c>
      <c r="B2535" t="s">
        <v>73</v>
      </c>
      <c r="C2535" t="s">
        <v>74</v>
      </c>
      <c r="E2535" t="str">
        <f>"FES1162729059"</f>
        <v>FES1162729059</v>
      </c>
      <c r="F2535" s="3">
        <v>43819</v>
      </c>
      <c r="G2535">
        <v>202006</v>
      </c>
      <c r="H2535" t="s">
        <v>75</v>
      </c>
      <c r="I2535" t="s">
        <v>76</v>
      </c>
      <c r="J2535" t="s">
        <v>100</v>
      </c>
      <c r="K2535" t="s">
        <v>78</v>
      </c>
      <c r="L2535" t="s">
        <v>132</v>
      </c>
      <c r="M2535" t="s">
        <v>133</v>
      </c>
      <c r="N2535" t="s">
        <v>1371</v>
      </c>
      <c r="O2535" t="s">
        <v>104</v>
      </c>
      <c r="P2535" t="str">
        <f>"2170720225                    "</f>
        <v xml:space="preserve">2170720225                    </v>
      </c>
      <c r="Q2535">
        <v>0</v>
      </c>
      <c r="R2535">
        <v>0</v>
      </c>
      <c r="S2535">
        <v>0</v>
      </c>
      <c r="T2535">
        <v>0</v>
      </c>
      <c r="U2535">
        <v>0</v>
      </c>
      <c r="V2535">
        <v>0</v>
      </c>
      <c r="W2535">
        <v>0</v>
      </c>
      <c r="X2535">
        <v>0</v>
      </c>
      <c r="Y2535">
        <v>0</v>
      </c>
      <c r="Z2535">
        <v>0</v>
      </c>
      <c r="AA2535">
        <v>0</v>
      </c>
      <c r="AB2535">
        <v>0</v>
      </c>
      <c r="AC2535">
        <v>0</v>
      </c>
      <c r="AD2535">
        <v>0</v>
      </c>
      <c r="AE2535">
        <v>0</v>
      </c>
      <c r="AF2535">
        <v>0</v>
      </c>
      <c r="AG2535">
        <v>0</v>
      </c>
      <c r="AH2535">
        <v>0</v>
      </c>
      <c r="AI2535">
        <v>0</v>
      </c>
      <c r="AJ2535">
        <v>0</v>
      </c>
      <c r="AK2535">
        <v>0</v>
      </c>
      <c r="AL2535">
        <v>0</v>
      </c>
      <c r="AM2535">
        <v>15.67</v>
      </c>
      <c r="AN2535">
        <v>0</v>
      </c>
      <c r="AO2535">
        <v>0</v>
      </c>
      <c r="AP2535">
        <v>0</v>
      </c>
      <c r="AQ2535">
        <v>0</v>
      </c>
      <c r="AR2535">
        <v>0</v>
      </c>
      <c r="AS2535">
        <v>0</v>
      </c>
      <c r="AT2535">
        <v>0</v>
      </c>
      <c r="AU2535">
        <v>0</v>
      </c>
      <c r="AV2535">
        <v>0</v>
      </c>
      <c r="AW2535">
        <v>0</v>
      </c>
      <c r="AX2535">
        <v>0</v>
      </c>
      <c r="AY2535">
        <v>0</v>
      </c>
      <c r="AZ2535">
        <v>0</v>
      </c>
      <c r="BA2535">
        <v>0</v>
      </c>
      <c r="BB2535">
        <v>0</v>
      </c>
      <c r="BC2535">
        <v>0</v>
      </c>
      <c r="BD2535">
        <v>0</v>
      </c>
      <c r="BE2535">
        <v>0</v>
      </c>
      <c r="BF2535">
        <v>0</v>
      </c>
      <c r="BG2535">
        <v>0</v>
      </c>
      <c r="BH2535">
        <v>1</v>
      </c>
      <c r="BI2535">
        <v>13.3</v>
      </c>
      <c r="BJ2535">
        <v>16.8</v>
      </c>
      <c r="BK2535">
        <v>17</v>
      </c>
      <c r="BL2535" s="4">
        <v>97.09</v>
      </c>
      <c r="BM2535" s="4">
        <v>14.56</v>
      </c>
      <c r="BN2535" s="4">
        <v>111.65</v>
      </c>
      <c r="BO2535" s="4">
        <v>111.65</v>
      </c>
      <c r="BQ2535" t="s">
        <v>93</v>
      </c>
      <c r="BR2535" t="s">
        <v>105</v>
      </c>
      <c r="BS2535" s="3">
        <v>43836</v>
      </c>
      <c r="BT2535" s="5">
        <v>0.34861111111111115</v>
      </c>
      <c r="BU2535" t="s">
        <v>2632</v>
      </c>
      <c r="BY2535">
        <v>84086.42</v>
      </c>
      <c r="CA2535" t="s">
        <v>137</v>
      </c>
      <c r="CC2535" t="s">
        <v>133</v>
      </c>
      <c r="CD2535">
        <v>46</v>
      </c>
      <c r="CE2535" t="s">
        <v>96</v>
      </c>
      <c r="CI2535">
        <v>0</v>
      </c>
      <c r="CJ2535">
        <v>0</v>
      </c>
      <c r="CK2535" t="s">
        <v>108</v>
      </c>
      <c r="CL2535" t="s">
        <v>89</v>
      </c>
    </row>
    <row r="2536" spans="1:90">
      <c r="A2536" t="s">
        <v>72</v>
      </c>
      <c r="B2536" t="s">
        <v>73</v>
      </c>
      <c r="C2536" t="s">
        <v>74</v>
      </c>
      <c r="E2536" t="str">
        <f>"FES1162729207"</f>
        <v>FES1162729207</v>
      </c>
      <c r="F2536" s="3">
        <v>43818</v>
      </c>
      <c r="G2536">
        <v>202006</v>
      </c>
      <c r="H2536" t="s">
        <v>75</v>
      </c>
      <c r="I2536" t="s">
        <v>76</v>
      </c>
      <c r="J2536" t="s">
        <v>77</v>
      </c>
      <c r="K2536" t="s">
        <v>78</v>
      </c>
      <c r="L2536" t="s">
        <v>79</v>
      </c>
      <c r="M2536" t="s">
        <v>80</v>
      </c>
      <c r="N2536" t="s">
        <v>129</v>
      </c>
      <c r="O2536" t="s">
        <v>82</v>
      </c>
      <c r="P2536" t="str">
        <f>"2170722193                    "</f>
        <v xml:space="preserve">2170722193                    </v>
      </c>
      <c r="Q2536">
        <v>0</v>
      </c>
      <c r="R2536">
        <v>0</v>
      </c>
      <c r="S2536">
        <v>0</v>
      </c>
      <c r="T2536">
        <v>0</v>
      </c>
      <c r="U2536">
        <v>0</v>
      </c>
      <c r="V2536">
        <v>0</v>
      </c>
      <c r="W2536">
        <v>0</v>
      </c>
      <c r="X2536">
        <v>0</v>
      </c>
      <c r="Y2536">
        <v>0</v>
      </c>
      <c r="Z2536">
        <v>0</v>
      </c>
      <c r="AA2536">
        <v>0</v>
      </c>
      <c r="AB2536">
        <v>0</v>
      </c>
      <c r="AC2536">
        <v>0</v>
      </c>
      <c r="AD2536">
        <v>0</v>
      </c>
      <c r="AE2536">
        <v>0</v>
      </c>
      <c r="AF2536">
        <v>0</v>
      </c>
      <c r="AG2536">
        <v>0</v>
      </c>
      <c r="AH2536">
        <v>0</v>
      </c>
      <c r="AI2536">
        <v>0</v>
      </c>
      <c r="AJ2536">
        <v>0</v>
      </c>
      <c r="AK2536">
        <v>0</v>
      </c>
      <c r="AL2536">
        <v>0</v>
      </c>
      <c r="AM2536">
        <v>195.14</v>
      </c>
      <c r="AN2536">
        <v>0</v>
      </c>
      <c r="AO2536">
        <v>0</v>
      </c>
      <c r="AP2536">
        <v>0</v>
      </c>
      <c r="AQ2536">
        <v>0</v>
      </c>
      <c r="AR2536">
        <v>0</v>
      </c>
      <c r="AS2536">
        <v>0</v>
      </c>
      <c r="AT2536">
        <v>0</v>
      </c>
      <c r="AU2536">
        <v>0</v>
      </c>
      <c r="AV2536">
        <v>0</v>
      </c>
      <c r="AW2536">
        <v>0</v>
      </c>
      <c r="AX2536">
        <v>0</v>
      </c>
      <c r="AY2536">
        <v>0</v>
      </c>
      <c r="AZ2536">
        <v>0</v>
      </c>
      <c r="BA2536">
        <v>0</v>
      </c>
      <c r="BB2536">
        <v>0</v>
      </c>
      <c r="BC2536">
        <v>0</v>
      </c>
      <c r="BD2536">
        <v>0</v>
      </c>
      <c r="BE2536">
        <v>0</v>
      </c>
      <c r="BF2536">
        <v>0</v>
      </c>
      <c r="BG2536">
        <v>0</v>
      </c>
      <c r="BH2536">
        <v>1</v>
      </c>
      <c r="BI2536">
        <v>45.3</v>
      </c>
      <c r="BJ2536">
        <v>18</v>
      </c>
      <c r="BK2536">
        <v>45.5</v>
      </c>
      <c r="BL2536" s="4">
        <v>1147.03</v>
      </c>
      <c r="BM2536" s="4">
        <v>172.05</v>
      </c>
      <c r="BN2536" s="4">
        <v>1319.08</v>
      </c>
      <c r="BO2536" s="4">
        <v>1319.08</v>
      </c>
      <c r="BP2536" t="s">
        <v>2633</v>
      </c>
      <c r="BQ2536" t="s">
        <v>147</v>
      </c>
      <c r="BR2536" t="s">
        <v>84</v>
      </c>
      <c r="BS2536" s="3">
        <v>43819</v>
      </c>
      <c r="BT2536" s="5">
        <v>0.37777777777777777</v>
      </c>
      <c r="BU2536" t="s">
        <v>130</v>
      </c>
      <c r="BV2536" t="s">
        <v>86</v>
      </c>
      <c r="BY2536">
        <v>89922.98</v>
      </c>
      <c r="BZ2536" t="s">
        <v>27</v>
      </c>
      <c r="CA2536" t="s">
        <v>131</v>
      </c>
      <c r="CC2536" t="s">
        <v>80</v>
      </c>
      <c r="CD2536">
        <v>6001</v>
      </c>
      <c r="CE2536" t="s">
        <v>96</v>
      </c>
      <c r="CF2536" s="3">
        <v>43822</v>
      </c>
      <c r="CI2536">
        <v>1</v>
      </c>
      <c r="CJ2536">
        <v>1</v>
      </c>
      <c r="CK2536">
        <v>21</v>
      </c>
      <c r="CL2536" t="s">
        <v>89</v>
      </c>
    </row>
    <row r="2537" spans="1:90">
      <c r="A2537" t="s">
        <v>72</v>
      </c>
      <c r="B2537" t="s">
        <v>73</v>
      </c>
      <c r="C2537" t="s">
        <v>74</v>
      </c>
      <c r="E2537" t="str">
        <f>"FES1162729468"</f>
        <v>FES1162729468</v>
      </c>
      <c r="F2537" s="3">
        <v>43822</v>
      </c>
      <c r="G2537">
        <v>202006</v>
      </c>
      <c r="H2537" t="s">
        <v>75</v>
      </c>
      <c r="I2537" t="s">
        <v>76</v>
      </c>
      <c r="J2537" t="s">
        <v>77</v>
      </c>
      <c r="K2537" t="s">
        <v>78</v>
      </c>
      <c r="L2537" t="s">
        <v>201</v>
      </c>
      <c r="M2537" t="s">
        <v>202</v>
      </c>
      <c r="N2537" t="s">
        <v>1585</v>
      </c>
      <c r="O2537" t="s">
        <v>82</v>
      </c>
      <c r="P2537" t="str">
        <f>"2170722436                    "</f>
        <v xml:space="preserve">2170722436                    </v>
      </c>
      <c r="Q2537">
        <v>0</v>
      </c>
      <c r="R2537">
        <v>0</v>
      </c>
      <c r="S2537">
        <v>0</v>
      </c>
      <c r="T2537">
        <v>0</v>
      </c>
      <c r="U2537">
        <v>0</v>
      </c>
      <c r="V2537">
        <v>0</v>
      </c>
      <c r="W2537">
        <v>0</v>
      </c>
      <c r="X2537">
        <v>0</v>
      </c>
      <c r="Y2537">
        <v>0</v>
      </c>
      <c r="Z2537">
        <v>0</v>
      </c>
      <c r="AA2537">
        <v>0</v>
      </c>
      <c r="AB2537">
        <v>0</v>
      </c>
      <c r="AC2537">
        <v>0</v>
      </c>
      <c r="AD2537">
        <v>0</v>
      </c>
      <c r="AE2537">
        <v>0</v>
      </c>
      <c r="AF2537">
        <v>0</v>
      </c>
      <c r="AG2537">
        <v>0</v>
      </c>
      <c r="AH2537">
        <v>0</v>
      </c>
      <c r="AI2537">
        <v>0</v>
      </c>
      <c r="AJ2537">
        <v>0</v>
      </c>
      <c r="AK2537">
        <v>0</v>
      </c>
      <c r="AL2537">
        <v>0</v>
      </c>
      <c r="AM2537">
        <v>274.48</v>
      </c>
      <c r="AN2537">
        <v>0</v>
      </c>
      <c r="AO2537">
        <v>0</v>
      </c>
      <c r="AP2537">
        <v>0</v>
      </c>
      <c r="AQ2537">
        <v>0</v>
      </c>
      <c r="AR2537">
        <v>0</v>
      </c>
      <c r="AS2537">
        <v>0</v>
      </c>
      <c r="AT2537">
        <v>0</v>
      </c>
      <c r="AU2537">
        <v>0</v>
      </c>
      <c r="AV2537">
        <v>0</v>
      </c>
      <c r="AW2537">
        <v>0</v>
      </c>
      <c r="AX2537">
        <v>0</v>
      </c>
      <c r="AY2537">
        <v>0</v>
      </c>
      <c r="AZ2537">
        <v>0</v>
      </c>
      <c r="BA2537">
        <v>0</v>
      </c>
      <c r="BB2537">
        <v>0</v>
      </c>
      <c r="BC2537">
        <v>0</v>
      </c>
      <c r="BD2537">
        <v>0</v>
      </c>
      <c r="BE2537">
        <v>0</v>
      </c>
      <c r="BF2537">
        <v>0</v>
      </c>
      <c r="BG2537">
        <v>0</v>
      </c>
      <c r="BH2537">
        <v>2</v>
      </c>
      <c r="BI2537">
        <v>42</v>
      </c>
      <c r="BJ2537">
        <v>63.6</v>
      </c>
      <c r="BK2537">
        <v>64</v>
      </c>
      <c r="BL2537" s="4">
        <v>1613.39</v>
      </c>
      <c r="BM2537" s="4">
        <v>242.01</v>
      </c>
      <c r="BN2537" s="4">
        <v>1855.4</v>
      </c>
      <c r="BO2537" s="4">
        <v>1855.4</v>
      </c>
      <c r="BP2537" t="s">
        <v>1122</v>
      </c>
      <c r="BQ2537" t="s">
        <v>1586</v>
      </c>
      <c r="BR2537" t="s">
        <v>84</v>
      </c>
      <c r="BS2537" s="3">
        <v>43823</v>
      </c>
      <c r="BT2537" s="5">
        <v>0.34722222222222227</v>
      </c>
      <c r="BU2537" t="s">
        <v>2398</v>
      </c>
      <c r="BV2537" t="s">
        <v>86</v>
      </c>
      <c r="BY2537">
        <v>317772.83</v>
      </c>
      <c r="BZ2537" t="s">
        <v>27</v>
      </c>
      <c r="CA2537" t="s">
        <v>205</v>
      </c>
      <c r="CC2537" t="s">
        <v>202</v>
      </c>
      <c r="CD2537">
        <v>3600</v>
      </c>
      <c r="CE2537" t="s">
        <v>1073</v>
      </c>
      <c r="CF2537" s="3">
        <v>43826</v>
      </c>
      <c r="CI2537">
        <v>1</v>
      </c>
      <c r="CJ2537">
        <v>1</v>
      </c>
      <c r="CK2537">
        <v>21</v>
      </c>
      <c r="CL2537" t="s">
        <v>89</v>
      </c>
    </row>
    <row r="2538" spans="1:90">
      <c r="A2538" t="s">
        <v>72</v>
      </c>
      <c r="B2538" t="s">
        <v>73</v>
      </c>
      <c r="C2538" t="s">
        <v>74</v>
      </c>
      <c r="E2538" t="str">
        <f>"FES1162729079"</f>
        <v>FES1162729079</v>
      </c>
      <c r="F2538" s="3">
        <v>43818</v>
      </c>
      <c r="G2538">
        <v>202006</v>
      </c>
      <c r="H2538" t="s">
        <v>75</v>
      </c>
      <c r="I2538" t="s">
        <v>76</v>
      </c>
      <c r="J2538" t="s">
        <v>100</v>
      </c>
      <c r="K2538" t="s">
        <v>78</v>
      </c>
      <c r="L2538" t="s">
        <v>101</v>
      </c>
      <c r="M2538" t="s">
        <v>102</v>
      </c>
      <c r="N2538" t="s">
        <v>736</v>
      </c>
      <c r="O2538" t="s">
        <v>104</v>
      </c>
      <c r="P2538" t="str">
        <f>"2170720398                    "</f>
        <v xml:space="preserve">2170720398                    </v>
      </c>
      <c r="Q2538">
        <v>0</v>
      </c>
      <c r="R2538">
        <v>0</v>
      </c>
      <c r="S2538">
        <v>0</v>
      </c>
      <c r="T2538">
        <v>0</v>
      </c>
      <c r="U2538">
        <v>0</v>
      </c>
      <c r="V2538">
        <v>0</v>
      </c>
      <c r="W2538">
        <v>0</v>
      </c>
      <c r="X2538">
        <v>0</v>
      </c>
      <c r="Y2538">
        <v>0</v>
      </c>
      <c r="Z2538">
        <v>0</v>
      </c>
      <c r="AA2538">
        <v>0</v>
      </c>
      <c r="AB2538">
        <v>0</v>
      </c>
      <c r="AC2538">
        <v>0</v>
      </c>
      <c r="AD2538">
        <v>0</v>
      </c>
      <c r="AE2538">
        <v>0</v>
      </c>
      <c r="AF2538">
        <v>0</v>
      </c>
      <c r="AG2538">
        <v>0</v>
      </c>
      <c r="AH2538">
        <v>0</v>
      </c>
      <c r="AI2538">
        <v>0</v>
      </c>
      <c r="AJ2538">
        <v>0</v>
      </c>
      <c r="AK2538">
        <v>0</v>
      </c>
      <c r="AL2538">
        <v>0</v>
      </c>
      <c r="AM2538">
        <v>14.75</v>
      </c>
      <c r="AN2538">
        <v>0</v>
      </c>
      <c r="AO2538">
        <v>0</v>
      </c>
      <c r="AP2538">
        <v>0</v>
      </c>
      <c r="AQ2538">
        <v>0</v>
      </c>
      <c r="AR2538">
        <v>0</v>
      </c>
      <c r="AS2538">
        <v>0</v>
      </c>
      <c r="AT2538">
        <v>0</v>
      </c>
      <c r="AU2538">
        <v>0</v>
      </c>
      <c r="AV2538">
        <v>0</v>
      </c>
      <c r="AW2538">
        <v>0</v>
      </c>
      <c r="AX2538">
        <v>0</v>
      </c>
      <c r="AY2538">
        <v>0</v>
      </c>
      <c r="AZ2538">
        <v>0</v>
      </c>
      <c r="BA2538">
        <v>0</v>
      </c>
      <c r="BB2538">
        <v>0</v>
      </c>
      <c r="BC2538">
        <v>0</v>
      </c>
      <c r="BD2538">
        <v>0</v>
      </c>
      <c r="BE2538">
        <v>0</v>
      </c>
      <c r="BF2538">
        <v>0</v>
      </c>
      <c r="BG2538">
        <v>0</v>
      </c>
      <c r="BH2538">
        <v>1</v>
      </c>
      <c r="BI2538">
        <v>10.5</v>
      </c>
      <c r="BJ2538">
        <v>8.1</v>
      </c>
      <c r="BK2538">
        <v>11</v>
      </c>
      <c r="BL2538" s="4">
        <v>91.71</v>
      </c>
      <c r="BM2538" s="4">
        <v>13.76</v>
      </c>
      <c r="BN2538" s="4">
        <v>105.47</v>
      </c>
      <c r="BO2538" s="4">
        <v>105.47</v>
      </c>
      <c r="BQ2538" t="s">
        <v>135</v>
      </c>
      <c r="BR2538" t="s">
        <v>105</v>
      </c>
      <c r="BS2538" s="3">
        <v>43819</v>
      </c>
      <c r="BT2538" s="5">
        <v>0.3611111111111111</v>
      </c>
      <c r="BU2538" t="s">
        <v>2634</v>
      </c>
      <c r="BV2538" t="s">
        <v>86</v>
      </c>
      <c r="BY2538">
        <v>40453.18</v>
      </c>
      <c r="CC2538" t="s">
        <v>102</v>
      </c>
      <c r="CD2538">
        <v>200</v>
      </c>
      <c r="CE2538" t="s">
        <v>96</v>
      </c>
      <c r="CF2538" s="3">
        <v>43822</v>
      </c>
      <c r="CI2538">
        <v>0</v>
      </c>
      <c r="CJ2538">
        <v>0</v>
      </c>
      <c r="CK2538" t="s">
        <v>108</v>
      </c>
      <c r="CL2538" t="s">
        <v>89</v>
      </c>
    </row>
    <row r="2539" spans="1:90">
      <c r="A2539" t="s">
        <v>72</v>
      </c>
      <c r="B2539" t="s">
        <v>73</v>
      </c>
      <c r="C2539" t="s">
        <v>74</v>
      </c>
      <c r="E2539" t="str">
        <f>"FES1162729021"</f>
        <v>FES1162729021</v>
      </c>
      <c r="F2539" s="3">
        <v>43819</v>
      </c>
      <c r="G2539">
        <v>202006</v>
      </c>
      <c r="H2539" t="s">
        <v>75</v>
      </c>
      <c r="I2539" t="s">
        <v>76</v>
      </c>
      <c r="J2539" t="s">
        <v>100</v>
      </c>
      <c r="K2539" t="s">
        <v>78</v>
      </c>
      <c r="L2539" t="s">
        <v>75</v>
      </c>
      <c r="M2539" t="s">
        <v>76</v>
      </c>
      <c r="N2539" t="s">
        <v>305</v>
      </c>
      <c r="O2539" t="s">
        <v>104</v>
      </c>
      <c r="P2539" t="str">
        <f>"2170722128                    "</f>
        <v xml:space="preserve">2170722128                    </v>
      </c>
      <c r="Q2539">
        <v>0</v>
      </c>
      <c r="R2539">
        <v>0</v>
      </c>
      <c r="S2539">
        <v>0</v>
      </c>
      <c r="T2539">
        <v>0</v>
      </c>
      <c r="U2539">
        <v>0</v>
      </c>
      <c r="V2539">
        <v>0</v>
      </c>
      <c r="W2539">
        <v>0</v>
      </c>
      <c r="X2539">
        <v>0</v>
      </c>
      <c r="Y2539">
        <v>0</v>
      </c>
      <c r="Z2539">
        <v>0</v>
      </c>
      <c r="AA2539">
        <v>0</v>
      </c>
      <c r="AB2539">
        <v>0</v>
      </c>
      <c r="AC2539">
        <v>0</v>
      </c>
      <c r="AD2539">
        <v>0</v>
      </c>
      <c r="AE2539">
        <v>0</v>
      </c>
      <c r="AF2539">
        <v>0</v>
      </c>
      <c r="AG2539">
        <v>0</v>
      </c>
      <c r="AH2539">
        <v>0</v>
      </c>
      <c r="AI2539">
        <v>0</v>
      </c>
      <c r="AJ2539">
        <v>0</v>
      </c>
      <c r="AK2539">
        <v>0</v>
      </c>
      <c r="AL2539">
        <v>0</v>
      </c>
      <c r="AM2539">
        <v>13.69</v>
      </c>
      <c r="AN2539">
        <v>0</v>
      </c>
      <c r="AO2539">
        <v>0</v>
      </c>
      <c r="AP2539">
        <v>0</v>
      </c>
      <c r="AQ2539">
        <v>0</v>
      </c>
      <c r="AR2539">
        <v>0</v>
      </c>
      <c r="AS2539">
        <v>0</v>
      </c>
      <c r="AT2539">
        <v>0</v>
      </c>
      <c r="AU2539">
        <v>0</v>
      </c>
      <c r="AV2539">
        <v>0</v>
      </c>
      <c r="AW2539">
        <v>0</v>
      </c>
      <c r="AX2539">
        <v>0</v>
      </c>
      <c r="AY2539">
        <v>0</v>
      </c>
      <c r="AZ2539">
        <v>0</v>
      </c>
      <c r="BA2539">
        <v>0</v>
      </c>
      <c r="BB2539">
        <v>0</v>
      </c>
      <c r="BC2539">
        <v>0</v>
      </c>
      <c r="BD2539">
        <v>0</v>
      </c>
      <c r="BE2539">
        <v>0</v>
      </c>
      <c r="BF2539">
        <v>0</v>
      </c>
      <c r="BG2539">
        <v>0</v>
      </c>
      <c r="BH2539">
        <v>1</v>
      </c>
      <c r="BI2539">
        <v>18.2</v>
      </c>
      <c r="BJ2539">
        <v>14.5</v>
      </c>
      <c r="BK2539">
        <v>19</v>
      </c>
      <c r="BL2539" s="4">
        <v>85.45</v>
      </c>
      <c r="BM2539" s="4">
        <v>12.82</v>
      </c>
      <c r="BN2539" s="4">
        <v>98.27</v>
      </c>
      <c r="BO2539" s="4">
        <v>98.27</v>
      </c>
      <c r="BQ2539" t="s">
        <v>93</v>
      </c>
      <c r="BR2539" t="s">
        <v>105</v>
      </c>
      <c r="BS2539" t="s">
        <v>717</v>
      </c>
      <c r="BY2539">
        <v>72319.460000000006</v>
      </c>
      <c r="CC2539" t="s">
        <v>76</v>
      </c>
      <c r="CD2539">
        <v>1645</v>
      </c>
      <c r="CE2539" t="s">
        <v>116</v>
      </c>
      <c r="CI2539">
        <v>1</v>
      </c>
      <c r="CJ2539" t="s">
        <v>717</v>
      </c>
      <c r="CK2539" t="s">
        <v>123</v>
      </c>
      <c r="CL2539" t="s">
        <v>89</v>
      </c>
    </row>
    <row r="2540" spans="1:90">
      <c r="A2540" t="s">
        <v>72</v>
      </c>
      <c r="B2540" t="s">
        <v>73</v>
      </c>
      <c r="C2540" t="s">
        <v>74</v>
      </c>
      <c r="E2540" t="str">
        <f>"FES1162729266"</f>
        <v>FES1162729266</v>
      </c>
      <c r="F2540" s="3">
        <v>43822</v>
      </c>
      <c r="G2540">
        <v>202006</v>
      </c>
      <c r="H2540" t="s">
        <v>75</v>
      </c>
      <c r="I2540" t="s">
        <v>76</v>
      </c>
      <c r="J2540" t="s">
        <v>100</v>
      </c>
      <c r="K2540" t="s">
        <v>78</v>
      </c>
      <c r="L2540" t="s">
        <v>169</v>
      </c>
      <c r="M2540" t="s">
        <v>170</v>
      </c>
      <c r="N2540" t="s">
        <v>570</v>
      </c>
      <c r="O2540" t="s">
        <v>1340</v>
      </c>
      <c r="P2540" t="str">
        <f>"2170720843                    "</f>
        <v xml:space="preserve">2170720843                    </v>
      </c>
      <c r="Q2540">
        <v>0</v>
      </c>
      <c r="R2540">
        <v>0</v>
      </c>
      <c r="S2540">
        <v>0</v>
      </c>
      <c r="T2540">
        <v>0</v>
      </c>
      <c r="U2540">
        <v>0</v>
      </c>
      <c r="V2540">
        <v>0</v>
      </c>
      <c r="W2540">
        <v>0</v>
      </c>
      <c r="X2540">
        <v>0</v>
      </c>
      <c r="Y2540">
        <v>0</v>
      </c>
      <c r="Z2540">
        <v>0</v>
      </c>
      <c r="AA2540">
        <v>0</v>
      </c>
      <c r="AB2540">
        <v>0</v>
      </c>
      <c r="AC2540">
        <v>0</v>
      </c>
      <c r="AD2540">
        <v>0</v>
      </c>
      <c r="AE2540">
        <v>0</v>
      </c>
      <c r="AF2540">
        <v>0</v>
      </c>
      <c r="AG2540">
        <v>0</v>
      </c>
      <c r="AH2540">
        <v>0</v>
      </c>
      <c r="AI2540">
        <v>0</v>
      </c>
      <c r="AJ2540">
        <v>0</v>
      </c>
      <c r="AK2540">
        <v>0</v>
      </c>
      <c r="AL2540">
        <v>0</v>
      </c>
      <c r="AM2540">
        <v>16.489999999999998</v>
      </c>
      <c r="AN2540">
        <v>0</v>
      </c>
      <c r="AO2540">
        <v>0</v>
      </c>
      <c r="AP2540">
        <v>0</v>
      </c>
      <c r="AQ2540">
        <v>0</v>
      </c>
      <c r="AR2540">
        <v>0</v>
      </c>
      <c r="AS2540">
        <v>0</v>
      </c>
      <c r="AT2540">
        <v>0</v>
      </c>
      <c r="AU2540">
        <v>0</v>
      </c>
      <c r="AV2540">
        <v>0</v>
      </c>
      <c r="AW2540">
        <v>0</v>
      </c>
      <c r="AX2540">
        <v>0</v>
      </c>
      <c r="AY2540">
        <v>0</v>
      </c>
      <c r="AZ2540">
        <v>0</v>
      </c>
      <c r="BA2540">
        <v>0</v>
      </c>
      <c r="BB2540">
        <v>0</v>
      </c>
      <c r="BC2540">
        <v>0</v>
      </c>
      <c r="BD2540">
        <v>0</v>
      </c>
      <c r="BE2540">
        <v>0</v>
      </c>
      <c r="BF2540">
        <v>0</v>
      </c>
      <c r="BG2540">
        <v>0</v>
      </c>
      <c r="BH2540">
        <v>2</v>
      </c>
      <c r="BI2540">
        <v>16.8</v>
      </c>
      <c r="BJ2540">
        <v>12</v>
      </c>
      <c r="BK2540">
        <v>17</v>
      </c>
      <c r="BL2540" s="4">
        <v>96.91</v>
      </c>
      <c r="BM2540" s="4">
        <v>14.54</v>
      </c>
      <c r="BN2540" s="4">
        <v>111.45</v>
      </c>
      <c r="BO2540" s="4">
        <v>111.45</v>
      </c>
      <c r="BR2540" t="s">
        <v>105</v>
      </c>
      <c r="BS2540" t="s">
        <v>717</v>
      </c>
      <c r="BY2540">
        <v>59840.14</v>
      </c>
      <c r="BZ2540" t="s">
        <v>27</v>
      </c>
      <c r="CC2540" t="s">
        <v>170</v>
      </c>
      <c r="CD2540">
        <v>1460</v>
      </c>
      <c r="CE2540" t="s">
        <v>413</v>
      </c>
      <c r="CI2540">
        <v>1</v>
      </c>
      <c r="CJ2540" t="s">
        <v>717</v>
      </c>
      <c r="CK2540">
        <v>32</v>
      </c>
      <c r="CL2540" t="s">
        <v>89</v>
      </c>
    </row>
    <row r="2541" spans="1:90">
      <c r="A2541" t="s">
        <v>72</v>
      </c>
      <c r="B2541" t="s">
        <v>73</v>
      </c>
      <c r="C2541" t="s">
        <v>74</v>
      </c>
      <c r="E2541" t="str">
        <f>"FES1162729504"</f>
        <v>FES1162729504</v>
      </c>
      <c r="F2541" s="3">
        <v>43822</v>
      </c>
      <c r="G2541">
        <v>202006</v>
      </c>
      <c r="H2541" t="s">
        <v>75</v>
      </c>
      <c r="I2541" t="s">
        <v>76</v>
      </c>
      <c r="J2541" t="s">
        <v>100</v>
      </c>
      <c r="K2541" t="s">
        <v>78</v>
      </c>
      <c r="L2541" t="s">
        <v>667</v>
      </c>
      <c r="M2541" t="s">
        <v>668</v>
      </c>
      <c r="N2541" t="s">
        <v>1526</v>
      </c>
      <c r="O2541" t="s">
        <v>1340</v>
      </c>
      <c r="P2541" t="str">
        <f>"2170721063                    "</f>
        <v xml:space="preserve">2170721063                    </v>
      </c>
      <c r="Q2541">
        <v>0</v>
      </c>
      <c r="R2541">
        <v>0</v>
      </c>
      <c r="S2541">
        <v>0</v>
      </c>
      <c r="T2541">
        <v>0</v>
      </c>
      <c r="U2541">
        <v>0</v>
      </c>
      <c r="V2541">
        <v>0</v>
      </c>
      <c r="W2541">
        <v>0</v>
      </c>
      <c r="X2541">
        <v>0</v>
      </c>
      <c r="Y2541">
        <v>0</v>
      </c>
      <c r="Z2541">
        <v>0</v>
      </c>
      <c r="AA2541">
        <v>0</v>
      </c>
      <c r="AB2541">
        <v>0</v>
      </c>
      <c r="AC2541">
        <v>0</v>
      </c>
      <c r="AD2541">
        <v>0</v>
      </c>
      <c r="AE2541">
        <v>0</v>
      </c>
      <c r="AF2541">
        <v>0</v>
      </c>
      <c r="AG2541">
        <v>0</v>
      </c>
      <c r="AH2541">
        <v>0</v>
      </c>
      <c r="AI2541">
        <v>0</v>
      </c>
      <c r="AJ2541">
        <v>0</v>
      </c>
      <c r="AK2541">
        <v>0</v>
      </c>
      <c r="AL2541">
        <v>0</v>
      </c>
      <c r="AM2541">
        <v>19.32</v>
      </c>
      <c r="AN2541">
        <v>0</v>
      </c>
      <c r="AO2541">
        <v>0</v>
      </c>
      <c r="AP2541">
        <v>0</v>
      </c>
      <c r="AQ2541">
        <v>0</v>
      </c>
      <c r="AR2541">
        <v>0</v>
      </c>
      <c r="AS2541">
        <v>0</v>
      </c>
      <c r="AT2541">
        <v>0</v>
      </c>
      <c r="AU2541">
        <v>0</v>
      </c>
      <c r="AV2541">
        <v>0</v>
      </c>
      <c r="AW2541">
        <v>0</v>
      </c>
      <c r="AX2541">
        <v>0</v>
      </c>
      <c r="AY2541">
        <v>0</v>
      </c>
      <c r="AZ2541">
        <v>0</v>
      </c>
      <c r="BA2541">
        <v>0</v>
      </c>
      <c r="BB2541">
        <v>0</v>
      </c>
      <c r="BC2541">
        <v>0</v>
      </c>
      <c r="BD2541">
        <v>0</v>
      </c>
      <c r="BE2541">
        <v>0</v>
      </c>
      <c r="BF2541">
        <v>0</v>
      </c>
      <c r="BG2541">
        <v>0</v>
      </c>
      <c r="BH2541">
        <v>1</v>
      </c>
      <c r="BI2541">
        <v>5.0999999999999996</v>
      </c>
      <c r="BJ2541">
        <v>3.6</v>
      </c>
      <c r="BK2541">
        <v>6</v>
      </c>
      <c r="BL2541" s="4">
        <v>113.54</v>
      </c>
      <c r="BM2541" s="4">
        <v>17.03</v>
      </c>
      <c r="BN2541" s="4">
        <v>130.57</v>
      </c>
      <c r="BO2541" s="4">
        <v>130.57</v>
      </c>
      <c r="BQ2541" t="s">
        <v>93</v>
      </c>
      <c r="BR2541" t="s">
        <v>105</v>
      </c>
      <c r="BS2541" s="3">
        <v>43823</v>
      </c>
      <c r="BT2541" s="5">
        <v>0.41666666666666669</v>
      </c>
      <c r="BU2541" t="s">
        <v>2635</v>
      </c>
      <c r="BV2541" t="s">
        <v>86</v>
      </c>
      <c r="BY2541">
        <v>17750.099999999999</v>
      </c>
      <c r="BZ2541" t="s">
        <v>27</v>
      </c>
      <c r="CA2541" t="s">
        <v>344</v>
      </c>
      <c r="CC2541" t="s">
        <v>668</v>
      </c>
      <c r="CD2541">
        <v>1759</v>
      </c>
      <c r="CE2541" t="s">
        <v>96</v>
      </c>
      <c r="CF2541" s="3">
        <v>43826</v>
      </c>
      <c r="CI2541">
        <v>1</v>
      </c>
      <c r="CJ2541">
        <v>1</v>
      </c>
      <c r="CK2541">
        <v>34</v>
      </c>
      <c r="CL2541" t="s">
        <v>89</v>
      </c>
    </row>
    <row r="2542" spans="1:90">
      <c r="A2542" t="s">
        <v>72</v>
      </c>
      <c r="B2542" t="s">
        <v>73</v>
      </c>
      <c r="C2542" t="s">
        <v>74</v>
      </c>
      <c r="E2542" t="str">
        <f>"FES1162728595"</f>
        <v>FES1162728595</v>
      </c>
      <c r="F2542" s="3">
        <v>43817</v>
      </c>
      <c r="G2542">
        <v>202006</v>
      </c>
      <c r="H2542" t="s">
        <v>75</v>
      </c>
      <c r="I2542" t="s">
        <v>76</v>
      </c>
      <c r="J2542" t="s">
        <v>100</v>
      </c>
      <c r="K2542" t="s">
        <v>78</v>
      </c>
      <c r="L2542" t="s">
        <v>714</v>
      </c>
      <c r="M2542" t="s">
        <v>715</v>
      </c>
      <c r="N2542" t="s">
        <v>1015</v>
      </c>
      <c r="O2542" t="s">
        <v>1340</v>
      </c>
      <c r="P2542" t="str">
        <f>"2170718101                    "</f>
        <v xml:space="preserve">2170718101                    </v>
      </c>
      <c r="Q2542">
        <v>0</v>
      </c>
      <c r="R2542">
        <v>0</v>
      </c>
      <c r="S2542">
        <v>0</v>
      </c>
      <c r="T2542">
        <v>0</v>
      </c>
      <c r="U2542">
        <v>0</v>
      </c>
      <c r="V2542">
        <v>0</v>
      </c>
      <c r="W2542">
        <v>0</v>
      </c>
      <c r="X2542">
        <v>0</v>
      </c>
      <c r="Y2542">
        <v>0</v>
      </c>
      <c r="Z2542">
        <v>0</v>
      </c>
      <c r="AA2542">
        <v>0</v>
      </c>
      <c r="AB2542">
        <v>0</v>
      </c>
      <c r="AC2542">
        <v>0</v>
      </c>
      <c r="AD2542">
        <v>0</v>
      </c>
      <c r="AE2542">
        <v>0</v>
      </c>
      <c r="AF2542">
        <v>0</v>
      </c>
      <c r="AG2542">
        <v>0</v>
      </c>
      <c r="AH2542">
        <v>0</v>
      </c>
      <c r="AI2542">
        <v>0</v>
      </c>
      <c r="AJ2542">
        <v>0</v>
      </c>
      <c r="AK2542">
        <v>0</v>
      </c>
      <c r="AL2542">
        <v>0</v>
      </c>
      <c r="AM2542">
        <v>16.489999999999998</v>
      </c>
      <c r="AN2542">
        <v>0</v>
      </c>
      <c r="AO2542">
        <v>0</v>
      </c>
      <c r="AP2542">
        <v>0</v>
      </c>
      <c r="AQ2542">
        <v>0</v>
      </c>
      <c r="AR2542">
        <v>0</v>
      </c>
      <c r="AS2542">
        <v>0</v>
      </c>
      <c r="AT2542">
        <v>0</v>
      </c>
      <c r="AU2542">
        <v>0</v>
      </c>
      <c r="AV2542">
        <v>0</v>
      </c>
      <c r="AW2542">
        <v>0</v>
      </c>
      <c r="AX2542">
        <v>0</v>
      </c>
      <c r="AY2542">
        <v>0</v>
      </c>
      <c r="AZ2542">
        <v>0</v>
      </c>
      <c r="BA2542">
        <v>0</v>
      </c>
      <c r="BB2542">
        <v>0</v>
      </c>
      <c r="BC2542">
        <v>0</v>
      </c>
      <c r="BD2542">
        <v>0</v>
      </c>
      <c r="BE2542">
        <v>0</v>
      </c>
      <c r="BF2542">
        <v>0</v>
      </c>
      <c r="BG2542">
        <v>0</v>
      </c>
      <c r="BH2542">
        <v>1</v>
      </c>
      <c r="BI2542">
        <v>8.8000000000000007</v>
      </c>
      <c r="BJ2542">
        <v>16.5</v>
      </c>
      <c r="BK2542">
        <v>17</v>
      </c>
      <c r="BL2542" s="4">
        <v>96.91</v>
      </c>
      <c r="BM2542" s="4">
        <v>14.54</v>
      </c>
      <c r="BN2542" s="4">
        <v>111.45</v>
      </c>
      <c r="BO2542" s="4">
        <v>111.45</v>
      </c>
      <c r="BQ2542" t="s">
        <v>1016</v>
      </c>
      <c r="BR2542" t="s">
        <v>105</v>
      </c>
      <c r="BS2542" s="3">
        <v>43818</v>
      </c>
      <c r="BT2542" s="5">
        <v>0.38541666666666669</v>
      </c>
      <c r="BU2542" t="s">
        <v>2636</v>
      </c>
      <c r="BV2542" t="s">
        <v>86</v>
      </c>
      <c r="BY2542">
        <v>82457.759999999995</v>
      </c>
      <c r="BZ2542" t="s">
        <v>27</v>
      </c>
      <c r="CA2542" t="s">
        <v>1408</v>
      </c>
      <c r="CC2542" t="s">
        <v>715</v>
      </c>
      <c r="CD2542">
        <v>1559</v>
      </c>
      <c r="CE2542" t="s">
        <v>96</v>
      </c>
      <c r="CF2542" s="3">
        <v>43819</v>
      </c>
      <c r="CI2542">
        <v>1</v>
      </c>
      <c r="CJ2542">
        <v>1</v>
      </c>
      <c r="CK2542">
        <v>32</v>
      </c>
      <c r="CL2542" t="s">
        <v>89</v>
      </c>
    </row>
    <row r="2543" spans="1:90">
      <c r="A2543" t="s">
        <v>72</v>
      </c>
      <c r="B2543" t="s">
        <v>73</v>
      </c>
      <c r="C2543" t="s">
        <v>74</v>
      </c>
      <c r="E2543" t="str">
        <f>"FES1162728777"</f>
        <v>FES1162728777</v>
      </c>
      <c r="F2543" s="3">
        <v>43817</v>
      </c>
      <c r="G2543">
        <v>202006</v>
      </c>
      <c r="H2543" t="s">
        <v>75</v>
      </c>
      <c r="I2543" t="s">
        <v>76</v>
      </c>
      <c r="J2543" t="s">
        <v>100</v>
      </c>
      <c r="K2543" t="s">
        <v>78</v>
      </c>
      <c r="L2543" t="s">
        <v>75</v>
      </c>
      <c r="M2543" t="s">
        <v>76</v>
      </c>
      <c r="N2543" t="s">
        <v>1320</v>
      </c>
      <c r="O2543" t="s">
        <v>1340</v>
      </c>
      <c r="P2543" t="str">
        <f>"2170721968                    "</f>
        <v xml:space="preserve">2170721968                    </v>
      </c>
      <c r="Q2543">
        <v>0</v>
      </c>
      <c r="R2543">
        <v>0</v>
      </c>
      <c r="S2543">
        <v>0</v>
      </c>
      <c r="T2543">
        <v>0</v>
      </c>
      <c r="U2543">
        <v>0</v>
      </c>
      <c r="V2543">
        <v>0</v>
      </c>
      <c r="W2543">
        <v>0</v>
      </c>
      <c r="X2543">
        <v>0</v>
      </c>
      <c r="Y2543">
        <v>0</v>
      </c>
      <c r="Z2543">
        <v>0</v>
      </c>
      <c r="AA2543">
        <v>0</v>
      </c>
      <c r="AB2543">
        <v>0</v>
      </c>
      <c r="AC2543">
        <v>0</v>
      </c>
      <c r="AD2543">
        <v>0</v>
      </c>
      <c r="AE2543">
        <v>0</v>
      </c>
      <c r="AF2543">
        <v>0</v>
      </c>
      <c r="AG2543">
        <v>0</v>
      </c>
      <c r="AH2543">
        <v>0</v>
      </c>
      <c r="AI2543">
        <v>0</v>
      </c>
      <c r="AJ2543">
        <v>0</v>
      </c>
      <c r="AK2543">
        <v>0</v>
      </c>
      <c r="AL2543">
        <v>0</v>
      </c>
      <c r="AM2543">
        <v>14.98</v>
      </c>
      <c r="AN2543">
        <v>0</v>
      </c>
      <c r="AO2543">
        <v>0</v>
      </c>
      <c r="AP2543">
        <v>0</v>
      </c>
      <c r="AQ2543">
        <v>0</v>
      </c>
      <c r="AR2543">
        <v>0</v>
      </c>
      <c r="AS2543">
        <v>0</v>
      </c>
      <c r="AT2543">
        <v>0</v>
      </c>
      <c r="AU2543">
        <v>0</v>
      </c>
      <c r="AV2543">
        <v>0</v>
      </c>
      <c r="AW2543">
        <v>0</v>
      </c>
      <c r="AX2543">
        <v>0</v>
      </c>
      <c r="AY2543">
        <v>0</v>
      </c>
      <c r="AZ2543">
        <v>0</v>
      </c>
      <c r="BA2543">
        <v>0</v>
      </c>
      <c r="BB2543">
        <v>0</v>
      </c>
      <c r="BC2543">
        <v>0</v>
      </c>
      <c r="BD2543">
        <v>0</v>
      </c>
      <c r="BE2543">
        <v>0</v>
      </c>
      <c r="BF2543">
        <v>0</v>
      </c>
      <c r="BG2543">
        <v>0</v>
      </c>
      <c r="BH2543">
        <v>1</v>
      </c>
      <c r="BI2543">
        <v>15</v>
      </c>
      <c r="BJ2543">
        <v>9.1</v>
      </c>
      <c r="BK2543">
        <v>15</v>
      </c>
      <c r="BL2543" s="4">
        <v>88.06</v>
      </c>
      <c r="BM2543" s="4">
        <v>13.21</v>
      </c>
      <c r="BN2543" s="4">
        <v>101.27</v>
      </c>
      <c r="BO2543" s="4">
        <v>101.27</v>
      </c>
      <c r="BQ2543" t="s">
        <v>93</v>
      </c>
      <c r="BR2543" t="s">
        <v>105</v>
      </c>
      <c r="BS2543" s="3">
        <v>43818</v>
      </c>
      <c r="BT2543" s="5">
        <v>0.31111111111111112</v>
      </c>
      <c r="BU2543" t="s">
        <v>1321</v>
      </c>
      <c r="BV2543" t="s">
        <v>86</v>
      </c>
      <c r="BY2543">
        <v>45632</v>
      </c>
      <c r="BZ2543" t="s">
        <v>27</v>
      </c>
      <c r="CA2543" t="s">
        <v>588</v>
      </c>
      <c r="CC2543" t="s">
        <v>76</v>
      </c>
      <c r="CD2543">
        <v>1600</v>
      </c>
      <c r="CE2543" t="s">
        <v>96</v>
      </c>
      <c r="CF2543" s="3">
        <v>43819</v>
      </c>
      <c r="CI2543">
        <v>1</v>
      </c>
      <c r="CJ2543">
        <v>1</v>
      </c>
      <c r="CK2543">
        <v>32</v>
      </c>
      <c r="CL2543" t="s">
        <v>89</v>
      </c>
    </row>
    <row r="2544" spans="1:90">
      <c r="A2544" t="s">
        <v>72</v>
      </c>
      <c r="B2544" t="s">
        <v>73</v>
      </c>
      <c r="C2544" t="s">
        <v>74</v>
      </c>
      <c r="E2544" t="str">
        <f>"FES1162728709"</f>
        <v>FES1162728709</v>
      </c>
      <c r="F2544" s="3">
        <v>43817</v>
      </c>
      <c r="G2544">
        <v>202006</v>
      </c>
      <c r="H2544" t="s">
        <v>75</v>
      </c>
      <c r="I2544" t="s">
        <v>76</v>
      </c>
      <c r="J2544" t="s">
        <v>100</v>
      </c>
      <c r="K2544" t="s">
        <v>78</v>
      </c>
      <c r="L2544" t="s">
        <v>1051</v>
      </c>
      <c r="M2544" t="s">
        <v>1052</v>
      </c>
      <c r="N2544" t="s">
        <v>634</v>
      </c>
      <c r="O2544" t="s">
        <v>1340</v>
      </c>
      <c r="P2544" t="str">
        <f>"2170721908                    "</f>
        <v xml:space="preserve">2170721908                    </v>
      </c>
      <c r="Q2544">
        <v>0</v>
      </c>
      <c r="R2544">
        <v>0</v>
      </c>
      <c r="S2544">
        <v>0</v>
      </c>
      <c r="T2544">
        <v>0</v>
      </c>
      <c r="U2544">
        <v>0</v>
      </c>
      <c r="V2544">
        <v>0</v>
      </c>
      <c r="W2544">
        <v>0</v>
      </c>
      <c r="X2544">
        <v>0</v>
      </c>
      <c r="Y2544">
        <v>0</v>
      </c>
      <c r="Z2544">
        <v>0</v>
      </c>
      <c r="AA2544">
        <v>0</v>
      </c>
      <c r="AB2544">
        <v>0</v>
      </c>
      <c r="AC2544">
        <v>0</v>
      </c>
      <c r="AD2544">
        <v>0</v>
      </c>
      <c r="AE2544">
        <v>0</v>
      </c>
      <c r="AF2544">
        <v>0</v>
      </c>
      <c r="AG2544">
        <v>0</v>
      </c>
      <c r="AH2544">
        <v>0</v>
      </c>
      <c r="AI2544">
        <v>0</v>
      </c>
      <c r="AJ2544">
        <v>0</v>
      </c>
      <c r="AK2544">
        <v>0</v>
      </c>
      <c r="AL2544">
        <v>0</v>
      </c>
      <c r="AM2544">
        <v>12.07</v>
      </c>
      <c r="AN2544">
        <v>0</v>
      </c>
      <c r="AO2544">
        <v>0</v>
      </c>
      <c r="AP2544">
        <v>0</v>
      </c>
      <c r="AQ2544">
        <v>0</v>
      </c>
      <c r="AR2544">
        <v>0</v>
      </c>
      <c r="AS2544">
        <v>0</v>
      </c>
      <c r="AT2544">
        <v>0</v>
      </c>
      <c r="AU2544">
        <v>0</v>
      </c>
      <c r="AV2544">
        <v>0</v>
      </c>
      <c r="AW2544">
        <v>0</v>
      </c>
      <c r="AX2544">
        <v>0</v>
      </c>
      <c r="AY2544">
        <v>0</v>
      </c>
      <c r="AZ2544">
        <v>0</v>
      </c>
      <c r="BA2544">
        <v>0</v>
      </c>
      <c r="BB2544">
        <v>0</v>
      </c>
      <c r="BC2544">
        <v>0</v>
      </c>
      <c r="BD2544">
        <v>0</v>
      </c>
      <c r="BE2544">
        <v>0</v>
      </c>
      <c r="BF2544">
        <v>0</v>
      </c>
      <c r="BG2544">
        <v>0</v>
      </c>
      <c r="BH2544">
        <v>1</v>
      </c>
      <c r="BI2544">
        <v>2.5</v>
      </c>
      <c r="BJ2544">
        <v>0.8</v>
      </c>
      <c r="BK2544">
        <v>3</v>
      </c>
      <c r="BL2544" s="4">
        <v>70.95</v>
      </c>
      <c r="BM2544" s="4">
        <v>10.64</v>
      </c>
      <c r="BN2544" s="4">
        <v>81.59</v>
      </c>
      <c r="BO2544" s="4">
        <v>81.59</v>
      </c>
      <c r="BQ2544" t="s">
        <v>93</v>
      </c>
      <c r="BR2544" t="s">
        <v>105</v>
      </c>
      <c r="BS2544" s="3">
        <v>43818</v>
      </c>
      <c r="BT2544" s="5">
        <v>0.36736111111111108</v>
      </c>
      <c r="BU2544" t="s">
        <v>2189</v>
      </c>
      <c r="BV2544" t="s">
        <v>86</v>
      </c>
      <c r="BY2544">
        <v>3786.84</v>
      </c>
      <c r="BZ2544" t="s">
        <v>27</v>
      </c>
      <c r="CC2544" t="s">
        <v>1052</v>
      </c>
      <c r="CD2544">
        <v>1754</v>
      </c>
      <c r="CE2544" t="s">
        <v>116</v>
      </c>
      <c r="CF2544" s="3">
        <v>43819</v>
      </c>
      <c r="CI2544">
        <v>1</v>
      </c>
      <c r="CJ2544">
        <v>1</v>
      </c>
      <c r="CK2544">
        <v>34</v>
      </c>
      <c r="CL2544" t="s">
        <v>89</v>
      </c>
    </row>
    <row r="2545" spans="1:90">
      <c r="A2545" t="s">
        <v>72</v>
      </c>
      <c r="B2545" t="s">
        <v>73</v>
      </c>
      <c r="C2545" t="s">
        <v>74</v>
      </c>
      <c r="E2545" t="str">
        <f>"FES1162728693"</f>
        <v>FES1162728693</v>
      </c>
      <c r="F2545" s="3">
        <v>43817</v>
      </c>
      <c r="G2545">
        <v>202006</v>
      </c>
      <c r="H2545" t="s">
        <v>75</v>
      </c>
      <c r="I2545" t="s">
        <v>76</v>
      </c>
      <c r="J2545" t="s">
        <v>100</v>
      </c>
      <c r="K2545" t="s">
        <v>78</v>
      </c>
      <c r="L2545" t="s">
        <v>169</v>
      </c>
      <c r="M2545" t="s">
        <v>170</v>
      </c>
      <c r="N2545" t="s">
        <v>2637</v>
      </c>
      <c r="O2545" t="s">
        <v>1340</v>
      </c>
      <c r="P2545" t="str">
        <f>"2170721892                    "</f>
        <v xml:space="preserve">2170721892                    </v>
      </c>
      <c r="Q2545">
        <v>0</v>
      </c>
      <c r="R2545">
        <v>0</v>
      </c>
      <c r="S2545">
        <v>0</v>
      </c>
      <c r="T2545">
        <v>0</v>
      </c>
      <c r="U2545">
        <v>0</v>
      </c>
      <c r="V2545">
        <v>0</v>
      </c>
      <c r="W2545">
        <v>0</v>
      </c>
      <c r="X2545">
        <v>0</v>
      </c>
      <c r="Y2545">
        <v>0</v>
      </c>
      <c r="Z2545">
        <v>0</v>
      </c>
      <c r="AA2545">
        <v>0</v>
      </c>
      <c r="AB2545">
        <v>0</v>
      </c>
      <c r="AC2545">
        <v>0</v>
      </c>
      <c r="AD2545">
        <v>0</v>
      </c>
      <c r="AE2545">
        <v>0</v>
      </c>
      <c r="AF2545">
        <v>0</v>
      </c>
      <c r="AG2545">
        <v>0</v>
      </c>
      <c r="AH2545">
        <v>0</v>
      </c>
      <c r="AI2545">
        <v>0</v>
      </c>
      <c r="AJ2545">
        <v>0</v>
      </c>
      <c r="AK2545">
        <v>0</v>
      </c>
      <c r="AL2545">
        <v>0</v>
      </c>
      <c r="AM2545">
        <v>14.98</v>
      </c>
      <c r="AN2545">
        <v>0</v>
      </c>
      <c r="AO2545">
        <v>0</v>
      </c>
      <c r="AP2545">
        <v>0</v>
      </c>
      <c r="AQ2545">
        <v>0</v>
      </c>
      <c r="AR2545">
        <v>0</v>
      </c>
      <c r="AS2545">
        <v>0</v>
      </c>
      <c r="AT2545">
        <v>0</v>
      </c>
      <c r="AU2545">
        <v>0</v>
      </c>
      <c r="AV2545">
        <v>0</v>
      </c>
      <c r="AW2545">
        <v>0</v>
      </c>
      <c r="AX2545">
        <v>0</v>
      </c>
      <c r="AY2545">
        <v>0</v>
      </c>
      <c r="AZ2545">
        <v>0</v>
      </c>
      <c r="BA2545">
        <v>0</v>
      </c>
      <c r="BB2545">
        <v>0</v>
      </c>
      <c r="BC2545">
        <v>0</v>
      </c>
      <c r="BD2545">
        <v>0</v>
      </c>
      <c r="BE2545">
        <v>0</v>
      </c>
      <c r="BF2545">
        <v>0</v>
      </c>
      <c r="BG2545">
        <v>0</v>
      </c>
      <c r="BH2545">
        <v>1</v>
      </c>
      <c r="BI2545">
        <v>6.3</v>
      </c>
      <c r="BJ2545">
        <v>14.1</v>
      </c>
      <c r="BK2545">
        <v>15</v>
      </c>
      <c r="BL2545" s="4">
        <v>88.06</v>
      </c>
      <c r="BM2545" s="4">
        <v>13.21</v>
      </c>
      <c r="BN2545" s="4">
        <v>101.27</v>
      </c>
      <c r="BO2545" s="4">
        <v>101.27</v>
      </c>
      <c r="BR2545" t="s">
        <v>105</v>
      </c>
      <c r="BS2545" s="3">
        <v>43818</v>
      </c>
      <c r="BT2545" s="5">
        <v>0.31458333333333333</v>
      </c>
      <c r="BU2545" t="s">
        <v>2638</v>
      </c>
      <c r="BV2545" t="s">
        <v>86</v>
      </c>
      <c r="BY2545">
        <v>70418.5</v>
      </c>
      <c r="BZ2545" t="s">
        <v>27</v>
      </c>
      <c r="CA2545" t="s">
        <v>174</v>
      </c>
      <c r="CC2545" t="s">
        <v>170</v>
      </c>
      <c r="CD2545">
        <v>1459</v>
      </c>
      <c r="CE2545" t="s">
        <v>116</v>
      </c>
      <c r="CF2545" s="3">
        <v>43819</v>
      </c>
      <c r="CI2545">
        <v>1</v>
      </c>
      <c r="CJ2545">
        <v>1</v>
      </c>
      <c r="CK2545">
        <v>32</v>
      </c>
      <c r="CL2545" t="s">
        <v>89</v>
      </c>
    </row>
    <row r="2546" spans="1:90">
      <c r="A2546" t="s">
        <v>72</v>
      </c>
      <c r="B2546" t="s">
        <v>73</v>
      </c>
      <c r="C2546" t="s">
        <v>74</v>
      </c>
      <c r="E2546" t="str">
        <f>"RFES1162727940"</f>
        <v>RFES1162727940</v>
      </c>
      <c r="F2546" s="3">
        <v>43818</v>
      </c>
      <c r="G2546">
        <v>202006</v>
      </c>
      <c r="H2546" t="s">
        <v>138</v>
      </c>
      <c r="I2546" t="s">
        <v>139</v>
      </c>
      <c r="J2546" t="s">
        <v>1693</v>
      </c>
      <c r="K2546" t="s">
        <v>78</v>
      </c>
      <c r="L2546" t="s">
        <v>75</v>
      </c>
      <c r="M2546" t="s">
        <v>76</v>
      </c>
      <c r="N2546" t="s">
        <v>100</v>
      </c>
      <c r="O2546" t="s">
        <v>1340</v>
      </c>
      <c r="P2546" t="str">
        <f>"2170721422                    "</f>
        <v xml:space="preserve">2170721422                    </v>
      </c>
      <c r="Q2546">
        <v>0</v>
      </c>
      <c r="R2546">
        <v>0</v>
      </c>
      <c r="S2546">
        <v>0</v>
      </c>
      <c r="T2546">
        <v>0</v>
      </c>
      <c r="U2546">
        <v>0</v>
      </c>
      <c r="V2546">
        <v>0</v>
      </c>
      <c r="W2546">
        <v>0</v>
      </c>
      <c r="X2546">
        <v>0</v>
      </c>
      <c r="Y2546">
        <v>0</v>
      </c>
      <c r="Z2546">
        <v>0</v>
      </c>
      <c r="AA2546">
        <v>0</v>
      </c>
      <c r="AB2546">
        <v>0</v>
      </c>
      <c r="AC2546">
        <v>0</v>
      </c>
      <c r="AD2546">
        <v>0</v>
      </c>
      <c r="AE2546">
        <v>0</v>
      </c>
      <c r="AF2546">
        <v>0</v>
      </c>
      <c r="AG2546">
        <v>0</v>
      </c>
      <c r="AH2546">
        <v>0</v>
      </c>
      <c r="AI2546">
        <v>0</v>
      </c>
      <c r="AJ2546">
        <v>0</v>
      </c>
      <c r="AK2546">
        <v>0</v>
      </c>
      <c r="AL2546">
        <v>0</v>
      </c>
      <c r="AM2546">
        <v>14.23</v>
      </c>
      <c r="AN2546">
        <v>0</v>
      </c>
      <c r="AO2546">
        <v>0</v>
      </c>
      <c r="AP2546">
        <v>0</v>
      </c>
      <c r="AQ2546">
        <v>0</v>
      </c>
      <c r="AR2546">
        <v>0</v>
      </c>
      <c r="AS2546">
        <v>0</v>
      </c>
      <c r="AT2546">
        <v>0</v>
      </c>
      <c r="AU2546">
        <v>0</v>
      </c>
      <c r="AV2546">
        <v>0</v>
      </c>
      <c r="AW2546">
        <v>0</v>
      </c>
      <c r="AX2546">
        <v>0</v>
      </c>
      <c r="AY2546">
        <v>0</v>
      </c>
      <c r="AZ2546">
        <v>0</v>
      </c>
      <c r="BA2546">
        <v>0</v>
      </c>
      <c r="BB2546">
        <v>0</v>
      </c>
      <c r="BC2546">
        <v>0</v>
      </c>
      <c r="BD2546">
        <v>0</v>
      </c>
      <c r="BE2546">
        <v>0</v>
      </c>
      <c r="BF2546">
        <v>0</v>
      </c>
      <c r="BG2546">
        <v>0</v>
      </c>
      <c r="BH2546">
        <v>1</v>
      </c>
      <c r="BI2546">
        <v>13.4</v>
      </c>
      <c r="BJ2546">
        <v>11.5</v>
      </c>
      <c r="BK2546">
        <v>14</v>
      </c>
      <c r="BL2546" s="4">
        <v>83.64</v>
      </c>
      <c r="BM2546" s="4">
        <v>12.55</v>
      </c>
      <c r="BN2546" s="4">
        <v>96.19</v>
      </c>
      <c r="BO2546" s="4">
        <v>96.19</v>
      </c>
      <c r="BQ2546" t="s">
        <v>105</v>
      </c>
      <c r="BR2546" t="s">
        <v>1694</v>
      </c>
      <c r="BS2546" s="3">
        <v>43822</v>
      </c>
      <c r="BT2546" s="5">
        <v>0.40763888888888888</v>
      </c>
      <c r="BU2546" t="s">
        <v>154</v>
      </c>
      <c r="BV2546" t="s">
        <v>89</v>
      </c>
      <c r="BW2546" t="s">
        <v>149</v>
      </c>
      <c r="BX2546" t="s">
        <v>1097</v>
      </c>
      <c r="BY2546">
        <v>57373.97</v>
      </c>
      <c r="BZ2546" t="s">
        <v>27</v>
      </c>
      <c r="CA2546" t="s">
        <v>155</v>
      </c>
      <c r="CC2546" t="s">
        <v>76</v>
      </c>
      <c r="CD2546">
        <v>1601</v>
      </c>
      <c r="CE2546" t="s">
        <v>116</v>
      </c>
      <c r="CF2546" s="3">
        <v>43823</v>
      </c>
      <c r="CI2546">
        <v>1</v>
      </c>
      <c r="CJ2546">
        <v>2</v>
      </c>
      <c r="CK2546">
        <v>32</v>
      </c>
      <c r="CL2546" t="s">
        <v>89</v>
      </c>
    </row>
    <row r="2547" spans="1:90">
      <c r="A2547" t="s">
        <v>72</v>
      </c>
      <c r="B2547" t="s">
        <v>73</v>
      </c>
      <c r="C2547" t="s">
        <v>74</v>
      </c>
      <c r="E2547" t="str">
        <f>"FES1162729366"</f>
        <v>FES1162729366</v>
      </c>
      <c r="F2547" s="3">
        <v>43822</v>
      </c>
      <c r="G2547">
        <v>202006</v>
      </c>
      <c r="H2547" t="s">
        <v>75</v>
      </c>
      <c r="I2547" t="s">
        <v>76</v>
      </c>
      <c r="J2547" t="s">
        <v>100</v>
      </c>
      <c r="K2547" t="s">
        <v>78</v>
      </c>
      <c r="L2547" t="s">
        <v>1497</v>
      </c>
      <c r="M2547" t="s">
        <v>1498</v>
      </c>
      <c r="N2547" t="s">
        <v>471</v>
      </c>
      <c r="O2547" t="s">
        <v>1340</v>
      </c>
      <c r="P2547" t="str">
        <f>"2170722365                    "</f>
        <v xml:space="preserve">2170722365                    </v>
      </c>
      <c r="Q2547">
        <v>0</v>
      </c>
      <c r="R2547">
        <v>0</v>
      </c>
      <c r="S2547">
        <v>0</v>
      </c>
      <c r="T2547">
        <v>0</v>
      </c>
      <c r="U2547">
        <v>0</v>
      </c>
      <c r="V2547">
        <v>0</v>
      </c>
      <c r="W2547">
        <v>0</v>
      </c>
      <c r="X2547">
        <v>0</v>
      </c>
      <c r="Y2547">
        <v>0</v>
      </c>
      <c r="Z2547">
        <v>0</v>
      </c>
      <c r="AA2547">
        <v>0</v>
      </c>
      <c r="AB2547">
        <v>0</v>
      </c>
      <c r="AC2547">
        <v>0</v>
      </c>
      <c r="AD2547">
        <v>0</v>
      </c>
      <c r="AE2547">
        <v>0</v>
      </c>
      <c r="AF2547">
        <v>0</v>
      </c>
      <c r="AG2547">
        <v>0</v>
      </c>
      <c r="AH2547">
        <v>0</v>
      </c>
      <c r="AI2547">
        <v>0</v>
      </c>
      <c r="AJ2547">
        <v>0</v>
      </c>
      <c r="AK2547">
        <v>0</v>
      </c>
      <c r="AL2547">
        <v>0</v>
      </c>
      <c r="AM2547">
        <v>12.07</v>
      </c>
      <c r="AN2547">
        <v>0</v>
      </c>
      <c r="AO2547">
        <v>0</v>
      </c>
      <c r="AP2547">
        <v>0</v>
      </c>
      <c r="AQ2547">
        <v>0</v>
      </c>
      <c r="AR2547">
        <v>0</v>
      </c>
      <c r="AS2547">
        <v>0</v>
      </c>
      <c r="AT2547">
        <v>0</v>
      </c>
      <c r="AU2547">
        <v>0</v>
      </c>
      <c r="AV2547">
        <v>0</v>
      </c>
      <c r="AW2547">
        <v>0</v>
      </c>
      <c r="AX2547">
        <v>0</v>
      </c>
      <c r="AY2547">
        <v>0</v>
      </c>
      <c r="AZ2547">
        <v>0</v>
      </c>
      <c r="BA2547">
        <v>0</v>
      </c>
      <c r="BB2547">
        <v>0</v>
      </c>
      <c r="BC2547">
        <v>0</v>
      </c>
      <c r="BD2547">
        <v>0</v>
      </c>
      <c r="BE2547">
        <v>0</v>
      </c>
      <c r="BF2547">
        <v>0</v>
      </c>
      <c r="BG2547">
        <v>0</v>
      </c>
      <c r="BH2547">
        <v>1</v>
      </c>
      <c r="BI2547">
        <v>3.4</v>
      </c>
      <c r="BJ2547">
        <v>3.5</v>
      </c>
      <c r="BK2547">
        <v>4</v>
      </c>
      <c r="BL2547" s="4">
        <v>70.95</v>
      </c>
      <c r="BM2547" s="4">
        <v>10.64</v>
      </c>
      <c r="BN2547" s="4">
        <v>81.59</v>
      </c>
      <c r="BO2547" s="4">
        <v>81.59</v>
      </c>
      <c r="BQ2547" t="s">
        <v>93</v>
      </c>
      <c r="BR2547" t="s">
        <v>105</v>
      </c>
      <c r="BS2547" s="3">
        <v>43823</v>
      </c>
      <c r="BT2547" s="5">
        <v>0.375</v>
      </c>
      <c r="BU2547" t="s">
        <v>2639</v>
      </c>
      <c r="BV2547" t="s">
        <v>86</v>
      </c>
      <c r="BY2547">
        <v>17606.95</v>
      </c>
      <c r="BZ2547" t="s">
        <v>27</v>
      </c>
      <c r="CA2547" t="s">
        <v>1477</v>
      </c>
      <c r="CC2547" t="s">
        <v>1498</v>
      </c>
      <c r="CD2547">
        <v>407</v>
      </c>
      <c r="CE2547" t="s">
        <v>96</v>
      </c>
      <c r="CF2547" s="3">
        <v>43826</v>
      </c>
      <c r="CI2547">
        <v>1</v>
      </c>
      <c r="CJ2547">
        <v>1</v>
      </c>
      <c r="CK2547">
        <v>34</v>
      </c>
      <c r="CL2547" t="s">
        <v>89</v>
      </c>
    </row>
    <row r="2548" spans="1:90">
      <c r="A2548" t="s">
        <v>72</v>
      </c>
      <c r="B2548" t="s">
        <v>73</v>
      </c>
      <c r="C2548" t="s">
        <v>74</v>
      </c>
      <c r="E2548" t="str">
        <f>"FES1162727698"</f>
        <v>FES1162727698</v>
      </c>
      <c r="F2548" s="3">
        <v>43810</v>
      </c>
      <c r="G2548">
        <v>202006</v>
      </c>
      <c r="H2548" t="s">
        <v>75</v>
      </c>
      <c r="I2548" t="s">
        <v>76</v>
      </c>
      <c r="J2548" t="s">
        <v>100</v>
      </c>
      <c r="K2548" t="s">
        <v>78</v>
      </c>
      <c r="L2548" t="s">
        <v>860</v>
      </c>
      <c r="M2548" t="s">
        <v>861</v>
      </c>
      <c r="N2548" t="s">
        <v>2516</v>
      </c>
      <c r="O2548" t="s">
        <v>1340</v>
      </c>
      <c r="P2548" t="str">
        <f>"21707107507                   "</f>
        <v xml:space="preserve">21707107507                   </v>
      </c>
      <c r="Q2548">
        <v>0</v>
      </c>
      <c r="R2548">
        <v>0</v>
      </c>
      <c r="S2548">
        <v>0</v>
      </c>
      <c r="T2548">
        <v>0</v>
      </c>
      <c r="U2548">
        <v>0</v>
      </c>
      <c r="V2548">
        <v>0</v>
      </c>
      <c r="W2548">
        <v>0</v>
      </c>
      <c r="X2548">
        <v>0</v>
      </c>
      <c r="Y2548">
        <v>0</v>
      </c>
      <c r="Z2548">
        <v>0</v>
      </c>
      <c r="AA2548">
        <v>0</v>
      </c>
      <c r="AB2548">
        <v>0</v>
      </c>
      <c r="AC2548">
        <v>0</v>
      </c>
      <c r="AD2548">
        <v>0</v>
      </c>
      <c r="AE2548">
        <v>0</v>
      </c>
      <c r="AF2548">
        <v>0</v>
      </c>
      <c r="AG2548">
        <v>0</v>
      </c>
      <c r="AH2548">
        <v>0</v>
      </c>
      <c r="AI2548">
        <v>0</v>
      </c>
      <c r="AJ2548">
        <v>0</v>
      </c>
      <c r="AK2548">
        <v>0</v>
      </c>
      <c r="AL2548">
        <v>0</v>
      </c>
      <c r="AM2548">
        <v>16.489999999999998</v>
      </c>
      <c r="AN2548">
        <v>0</v>
      </c>
      <c r="AO2548">
        <v>0</v>
      </c>
      <c r="AP2548">
        <v>0</v>
      </c>
      <c r="AQ2548">
        <v>0</v>
      </c>
      <c r="AR2548">
        <v>0</v>
      </c>
      <c r="AS2548">
        <v>0</v>
      </c>
      <c r="AT2548">
        <v>0</v>
      </c>
      <c r="AU2548">
        <v>0</v>
      </c>
      <c r="AV2548">
        <v>0</v>
      </c>
      <c r="AW2548">
        <v>0</v>
      </c>
      <c r="AX2548">
        <v>0</v>
      </c>
      <c r="AY2548">
        <v>0</v>
      </c>
      <c r="AZ2548">
        <v>0</v>
      </c>
      <c r="BA2548">
        <v>0</v>
      </c>
      <c r="BB2548">
        <v>0</v>
      </c>
      <c r="BC2548">
        <v>0</v>
      </c>
      <c r="BD2548">
        <v>0</v>
      </c>
      <c r="BE2548">
        <v>0</v>
      </c>
      <c r="BF2548">
        <v>0</v>
      </c>
      <c r="BG2548">
        <v>0</v>
      </c>
      <c r="BH2548">
        <v>1</v>
      </c>
      <c r="BI2548">
        <v>14.7</v>
      </c>
      <c r="BJ2548">
        <v>16.100000000000001</v>
      </c>
      <c r="BK2548">
        <v>17</v>
      </c>
      <c r="BL2548" s="4">
        <v>96.91</v>
      </c>
      <c r="BM2548" s="4">
        <v>14.54</v>
      </c>
      <c r="BN2548" s="4">
        <v>111.45</v>
      </c>
      <c r="BO2548" s="4">
        <v>111.45</v>
      </c>
      <c r="BQ2548" t="s">
        <v>135</v>
      </c>
      <c r="BR2548" t="s">
        <v>105</v>
      </c>
      <c r="BS2548" s="3">
        <v>43811</v>
      </c>
      <c r="BT2548" s="5">
        <v>0.43194444444444446</v>
      </c>
      <c r="BU2548" t="s">
        <v>2517</v>
      </c>
      <c r="BV2548" t="s">
        <v>86</v>
      </c>
      <c r="BY2548">
        <v>80518.03</v>
      </c>
      <c r="BZ2548" t="s">
        <v>27</v>
      </c>
      <c r="CA2548" t="s">
        <v>1397</v>
      </c>
      <c r="CC2548" t="s">
        <v>861</v>
      </c>
      <c r="CD2548">
        <v>2162</v>
      </c>
      <c r="CE2548" t="s">
        <v>116</v>
      </c>
      <c r="CF2548" s="3">
        <v>43812</v>
      </c>
      <c r="CI2548">
        <v>1</v>
      </c>
      <c r="CJ2548">
        <v>1</v>
      </c>
      <c r="CK2548">
        <v>32</v>
      </c>
      <c r="CL2548" t="s">
        <v>89</v>
      </c>
    </row>
    <row r="2549" spans="1:90">
      <c r="A2549" t="s">
        <v>72</v>
      </c>
      <c r="B2549" t="s">
        <v>73</v>
      </c>
      <c r="C2549" t="s">
        <v>74</v>
      </c>
      <c r="E2549" t="str">
        <f>"FES1162729238"</f>
        <v>FES1162729238</v>
      </c>
      <c r="F2549" s="3">
        <v>43819</v>
      </c>
      <c r="G2549">
        <v>202006</v>
      </c>
      <c r="H2549" t="s">
        <v>75</v>
      </c>
      <c r="I2549" t="s">
        <v>76</v>
      </c>
      <c r="J2549" t="s">
        <v>100</v>
      </c>
      <c r="K2549" t="s">
        <v>78</v>
      </c>
      <c r="L2549" t="s">
        <v>138</v>
      </c>
      <c r="M2549" t="s">
        <v>139</v>
      </c>
      <c r="N2549" t="s">
        <v>703</v>
      </c>
      <c r="O2549" t="s">
        <v>1340</v>
      </c>
      <c r="P2549" t="str">
        <f>"2170722231                    "</f>
        <v xml:space="preserve">2170722231                    </v>
      </c>
      <c r="Q2549">
        <v>0</v>
      </c>
      <c r="R2549">
        <v>0</v>
      </c>
      <c r="S2549">
        <v>0</v>
      </c>
      <c r="T2549">
        <v>0</v>
      </c>
      <c r="U2549">
        <v>0</v>
      </c>
      <c r="V2549">
        <v>0</v>
      </c>
      <c r="W2549">
        <v>0</v>
      </c>
      <c r="X2549">
        <v>0</v>
      </c>
      <c r="Y2549">
        <v>0</v>
      </c>
      <c r="Z2549">
        <v>0</v>
      </c>
      <c r="AA2549">
        <v>0</v>
      </c>
      <c r="AB2549">
        <v>0</v>
      </c>
      <c r="AC2549">
        <v>0</v>
      </c>
      <c r="AD2549">
        <v>0</v>
      </c>
      <c r="AE2549">
        <v>0</v>
      </c>
      <c r="AF2549">
        <v>0</v>
      </c>
      <c r="AG2549">
        <v>0</v>
      </c>
      <c r="AH2549">
        <v>0</v>
      </c>
      <c r="AI2549">
        <v>0</v>
      </c>
      <c r="AJ2549">
        <v>0</v>
      </c>
      <c r="AK2549">
        <v>0</v>
      </c>
      <c r="AL2549">
        <v>0</v>
      </c>
      <c r="AM2549">
        <v>17.239999999999998</v>
      </c>
      <c r="AN2549">
        <v>0</v>
      </c>
      <c r="AO2549">
        <v>0</v>
      </c>
      <c r="AP2549">
        <v>0</v>
      </c>
      <c r="AQ2549">
        <v>0</v>
      </c>
      <c r="AR2549">
        <v>0</v>
      </c>
      <c r="AS2549">
        <v>0</v>
      </c>
      <c r="AT2549">
        <v>0</v>
      </c>
      <c r="AU2549">
        <v>0</v>
      </c>
      <c r="AV2549">
        <v>0</v>
      </c>
      <c r="AW2549">
        <v>0</v>
      </c>
      <c r="AX2549">
        <v>0</v>
      </c>
      <c r="AY2549">
        <v>0</v>
      </c>
      <c r="AZ2549">
        <v>0</v>
      </c>
      <c r="BA2549">
        <v>0</v>
      </c>
      <c r="BB2549">
        <v>0</v>
      </c>
      <c r="BC2549">
        <v>0</v>
      </c>
      <c r="BD2549">
        <v>0</v>
      </c>
      <c r="BE2549">
        <v>0</v>
      </c>
      <c r="BF2549">
        <v>0</v>
      </c>
      <c r="BG2549">
        <v>0</v>
      </c>
      <c r="BH2549">
        <v>1</v>
      </c>
      <c r="BI2549">
        <v>7.6</v>
      </c>
      <c r="BJ2549">
        <v>17.3</v>
      </c>
      <c r="BK2549">
        <v>18</v>
      </c>
      <c r="BL2549" s="4">
        <v>101.33</v>
      </c>
      <c r="BM2549" s="4">
        <v>15.2</v>
      </c>
      <c r="BN2549" s="4">
        <v>116.53</v>
      </c>
      <c r="BO2549" s="4">
        <v>116.53</v>
      </c>
      <c r="BQ2549" t="s">
        <v>1840</v>
      </c>
      <c r="BR2549" t="s">
        <v>105</v>
      </c>
      <c r="BS2549" s="3">
        <v>43822</v>
      </c>
      <c r="BT2549" s="5">
        <v>0.38541666666666669</v>
      </c>
      <c r="BU2549" t="s">
        <v>1828</v>
      </c>
      <c r="BV2549" t="s">
        <v>86</v>
      </c>
      <c r="BY2549">
        <v>86335.85</v>
      </c>
      <c r="BZ2549" t="s">
        <v>27</v>
      </c>
      <c r="CC2549" t="s">
        <v>139</v>
      </c>
      <c r="CD2549">
        <v>1422</v>
      </c>
      <c r="CE2549" t="s">
        <v>96</v>
      </c>
      <c r="CF2549" s="3">
        <v>43823</v>
      </c>
      <c r="CI2549">
        <v>1</v>
      </c>
      <c r="CJ2549">
        <v>1</v>
      </c>
      <c r="CK2549">
        <v>32</v>
      </c>
      <c r="CL2549" t="s">
        <v>89</v>
      </c>
    </row>
    <row r="2550" spans="1:90">
      <c r="A2550" t="s">
        <v>72</v>
      </c>
      <c r="B2550" t="s">
        <v>73</v>
      </c>
      <c r="C2550" t="s">
        <v>74</v>
      </c>
      <c r="E2550" t="str">
        <f>"RFES1162728206"</f>
        <v>RFES1162728206</v>
      </c>
      <c r="F2550" s="3">
        <v>43818</v>
      </c>
      <c r="G2550">
        <v>202006</v>
      </c>
      <c r="H2550" t="s">
        <v>75</v>
      </c>
      <c r="I2550" t="s">
        <v>76</v>
      </c>
      <c r="J2550" t="s">
        <v>756</v>
      </c>
      <c r="K2550" t="s">
        <v>78</v>
      </c>
      <c r="L2550" t="s">
        <v>75</v>
      </c>
      <c r="M2550" t="s">
        <v>76</v>
      </c>
      <c r="N2550" t="s">
        <v>100</v>
      </c>
      <c r="O2550" t="s">
        <v>104</v>
      </c>
      <c r="P2550" t="str">
        <f>"217071546                     "</f>
        <v xml:space="preserve">217071546                     </v>
      </c>
      <c r="Q2550">
        <v>0</v>
      </c>
      <c r="R2550">
        <v>0</v>
      </c>
      <c r="S2550">
        <v>0</v>
      </c>
      <c r="T2550">
        <v>0</v>
      </c>
      <c r="U2550">
        <v>0</v>
      </c>
      <c r="V2550">
        <v>0</v>
      </c>
      <c r="W2550">
        <v>0</v>
      </c>
      <c r="X2550">
        <v>0</v>
      </c>
      <c r="Y2550">
        <v>0</v>
      </c>
      <c r="Z2550">
        <v>0</v>
      </c>
      <c r="AA2550">
        <v>0</v>
      </c>
      <c r="AB2550">
        <v>0</v>
      </c>
      <c r="AC2550">
        <v>0</v>
      </c>
      <c r="AD2550">
        <v>0</v>
      </c>
      <c r="AE2550">
        <v>0</v>
      </c>
      <c r="AF2550">
        <v>0</v>
      </c>
      <c r="AG2550">
        <v>0</v>
      </c>
      <c r="AH2550">
        <v>0</v>
      </c>
      <c r="AI2550">
        <v>0</v>
      </c>
      <c r="AJ2550">
        <v>0</v>
      </c>
      <c r="AK2550">
        <v>0</v>
      </c>
      <c r="AL2550">
        <v>0</v>
      </c>
      <c r="AM2550">
        <v>14.09</v>
      </c>
      <c r="AN2550">
        <v>0</v>
      </c>
      <c r="AO2550">
        <v>0</v>
      </c>
      <c r="AP2550">
        <v>0</v>
      </c>
      <c r="AQ2550">
        <v>0</v>
      </c>
      <c r="AR2550">
        <v>0</v>
      </c>
      <c r="AS2550">
        <v>0</v>
      </c>
      <c r="AT2550">
        <v>0</v>
      </c>
      <c r="AU2550">
        <v>0</v>
      </c>
      <c r="AV2550">
        <v>0</v>
      </c>
      <c r="AW2550">
        <v>0</v>
      </c>
      <c r="AX2550">
        <v>0</v>
      </c>
      <c r="AY2550">
        <v>0</v>
      </c>
      <c r="AZ2550">
        <v>0</v>
      </c>
      <c r="BA2550">
        <v>0</v>
      </c>
      <c r="BB2550">
        <v>0</v>
      </c>
      <c r="BC2550">
        <v>0</v>
      </c>
      <c r="BD2550">
        <v>0</v>
      </c>
      <c r="BE2550">
        <v>0</v>
      </c>
      <c r="BF2550">
        <v>0</v>
      </c>
      <c r="BG2550">
        <v>0</v>
      </c>
      <c r="BH2550">
        <v>1</v>
      </c>
      <c r="BI2550">
        <v>19.600000000000001</v>
      </c>
      <c r="BJ2550">
        <v>17.100000000000001</v>
      </c>
      <c r="BK2550">
        <v>20</v>
      </c>
      <c r="BL2550" s="4">
        <v>87.82</v>
      </c>
      <c r="BM2550" s="4">
        <v>13.17</v>
      </c>
      <c r="BN2550" s="4">
        <v>100.99</v>
      </c>
      <c r="BO2550" s="4">
        <v>100.99</v>
      </c>
      <c r="BQ2550" t="s">
        <v>105</v>
      </c>
      <c r="BR2550" t="s">
        <v>93</v>
      </c>
      <c r="BS2550" s="3">
        <v>43836</v>
      </c>
      <c r="BT2550" s="5">
        <v>0.36874999999999997</v>
      </c>
      <c r="BU2550" t="s">
        <v>1078</v>
      </c>
      <c r="BY2550">
        <v>85260.67</v>
      </c>
      <c r="CA2550" t="s">
        <v>746</v>
      </c>
      <c r="CC2550" t="s">
        <v>76</v>
      </c>
      <c r="CD2550">
        <v>1601</v>
      </c>
      <c r="CE2550" t="s">
        <v>96</v>
      </c>
      <c r="CI2550">
        <v>1</v>
      </c>
      <c r="CJ2550">
        <v>12</v>
      </c>
      <c r="CK2550" t="s">
        <v>123</v>
      </c>
      <c r="CL2550" t="s">
        <v>89</v>
      </c>
    </row>
    <row r="2551" spans="1:90">
      <c r="A2551" t="s">
        <v>72</v>
      </c>
      <c r="B2551" t="s">
        <v>73</v>
      </c>
      <c r="C2551" t="s">
        <v>74</v>
      </c>
      <c r="E2551" t="str">
        <f>"RFES1162728497"</f>
        <v>RFES1162728497</v>
      </c>
      <c r="F2551" s="3">
        <v>43818</v>
      </c>
      <c r="G2551">
        <v>202006</v>
      </c>
      <c r="H2551" t="s">
        <v>667</v>
      </c>
      <c r="I2551" t="s">
        <v>668</v>
      </c>
      <c r="J2551" t="s">
        <v>2269</v>
      </c>
      <c r="K2551" t="s">
        <v>78</v>
      </c>
      <c r="L2551" t="s">
        <v>75</v>
      </c>
      <c r="M2551" t="s">
        <v>76</v>
      </c>
      <c r="N2551" t="s">
        <v>100</v>
      </c>
      <c r="O2551" t="s">
        <v>104</v>
      </c>
      <c r="P2551" t="str">
        <f>"2170719806                    "</f>
        <v xml:space="preserve">2170719806                    </v>
      </c>
      <c r="Q2551">
        <v>0</v>
      </c>
      <c r="R2551">
        <v>0</v>
      </c>
      <c r="S2551">
        <v>0</v>
      </c>
      <c r="T2551">
        <v>0</v>
      </c>
      <c r="U2551">
        <v>0</v>
      </c>
      <c r="V2551">
        <v>0</v>
      </c>
      <c r="W2551">
        <v>0</v>
      </c>
      <c r="X2551">
        <v>0</v>
      </c>
      <c r="Y2551">
        <v>0</v>
      </c>
      <c r="Z2551">
        <v>0</v>
      </c>
      <c r="AA2551">
        <v>0</v>
      </c>
      <c r="AB2551">
        <v>0</v>
      </c>
      <c r="AC2551">
        <v>0</v>
      </c>
      <c r="AD2551">
        <v>0</v>
      </c>
      <c r="AE2551">
        <v>0</v>
      </c>
      <c r="AF2551">
        <v>0</v>
      </c>
      <c r="AG2551">
        <v>0</v>
      </c>
      <c r="AH2551">
        <v>0</v>
      </c>
      <c r="AI2551">
        <v>0</v>
      </c>
      <c r="AJ2551">
        <v>0</v>
      </c>
      <c r="AK2551">
        <v>0</v>
      </c>
      <c r="AL2551">
        <v>0</v>
      </c>
      <c r="AM2551">
        <v>14.9</v>
      </c>
      <c r="AN2551">
        <v>0</v>
      </c>
      <c r="AO2551">
        <v>0</v>
      </c>
      <c r="AP2551">
        <v>0</v>
      </c>
      <c r="AQ2551">
        <v>0</v>
      </c>
      <c r="AR2551">
        <v>0</v>
      </c>
      <c r="AS2551">
        <v>0</v>
      </c>
      <c r="AT2551">
        <v>0</v>
      </c>
      <c r="AU2551">
        <v>0</v>
      </c>
      <c r="AV2551">
        <v>0</v>
      </c>
      <c r="AW2551">
        <v>0</v>
      </c>
      <c r="AX2551">
        <v>0</v>
      </c>
      <c r="AY2551">
        <v>0</v>
      </c>
      <c r="AZ2551">
        <v>0</v>
      </c>
      <c r="BA2551">
        <v>0</v>
      </c>
      <c r="BB2551">
        <v>0</v>
      </c>
      <c r="BC2551">
        <v>0</v>
      </c>
      <c r="BD2551">
        <v>0</v>
      </c>
      <c r="BE2551">
        <v>0</v>
      </c>
      <c r="BF2551">
        <v>0</v>
      </c>
      <c r="BG2551">
        <v>0</v>
      </c>
      <c r="BH2551">
        <v>1</v>
      </c>
      <c r="BI2551">
        <v>22</v>
      </c>
      <c r="BJ2551">
        <v>18.3</v>
      </c>
      <c r="BK2551">
        <v>22</v>
      </c>
      <c r="BL2551" s="4">
        <v>92.57</v>
      </c>
      <c r="BM2551" s="4">
        <v>13.89</v>
      </c>
      <c r="BN2551" s="4">
        <v>106.46</v>
      </c>
      <c r="BO2551" s="4">
        <v>106.46</v>
      </c>
      <c r="BQ2551" t="s">
        <v>105</v>
      </c>
      <c r="BR2551" t="s">
        <v>93</v>
      </c>
      <c r="BS2551" t="s">
        <v>717</v>
      </c>
      <c r="BW2551" t="s">
        <v>1335</v>
      </c>
      <c r="BX2551" t="s">
        <v>619</v>
      </c>
      <c r="BY2551">
        <v>91264</v>
      </c>
      <c r="CC2551" t="s">
        <v>76</v>
      </c>
      <c r="CD2551">
        <v>1601</v>
      </c>
      <c r="CE2551" t="s">
        <v>96</v>
      </c>
      <c r="CI2551">
        <v>1</v>
      </c>
      <c r="CJ2551" t="s">
        <v>717</v>
      </c>
      <c r="CK2551" t="s">
        <v>123</v>
      </c>
      <c r="CL2551" t="s">
        <v>89</v>
      </c>
    </row>
    <row r="2552" spans="1:90">
      <c r="A2552" t="s">
        <v>72</v>
      </c>
      <c r="B2552" t="s">
        <v>73</v>
      </c>
      <c r="C2552" t="s">
        <v>74</v>
      </c>
      <c r="E2552" t="str">
        <f>"FES1162729259"</f>
        <v>FES1162729259</v>
      </c>
      <c r="F2552" s="3">
        <v>43818</v>
      </c>
      <c r="G2552">
        <v>202006</v>
      </c>
      <c r="H2552" t="s">
        <v>75</v>
      </c>
      <c r="I2552" t="s">
        <v>76</v>
      </c>
      <c r="J2552" t="s">
        <v>100</v>
      </c>
      <c r="K2552" t="s">
        <v>78</v>
      </c>
      <c r="L2552" t="s">
        <v>1372</v>
      </c>
      <c r="M2552" t="s">
        <v>1373</v>
      </c>
      <c r="N2552" t="s">
        <v>2640</v>
      </c>
      <c r="O2552" t="s">
        <v>104</v>
      </c>
      <c r="P2552" t="str">
        <f>"2170722249                    "</f>
        <v xml:space="preserve">2170722249                    </v>
      </c>
      <c r="Q2552">
        <v>0</v>
      </c>
      <c r="R2552">
        <v>0</v>
      </c>
      <c r="S2552">
        <v>0</v>
      </c>
      <c r="T2552">
        <v>0</v>
      </c>
      <c r="U2552">
        <v>0</v>
      </c>
      <c r="V2552">
        <v>0</v>
      </c>
      <c r="W2552">
        <v>0</v>
      </c>
      <c r="X2552">
        <v>0</v>
      </c>
      <c r="Y2552">
        <v>0</v>
      </c>
      <c r="Z2552">
        <v>0</v>
      </c>
      <c r="AA2552">
        <v>0</v>
      </c>
      <c r="AB2552">
        <v>0</v>
      </c>
      <c r="AC2552">
        <v>0</v>
      </c>
      <c r="AD2552">
        <v>0</v>
      </c>
      <c r="AE2552">
        <v>0</v>
      </c>
      <c r="AF2552">
        <v>0</v>
      </c>
      <c r="AG2552">
        <v>0</v>
      </c>
      <c r="AH2552">
        <v>0</v>
      </c>
      <c r="AI2552">
        <v>0</v>
      </c>
      <c r="AJ2552">
        <v>0</v>
      </c>
      <c r="AK2552">
        <v>0</v>
      </c>
      <c r="AL2552">
        <v>0</v>
      </c>
      <c r="AM2552">
        <v>16.09</v>
      </c>
      <c r="AN2552">
        <v>0</v>
      </c>
      <c r="AO2552">
        <v>0</v>
      </c>
      <c r="AP2552">
        <v>0</v>
      </c>
      <c r="AQ2552">
        <v>0</v>
      </c>
      <c r="AR2552">
        <v>0</v>
      </c>
      <c r="AS2552">
        <v>0</v>
      </c>
      <c r="AT2552">
        <v>0</v>
      </c>
      <c r="AU2552">
        <v>0</v>
      </c>
      <c r="AV2552">
        <v>0</v>
      </c>
      <c r="AW2552">
        <v>0</v>
      </c>
      <c r="AX2552">
        <v>0</v>
      </c>
      <c r="AY2552">
        <v>0</v>
      </c>
      <c r="AZ2552">
        <v>0</v>
      </c>
      <c r="BA2552">
        <v>0</v>
      </c>
      <c r="BB2552">
        <v>0</v>
      </c>
      <c r="BC2552">
        <v>0</v>
      </c>
      <c r="BD2552">
        <v>0</v>
      </c>
      <c r="BE2552">
        <v>0</v>
      </c>
      <c r="BF2552">
        <v>0</v>
      </c>
      <c r="BG2552">
        <v>0</v>
      </c>
      <c r="BH2552">
        <v>1</v>
      </c>
      <c r="BI2552">
        <v>14.5</v>
      </c>
      <c r="BJ2552">
        <v>8.1999999999999993</v>
      </c>
      <c r="BK2552">
        <v>15</v>
      </c>
      <c r="BL2552" s="4">
        <v>99.59</v>
      </c>
      <c r="BM2552" s="4">
        <v>14.94</v>
      </c>
      <c r="BN2552" s="4">
        <v>114.53</v>
      </c>
      <c r="BO2552" s="4">
        <v>114.53</v>
      </c>
      <c r="BR2552" t="s">
        <v>105</v>
      </c>
      <c r="BS2552" t="s">
        <v>717</v>
      </c>
      <c r="BW2552" t="s">
        <v>1335</v>
      </c>
      <c r="BX2552" t="s">
        <v>619</v>
      </c>
      <c r="BY2552">
        <v>40821.370000000003</v>
      </c>
      <c r="CC2552" t="s">
        <v>1373</v>
      </c>
      <c r="CD2552">
        <v>1034</v>
      </c>
      <c r="CE2552" t="s">
        <v>96</v>
      </c>
      <c r="CI2552">
        <v>1</v>
      </c>
      <c r="CJ2552" t="s">
        <v>717</v>
      </c>
      <c r="CK2552" t="s">
        <v>740</v>
      </c>
      <c r="CL2552" t="s">
        <v>89</v>
      </c>
    </row>
    <row r="2553" spans="1:90">
      <c r="A2553" t="s">
        <v>72</v>
      </c>
      <c r="B2553" t="s">
        <v>73</v>
      </c>
      <c r="C2553" t="s">
        <v>74</v>
      </c>
      <c r="E2553" t="str">
        <f>"FES1162729009"</f>
        <v>FES1162729009</v>
      </c>
      <c r="F2553" s="3">
        <v>43818</v>
      </c>
      <c r="G2553">
        <v>202006</v>
      </c>
      <c r="H2553" t="s">
        <v>75</v>
      </c>
      <c r="I2553" t="s">
        <v>76</v>
      </c>
      <c r="J2553" t="s">
        <v>100</v>
      </c>
      <c r="K2553" t="s">
        <v>78</v>
      </c>
      <c r="L2553" t="s">
        <v>138</v>
      </c>
      <c r="M2553" t="s">
        <v>139</v>
      </c>
      <c r="N2553" t="s">
        <v>2444</v>
      </c>
      <c r="O2553" t="s">
        <v>104</v>
      </c>
      <c r="P2553" t="str">
        <f>"2170722115                    "</f>
        <v xml:space="preserve">2170722115                    </v>
      </c>
      <c r="Q2553">
        <v>0</v>
      </c>
      <c r="R2553">
        <v>0</v>
      </c>
      <c r="S2553">
        <v>0</v>
      </c>
      <c r="T2553">
        <v>0</v>
      </c>
      <c r="U2553">
        <v>0</v>
      </c>
      <c r="V2553">
        <v>0</v>
      </c>
      <c r="W2553">
        <v>0</v>
      </c>
      <c r="X2553">
        <v>0</v>
      </c>
      <c r="Y2553">
        <v>0</v>
      </c>
      <c r="Z2553">
        <v>0</v>
      </c>
      <c r="AA2553">
        <v>0</v>
      </c>
      <c r="AB2553">
        <v>0</v>
      </c>
      <c r="AC2553">
        <v>0</v>
      </c>
      <c r="AD2553">
        <v>0</v>
      </c>
      <c r="AE2553">
        <v>0</v>
      </c>
      <c r="AF2553">
        <v>0</v>
      </c>
      <c r="AG2553">
        <v>0</v>
      </c>
      <c r="AH2553">
        <v>0</v>
      </c>
      <c r="AI2553">
        <v>0</v>
      </c>
      <c r="AJ2553">
        <v>0</v>
      </c>
      <c r="AK2553">
        <v>0</v>
      </c>
      <c r="AL2553">
        <v>0</v>
      </c>
      <c r="AM2553">
        <v>18.53</v>
      </c>
      <c r="AN2553">
        <v>0</v>
      </c>
      <c r="AO2553">
        <v>0</v>
      </c>
      <c r="AP2553">
        <v>0</v>
      </c>
      <c r="AQ2553">
        <v>0</v>
      </c>
      <c r="AR2553">
        <v>0</v>
      </c>
      <c r="AS2553">
        <v>0</v>
      </c>
      <c r="AT2553">
        <v>0</v>
      </c>
      <c r="AU2553">
        <v>0</v>
      </c>
      <c r="AV2553">
        <v>0</v>
      </c>
      <c r="AW2553">
        <v>0</v>
      </c>
      <c r="AX2553">
        <v>0</v>
      </c>
      <c r="AY2553">
        <v>0</v>
      </c>
      <c r="AZ2553">
        <v>0</v>
      </c>
      <c r="BA2553">
        <v>0</v>
      </c>
      <c r="BB2553">
        <v>0</v>
      </c>
      <c r="BC2553">
        <v>0</v>
      </c>
      <c r="BD2553">
        <v>0</v>
      </c>
      <c r="BE2553">
        <v>0</v>
      </c>
      <c r="BF2553">
        <v>0</v>
      </c>
      <c r="BG2553">
        <v>0</v>
      </c>
      <c r="BH2553">
        <v>1</v>
      </c>
      <c r="BI2553">
        <v>16.399999999999999</v>
      </c>
      <c r="BJ2553">
        <v>31</v>
      </c>
      <c r="BK2553">
        <v>31</v>
      </c>
      <c r="BL2553" s="4">
        <v>113.93</v>
      </c>
      <c r="BM2553" s="4">
        <v>17.09</v>
      </c>
      <c r="BN2553" s="4">
        <v>131.02000000000001</v>
      </c>
      <c r="BO2553" s="4">
        <v>131.02000000000001</v>
      </c>
      <c r="BQ2553" t="s">
        <v>2445</v>
      </c>
      <c r="BR2553" t="s">
        <v>105</v>
      </c>
      <c r="BS2553" s="3">
        <v>43819</v>
      </c>
      <c r="BT2553" s="5">
        <v>0.35416666666666669</v>
      </c>
      <c r="BU2553" t="s">
        <v>2641</v>
      </c>
      <c r="BV2553" t="s">
        <v>86</v>
      </c>
      <c r="BY2553">
        <v>155050.18</v>
      </c>
      <c r="CA2553" t="s">
        <v>314</v>
      </c>
      <c r="CC2553" t="s">
        <v>139</v>
      </c>
      <c r="CD2553">
        <v>1406</v>
      </c>
      <c r="CE2553" t="s">
        <v>116</v>
      </c>
      <c r="CF2553" s="3">
        <v>43822</v>
      </c>
      <c r="CI2553">
        <v>1</v>
      </c>
      <c r="CJ2553">
        <v>1</v>
      </c>
      <c r="CK2553" t="s">
        <v>123</v>
      </c>
      <c r="CL2553" t="s">
        <v>89</v>
      </c>
    </row>
    <row r="2554" spans="1:90">
      <c r="A2554" t="s">
        <v>72</v>
      </c>
      <c r="B2554" t="s">
        <v>73</v>
      </c>
      <c r="C2554" t="s">
        <v>74</v>
      </c>
      <c r="E2554" t="str">
        <f>"FES1162728894"</f>
        <v>FES1162728894</v>
      </c>
      <c r="F2554" s="3">
        <v>43817</v>
      </c>
      <c r="G2554">
        <v>202006</v>
      </c>
      <c r="H2554" t="s">
        <v>75</v>
      </c>
      <c r="I2554" t="s">
        <v>76</v>
      </c>
      <c r="J2554" t="s">
        <v>100</v>
      </c>
      <c r="K2554" t="s">
        <v>78</v>
      </c>
      <c r="L2554" t="s">
        <v>101</v>
      </c>
      <c r="M2554" t="s">
        <v>102</v>
      </c>
      <c r="N2554" t="s">
        <v>2374</v>
      </c>
      <c r="O2554" t="s">
        <v>104</v>
      </c>
      <c r="P2554" t="str">
        <f>"2170720052                    "</f>
        <v xml:space="preserve">2170720052                    </v>
      </c>
      <c r="Q2554">
        <v>0</v>
      </c>
      <c r="R2554">
        <v>0</v>
      </c>
      <c r="S2554">
        <v>0</v>
      </c>
      <c r="T2554">
        <v>0</v>
      </c>
      <c r="U2554">
        <v>0</v>
      </c>
      <c r="V2554">
        <v>0</v>
      </c>
      <c r="W2554">
        <v>0</v>
      </c>
      <c r="X2554">
        <v>0</v>
      </c>
      <c r="Y2554">
        <v>0</v>
      </c>
      <c r="Z2554">
        <v>0</v>
      </c>
      <c r="AA2554">
        <v>0</v>
      </c>
      <c r="AB2554">
        <v>0</v>
      </c>
      <c r="AC2554">
        <v>0</v>
      </c>
      <c r="AD2554">
        <v>0</v>
      </c>
      <c r="AE2554">
        <v>0</v>
      </c>
      <c r="AF2554">
        <v>0</v>
      </c>
      <c r="AG2554">
        <v>0</v>
      </c>
      <c r="AH2554">
        <v>0</v>
      </c>
      <c r="AI2554">
        <v>0</v>
      </c>
      <c r="AJ2554">
        <v>0</v>
      </c>
      <c r="AK2554">
        <v>0</v>
      </c>
      <c r="AL2554">
        <v>0</v>
      </c>
      <c r="AM2554">
        <v>14.75</v>
      </c>
      <c r="AN2554">
        <v>0</v>
      </c>
      <c r="AO2554">
        <v>0</v>
      </c>
      <c r="AP2554">
        <v>0</v>
      </c>
      <c r="AQ2554">
        <v>0</v>
      </c>
      <c r="AR2554">
        <v>0</v>
      </c>
      <c r="AS2554">
        <v>0</v>
      </c>
      <c r="AT2554">
        <v>0</v>
      </c>
      <c r="AU2554">
        <v>0</v>
      </c>
      <c r="AV2554">
        <v>0</v>
      </c>
      <c r="AW2554">
        <v>0</v>
      </c>
      <c r="AX2554">
        <v>0</v>
      </c>
      <c r="AY2554">
        <v>0</v>
      </c>
      <c r="AZ2554">
        <v>0</v>
      </c>
      <c r="BA2554">
        <v>0</v>
      </c>
      <c r="BB2554">
        <v>0</v>
      </c>
      <c r="BC2554">
        <v>0</v>
      </c>
      <c r="BD2554">
        <v>0</v>
      </c>
      <c r="BE2554">
        <v>0</v>
      </c>
      <c r="BF2554">
        <v>0</v>
      </c>
      <c r="BG2554">
        <v>0</v>
      </c>
      <c r="BH2554">
        <v>1</v>
      </c>
      <c r="BI2554">
        <v>6.3</v>
      </c>
      <c r="BJ2554">
        <v>3.8</v>
      </c>
      <c r="BK2554">
        <v>7</v>
      </c>
      <c r="BL2554" s="4">
        <v>91.71</v>
      </c>
      <c r="BM2554" s="4">
        <v>13.76</v>
      </c>
      <c r="BN2554" s="4">
        <v>105.47</v>
      </c>
      <c r="BO2554" s="4">
        <v>105.47</v>
      </c>
      <c r="BQ2554" t="s">
        <v>93</v>
      </c>
      <c r="BR2554" t="s">
        <v>105</v>
      </c>
      <c r="BS2554" s="3">
        <v>43818</v>
      </c>
      <c r="BT2554" s="5">
        <v>0.38541666666666669</v>
      </c>
      <c r="BU2554" t="s">
        <v>2455</v>
      </c>
      <c r="BV2554" t="s">
        <v>86</v>
      </c>
      <c r="BY2554">
        <v>18789.5</v>
      </c>
      <c r="CA2554" t="s">
        <v>1357</v>
      </c>
      <c r="CC2554" t="s">
        <v>102</v>
      </c>
      <c r="CD2554">
        <v>200</v>
      </c>
      <c r="CE2554" t="s">
        <v>96</v>
      </c>
      <c r="CF2554" s="3">
        <v>43819</v>
      </c>
      <c r="CI2554">
        <v>0</v>
      </c>
      <c r="CJ2554">
        <v>0</v>
      </c>
      <c r="CK2554" t="s">
        <v>108</v>
      </c>
      <c r="CL2554" t="s">
        <v>89</v>
      </c>
    </row>
    <row r="2555" spans="1:90">
      <c r="A2555" t="s">
        <v>72</v>
      </c>
      <c r="B2555" t="s">
        <v>73</v>
      </c>
      <c r="C2555" t="s">
        <v>74</v>
      </c>
      <c r="E2555" t="str">
        <f>"FES1162728860"</f>
        <v>FES1162728860</v>
      </c>
      <c r="F2555" s="3">
        <v>43817</v>
      </c>
      <c r="G2555">
        <v>202006</v>
      </c>
      <c r="H2555" t="s">
        <v>75</v>
      </c>
      <c r="I2555" t="s">
        <v>76</v>
      </c>
      <c r="J2555" t="s">
        <v>100</v>
      </c>
      <c r="K2555" t="s">
        <v>78</v>
      </c>
      <c r="L2555" t="s">
        <v>101</v>
      </c>
      <c r="M2555" t="s">
        <v>102</v>
      </c>
      <c r="N2555" t="s">
        <v>634</v>
      </c>
      <c r="O2555" t="s">
        <v>104</v>
      </c>
      <c r="P2555" t="str">
        <f>"2170722000                    "</f>
        <v xml:space="preserve">2170722000                    </v>
      </c>
      <c r="Q2555">
        <v>0</v>
      </c>
      <c r="R2555">
        <v>0</v>
      </c>
      <c r="S2555">
        <v>0</v>
      </c>
      <c r="T2555">
        <v>0</v>
      </c>
      <c r="U2555">
        <v>0</v>
      </c>
      <c r="V2555">
        <v>0</v>
      </c>
      <c r="W2555">
        <v>0</v>
      </c>
      <c r="X2555">
        <v>0</v>
      </c>
      <c r="Y2555">
        <v>0</v>
      </c>
      <c r="Z2555">
        <v>0</v>
      </c>
      <c r="AA2555">
        <v>0</v>
      </c>
      <c r="AB2555">
        <v>0</v>
      </c>
      <c r="AC2555">
        <v>0</v>
      </c>
      <c r="AD2555">
        <v>0</v>
      </c>
      <c r="AE2555">
        <v>0</v>
      </c>
      <c r="AF2555">
        <v>0</v>
      </c>
      <c r="AG2555">
        <v>0</v>
      </c>
      <c r="AH2555">
        <v>0</v>
      </c>
      <c r="AI2555">
        <v>0</v>
      </c>
      <c r="AJ2555">
        <v>0</v>
      </c>
      <c r="AK2555">
        <v>0</v>
      </c>
      <c r="AL2555">
        <v>0</v>
      </c>
      <c r="AM2555">
        <v>14.75</v>
      </c>
      <c r="AN2555">
        <v>0</v>
      </c>
      <c r="AO2555">
        <v>0</v>
      </c>
      <c r="AP2555">
        <v>0</v>
      </c>
      <c r="AQ2555">
        <v>0</v>
      </c>
      <c r="AR2555">
        <v>0</v>
      </c>
      <c r="AS2555">
        <v>0</v>
      </c>
      <c r="AT2555">
        <v>0</v>
      </c>
      <c r="AU2555">
        <v>0</v>
      </c>
      <c r="AV2555">
        <v>0</v>
      </c>
      <c r="AW2555">
        <v>0</v>
      </c>
      <c r="AX2555">
        <v>0</v>
      </c>
      <c r="AY2555">
        <v>0</v>
      </c>
      <c r="AZ2555">
        <v>0</v>
      </c>
      <c r="BA2555">
        <v>0</v>
      </c>
      <c r="BB2555">
        <v>0</v>
      </c>
      <c r="BC2555">
        <v>0</v>
      </c>
      <c r="BD2555">
        <v>0</v>
      </c>
      <c r="BE2555">
        <v>0</v>
      </c>
      <c r="BF2555">
        <v>0</v>
      </c>
      <c r="BG2555">
        <v>0</v>
      </c>
      <c r="BH2555">
        <v>1</v>
      </c>
      <c r="BI2555">
        <v>3.7</v>
      </c>
      <c r="BJ2555">
        <v>6.4</v>
      </c>
      <c r="BK2555">
        <v>7</v>
      </c>
      <c r="BL2555" s="4">
        <v>91.71</v>
      </c>
      <c r="BM2555" s="4">
        <v>13.76</v>
      </c>
      <c r="BN2555" s="4">
        <v>105.47</v>
      </c>
      <c r="BO2555" s="4">
        <v>105.47</v>
      </c>
      <c r="BQ2555" t="s">
        <v>93</v>
      </c>
      <c r="BR2555" t="s">
        <v>105</v>
      </c>
      <c r="BS2555" s="3">
        <v>43818</v>
      </c>
      <c r="BT2555" s="5">
        <v>0.375</v>
      </c>
      <c r="BU2555" t="s">
        <v>2642</v>
      </c>
      <c r="BV2555" t="s">
        <v>86</v>
      </c>
      <c r="BY2555">
        <v>31992.560000000001</v>
      </c>
      <c r="CA2555" t="s">
        <v>1357</v>
      </c>
      <c r="CC2555" t="s">
        <v>102</v>
      </c>
      <c r="CD2555">
        <v>200</v>
      </c>
      <c r="CE2555" t="s">
        <v>116</v>
      </c>
      <c r="CF2555" s="3">
        <v>43819</v>
      </c>
      <c r="CI2555">
        <v>0</v>
      </c>
      <c r="CJ2555">
        <v>0</v>
      </c>
      <c r="CK2555" t="s">
        <v>108</v>
      </c>
      <c r="CL2555" t="s">
        <v>89</v>
      </c>
    </row>
    <row r="2556" spans="1:90">
      <c r="A2556" t="s">
        <v>72</v>
      </c>
      <c r="B2556" t="s">
        <v>73</v>
      </c>
      <c r="C2556" t="s">
        <v>74</v>
      </c>
      <c r="E2556" t="str">
        <f>"FES1162728717"</f>
        <v>FES1162728717</v>
      </c>
      <c r="F2556" s="3">
        <v>43822</v>
      </c>
      <c r="G2556">
        <v>202006</v>
      </c>
      <c r="H2556" t="s">
        <v>75</v>
      </c>
      <c r="I2556" t="s">
        <v>76</v>
      </c>
      <c r="J2556" t="s">
        <v>100</v>
      </c>
      <c r="K2556" t="s">
        <v>78</v>
      </c>
      <c r="L2556" t="s">
        <v>138</v>
      </c>
      <c r="M2556" t="s">
        <v>139</v>
      </c>
      <c r="N2556" t="s">
        <v>2643</v>
      </c>
      <c r="O2556" t="s">
        <v>104</v>
      </c>
      <c r="P2556" t="str">
        <f>"2170716235                    "</f>
        <v xml:space="preserve">2170716235                    </v>
      </c>
      <c r="Q2556">
        <v>0</v>
      </c>
      <c r="R2556">
        <v>0</v>
      </c>
      <c r="S2556">
        <v>0</v>
      </c>
      <c r="T2556">
        <v>0</v>
      </c>
      <c r="U2556">
        <v>0</v>
      </c>
      <c r="V2556">
        <v>0</v>
      </c>
      <c r="W2556">
        <v>0</v>
      </c>
      <c r="X2556">
        <v>0</v>
      </c>
      <c r="Y2556">
        <v>0</v>
      </c>
      <c r="Z2556">
        <v>0</v>
      </c>
      <c r="AA2556">
        <v>0</v>
      </c>
      <c r="AB2556">
        <v>0</v>
      </c>
      <c r="AC2556">
        <v>0</v>
      </c>
      <c r="AD2556">
        <v>0</v>
      </c>
      <c r="AE2556">
        <v>0</v>
      </c>
      <c r="AF2556">
        <v>0</v>
      </c>
      <c r="AG2556">
        <v>0</v>
      </c>
      <c r="AH2556">
        <v>0</v>
      </c>
      <c r="AI2556">
        <v>0</v>
      </c>
      <c r="AJ2556">
        <v>0</v>
      </c>
      <c r="AK2556">
        <v>0</v>
      </c>
      <c r="AL2556">
        <v>0</v>
      </c>
      <c r="AM2556">
        <v>20.149999999999999</v>
      </c>
      <c r="AN2556">
        <v>0</v>
      </c>
      <c r="AO2556">
        <v>0</v>
      </c>
      <c r="AP2556">
        <v>0</v>
      </c>
      <c r="AQ2556">
        <v>0</v>
      </c>
      <c r="AR2556">
        <v>0</v>
      </c>
      <c r="AS2556">
        <v>0</v>
      </c>
      <c r="AT2556">
        <v>0</v>
      </c>
      <c r="AU2556">
        <v>0</v>
      </c>
      <c r="AV2556">
        <v>0</v>
      </c>
      <c r="AW2556">
        <v>0</v>
      </c>
      <c r="AX2556">
        <v>0</v>
      </c>
      <c r="AY2556">
        <v>0</v>
      </c>
      <c r="AZ2556">
        <v>0</v>
      </c>
      <c r="BA2556">
        <v>0</v>
      </c>
      <c r="BB2556">
        <v>0</v>
      </c>
      <c r="BC2556">
        <v>0</v>
      </c>
      <c r="BD2556">
        <v>0</v>
      </c>
      <c r="BE2556">
        <v>0</v>
      </c>
      <c r="BF2556">
        <v>0</v>
      </c>
      <c r="BG2556">
        <v>0</v>
      </c>
      <c r="BH2556">
        <v>3</v>
      </c>
      <c r="BI2556">
        <v>18.399999999999999</v>
      </c>
      <c r="BJ2556">
        <v>34.4</v>
      </c>
      <c r="BK2556">
        <v>35</v>
      </c>
      <c r="BL2556" s="4">
        <v>123.43</v>
      </c>
      <c r="BM2556" s="4">
        <v>18.510000000000002</v>
      </c>
      <c r="BN2556" s="4">
        <v>141.94</v>
      </c>
      <c r="BO2556" s="4">
        <v>141.94</v>
      </c>
      <c r="BQ2556">
        <v>1162728717</v>
      </c>
      <c r="BR2556" t="s">
        <v>105</v>
      </c>
      <c r="BS2556" s="3">
        <v>43823</v>
      </c>
      <c r="BT2556" s="5">
        <v>0.3923611111111111</v>
      </c>
      <c r="BU2556" t="s">
        <v>2644</v>
      </c>
      <c r="BV2556" t="s">
        <v>86</v>
      </c>
      <c r="BY2556">
        <v>172110.27</v>
      </c>
      <c r="CC2556" t="s">
        <v>139</v>
      </c>
      <c r="CD2556">
        <v>1422</v>
      </c>
      <c r="CE2556" t="s">
        <v>2645</v>
      </c>
      <c r="CF2556" s="3">
        <v>43826</v>
      </c>
      <c r="CI2556">
        <v>1</v>
      </c>
      <c r="CJ2556">
        <v>1</v>
      </c>
      <c r="CK2556" t="s">
        <v>123</v>
      </c>
      <c r="CL2556" t="s">
        <v>89</v>
      </c>
    </row>
    <row r="2557" spans="1:90">
      <c r="A2557" t="s">
        <v>72</v>
      </c>
      <c r="B2557" t="s">
        <v>73</v>
      </c>
      <c r="C2557" t="s">
        <v>74</v>
      </c>
      <c r="E2557" t="str">
        <f>"FES1162727910"</f>
        <v>FES1162727910</v>
      </c>
      <c r="F2557" s="3">
        <v>43810</v>
      </c>
      <c r="G2557">
        <v>202006</v>
      </c>
      <c r="H2557" t="s">
        <v>75</v>
      </c>
      <c r="I2557" t="s">
        <v>76</v>
      </c>
      <c r="J2557" t="s">
        <v>100</v>
      </c>
      <c r="K2557" t="s">
        <v>78</v>
      </c>
      <c r="L2557" t="s">
        <v>646</v>
      </c>
      <c r="M2557" t="s">
        <v>647</v>
      </c>
      <c r="N2557" t="s">
        <v>1368</v>
      </c>
      <c r="O2557" t="s">
        <v>104</v>
      </c>
      <c r="P2557" t="str">
        <f>"2170712389                    "</f>
        <v xml:space="preserve">2170712389                    </v>
      </c>
      <c r="Q2557">
        <v>0</v>
      </c>
      <c r="R2557">
        <v>0</v>
      </c>
      <c r="S2557">
        <v>0</v>
      </c>
      <c r="T2557">
        <v>0</v>
      </c>
      <c r="U2557">
        <v>0</v>
      </c>
      <c r="V2557">
        <v>0</v>
      </c>
      <c r="W2557">
        <v>0</v>
      </c>
      <c r="X2557">
        <v>0</v>
      </c>
      <c r="Y2557">
        <v>0</v>
      </c>
      <c r="Z2557">
        <v>0</v>
      </c>
      <c r="AA2557">
        <v>0</v>
      </c>
      <c r="AB2557">
        <v>0</v>
      </c>
      <c r="AC2557">
        <v>0</v>
      </c>
      <c r="AD2557">
        <v>0</v>
      </c>
      <c r="AE2557">
        <v>0</v>
      </c>
      <c r="AF2557">
        <v>0</v>
      </c>
      <c r="AG2557">
        <v>0</v>
      </c>
      <c r="AH2557">
        <v>0</v>
      </c>
      <c r="AI2557">
        <v>0</v>
      </c>
      <c r="AJ2557">
        <v>0</v>
      </c>
      <c r="AK2557">
        <v>0</v>
      </c>
      <c r="AL2557">
        <v>0</v>
      </c>
      <c r="AM2557">
        <v>16.09</v>
      </c>
      <c r="AN2557">
        <v>0</v>
      </c>
      <c r="AO2557">
        <v>0</v>
      </c>
      <c r="AP2557">
        <v>0</v>
      </c>
      <c r="AQ2557">
        <v>0</v>
      </c>
      <c r="AR2557">
        <v>0</v>
      </c>
      <c r="AS2557">
        <v>0</v>
      </c>
      <c r="AT2557">
        <v>0</v>
      </c>
      <c r="AU2557">
        <v>0</v>
      </c>
      <c r="AV2557">
        <v>0</v>
      </c>
      <c r="AW2557">
        <v>0</v>
      </c>
      <c r="AX2557">
        <v>0</v>
      </c>
      <c r="AY2557">
        <v>0</v>
      </c>
      <c r="AZ2557">
        <v>0</v>
      </c>
      <c r="BA2557">
        <v>0</v>
      </c>
      <c r="BB2557">
        <v>0</v>
      </c>
      <c r="BC2557">
        <v>0</v>
      </c>
      <c r="BD2557">
        <v>0</v>
      </c>
      <c r="BE2557">
        <v>0</v>
      </c>
      <c r="BF2557">
        <v>0</v>
      </c>
      <c r="BG2557">
        <v>0</v>
      </c>
      <c r="BH2557">
        <v>1</v>
      </c>
      <c r="BI2557">
        <v>3</v>
      </c>
      <c r="BJ2557">
        <v>9.1</v>
      </c>
      <c r="BK2557">
        <v>10</v>
      </c>
      <c r="BL2557" s="4">
        <v>99.59</v>
      </c>
      <c r="BM2557" s="4">
        <v>14.94</v>
      </c>
      <c r="BN2557" s="4">
        <v>114.53</v>
      </c>
      <c r="BO2557" s="4">
        <v>114.53</v>
      </c>
      <c r="BQ2557" t="s">
        <v>1369</v>
      </c>
      <c r="BR2557" t="s">
        <v>105</v>
      </c>
      <c r="BS2557" s="3">
        <v>43811</v>
      </c>
      <c r="BT2557" s="5">
        <v>0.37152777777777773</v>
      </c>
      <c r="BU2557" t="s">
        <v>2646</v>
      </c>
      <c r="BV2557" t="s">
        <v>86</v>
      </c>
      <c r="BY2557">
        <v>45632</v>
      </c>
      <c r="CA2557" t="s">
        <v>434</v>
      </c>
      <c r="CC2557" t="s">
        <v>647</v>
      </c>
      <c r="CD2557">
        <v>299</v>
      </c>
      <c r="CE2557" t="s">
        <v>96</v>
      </c>
      <c r="CF2557" s="3">
        <v>43817</v>
      </c>
      <c r="CI2557">
        <v>1</v>
      </c>
      <c r="CJ2557">
        <v>1</v>
      </c>
      <c r="CK2557" t="s">
        <v>740</v>
      </c>
      <c r="CL2557" t="s">
        <v>89</v>
      </c>
    </row>
    <row r="2558" spans="1:90">
      <c r="A2558" t="s">
        <v>72</v>
      </c>
      <c r="B2558" t="s">
        <v>73</v>
      </c>
      <c r="C2558" t="s">
        <v>74</v>
      </c>
      <c r="E2558" t="str">
        <f>"FES1162727847"</f>
        <v>FES1162727847</v>
      </c>
      <c r="F2558" s="3">
        <v>43810</v>
      </c>
      <c r="G2558">
        <v>202006</v>
      </c>
      <c r="H2558" t="s">
        <v>75</v>
      </c>
      <c r="I2558" t="s">
        <v>76</v>
      </c>
      <c r="J2558" t="s">
        <v>100</v>
      </c>
      <c r="K2558" t="s">
        <v>78</v>
      </c>
      <c r="L2558" t="s">
        <v>164</v>
      </c>
      <c r="M2558" t="s">
        <v>165</v>
      </c>
      <c r="N2558" t="s">
        <v>369</v>
      </c>
      <c r="O2558" t="s">
        <v>104</v>
      </c>
      <c r="P2558" t="str">
        <f>"21707213601                   "</f>
        <v xml:space="preserve">21707213601                   </v>
      </c>
      <c r="Q2558">
        <v>0</v>
      </c>
      <c r="R2558">
        <v>0</v>
      </c>
      <c r="S2558">
        <v>0</v>
      </c>
      <c r="T2558">
        <v>0</v>
      </c>
      <c r="U2558">
        <v>0</v>
      </c>
      <c r="V2558">
        <v>0</v>
      </c>
      <c r="W2558">
        <v>0</v>
      </c>
      <c r="X2558">
        <v>0</v>
      </c>
      <c r="Y2558">
        <v>0</v>
      </c>
      <c r="Z2558">
        <v>0</v>
      </c>
      <c r="AA2558">
        <v>0</v>
      </c>
      <c r="AB2558">
        <v>0</v>
      </c>
      <c r="AC2558">
        <v>0</v>
      </c>
      <c r="AD2558">
        <v>0</v>
      </c>
      <c r="AE2558">
        <v>0</v>
      </c>
      <c r="AF2558">
        <v>0</v>
      </c>
      <c r="AG2558">
        <v>0</v>
      </c>
      <c r="AH2558">
        <v>0</v>
      </c>
      <c r="AI2558">
        <v>0</v>
      </c>
      <c r="AJ2558">
        <v>0</v>
      </c>
      <c r="AK2558">
        <v>0</v>
      </c>
      <c r="AL2558">
        <v>0</v>
      </c>
      <c r="AM2558">
        <v>22.84</v>
      </c>
      <c r="AN2558">
        <v>0</v>
      </c>
      <c r="AO2558">
        <v>0</v>
      </c>
      <c r="AP2558">
        <v>0</v>
      </c>
      <c r="AQ2558">
        <v>0</v>
      </c>
      <c r="AR2558">
        <v>0</v>
      </c>
      <c r="AS2558">
        <v>0</v>
      </c>
      <c r="AT2558">
        <v>0</v>
      </c>
      <c r="AU2558">
        <v>0</v>
      </c>
      <c r="AV2558">
        <v>0</v>
      </c>
      <c r="AW2558">
        <v>0</v>
      </c>
      <c r="AX2558">
        <v>0</v>
      </c>
      <c r="AY2558">
        <v>0</v>
      </c>
      <c r="AZ2558">
        <v>0</v>
      </c>
      <c r="BA2558">
        <v>0</v>
      </c>
      <c r="BB2558">
        <v>0</v>
      </c>
      <c r="BC2558">
        <v>0</v>
      </c>
      <c r="BD2558">
        <v>0</v>
      </c>
      <c r="BE2558">
        <v>0</v>
      </c>
      <c r="BF2558">
        <v>0</v>
      </c>
      <c r="BG2558">
        <v>0</v>
      </c>
      <c r="BH2558">
        <v>1</v>
      </c>
      <c r="BI2558">
        <v>7.7</v>
      </c>
      <c r="BJ2558">
        <v>21.9</v>
      </c>
      <c r="BK2558">
        <v>22</v>
      </c>
      <c r="BL2558" s="4">
        <v>139.24</v>
      </c>
      <c r="BM2558" s="4">
        <v>20.89</v>
      </c>
      <c r="BN2558" s="4">
        <v>160.13</v>
      </c>
      <c r="BO2558" s="4">
        <v>160.13</v>
      </c>
      <c r="BQ2558" t="s">
        <v>93</v>
      </c>
      <c r="BR2558" t="s">
        <v>105</v>
      </c>
      <c r="BS2558" s="3">
        <v>43811</v>
      </c>
      <c r="BT2558" s="5">
        <v>0.37847222222222227</v>
      </c>
      <c r="BU2558" t="s">
        <v>2504</v>
      </c>
      <c r="BV2558" t="s">
        <v>86</v>
      </c>
      <c r="BY2558">
        <v>109433.82</v>
      </c>
      <c r="CA2558" t="s">
        <v>265</v>
      </c>
      <c r="CC2558" t="s">
        <v>165</v>
      </c>
      <c r="CD2558">
        <v>5201</v>
      </c>
      <c r="CE2558" t="s">
        <v>96</v>
      </c>
      <c r="CF2558" s="3">
        <v>43812</v>
      </c>
      <c r="CI2558">
        <v>2</v>
      </c>
      <c r="CJ2558">
        <v>1</v>
      </c>
      <c r="CK2558" t="s">
        <v>1070</v>
      </c>
      <c r="CL2558" t="s">
        <v>89</v>
      </c>
    </row>
    <row r="2559" spans="1:90">
      <c r="A2559" t="s">
        <v>72</v>
      </c>
      <c r="B2559" t="s">
        <v>73</v>
      </c>
      <c r="C2559" t="s">
        <v>74</v>
      </c>
      <c r="E2559" t="str">
        <f>"FES1162727730"</f>
        <v>FES1162727730</v>
      </c>
      <c r="F2559" s="3">
        <v>43810</v>
      </c>
      <c r="G2559">
        <v>202006</v>
      </c>
      <c r="H2559" t="s">
        <v>75</v>
      </c>
      <c r="I2559" t="s">
        <v>76</v>
      </c>
      <c r="J2559" t="s">
        <v>100</v>
      </c>
      <c r="K2559" t="s">
        <v>78</v>
      </c>
      <c r="L2559" t="s">
        <v>138</v>
      </c>
      <c r="M2559" t="s">
        <v>139</v>
      </c>
      <c r="N2559" t="s">
        <v>2432</v>
      </c>
      <c r="O2559" t="s">
        <v>104</v>
      </c>
      <c r="P2559" t="str">
        <f>"2170721164                    "</f>
        <v xml:space="preserve">2170721164                    </v>
      </c>
      <c r="Q2559">
        <v>0</v>
      </c>
      <c r="R2559">
        <v>0</v>
      </c>
      <c r="S2559">
        <v>0</v>
      </c>
      <c r="T2559">
        <v>0</v>
      </c>
      <c r="U2559">
        <v>0</v>
      </c>
      <c r="V2559">
        <v>0</v>
      </c>
      <c r="W2559">
        <v>0</v>
      </c>
      <c r="X2559">
        <v>0</v>
      </c>
      <c r="Y2559">
        <v>0</v>
      </c>
      <c r="Z2559">
        <v>0</v>
      </c>
      <c r="AA2559">
        <v>0</v>
      </c>
      <c r="AB2559">
        <v>0</v>
      </c>
      <c r="AC2559">
        <v>0</v>
      </c>
      <c r="AD2559">
        <v>0</v>
      </c>
      <c r="AE2559">
        <v>0</v>
      </c>
      <c r="AF2559">
        <v>0</v>
      </c>
      <c r="AG2559">
        <v>0</v>
      </c>
      <c r="AH2559">
        <v>0</v>
      </c>
      <c r="AI2559">
        <v>0</v>
      </c>
      <c r="AJ2559">
        <v>0</v>
      </c>
      <c r="AK2559">
        <v>0</v>
      </c>
      <c r="AL2559">
        <v>0</v>
      </c>
      <c r="AM2559">
        <v>18.13</v>
      </c>
      <c r="AN2559">
        <v>0</v>
      </c>
      <c r="AO2559">
        <v>0</v>
      </c>
      <c r="AP2559">
        <v>0</v>
      </c>
      <c r="AQ2559">
        <v>0</v>
      </c>
      <c r="AR2559">
        <v>0</v>
      </c>
      <c r="AS2559">
        <v>0</v>
      </c>
      <c r="AT2559">
        <v>0</v>
      </c>
      <c r="AU2559">
        <v>0</v>
      </c>
      <c r="AV2559">
        <v>0</v>
      </c>
      <c r="AW2559">
        <v>0</v>
      </c>
      <c r="AX2559">
        <v>0</v>
      </c>
      <c r="AY2559">
        <v>0</v>
      </c>
      <c r="AZ2559">
        <v>0</v>
      </c>
      <c r="BA2559">
        <v>0</v>
      </c>
      <c r="BB2559">
        <v>0</v>
      </c>
      <c r="BC2559">
        <v>0</v>
      </c>
      <c r="BD2559">
        <v>0</v>
      </c>
      <c r="BE2559">
        <v>0</v>
      </c>
      <c r="BF2559">
        <v>0</v>
      </c>
      <c r="BG2559">
        <v>0</v>
      </c>
      <c r="BH2559">
        <v>1</v>
      </c>
      <c r="BI2559">
        <v>12.7</v>
      </c>
      <c r="BJ2559">
        <v>29.3</v>
      </c>
      <c r="BK2559">
        <v>30</v>
      </c>
      <c r="BL2559" s="4">
        <v>111.56</v>
      </c>
      <c r="BM2559" s="4">
        <v>16.73</v>
      </c>
      <c r="BN2559" s="4">
        <v>128.29</v>
      </c>
      <c r="BO2559" s="4">
        <v>128.29</v>
      </c>
      <c r="BR2559" t="s">
        <v>105</v>
      </c>
      <c r="BS2559" s="3">
        <v>43811</v>
      </c>
      <c r="BT2559" s="5">
        <v>0.4993055555555555</v>
      </c>
      <c r="BU2559" t="s">
        <v>2463</v>
      </c>
      <c r="BV2559" t="s">
        <v>86</v>
      </c>
      <c r="BY2559">
        <v>146380.21</v>
      </c>
      <c r="CC2559" t="s">
        <v>139</v>
      </c>
      <c r="CD2559">
        <v>1428</v>
      </c>
      <c r="CE2559" t="s">
        <v>96</v>
      </c>
      <c r="CF2559" s="3">
        <v>43812</v>
      </c>
      <c r="CI2559">
        <v>1</v>
      </c>
      <c r="CJ2559">
        <v>1</v>
      </c>
      <c r="CK2559" t="s">
        <v>123</v>
      </c>
      <c r="CL2559" t="s">
        <v>89</v>
      </c>
    </row>
    <row r="2560" spans="1:90">
      <c r="A2560" t="s">
        <v>72</v>
      </c>
      <c r="B2560" t="s">
        <v>73</v>
      </c>
      <c r="C2560" t="s">
        <v>74</v>
      </c>
      <c r="E2560" t="str">
        <f>"FES1162728976"</f>
        <v>FES1162728976</v>
      </c>
      <c r="F2560" s="3">
        <v>43818</v>
      </c>
      <c r="G2560">
        <v>202006</v>
      </c>
      <c r="H2560" t="s">
        <v>75</v>
      </c>
      <c r="I2560" t="s">
        <v>76</v>
      </c>
      <c r="J2560" t="s">
        <v>100</v>
      </c>
      <c r="K2560" t="s">
        <v>78</v>
      </c>
      <c r="L2560" t="s">
        <v>75</v>
      </c>
      <c r="M2560" t="s">
        <v>76</v>
      </c>
      <c r="N2560" t="s">
        <v>1570</v>
      </c>
      <c r="O2560" t="s">
        <v>104</v>
      </c>
      <c r="P2560" t="str">
        <f>"2170722088                    "</f>
        <v xml:space="preserve">2170722088                    </v>
      </c>
      <c r="Q2560">
        <v>0</v>
      </c>
      <c r="R2560">
        <v>0</v>
      </c>
      <c r="S2560">
        <v>0</v>
      </c>
      <c r="T2560">
        <v>0</v>
      </c>
      <c r="U2560">
        <v>0</v>
      </c>
      <c r="V2560">
        <v>0</v>
      </c>
      <c r="W2560">
        <v>0</v>
      </c>
      <c r="X2560">
        <v>0</v>
      </c>
      <c r="Y2560">
        <v>0</v>
      </c>
      <c r="Z2560">
        <v>0</v>
      </c>
      <c r="AA2560">
        <v>0</v>
      </c>
      <c r="AB2560">
        <v>0</v>
      </c>
      <c r="AC2560">
        <v>0</v>
      </c>
      <c r="AD2560">
        <v>0</v>
      </c>
      <c r="AE2560">
        <v>0</v>
      </c>
      <c r="AF2560">
        <v>0</v>
      </c>
      <c r="AG2560">
        <v>0</v>
      </c>
      <c r="AH2560">
        <v>0</v>
      </c>
      <c r="AI2560">
        <v>0</v>
      </c>
      <c r="AJ2560">
        <v>0</v>
      </c>
      <c r="AK2560">
        <v>0</v>
      </c>
      <c r="AL2560">
        <v>0</v>
      </c>
      <c r="AM2560">
        <v>18.53</v>
      </c>
      <c r="AN2560">
        <v>0</v>
      </c>
      <c r="AO2560">
        <v>0</v>
      </c>
      <c r="AP2560">
        <v>0</v>
      </c>
      <c r="AQ2560">
        <v>0</v>
      </c>
      <c r="AR2560">
        <v>0</v>
      </c>
      <c r="AS2560">
        <v>0</v>
      </c>
      <c r="AT2560">
        <v>0</v>
      </c>
      <c r="AU2560">
        <v>0</v>
      </c>
      <c r="AV2560">
        <v>0</v>
      </c>
      <c r="AW2560">
        <v>0</v>
      </c>
      <c r="AX2560">
        <v>0</v>
      </c>
      <c r="AY2560">
        <v>0</v>
      </c>
      <c r="AZ2560">
        <v>0</v>
      </c>
      <c r="BA2560">
        <v>0</v>
      </c>
      <c r="BB2560">
        <v>0</v>
      </c>
      <c r="BC2560">
        <v>0</v>
      </c>
      <c r="BD2560">
        <v>0</v>
      </c>
      <c r="BE2560">
        <v>0</v>
      </c>
      <c r="BF2560">
        <v>0</v>
      </c>
      <c r="BG2560">
        <v>0</v>
      </c>
      <c r="BH2560">
        <v>1</v>
      </c>
      <c r="BI2560">
        <v>12.1</v>
      </c>
      <c r="BJ2560">
        <v>30.3</v>
      </c>
      <c r="BK2560">
        <v>31</v>
      </c>
      <c r="BL2560" s="4">
        <v>113.93</v>
      </c>
      <c r="BM2560" s="4">
        <v>17.09</v>
      </c>
      <c r="BN2560" s="4">
        <v>131.02000000000001</v>
      </c>
      <c r="BO2560" s="4">
        <v>131.02000000000001</v>
      </c>
      <c r="BQ2560" t="s">
        <v>1571</v>
      </c>
      <c r="BR2560" t="s">
        <v>105</v>
      </c>
      <c r="BS2560" s="3">
        <v>43819</v>
      </c>
      <c r="BT2560" s="5">
        <v>0.34861111111111115</v>
      </c>
      <c r="BU2560" t="s">
        <v>1547</v>
      </c>
      <c r="BV2560" t="s">
        <v>86</v>
      </c>
      <c r="BY2560">
        <v>151576.10999999999</v>
      </c>
      <c r="CA2560" t="s">
        <v>661</v>
      </c>
      <c r="CC2560" t="s">
        <v>76</v>
      </c>
      <c r="CD2560">
        <v>1609</v>
      </c>
      <c r="CE2560" t="s">
        <v>116</v>
      </c>
      <c r="CF2560" s="3">
        <v>43822</v>
      </c>
      <c r="CI2560">
        <v>1</v>
      </c>
      <c r="CJ2560">
        <v>1</v>
      </c>
      <c r="CK2560" t="s">
        <v>123</v>
      </c>
      <c r="CL2560" t="s">
        <v>89</v>
      </c>
    </row>
    <row r="2561" spans="1:90">
      <c r="A2561" t="s">
        <v>72</v>
      </c>
      <c r="B2561" t="s">
        <v>73</v>
      </c>
      <c r="C2561" t="s">
        <v>74</v>
      </c>
      <c r="E2561" t="str">
        <f>"FES1162727774"</f>
        <v>FES1162727774</v>
      </c>
      <c r="F2561" s="3">
        <v>43810</v>
      </c>
      <c r="G2561">
        <v>202006</v>
      </c>
      <c r="H2561" t="s">
        <v>75</v>
      </c>
      <c r="I2561" t="s">
        <v>76</v>
      </c>
      <c r="J2561" t="s">
        <v>100</v>
      </c>
      <c r="K2561" t="s">
        <v>78</v>
      </c>
      <c r="L2561" t="s">
        <v>101</v>
      </c>
      <c r="M2561" t="s">
        <v>102</v>
      </c>
      <c r="N2561" t="s">
        <v>1994</v>
      </c>
      <c r="O2561" t="s">
        <v>104</v>
      </c>
      <c r="P2561" t="str">
        <f>"21707121626                   "</f>
        <v xml:space="preserve">21707121626                   </v>
      </c>
      <c r="Q2561">
        <v>0</v>
      </c>
      <c r="R2561">
        <v>0</v>
      </c>
      <c r="S2561">
        <v>0</v>
      </c>
      <c r="T2561">
        <v>0</v>
      </c>
      <c r="U2561">
        <v>0</v>
      </c>
      <c r="V2561">
        <v>0</v>
      </c>
      <c r="W2561">
        <v>0</v>
      </c>
      <c r="X2561">
        <v>0</v>
      </c>
      <c r="Y2561">
        <v>0</v>
      </c>
      <c r="Z2561">
        <v>0</v>
      </c>
      <c r="AA2561">
        <v>0</v>
      </c>
      <c r="AB2561">
        <v>0</v>
      </c>
      <c r="AC2561">
        <v>0</v>
      </c>
      <c r="AD2561">
        <v>0</v>
      </c>
      <c r="AE2561">
        <v>0</v>
      </c>
      <c r="AF2561">
        <v>0</v>
      </c>
      <c r="AG2561">
        <v>0</v>
      </c>
      <c r="AH2561">
        <v>0</v>
      </c>
      <c r="AI2561">
        <v>0</v>
      </c>
      <c r="AJ2561">
        <v>0</v>
      </c>
      <c r="AK2561">
        <v>0</v>
      </c>
      <c r="AL2561">
        <v>0</v>
      </c>
      <c r="AM2561">
        <v>14.75</v>
      </c>
      <c r="AN2561">
        <v>0</v>
      </c>
      <c r="AO2561">
        <v>0</v>
      </c>
      <c r="AP2561">
        <v>0</v>
      </c>
      <c r="AQ2561">
        <v>0</v>
      </c>
      <c r="AR2561">
        <v>0</v>
      </c>
      <c r="AS2561">
        <v>0</v>
      </c>
      <c r="AT2561">
        <v>0</v>
      </c>
      <c r="AU2561">
        <v>0</v>
      </c>
      <c r="AV2561">
        <v>0</v>
      </c>
      <c r="AW2561">
        <v>0</v>
      </c>
      <c r="AX2561">
        <v>0</v>
      </c>
      <c r="AY2561">
        <v>0</v>
      </c>
      <c r="AZ2561">
        <v>0</v>
      </c>
      <c r="BA2561">
        <v>0</v>
      </c>
      <c r="BB2561">
        <v>0</v>
      </c>
      <c r="BC2561">
        <v>0</v>
      </c>
      <c r="BD2561">
        <v>0</v>
      </c>
      <c r="BE2561">
        <v>0</v>
      </c>
      <c r="BF2561">
        <v>0</v>
      </c>
      <c r="BG2561">
        <v>0</v>
      </c>
      <c r="BH2561">
        <v>1</v>
      </c>
      <c r="BI2561">
        <v>5.2</v>
      </c>
      <c r="BJ2561">
        <v>2.7</v>
      </c>
      <c r="BK2561">
        <v>6</v>
      </c>
      <c r="BL2561" s="4">
        <v>91.71</v>
      </c>
      <c r="BM2561" s="4">
        <v>13.76</v>
      </c>
      <c r="BN2561" s="4">
        <v>105.47</v>
      </c>
      <c r="BO2561" s="4">
        <v>105.47</v>
      </c>
      <c r="BQ2561" t="s">
        <v>93</v>
      </c>
      <c r="BR2561" t="s">
        <v>105</v>
      </c>
      <c r="BS2561" s="3">
        <v>43811</v>
      </c>
      <c r="BT2561" s="5">
        <v>0.40069444444444446</v>
      </c>
      <c r="BU2561" t="s">
        <v>2647</v>
      </c>
      <c r="BV2561" t="s">
        <v>86</v>
      </c>
      <c r="BY2561">
        <v>13701.89</v>
      </c>
      <c r="CA2561" t="s">
        <v>1357</v>
      </c>
      <c r="CC2561" t="s">
        <v>102</v>
      </c>
      <c r="CD2561">
        <v>200</v>
      </c>
      <c r="CE2561" t="s">
        <v>116</v>
      </c>
      <c r="CF2561" s="3">
        <v>43812</v>
      </c>
      <c r="CI2561">
        <v>0</v>
      </c>
      <c r="CJ2561">
        <v>0</v>
      </c>
      <c r="CK2561" t="s">
        <v>108</v>
      </c>
      <c r="CL2561" t="s">
        <v>89</v>
      </c>
    </row>
    <row r="2562" spans="1:90">
      <c r="A2562" t="s">
        <v>72</v>
      </c>
      <c r="B2562" t="s">
        <v>73</v>
      </c>
      <c r="C2562" t="s">
        <v>74</v>
      </c>
      <c r="E2562" t="str">
        <f>"FES1162728893"</f>
        <v>FES1162728893</v>
      </c>
      <c r="F2562" s="3">
        <v>43817</v>
      </c>
      <c r="G2562">
        <v>202006</v>
      </c>
      <c r="H2562" t="s">
        <v>75</v>
      </c>
      <c r="I2562" t="s">
        <v>76</v>
      </c>
      <c r="J2562" t="s">
        <v>100</v>
      </c>
      <c r="K2562" t="s">
        <v>78</v>
      </c>
      <c r="L2562" t="s">
        <v>132</v>
      </c>
      <c r="M2562" t="s">
        <v>133</v>
      </c>
      <c r="N2562" t="s">
        <v>2006</v>
      </c>
      <c r="O2562" t="s">
        <v>104</v>
      </c>
      <c r="P2562" t="str">
        <f>"2107200040                    "</f>
        <v xml:space="preserve">2107200040                    </v>
      </c>
      <c r="Q2562">
        <v>0</v>
      </c>
      <c r="R2562">
        <v>0</v>
      </c>
      <c r="S2562">
        <v>0</v>
      </c>
      <c r="T2562">
        <v>0</v>
      </c>
      <c r="U2562">
        <v>0</v>
      </c>
      <c r="V2562">
        <v>0</v>
      </c>
      <c r="W2562">
        <v>0</v>
      </c>
      <c r="X2562">
        <v>0</v>
      </c>
      <c r="Y2562">
        <v>0</v>
      </c>
      <c r="Z2562">
        <v>0</v>
      </c>
      <c r="AA2562">
        <v>0</v>
      </c>
      <c r="AB2562">
        <v>0</v>
      </c>
      <c r="AC2562">
        <v>0</v>
      </c>
      <c r="AD2562">
        <v>0</v>
      </c>
      <c r="AE2562">
        <v>0</v>
      </c>
      <c r="AF2562">
        <v>0</v>
      </c>
      <c r="AG2562">
        <v>0</v>
      </c>
      <c r="AH2562">
        <v>0</v>
      </c>
      <c r="AI2562">
        <v>0</v>
      </c>
      <c r="AJ2562">
        <v>0</v>
      </c>
      <c r="AK2562">
        <v>0</v>
      </c>
      <c r="AL2562">
        <v>0</v>
      </c>
      <c r="AM2562">
        <v>14.75</v>
      </c>
      <c r="AN2562">
        <v>0</v>
      </c>
      <c r="AO2562">
        <v>0</v>
      </c>
      <c r="AP2562">
        <v>0</v>
      </c>
      <c r="AQ2562">
        <v>0</v>
      </c>
      <c r="AR2562">
        <v>0</v>
      </c>
      <c r="AS2562">
        <v>0</v>
      </c>
      <c r="AT2562">
        <v>0</v>
      </c>
      <c r="AU2562">
        <v>0</v>
      </c>
      <c r="AV2562">
        <v>0</v>
      </c>
      <c r="AW2562">
        <v>0</v>
      </c>
      <c r="AX2562">
        <v>0</v>
      </c>
      <c r="AY2562">
        <v>0</v>
      </c>
      <c r="AZ2562">
        <v>0</v>
      </c>
      <c r="BA2562">
        <v>0</v>
      </c>
      <c r="BB2562">
        <v>0</v>
      </c>
      <c r="BC2562">
        <v>0</v>
      </c>
      <c r="BD2562">
        <v>0</v>
      </c>
      <c r="BE2562">
        <v>0</v>
      </c>
      <c r="BF2562">
        <v>0</v>
      </c>
      <c r="BG2562">
        <v>0</v>
      </c>
      <c r="BH2562">
        <v>1</v>
      </c>
      <c r="BI2562">
        <v>3</v>
      </c>
      <c r="BJ2562">
        <v>6.5</v>
      </c>
      <c r="BK2562">
        <v>7</v>
      </c>
      <c r="BL2562" s="4">
        <v>91.71</v>
      </c>
      <c r="BM2562" s="4">
        <v>13.76</v>
      </c>
      <c r="BN2562" s="4">
        <v>105.47</v>
      </c>
      <c r="BO2562" s="4">
        <v>105.47</v>
      </c>
      <c r="BR2562" t="s">
        <v>105</v>
      </c>
      <c r="BS2562" s="3">
        <v>43818</v>
      </c>
      <c r="BT2562" s="5">
        <v>0.38750000000000001</v>
      </c>
      <c r="BU2562" t="s">
        <v>2136</v>
      </c>
      <c r="BV2562" t="s">
        <v>86</v>
      </c>
      <c r="BY2562">
        <v>32490</v>
      </c>
      <c r="CA2562" t="s">
        <v>2137</v>
      </c>
      <c r="CC2562" t="s">
        <v>133</v>
      </c>
      <c r="CD2562">
        <v>157</v>
      </c>
      <c r="CE2562" t="s">
        <v>116</v>
      </c>
      <c r="CF2562" s="3">
        <v>43819</v>
      </c>
      <c r="CI2562">
        <v>0</v>
      </c>
      <c r="CJ2562">
        <v>0</v>
      </c>
      <c r="CK2562" t="s">
        <v>108</v>
      </c>
      <c r="CL2562" t="s">
        <v>89</v>
      </c>
    </row>
    <row r="2563" spans="1:90">
      <c r="A2563" t="s">
        <v>72</v>
      </c>
      <c r="B2563" t="s">
        <v>73</v>
      </c>
      <c r="C2563" t="s">
        <v>74</v>
      </c>
      <c r="E2563" t="str">
        <f>"FES1162727666"</f>
        <v>FES1162727666</v>
      </c>
      <c r="F2563" s="3">
        <v>43810</v>
      </c>
      <c r="G2563">
        <v>202006</v>
      </c>
      <c r="H2563" t="s">
        <v>75</v>
      </c>
      <c r="I2563" t="s">
        <v>76</v>
      </c>
      <c r="J2563" t="s">
        <v>100</v>
      </c>
      <c r="K2563" t="s">
        <v>78</v>
      </c>
      <c r="L2563" t="s">
        <v>383</v>
      </c>
      <c r="M2563" t="s">
        <v>384</v>
      </c>
      <c r="N2563" t="s">
        <v>2648</v>
      </c>
      <c r="O2563" t="s">
        <v>104</v>
      </c>
      <c r="P2563" t="str">
        <f>"21707102117                   "</f>
        <v xml:space="preserve">21707102117                   </v>
      </c>
      <c r="Q2563">
        <v>0</v>
      </c>
      <c r="R2563">
        <v>0</v>
      </c>
      <c r="S2563">
        <v>0</v>
      </c>
      <c r="T2563">
        <v>0</v>
      </c>
      <c r="U2563">
        <v>0</v>
      </c>
      <c r="V2563">
        <v>0</v>
      </c>
      <c r="W2563">
        <v>0</v>
      </c>
      <c r="X2563">
        <v>0</v>
      </c>
      <c r="Y2563">
        <v>0</v>
      </c>
      <c r="Z2563">
        <v>0</v>
      </c>
      <c r="AA2563">
        <v>0</v>
      </c>
      <c r="AB2563">
        <v>0</v>
      </c>
      <c r="AC2563">
        <v>0</v>
      </c>
      <c r="AD2563">
        <v>0</v>
      </c>
      <c r="AE2563">
        <v>0</v>
      </c>
      <c r="AF2563">
        <v>0</v>
      </c>
      <c r="AG2563">
        <v>0</v>
      </c>
      <c r="AH2563">
        <v>0</v>
      </c>
      <c r="AI2563">
        <v>0</v>
      </c>
      <c r="AJ2563">
        <v>0</v>
      </c>
      <c r="AK2563">
        <v>0</v>
      </c>
      <c r="AL2563">
        <v>0</v>
      </c>
      <c r="AM2563">
        <v>40.67</v>
      </c>
      <c r="AN2563">
        <v>0</v>
      </c>
      <c r="AO2563">
        <v>0</v>
      </c>
      <c r="AP2563">
        <v>0</v>
      </c>
      <c r="AQ2563">
        <v>0</v>
      </c>
      <c r="AR2563">
        <v>0</v>
      </c>
      <c r="AS2563">
        <v>0</v>
      </c>
      <c r="AT2563">
        <v>0</v>
      </c>
      <c r="AU2563">
        <v>0</v>
      </c>
      <c r="AV2563">
        <v>0</v>
      </c>
      <c r="AW2563">
        <v>0</v>
      </c>
      <c r="AX2563">
        <v>0</v>
      </c>
      <c r="AY2563">
        <v>0</v>
      </c>
      <c r="AZ2563">
        <v>0</v>
      </c>
      <c r="BA2563">
        <v>0</v>
      </c>
      <c r="BB2563">
        <v>0</v>
      </c>
      <c r="BC2563">
        <v>0</v>
      </c>
      <c r="BD2563">
        <v>0</v>
      </c>
      <c r="BE2563">
        <v>0</v>
      </c>
      <c r="BF2563">
        <v>0</v>
      </c>
      <c r="BG2563">
        <v>0</v>
      </c>
      <c r="BH2563">
        <v>1</v>
      </c>
      <c r="BI2563">
        <v>14.4</v>
      </c>
      <c r="BJ2563">
        <v>30.5</v>
      </c>
      <c r="BK2563">
        <v>31</v>
      </c>
      <c r="BL2563" s="4">
        <v>244.05</v>
      </c>
      <c r="BM2563" s="4">
        <v>36.61</v>
      </c>
      <c r="BN2563" s="4">
        <v>280.66000000000003</v>
      </c>
      <c r="BO2563" s="4">
        <v>280.66000000000003</v>
      </c>
      <c r="BR2563" t="s">
        <v>105</v>
      </c>
      <c r="BS2563" s="3">
        <v>43811</v>
      </c>
      <c r="BT2563" s="5">
        <v>0.41666666666666669</v>
      </c>
      <c r="BU2563" t="s">
        <v>2649</v>
      </c>
      <c r="BV2563" t="s">
        <v>86</v>
      </c>
      <c r="BY2563">
        <v>152344.4</v>
      </c>
      <c r="CC2563" t="s">
        <v>384</v>
      </c>
      <c r="CD2563">
        <v>5319</v>
      </c>
      <c r="CE2563" t="s">
        <v>96</v>
      </c>
      <c r="CF2563" s="3">
        <v>43816</v>
      </c>
      <c r="CI2563">
        <v>4</v>
      </c>
      <c r="CJ2563">
        <v>1</v>
      </c>
      <c r="CK2563" t="s">
        <v>2650</v>
      </c>
      <c r="CL2563" t="s">
        <v>89</v>
      </c>
    </row>
    <row r="2564" spans="1:90">
      <c r="A2564" t="s">
        <v>72</v>
      </c>
      <c r="B2564" t="s">
        <v>73</v>
      </c>
      <c r="C2564" t="s">
        <v>74</v>
      </c>
      <c r="E2564" t="str">
        <f>"FES1162728837"</f>
        <v>FES1162728837</v>
      </c>
      <c r="F2564" s="3">
        <v>43818</v>
      </c>
      <c r="G2564">
        <v>202006</v>
      </c>
      <c r="H2564" t="s">
        <v>75</v>
      </c>
      <c r="I2564" t="s">
        <v>76</v>
      </c>
      <c r="J2564" t="s">
        <v>100</v>
      </c>
      <c r="K2564" t="s">
        <v>78</v>
      </c>
      <c r="L2564" t="s">
        <v>164</v>
      </c>
      <c r="M2564" t="s">
        <v>165</v>
      </c>
      <c r="N2564" t="s">
        <v>658</v>
      </c>
      <c r="O2564" t="s">
        <v>104</v>
      </c>
      <c r="P2564" t="str">
        <f>"2170720126                    "</f>
        <v xml:space="preserve">2170720126                    </v>
      </c>
      <c r="Q2564">
        <v>0</v>
      </c>
      <c r="R2564">
        <v>0</v>
      </c>
      <c r="S2564">
        <v>0</v>
      </c>
      <c r="T2564">
        <v>0</v>
      </c>
      <c r="U2564">
        <v>0</v>
      </c>
      <c r="V2564">
        <v>0</v>
      </c>
      <c r="W2564">
        <v>0</v>
      </c>
      <c r="X2564">
        <v>0</v>
      </c>
      <c r="Y2564">
        <v>0</v>
      </c>
      <c r="Z2564">
        <v>0</v>
      </c>
      <c r="AA2564">
        <v>0</v>
      </c>
      <c r="AB2564">
        <v>0</v>
      </c>
      <c r="AC2564">
        <v>0</v>
      </c>
      <c r="AD2564">
        <v>0</v>
      </c>
      <c r="AE2564">
        <v>0</v>
      </c>
      <c r="AF2564">
        <v>0</v>
      </c>
      <c r="AG2564">
        <v>0</v>
      </c>
      <c r="AH2564">
        <v>0</v>
      </c>
      <c r="AI2564">
        <v>0</v>
      </c>
      <c r="AJ2564">
        <v>0</v>
      </c>
      <c r="AK2564">
        <v>0</v>
      </c>
      <c r="AL2564">
        <v>0</v>
      </c>
      <c r="AM2564">
        <v>23.59</v>
      </c>
      <c r="AN2564">
        <v>0</v>
      </c>
      <c r="AO2564">
        <v>0</v>
      </c>
      <c r="AP2564">
        <v>0</v>
      </c>
      <c r="AQ2564">
        <v>0</v>
      </c>
      <c r="AR2564">
        <v>0</v>
      </c>
      <c r="AS2564">
        <v>0</v>
      </c>
      <c r="AT2564">
        <v>0</v>
      </c>
      <c r="AU2564">
        <v>0</v>
      </c>
      <c r="AV2564">
        <v>0</v>
      </c>
      <c r="AW2564">
        <v>0</v>
      </c>
      <c r="AX2564">
        <v>0</v>
      </c>
      <c r="AY2564">
        <v>0</v>
      </c>
      <c r="AZ2564">
        <v>0</v>
      </c>
      <c r="BA2564">
        <v>0</v>
      </c>
      <c r="BB2564">
        <v>0</v>
      </c>
      <c r="BC2564">
        <v>0</v>
      </c>
      <c r="BD2564">
        <v>0</v>
      </c>
      <c r="BE2564">
        <v>0</v>
      </c>
      <c r="BF2564">
        <v>0</v>
      </c>
      <c r="BG2564">
        <v>0</v>
      </c>
      <c r="BH2564">
        <v>3</v>
      </c>
      <c r="BI2564">
        <v>18.2</v>
      </c>
      <c r="BJ2564">
        <v>23</v>
      </c>
      <c r="BK2564">
        <v>23</v>
      </c>
      <c r="BL2564" s="4">
        <v>143.66</v>
      </c>
      <c r="BM2564" s="4">
        <v>21.55</v>
      </c>
      <c r="BN2564" s="4">
        <v>165.21</v>
      </c>
      <c r="BO2564" s="4">
        <v>165.21</v>
      </c>
      <c r="BR2564" t="s">
        <v>105</v>
      </c>
      <c r="BS2564" s="3">
        <v>43819</v>
      </c>
      <c r="BT2564" s="5">
        <v>0.37152777777777773</v>
      </c>
      <c r="BU2564" t="s">
        <v>1988</v>
      </c>
      <c r="BV2564" t="s">
        <v>86</v>
      </c>
      <c r="BY2564">
        <v>114872.05</v>
      </c>
      <c r="CA2564" t="s">
        <v>1989</v>
      </c>
      <c r="CC2564" t="s">
        <v>165</v>
      </c>
      <c r="CD2564">
        <v>5200</v>
      </c>
      <c r="CE2564" t="s">
        <v>2099</v>
      </c>
      <c r="CF2564" s="3">
        <v>43822</v>
      </c>
      <c r="CI2564">
        <v>2</v>
      </c>
      <c r="CJ2564">
        <v>1</v>
      </c>
      <c r="CK2564" t="s">
        <v>1070</v>
      </c>
      <c r="CL2564" t="s">
        <v>89</v>
      </c>
    </row>
    <row r="2565" spans="1:90">
      <c r="A2565" t="s">
        <v>72</v>
      </c>
      <c r="B2565" t="s">
        <v>73</v>
      </c>
      <c r="C2565" t="s">
        <v>74</v>
      </c>
      <c r="E2565" t="str">
        <f>"FES1162727766"</f>
        <v>FES1162727766</v>
      </c>
      <c r="F2565" s="3">
        <v>43810</v>
      </c>
      <c r="G2565">
        <v>202006</v>
      </c>
      <c r="H2565" t="s">
        <v>75</v>
      </c>
      <c r="I2565" t="s">
        <v>76</v>
      </c>
      <c r="J2565" t="s">
        <v>100</v>
      </c>
      <c r="K2565" t="s">
        <v>78</v>
      </c>
      <c r="L2565" t="s">
        <v>79</v>
      </c>
      <c r="M2565" t="s">
        <v>80</v>
      </c>
      <c r="N2565" t="s">
        <v>1101</v>
      </c>
      <c r="O2565" t="s">
        <v>104</v>
      </c>
      <c r="P2565" t="str">
        <f>"2170721251                    "</f>
        <v xml:space="preserve">2170721251                    </v>
      </c>
      <c r="Q2565">
        <v>0</v>
      </c>
      <c r="R2565">
        <v>0</v>
      </c>
      <c r="S2565">
        <v>0</v>
      </c>
      <c r="T2565">
        <v>0</v>
      </c>
      <c r="U2565">
        <v>0</v>
      </c>
      <c r="V2565">
        <v>0</v>
      </c>
      <c r="W2565">
        <v>0</v>
      </c>
      <c r="X2565">
        <v>0</v>
      </c>
      <c r="Y2565">
        <v>0</v>
      </c>
      <c r="Z2565">
        <v>0</v>
      </c>
      <c r="AA2565">
        <v>0</v>
      </c>
      <c r="AB2565">
        <v>0</v>
      </c>
      <c r="AC2565">
        <v>0</v>
      </c>
      <c r="AD2565">
        <v>0</v>
      </c>
      <c r="AE2565">
        <v>0</v>
      </c>
      <c r="AF2565">
        <v>0</v>
      </c>
      <c r="AG2565">
        <v>0</v>
      </c>
      <c r="AH2565">
        <v>0</v>
      </c>
      <c r="AI2565">
        <v>0</v>
      </c>
      <c r="AJ2565">
        <v>0</v>
      </c>
      <c r="AK2565">
        <v>0</v>
      </c>
      <c r="AL2565">
        <v>0</v>
      </c>
      <c r="AM2565">
        <v>28.86</v>
      </c>
      <c r="AN2565">
        <v>0</v>
      </c>
      <c r="AO2565">
        <v>0</v>
      </c>
      <c r="AP2565">
        <v>0</v>
      </c>
      <c r="AQ2565">
        <v>0</v>
      </c>
      <c r="AR2565">
        <v>0</v>
      </c>
      <c r="AS2565">
        <v>0</v>
      </c>
      <c r="AT2565">
        <v>0</v>
      </c>
      <c r="AU2565">
        <v>0</v>
      </c>
      <c r="AV2565">
        <v>0</v>
      </c>
      <c r="AW2565">
        <v>0</v>
      </c>
      <c r="AX2565">
        <v>0</v>
      </c>
      <c r="AY2565">
        <v>0</v>
      </c>
      <c r="AZ2565">
        <v>0</v>
      </c>
      <c r="BA2565">
        <v>0</v>
      </c>
      <c r="BB2565">
        <v>0</v>
      </c>
      <c r="BC2565">
        <v>0</v>
      </c>
      <c r="BD2565">
        <v>0</v>
      </c>
      <c r="BE2565">
        <v>0</v>
      </c>
      <c r="BF2565">
        <v>0</v>
      </c>
      <c r="BG2565">
        <v>0</v>
      </c>
      <c r="BH2565">
        <v>1</v>
      </c>
      <c r="BI2565">
        <v>12.3</v>
      </c>
      <c r="BJ2565">
        <v>29.9</v>
      </c>
      <c r="BK2565">
        <v>30</v>
      </c>
      <c r="BL2565" s="4">
        <v>174.62</v>
      </c>
      <c r="BM2565" s="4">
        <v>26.19</v>
      </c>
      <c r="BN2565" s="4">
        <v>200.81</v>
      </c>
      <c r="BO2565" s="4">
        <v>200.81</v>
      </c>
      <c r="BQ2565" t="s">
        <v>93</v>
      </c>
      <c r="BR2565" t="s">
        <v>105</v>
      </c>
      <c r="BS2565" s="3">
        <v>43811</v>
      </c>
      <c r="BT2565" s="5">
        <v>0.39583333333333331</v>
      </c>
      <c r="BU2565" t="s">
        <v>1120</v>
      </c>
      <c r="BV2565" t="s">
        <v>86</v>
      </c>
      <c r="BY2565">
        <v>149669.85999999999</v>
      </c>
      <c r="CA2565" t="s">
        <v>419</v>
      </c>
      <c r="CC2565" t="s">
        <v>80</v>
      </c>
      <c r="CD2565">
        <v>6001</v>
      </c>
      <c r="CE2565" t="s">
        <v>96</v>
      </c>
      <c r="CF2565" s="3">
        <v>43812</v>
      </c>
      <c r="CI2565">
        <v>2</v>
      </c>
      <c r="CJ2565">
        <v>1</v>
      </c>
      <c r="CK2565" t="s">
        <v>113</v>
      </c>
      <c r="CL2565" t="s">
        <v>89</v>
      </c>
    </row>
    <row r="2566" spans="1:90">
      <c r="A2566" t="s">
        <v>72</v>
      </c>
      <c r="B2566" t="s">
        <v>73</v>
      </c>
      <c r="C2566" t="s">
        <v>74</v>
      </c>
      <c r="E2566" t="str">
        <f>"FES1162729089"</f>
        <v>FES1162729089</v>
      </c>
      <c r="F2566" s="3">
        <v>43819</v>
      </c>
      <c r="G2566">
        <v>202006</v>
      </c>
      <c r="H2566" t="s">
        <v>75</v>
      </c>
      <c r="I2566" t="s">
        <v>76</v>
      </c>
      <c r="J2566" t="s">
        <v>100</v>
      </c>
      <c r="K2566" t="s">
        <v>78</v>
      </c>
      <c r="L2566" t="s">
        <v>340</v>
      </c>
      <c r="M2566" t="s">
        <v>341</v>
      </c>
      <c r="N2566" t="s">
        <v>2021</v>
      </c>
      <c r="O2566" t="s">
        <v>104</v>
      </c>
      <c r="P2566" t="str">
        <f>"2170720450                    "</f>
        <v xml:space="preserve">2170720450                    </v>
      </c>
      <c r="Q2566">
        <v>0</v>
      </c>
      <c r="R2566">
        <v>0</v>
      </c>
      <c r="S2566">
        <v>0</v>
      </c>
      <c r="T2566">
        <v>0</v>
      </c>
      <c r="U2566">
        <v>0</v>
      </c>
      <c r="V2566">
        <v>0</v>
      </c>
      <c r="W2566">
        <v>0</v>
      </c>
      <c r="X2566">
        <v>0</v>
      </c>
      <c r="Y2566">
        <v>0</v>
      </c>
      <c r="Z2566">
        <v>0</v>
      </c>
      <c r="AA2566">
        <v>0</v>
      </c>
      <c r="AB2566">
        <v>0</v>
      </c>
      <c r="AC2566">
        <v>0</v>
      </c>
      <c r="AD2566">
        <v>0</v>
      </c>
      <c r="AE2566">
        <v>0</v>
      </c>
      <c r="AF2566">
        <v>0</v>
      </c>
      <c r="AG2566">
        <v>0</v>
      </c>
      <c r="AH2566">
        <v>0</v>
      </c>
      <c r="AI2566">
        <v>0</v>
      </c>
      <c r="AJ2566">
        <v>0</v>
      </c>
      <c r="AK2566">
        <v>0</v>
      </c>
      <c r="AL2566">
        <v>0</v>
      </c>
      <c r="AM2566">
        <v>16.09</v>
      </c>
      <c r="AN2566">
        <v>0</v>
      </c>
      <c r="AO2566">
        <v>0</v>
      </c>
      <c r="AP2566">
        <v>0</v>
      </c>
      <c r="AQ2566">
        <v>0</v>
      </c>
      <c r="AR2566">
        <v>0</v>
      </c>
      <c r="AS2566">
        <v>0</v>
      </c>
      <c r="AT2566">
        <v>0</v>
      </c>
      <c r="AU2566">
        <v>0</v>
      </c>
      <c r="AV2566">
        <v>0</v>
      </c>
      <c r="AW2566">
        <v>0</v>
      </c>
      <c r="AX2566">
        <v>0</v>
      </c>
      <c r="AY2566">
        <v>0</v>
      </c>
      <c r="AZ2566">
        <v>0</v>
      </c>
      <c r="BA2566">
        <v>0</v>
      </c>
      <c r="BB2566">
        <v>0</v>
      </c>
      <c r="BC2566">
        <v>0</v>
      </c>
      <c r="BD2566">
        <v>0</v>
      </c>
      <c r="BE2566">
        <v>0</v>
      </c>
      <c r="BF2566">
        <v>0</v>
      </c>
      <c r="BG2566">
        <v>0</v>
      </c>
      <c r="BH2566">
        <v>1</v>
      </c>
      <c r="BI2566">
        <v>3.6</v>
      </c>
      <c r="BJ2566">
        <v>1.3</v>
      </c>
      <c r="BK2566">
        <v>4</v>
      </c>
      <c r="BL2566" s="4">
        <v>99.59</v>
      </c>
      <c r="BM2566" s="4">
        <v>14.94</v>
      </c>
      <c r="BN2566" s="4">
        <v>114.53</v>
      </c>
      <c r="BO2566" s="4">
        <v>114.53</v>
      </c>
      <c r="BQ2566" t="s">
        <v>93</v>
      </c>
      <c r="BR2566" t="s">
        <v>105</v>
      </c>
      <c r="BS2566" s="3">
        <v>43822</v>
      </c>
      <c r="BT2566" s="5">
        <v>0.41666666666666669</v>
      </c>
      <c r="BU2566" t="s">
        <v>2651</v>
      </c>
      <c r="BV2566" t="s">
        <v>86</v>
      </c>
      <c r="BY2566">
        <v>6495.54</v>
      </c>
      <c r="CC2566" t="s">
        <v>341</v>
      </c>
      <c r="CD2566">
        <v>1947</v>
      </c>
      <c r="CE2566" t="s">
        <v>96</v>
      </c>
      <c r="CF2566" s="3">
        <v>43823</v>
      </c>
      <c r="CI2566">
        <v>1</v>
      </c>
      <c r="CJ2566">
        <v>1</v>
      </c>
      <c r="CK2566" t="s">
        <v>740</v>
      </c>
      <c r="CL2566" t="s">
        <v>89</v>
      </c>
    </row>
    <row r="2567" spans="1:90">
      <c r="A2567" t="s">
        <v>72</v>
      </c>
      <c r="B2567" t="s">
        <v>73</v>
      </c>
      <c r="C2567" t="s">
        <v>74</v>
      </c>
      <c r="E2567" t="str">
        <f>"FES1162729470"</f>
        <v>FES1162729470</v>
      </c>
      <c r="F2567" s="3">
        <v>43822</v>
      </c>
      <c r="G2567">
        <v>202006</v>
      </c>
      <c r="H2567" t="s">
        <v>75</v>
      </c>
      <c r="I2567" t="s">
        <v>76</v>
      </c>
      <c r="J2567" t="s">
        <v>100</v>
      </c>
      <c r="K2567" t="s">
        <v>78</v>
      </c>
      <c r="L2567" t="s">
        <v>101</v>
      </c>
      <c r="M2567" t="s">
        <v>102</v>
      </c>
      <c r="N2567" t="s">
        <v>634</v>
      </c>
      <c r="O2567" t="s">
        <v>104</v>
      </c>
      <c r="P2567" t="str">
        <f>"2170721757                    "</f>
        <v xml:space="preserve">2170721757                    </v>
      </c>
      <c r="Q2567">
        <v>0</v>
      </c>
      <c r="R2567">
        <v>0</v>
      </c>
      <c r="S2567">
        <v>0</v>
      </c>
      <c r="T2567">
        <v>0</v>
      </c>
      <c r="U2567">
        <v>0</v>
      </c>
      <c r="V2567">
        <v>0</v>
      </c>
      <c r="W2567">
        <v>0</v>
      </c>
      <c r="X2567">
        <v>0</v>
      </c>
      <c r="Y2567">
        <v>0</v>
      </c>
      <c r="Z2567">
        <v>0</v>
      </c>
      <c r="AA2567">
        <v>0</v>
      </c>
      <c r="AB2567">
        <v>0</v>
      </c>
      <c r="AC2567">
        <v>0</v>
      </c>
      <c r="AD2567">
        <v>0</v>
      </c>
      <c r="AE2567">
        <v>0</v>
      </c>
      <c r="AF2567">
        <v>0</v>
      </c>
      <c r="AG2567">
        <v>0</v>
      </c>
      <c r="AH2567">
        <v>0</v>
      </c>
      <c r="AI2567">
        <v>0</v>
      </c>
      <c r="AJ2567">
        <v>0</v>
      </c>
      <c r="AK2567">
        <v>0</v>
      </c>
      <c r="AL2567">
        <v>0</v>
      </c>
      <c r="AM2567">
        <v>14.75</v>
      </c>
      <c r="AN2567">
        <v>0</v>
      </c>
      <c r="AO2567">
        <v>0</v>
      </c>
      <c r="AP2567">
        <v>0</v>
      </c>
      <c r="AQ2567">
        <v>0</v>
      </c>
      <c r="AR2567">
        <v>0</v>
      </c>
      <c r="AS2567">
        <v>0</v>
      </c>
      <c r="AT2567">
        <v>0</v>
      </c>
      <c r="AU2567">
        <v>0</v>
      </c>
      <c r="AV2567">
        <v>0</v>
      </c>
      <c r="AW2567">
        <v>0</v>
      </c>
      <c r="AX2567">
        <v>0</v>
      </c>
      <c r="AY2567">
        <v>0</v>
      </c>
      <c r="AZ2567">
        <v>0</v>
      </c>
      <c r="BA2567">
        <v>0</v>
      </c>
      <c r="BB2567">
        <v>0</v>
      </c>
      <c r="BC2567">
        <v>0</v>
      </c>
      <c r="BD2567">
        <v>0</v>
      </c>
      <c r="BE2567">
        <v>0</v>
      </c>
      <c r="BF2567">
        <v>0</v>
      </c>
      <c r="BG2567">
        <v>0</v>
      </c>
      <c r="BH2567">
        <v>1</v>
      </c>
      <c r="BI2567">
        <v>5.5</v>
      </c>
      <c r="BJ2567">
        <v>1.8</v>
      </c>
      <c r="BK2567">
        <v>6</v>
      </c>
      <c r="BL2567" s="4">
        <v>91.71</v>
      </c>
      <c r="BM2567" s="4">
        <v>13.76</v>
      </c>
      <c r="BN2567" s="4">
        <v>105.47</v>
      </c>
      <c r="BO2567" s="4">
        <v>105.47</v>
      </c>
      <c r="BQ2567" t="s">
        <v>93</v>
      </c>
      <c r="BR2567" t="s">
        <v>105</v>
      </c>
      <c r="BS2567" s="3">
        <v>43823</v>
      </c>
      <c r="BT2567" s="5">
        <v>0.34375</v>
      </c>
      <c r="BU2567" t="s">
        <v>2573</v>
      </c>
      <c r="BV2567" t="s">
        <v>86</v>
      </c>
      <c r="BY2567">
        <v>9053.35</v>
      </c>
      <c r="CC2567" t="s">
        <v>102</v>
      </c>
      <c r="CD2567">
        <v>200</v>
      </c>
      <c r="CE2567" t="s">
        <v>116</v>
      </c>
      <c r="CF2567" s="3">
        <v>43826</v>
      </c>
      <c r="CI2567">
        <v>0</v>
      </c>
      <c r="CJ2567">
        <v>0</v>
      </c>
      <c r="CK2567" t="s">
        <v>108</v>
      </c>
      <c r="CL2567" t="s">
        <v>89</v>
      </c>
    </row>
    <row r="2568" spans="1:90">
      <c r="A2568" t="s">
        <v>72</v>
      </c>
      <c r="B2568" t="s">
        <v>73</v>
      </c>
      <c r="C2568" t="s">
        <v>74</v>
      </c>
      <c r="E2568" t="str">
        <f>"FES1162729539"</f>
        <v>FES1162729539</v>
      </c>
      <c r="F2568" s="3">
        <v>43823</v>
      </c>
      <c r="G2568">
        <v>202006</v>
      </c>
      <c r="H2568" t="s">
        <v>75</v>
      </c>
      <c r="I2568" t="s">
        <v>76</v>
      </c>
      <c r="J2568" t="s">
        <v>100</v>
      </c>
      <c r="K2568" t="s">
        <v>78</v>
      </c>
      <c r="L2568" t="s">
        <v>109</v>
      </c>
      <c r="M2568" t="s">
        <v>91</v>
      </c>
      <c r="N2568" t="s">
        <v>219</v>
      </c>
      <c r="O2568" t="s">
        <v>104</v>
      </c>
      <c r="P2568" t="str">
        <f>"2170722200                    "</f>
        <v xml:space="preserve">2170722200                    </v>
      </c>
      <c r="Q2568">
        <v>0</v>
      </c>
      <c r="R2568">
        <v>0</v>
      </c>
      <c r="S2568">
        <v>0</v>
      </c>
      <c r="T2568">
        <v>0</v>
      </c>
      <c r="U2568">
        <v>0</v>
      </c>
      <c r="V2568">
        <v>0</v>
      </c>
      <c r="W2568">
        <v>0</v>
      </c>
      <c r="X2568">
        <v>0</v>
      </c>
      <c r="Y2568">
        <v>0</v>
      </c>
      <c r="Z2568">
        <v>0</v>
      </c>
      <c r="AA2568">
        <v>0</v>
      </c>
      <c r="AB2568">
        <v>0</v>
      </c>
      <c r="AC2568">
        <v>0</v>
      </c>
      <c r="AD2568">
        <v>0</v>
      </c>
      <c r="AE2568">
        <v>0</v>
      </c>
      <c r="AF2568">
        <v>0</v>
      </c>
      <c r="AG2568">
        <v>0</v>
      </c>
      <c r="AH2568">
        <v>0</v>
      </c>
      <c r="AI2568">
        <v>0</v>
      </c>
      <c r="AJ2568">
        <v>0</v>
      </c>
      <c r="AK2568">
        <v>0</v>
      </c>
      <c r="AL2568">
        <v>0</v>
      </c>
      <c r="AM2568">
        <v>30.36</v>
      </c>
      <c r="AN2568">
        <v>0</v>
      </c>
      <c r="AO2568">
        <v>0</v>
      </c>
      <c r="AP2568">
        <v>0</v>
      </c>
      <c r="AQ2568">
        <v>0</v>
      </c>
      <c r="AR2568">
        <v>0</v>
      </c>
      <c r="AS2568">
        <v>0</v>
      </c>
      <c r="AT2568">
        <v>0</v>
      </c>
      <c r="AU2568">
        <v>0</v>
      </c>
      <c r="AV2568">
        <v>0</v>
      </c>
      <c r="AW2568">
        <v>0</v>
      </c>
      <c r="AX2568">
        <v>0</v>
      </c>
      <c r="AY2568">
        <v>0</v>
      </c>
      <c r="AZ2568">
        <v>0</v>
      </c>
      <c r="BA2568">
        <v>0</v>
      </c>
      <c r="BB2568">
        <v>0</v>
      </c>
      <c r="BC2568">
        <v>0</v>
      </c>
      <c r="BD2568">
        <v>0</v>
      </c>
      <c r="BE2568">
        <v>0</v>
      </c>
      <c r="BF2568">
        <v>0</v>
      </c>
      <c r="BG2568">
        <v>0</v>
      </c>
      <c r="BH2568">
        <v>1</v>
      </c>
      <c r="BI2568">
        <v>13</v>
      </c>
      <c r="BJ2568">
        <v>31.6</v>
      </c>
      <c r="BK2568">
        <v>32</v>
      </c>
      <c r="BL2568" s="4">
        <v>183.46</v>
      </c>
      <c r="BM2568" s="4">
        <v>27.52</v>
      </c>
      <c r="BN2568" s="4">
        <v>210.98</v>
      </c>
      <c r="BO2568" s="4">
        <v>210.98</v>
      </c>
      <c r="BQ2568" t="s">
        <v>93</v>
      </c>
      <c r="BR2568" t="s">
        <v>105</v>
      </c>
      <c r="BS2568" s="3">
        <v>43836</v>
      </c>
      <c r="BT2568" s="5">
        <v>0.32500000000000001</v>
      </c>
      <c r="BU2568" t="s">
        <v>220</v>
      </c>
      <c r="BY2568">
        <v>157920</v>
      </c>
      <c r="CA2568" t="s">
        <v>112</v>
      </c>
      <c r="CC2568" t="s">
        <v>91</v>
      </c>
      <c r="CD2568">
        <v>7441</v>
      </c>
      <c r="CE2568" t="s">
        <v>96</v>
      </c>
      <c r="CI2568">
        <v>2</v>
      </c>
      <c r="CJ2568">
        <v>2</v>
      </c>
      <c r="CK2568" t="s">
        <v>113</v>
      </c>
      <c r="CL2568" t="s">
        <v>89</v>
      </c>
    </row>
    <row r="2569" spans="1:90">
      <c r="A2569" t="s">
        <v>72</v>
      </c>
      <c r="B2569" t="s">
        <v>73</v>
      </c>
      <c r="C2569" t="s">
        <v>74</v>
      </c>
      <c r="E2569" t="str">
        <f>"FES1162728330"</f>
        <v>FES1162728330</v>
      </c>
      <c r="F2569" s="3">
        <v>43818</v>
      </c>
      <c r="G2569">
        <v>202006</v>
      </c>
      <c r="H2569" t="s">
        <v>75</v>
      </c>
      <c r="I2569" t="s">
        <v>76</v>
      </c>
      <c r="J2569" t="s">
        <v>100</v>
      </c>
      <c r="K2569" t="s">
        <v>78</v>
      </c>
      <c r="L2569" t="s">
        <v>101</v>
      </c>
      <c r="M2569" t="s">
        <v>102</v>
      </c>
      <c r="N2569" t="s">
        <v>1239</v>
      </c>
      <c r="O2569" t="s">
        <v>104</v>
      </c>
      <c r="P2569" t="str">
        <f>"2170719704                    "</f>
        <v xml:space="preserve">2170719704                    </v>
      </c>
      <c r="Q2569">
        <v>0</v>
      </c>
      <c r="R2569">
        <v>0</v>
      </c>
      <c r="S2569">
        <v>0</v>
      </c>
      <c r="T2569">
        <v>0</v>
      </c>
      <c r="U2569">
        <v>0</v>
      </c>
      <c r="V2569">
        <v>0</v>
      </c>
      <c r="W2569">
        <v>0</v>
      </c>
      <c r="X2569">
        <v>0</v>
      </c>
      <c r="Y2569">
        <v>0</v>
      </c>
      <c r="Z2569">
        <v>0</v>
      </c>
      <c r="AA2569">
        <v>0</v>
      </c>
      <c r="AB2569">
        <v>0</v>
      </c>
      <c r="AC2569">
        <v>0</v>
      </c>
      <c r="AD2569">
        <v>0</v>
      </c>
      <c r="AE2569">
        <v>0</v>
      </c>
      <c r="AF2569">
        <v>0</v>
      </c>
      <c r="AG2569">
        <v>0</v>
      </c>
      <c r="AH2569">
        <v>0</v>
      </c>
      <c r="AI2569">
        <v>0</v>
      </c>
      <c r="AJ2569">
        <v>0</v>
      </c>
      <c r="AK2569">
        <v>0</v>
      </c>
      <c r="AL2569">
        <v>0</v>
      </c>
      <c r="AM2569">
        <v>14.75</v>
      </c>
      <c r="AN2569">
        <v>0</v>
      </c>
      <c r="AO2569">
        <v>0</v>
      </c>
      <c r="AP2569">
        <v>0</v>
      </c>
      <c r="AQ2569">
        <v>0</v>
      </c>
      <c r="AR2569">
        <v>0</v>
      </c>
      <c r="AS2569">
        <v>0</v>
      </c>
      <c r="AT2569">
        <v>0</v>
      </c>
      <c r="AU2569">
        <v>0</v>
      </c>
      <c r="AV2569">
        <v>0</v>
      </c>
      <c r="AW2569">
        <v>0</v>
      </c>
      <c r="AX2569">
        <v>0</v>
      </c>
      <c r="AY2569">
        <v>0</v>
      </c>
      <c r="AZ2569">
        <v>0</v>
      </c>
      <c r="BA2569">
        <v>0</v>
      </c>
      <c r="BB2569">
        <v>0</v>
      </c>
      <c r="BC2569">
        <v>0</v>
      </c>
      <c r="BD2569">
        <v>0</v>
      </c>
      <c r="BE2569">
        <v>0</v>
      </c>
      <c r="BF2569">
        <v>0</v>
      </c>
      <c r="BG2569">
        <v>0</v>
      </c>
      <c r="BH2569">
        <v>1</v>
      </c>
      <c r="BI2569">
        <v>9.3000000000000007</v>
      </c>
      <c r="BJ2569">
        <v>8.4</v>
      </c>
      <c r="BK2569">
        <v>10</v>
      </c>
      <c r="BL2569" s="4">
        <v>91.71</v>
      </c>
      <c r="BM2569" s="4">
        <v>13.76</v>
      </c>
      <c r="BN2569" s="4">
        <v>105.47</v>
      </c>
      <c r="BO2569" s="4">
        <v>105.47</v>
      </c>
      <c r="BQ2569" t="s">
        <v>135</v>
      </c>
      <c r="BR2569" t="s">
        <v>105</v>
      </c>
      <c r="BS2569" t="s">
        <v>717</v>
      </c>
      <c r="BY2569">
        <v>41993.95</v>
      </c>
      <c r="CC2569" t="s">
        <v>102</v>
      </c>
      <c r="CD2569">
        <v>200</v>
      </c>
      <c r="CE2569" t="s">
        <v>96</v>
      </c>
      <c r="CI2569">
        <v>0</v>
      </c>
      <c r="CJ2569">
        <v>0</v>
      </c>
      <c r="CK2569" t="s">
        <v>108</v>
      </c>
      <c r="CL2569" t="s">
        <v>89</v>
      </c>
    </row>
    <row r="2571" spans="1:90">
      <c r="E2571" t="s">
        <v>2652</v>
      </c>
      <c r="Q2571">
        <v>0</v>
      </c>
      <c r="R2571">
        <v>0</v>
      </c>
      <c r="S2571">
        <v>0</v>
      </c>
      <c r="T2571">
        <v>0</v>
      </c>
      <c r="U2571">
        <v>0</v>
      </c>
      <c r="V2571">
        <v>0</v>
      </c>
      <c r="W2571">
        <v>0</v>
      </c>
      <c r="X2571">
        <v>0</v>
      </c>
      <c r="Y2571">
        <v>0</v>
      </c>
      <c r="Z2571">
        <v>0</v>
      </c>
      <c r="AA2571">
        <v>0</v>
      </c>
      <c r="AB2571">
        <v>0</v>
      </c>
      <c r="AC2571">
        <v>0</v>
      </c>
      <c r="AD2571">
        <v>0</v>
      </c>
      <c r="AE2571">
        <v>1312.5</v>
      </c>
      <c r="AF2571">
        <v>0</v>
      </c>
      <c r="AG2571">
        <v>0</v>
      </c>
      <c r="AH2571">
        <v>0</v>
      </c>
      <c r="AI2571">
        <v>0</v>
      </c>
      <c r="AJ2571">
        <v>0</v>
      </c>
      <c r="AK2571">
        <v>0</v>
      </c>
      <c r="AL2571">
        <v>0</v>
      </c>
      <c r="AM2571">
        <v>36863.269999999997</v>
      </c>
      <c r="AN2571">
        <v>0</v>
      </c>
      <c r="AO2571">
        <v>0</v>
      </c>
      <c r="AP2571">
        <v>0</v>
      </c>
      <c r="AQ2571">
        <v>0</v>
      </c>
      <c r="AR2571">
        <v>0</v>
      </c>
      <c r="AS2571">
        <v>0</v>
      </c>
      <c r="AT2571">
        <v>0</v>
      </c>
      <c r="AU2571">
        <v>0</v>
      </c>
      <c r="AV2571">
        <v>0</v>
      </c>
      <c r="AW2571">
        <v>0</v>
      </c>
      <c r="AX2571">
        <v>0</v>
      </c>
      <c r="AY2571">
        <v>0</v>
      </c>
      <c r="AZ2571">
        <v>0</v>
      </c>
      <c r="BA2571">
        <v>0</v>
      </c>
      <c r="BB2571">
        <v>0</v>
      </c>
      <c r="BC2571">
        <v>0</v>
      </c>
      <c r="BD2571">
        <v>0</v>
      </c>
      <c r="BE2571">
        <v>0</v>
      </c>
      <c r="BF2571">
        <v>0</v>
      </c>
      <c r="BG2571">
        <v>0</v>
      </c>
      <c r="BI2571">
        <v>8123.8</v>
      </c>
      <c r="BJ2571">
        <v>8260.7000000000007</v>
      </c>
      <c r="BK2571">
        <v>11494</v>
      </c>
      <c r="BL2571" s="4">
        <v>219909.04</v>
      </c>
      <c r="BM2571" s="4">
        <v>32987.26</v>
      </c>
      <c r="BN2571" s="4">
        <v>252896.3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C17924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Marlene Wessels</dc:creator>
  <cp:lastModifiedBy>Marlene Wessels</cp:lastModifiedBy>
  <dcterms:created xsi:type="dcterms:W3CDTF">2020-01-06T11:16:38Z</dcterms:created>
  <dcterms:modified xsi:type="dcterms:W3CDTF">2020-01-06T11:17:08Z</dcterms:modified>
</cp:coreProperties>
</file>